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Lucas\TA_results_final_6\"/>
    </mc:Choice>
  </mc:AlternateContent>
  <xr:revisionPtr revIDLastSave="0" documentId="8_{63396994-9522-420D-86C2-E9382F45E76C}" xr6:coauthVersionLast="47" xr6:coauthVersionMax="47" xr10:uidLastSave="{00000000-0000-0000-0000-000000000000}"/>
  <bookViews>
    <workbookView xWindow="1788" yWindow="-17388" windowWidth="30936" windowHeight="16776" activeTab="1" xr2:uid="{FF64AF30-3015-1142-92FA-2A2ED079457A}"/>
  </bookViews>
  <sheets>
    <sheet name="Variable_List" sheetId="2" r:id="rId1"/>
    <sheet name="SPS1" sheetId="1" r:id="rId2"/>
    <sheet name="check" sheetId="4" r:id="rId3"/>
  </sheets>
  <externalReferences>
    <externalReference r:id="rId4"/>
  </externalReferences>
  <definedNames>
    <definedName name="_xlnm._FilterDatabase" localSheetId="1" hidden="1">'SPS1'!$B$1:$L$1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113" i="1" l="1"/>
  <c r="P2113" i="1"/>
  <c r="O2113" i="1"/>
  <c r="N2113" i="1"/>
  <c r="M2113" i="1"/>
  <c r="L2113" i="1"/>
  <c r="K2113" i="1"/>
  <c r="J2113" i="1"/>
  <c r="I2113" i="1"/>
  <c r="H2113" i="1"/>
  <c r="G2113" i="1"/>
  <c r="F2113" i="1"/>
  <c r="Q2112" i="1"/>
  <c r="P2112" i="1"/>
  <c r="O2112" i="1"/>
  <c r="N2112" i="1"/>
  <c r="M2112" i="1"/>
  <c r="L2112" i="1"/>
  <c r="K2112" i="1"/>
  <c r="J2112" i="1"/>
  <c r="I2112" i="1"/>
  <c r="H2112" i="1"/>
  <c r="G2112" i="1"/>
  <c r="F2112" i="1"/>
  <c r="Q2111" i="1"/>
  <c r="P2111" i="1"/>
  <c r="O2111" i="1"/>
  <c r="N2111" i="1"/>
  <c r="M2111" i="1"/>
  <c r="L2111" i="1"/>
  <c r="K2111" i="1"/>
  <c r="J2111" i="1"/>
  <c r="I2111" i="1"/>
  <c r="H2111" i="1"/>
  <c r="G2111" i="1"/>
  <c r="F2111" i="1"/>
  <c r="Q2110" i="1"/>
  <c r="P2110" i="1"/>
  <c r="O2110" i="1"/>
  <c r="N2110" i="1"/>
  <c r="M2110" i="1"/>
  <c r="L2110" i="1"/>
  <c r="K2110" i="1"/>
  <c r="J2110" i="1"/>
  <c r="I2110" i="1"/>
  <c r="H2110" i="1"/>
  <c r="G2110" i="1"/>
  <c r="F2110" i="1"/>
  <c r="Q2109" i="1"/>
  <c r="P2109" i="1"/>
  <c r="O2109" i="1"/>
  <c r="N2109" i="1"/>
  <c r="M2109" i="1"/>
  <c r="L2109" i="1"/>
  <c r="K2109" i="1"/>
  <c r="J2109" i="1"/>
  <c r="I2109" i="1"/>
  <c r="H2109" i="1"/>
  <c r="G2109" i="1"/>
  <c r="F2109" i="1"/>
  <c r="Q2108" i="1"/>
  <c r="P2108" i="1"/>
  <c r="O2108" i="1"/>
  <c r="N2108" i="1"/>
  <c r="M2108" i="1"/>
  <c r="L2108" i="1"/>
  <c r="K2108" i="1"/>
  <c r="J2108" i="1"/>
  <c r="I2108" i="1"/>
  <c r="H2108" i="1"/>
  <c r="G2108" i="1"/>
  <c r="F2108" i="1"/>
  <c r="Q2107" i="1"/>
  <c r="P2107" i="1"/>
  <c r="O2107" i="1"/>
  <c r="N2107" i="1"/>
  <c r="M2107" i="1"/>
  <c r="L2107" i="1"/>
  <c r="K2107" i="1"/>
  <c r="J2107" i="1"/>
  <c r="I2107" i="1"/>
  <c r="H2107" i="1"/>
  <c r="G2107" i="1"/>
  <c r="F2107" i="1"/>
  <c r="Q2105" i="1"/>
  <c r="P2105" i="1"/>
  <c r="O2105" i="1"/>
  <c r="N2105" i="1"/>
  <c r="M2105" i="1"/>
  <c r="L2105" i="1"/>
  <c r="K2105" i="1"/>
  <c r="J2105" i="1"/>
  <c r="I2105" i="1"/>
  <c r="H2105" i="1"/>
  <c r="G2105" i="1"/>
  <c r="F2105" i="1"/>
  <c r="Q2104" i="1"/>
  <c r="P2104" i="1"/>
  <c r="O2104" i="1"/>
  <c r="N2104" i="1"/>
  <c r="M2104" i="1"/>
  <c r="L2104" i="1"/>
  <c r="K2104" i="1"/>
  <c r="J2104" i="1"/>
  <c r="I2104" i="1"/>
  <c r="H2104" i="1"/>
  <c r="G2104" i="1"/>
  <c r="F2104" i="1"/>
  <c r="Q2103" i="1"/>
  <c r="P2103" i="1"/>
  <c r="O2103" i="1"/>
  <c r="N2103" i="1"/>
  <c r="M2103" i="1"/>
  <c r="L2103" i="1"/>
  <c r="K2103" i="1"/>
  <c r="J2103" i="1"/>
  <c r="I2103" i="1"/>
  <c r="H2103" i="1"/>
  <c r="G2103" i="1"/>
  <c r="F2103" i="1"/>
  <c r="Q2100" i="1"/>
  <c r="P2100" i="1"/>
  <c r="O2100" i="1"/>
  <c r="N2100" i="1"/>
  <c r="M2100" i="1"/>
  <c r="L2100" i="1"/>
  <c r="K2100" i="1"/>
  <c r="J2100" i="1"/>
  <c r="I2100" i="1"/>
  <c r="H2100" i="1"/>
  <c r="G2100" i="1"/>
  <c r="F2100" i="1"/>
  <c r="Q2099" i="1"/>
  <c r="P2099" i="1"/>
  <c r="O2099" i="1"/>
  <c r="N2099" i="1"/>
  <c r="M2099" i="1"/>
  <c r="L2099" i="1"/>
  <c r="K2099" i="1"/>
  <c r="J2099" i="1"/>
  <c r="I2099" i="1"/>
  <c r="H2099" i="1"/>
  <c r="G2099" i="1"/>
  <c r="F2099" i="1"/>
  <c r="Q2098" i="1"/>
  <c r="P2098" i="1"/>
  <c r="O2098" i="1"/>
  <c r="N2098" i="1"/>
  <c r="M2098" i="1"/>
  <c r="L2098" i="1"/>
  <c r="K2098" i="1"/>
  <c r="J2098" i="1"/>
  <c r="I2098" i="1"/>
  <c r="H2098" i="1"/>
  <c r="G2098" i="1"/>
  <c r="F2098" i="1"/>
  <c r="Q2097" i="1"/>
  <c r="P2097" i="1"/>
  <c r="O2097" i="1"/>
  <c r="N2097" i="1"/>
  <c r="M2097" i="1"/>
  <c r="L2097" i="1"/>
  <c r="K2097" i="1"/>
  <c r="J2097" i="1"/>
  <c r="I2097" i="1"/>
  <c r="H2097" i="1"/>
  <c r="G2097" i="1"/>
  <c r="F2097" i="1"/>
  <c r="Q2096" i="1"/>
  <c r="P2096" i="1"/>
  <c r="O2096" i="1"/>
  <c r="N2096" i="1"/>
  <c r="M2096" i="1"/>
  <c r="L2096" i="1"/>
  <c r="K2096" i="1"/>
  <c r="J2096" i="1"/>
  <c r="I2096" i="1"/>
  <c r="H2096" i="1"/>
  <c r="G2096" i="1"/>
  <c r="F2096" i="1"/>
  <c r="Q2095" i="1"/>
  <c r="P2095" i="1"/>
  <c r="O2095" i="1"/>
  <c r="N2095" i="1"/>
  <c r="M2095" i="1"/>
  <c r="L2095" i="1"/>
  <c r="K2095" i="1"/>
  <c r="J2095" i="1"/>
  <c r="I2095" i="1"/>
  <c r="H2095" i="1"/>
  <c r="G2095" i="1"/>
  <c r="F2095" i="1"/>
  <c r="Q2093" i="1"/>
  <c r="P2093" i="1"/>
  <c r="O2093" i="1"/>
  <c r="N2093" i="1"/>
  <c r="M2093" i="1"/>
  <c r="L2093" i="1"/>
  <c r="K2093" i="1"/>
  <c r="J2093" i="1"/>
  <c r="I2093" i="1"/>
  <c r="H2093" i="1"/>
  <c r="G2093" i="1"/>
  <c r="F2093" i="1"/>
  <c r="Q2091" i="1"/>
  <c r="P2091" i="1"/>
  <c r="O2091" i="1"/>
  <c r="N2091" i="1"/>
  <c r="M2091" i="1"/>
  <c r="L2091" i="1"/>
  <c r="K2091" i="1"/>
  <c r="J2091" i="1"/>
  <c r="I2091" i="1"/>
  <c r="H2091" i="1"/>
  <c r="G2091" i="1"/>
  <c r="F2091" i="1"/>
  <c r="Q2090" i="1"/>
  <c r="P2090" i="1"/>
  <c r="O2090" i="1"/>
  <c r="N2090" i="1"/>
  <c r="M2090" i="1"/>
  <c r="L2090" i="1"/>
  <c r="K2090" i="1"/>
  <c r="J2090" i="1"/>
  <c r="I2090" i="1"/>
  <c r="H2090" i="1"/>
  <c r="G2090" i="1"/>
  <c r="F2090" i="1"/>
  <c r="Q2089" i="1"/>
  <c r="P2089" i="1"/>
  <c r="O2089" i="1"/>
  <c r="N2089" i="1"/>
  <c r="M2089" i="1"/>
  <c r="L2089" i="1"/>
  <c r="K2089" i="1"/>
  <c r="J2089" i="1"/>
  <c r="I2089" i="1"/>
  <c r="H2089" i="1"/>
  <c r="G2089" i="1"/>
  <c r="F2089" i="1"/>
  <c r="Q2088" i="1"/>
  <c r="P2088" i="1"/>
  <c r="O2088" i="1"/>
  <c r="N2088" i="1"/>
  <c r="M2088" i="1"/>
  <c r="L2088" i="1"/>
  <c r="K2088" i="1"/>
  <c r="J2088" i="1"/>
  <c r="I2088" i="1"/>
  <c r="H2088" i="1"/>
  <c r="G2088" i="1"/>
  <c r="F2088" i="1"/>
  <c r="Q2087" i="1"/>
  <c r="P2087" i="1"/>
  <c r="O2087" i="1"/>
  <c r="N2087" i="1"/>
  <c r="M2087" i="1"/>
  <c r="L2087" i="1"/>
  <c r="K2087" i="1"/>
  <c r="J2087" i="1"/>
  <c r="I2087" i="1"/>
  <c r="H2087" i="1"/>
  <c r="G2087" i="1"/>
  <c r="F2087" i="1"/>
  <c r="Q2086" i="1"/>
  <c r="P2086" i="1"/>
  <c r="O2086" i="1"/>
  <c r="N2086" i="1"/>
  <c r="M2086" i="1"/>
  <c r="L2086" i="1"/>
  <c r="K2086" i="1"/>
  <c r="J2086" i="1"/>
  <c r="I2086" i="1"/>
  <c r="H2086" i="1"/>
  <c r="G2086" i="1"/>
  <c r="F2086" i="1"/>
  <c r="Q2085" i="1"/>
  <c r="P2085" i="1"/>
  <c r="O2085" i="1"/>
  <c r="N2085" i="1"/>
  <c r="M2085" i="1"/>
  <c r="L2085" i="1"/>
  <c r="K2085" i="1"/>
  <c r="J2085" i="1"/>
  <c r="I2085" i="1"/>
  <c r="H2085" i="1"/>
  <c r="G2085" i="1"/>
  <c r="F2085" i="1"/>
  <c r="Q2083" i="1"/>
  <c r="P2083" i="1"/>
  <c r="O2083" i="1"/>
  <c r="N2083" i="1"/>
  <c r="M2083" i="1"/>
  <c r="L2083" i="1"/>
  <c r="K2083" i="1"/>
  <c r="J2083" i="1"/>
  <c r="I2083" i="1"/>
  <c r="H2083" i="1"/>
  <c r="G2083" i="1"/>
  <c r="F2083" i="1"/>
  <c r="Q2082" i="1"/>
  <c r="P2082" i="1"/>
  <c r="O2082" i="1"/>
  <c r="N2082" i="1"/>
  <c r="M2082" i="1"/>
  <c r="L2082" i="1"/>
  <c r="K2082" i="1"/>
  <c r="J2082" i="1"/>
  <c r="I2082" i="1"/>
  <c r="H2082" i="1"/>
  <c r="G2082" i="1"/>
  <c r="F2082" i="1"/>
  <c r="Q2081" i="1"/>
  <c r="P2081" i="1"/>
  <c r="O2081" i="1"/>
  <c r="N2081" i="1"/>
  <c r="M2081" i="1"/>
  <c r="L2081" i="1"/>
  <c r="K2081" i="1"/>
  <c r="J2081" i="1"/>
  <c r="I2081" i="1"/>
  <c r="H2081" i="1"/>
  <c r="G2081" i="1"/>
  <c r="F2081" i="1"/>
  <c r="Q2080" i="1"/>
  <c r="P2080" i="1"/>
  <c r="O2080" i="1"/>
  <c r="N2080" i="1"/>
  <c r="M2080" i="1"/>
  <c r="L2080" i="1"/>
  <c r="K2080" i="1"/>
  <c r="J2080" i="1"/>
  <c r="I2080" i="1"/>
  <c r="H2080" i="1"/>
  <c r="G2080" i="1"/>
  <c r="F2080" i="1"/>
  <c r="Q2079" i="1"/>
  <c r="P2079" i="1"/>
  <c r="O2079" i="1"/>
  <c r="N2079" i="1"/>
  <c r="M2079" i="1"/>
  <c r="L2079" i="1"/>
  <c r="K2079" i="1"/>
  <c r="J2079" i="1"/>
  <c r="I2079" i="1"/>
  <c r="H2079" i="1"/>
  <c r="G2079" i="1"/>
  <c r="F2079" i="1"/>
  <c r="Q2078" i="1"/>
  <c r="P2078" i="1"/>
  <c r="O2078" i="1"/>
  <c r="N2078" i="1"/>
  <c r="M2078" i="1"/>
  <c r="L2078" i="1"/>
  <c r="K2078" i="1"/>
  <c r="J2078" i="1"/>
  <c r="I2078" i="1"/>
  <c r="H2078" i="1"/>
  <c r="G2078" i="1"/>
  <c r="F2078" i="1"/>
  <c r="Q2076" i="1"/>
  <c r="P2076" i="1"/>
  <c r="O2076" i="1"/>
  <c r="N2076" i="1"/>
  <c r="M2076" i="1"/>
  <c r="L2076" i="1"/>
  <c r="K2076" i="1"/>
  <c r="J2076" i="1"/>
  <c r="I2076" i="1"/>
  <c r="H2076" i="1"/>
  <c r="G2076" i="1"/>
  <c r="F2076" i="1"/>
  <c r="Q2075" i="1"/>
  <c r="P2075" i="1"/>
  <c r="O2075" i="1"/>
  <c r="N2075" i="1"/>
  <c r="M2075" i="1"/>
  <c r="L2075" i="1"/>
  <c r="K2075" i="1"/>
  <c r="J2075" i="1"/>
  <c r="I2075" i="1"/>
  <c r="H2075" i="1"/>
  <c r="G2075" i="1"/>
  <c r="F2075" i="1"/>
  <c r="Q2074" i="1"/>
  <c r="P2074" i="1"/>
  <c r="O2074" i="1"/>
  <c r="N2074" i="1"/>
  <c r="M2074" i="1"/>
  <c r="L2074" i="1"/>
  <c r="K2074" i="1"/>
  <c r="J2074" i="1"/>
  <c r="I2074" i="1"/>
  <c r="H2074" i="1"/>
  <c r="G2074" i="1"/>
  <c r="F2074" i="1"/>
  <c r="Q2073" i="1"/>
  <c r="P2073" i="1"/>
  <c r="O2073" i="1"/>
  <c r="N2073" i="1"/>
  <c r="M2073" i="1"/>
  <c r="L2073" i="1"/>
  <c r="K2073" i="1"/>
  <c r="J2073" i="1"/>
  <c r="I2073" i="1"/>
  <c r="H2073" i="1"/>
  <c r="G2073" i="1"/>
  <c r="F2073" i="1"/>
  <c r="Q2072" i="1"/>
  <c r="P2072" i="1"/>
  <c r="O2072" i="1"/>
  <c r="N2072" i="1"/>
  <c r="M2072" i="1"/>
  <c r="L2072" i="1"/>
  <c r="K2072" i="1"/>
  <c r="J2072" i="1"/>
  <c r="I2072" i="1"/>
  <c r="H2072" i="1"/>
  <c r="G2072" i="1"/>
  <c r="F2072" i="1"/>
  <c r="Q2071" i="1"/>
  <c r="P2071" i="1"/>
  <c r="O2071" i="1"/>
  <c r="N2071" i="1"/>
  <c r="M2071" i="1"/>
  <c r="L2071" i="1"/>
  <c r="K2071" i="1"/>
  <c r="J2071" i="1"/>
  <c r="I2071" i="1"/>
  <c r="H2071" i="1"/>
  <c r="G2071" i="1"/>
  <c r="F2071" i="1"/>
  <c r="Q2070" i="1"/>
  <c r="P2070" i="1"/>
  <c r="O2070" i="1"/>
  <c r="N2070" i="1"/>
  <c r="M2070" i="1"/>
  <c r="L2070" i="1"/>
  <c r="K2070" i="1"/>
  <c r="J2070" i="1"/>
  <c r="I2070" i="1"/>
  <c r="H2070" i="1"/>
  <c r="G2070" i="1"/>
  <c r="F2070" i="1"/>
  <c r="Q2069" i="1"/>
  <c r="P2069" i="1"/>
  <c r="O2069" i="1"/>
  <c r="N2069" i="1"/>
  <c r="M2069" i="1"/>
  <c r="L2069" i="1"/>
  <c r="K2069" i="1"/>
  <c r="J2069" i="1"/>
  <c r="I2069" i="1"/>
  <c r="H2069" i="1"/>
  <c r="G2069" i="1"/>
  <c r="F2069" i="1"/>
  <c r="Q2068" i="1"/>
  <c r="P2068" i="1"/>
  <c r="O2068" i="1"/>
  <c r="N2068" i="1"/>
  <c r="M2068" i="1"/>
  <c r="L2068" i="1"/>
  <c r="K2068" i="1"/>
  <c r="J2068" i="1"/>
  <c r="I2068" i="1"/>
  <c r="H2068" i="1"/>
  <c r="G2068" i="1"/>
  <c r="F2068" i="1"/>
  <c r="Q2067" i="1"/>
  <c r="P2067" i="1"/>
  <c r="O2067" i="1"/>
  <c r="N2067" i="1"/>
  <c r="M2067" i="1"/>
  <c r="L2067" i="1"/>
  <c r="K2067" i="1"/>
  <c r="J2067" i="1"/>
  <c r="I2067" i="1"/>
  <c r="H2067" i="1"/>
  <c r="G2067" i="1"/>
  <c r="F2067" i="1"/>
  <c r="Q2066" i="1"/>
  <c r="P2066" i="1"/>
  <c r="O2066" i="1"/>
  <c r="N2066" i="1"/>
  <c r="M2066" i="1"/>
  <c r="L2066" i="1"/>
  <c r="K2066" i="1"/>
  <c r="J2066" i="1"/>
  <c r="I2066" i="1"/>
  <c r="H2066" i="1"/>
  <c r="G2066" i="1"/>
  <c r="F2066" i="1"/>
  <c r="Q2065" i="1"/>
  <c r="P2065" i="1"/>
  <c r="O2065" i="1"/>
  <c r="N2065" i="1"/>
  <c r="M2065" i="1"/>
  <c r="L2065" i="1"/>
  <c r="K2065" i="1"/>
  <c r="J2065" i="1"/>
  <c r="I2065" i="1"/>
  <c r="H2065" i="1"/>
  <c r="G2065" i="1"/>
  <c r="F2065" i="1"/>
  <c r="Q2064" i="1"/>
  <c r="P2064" i="1"/>
  <c r="O2064" i="1"/>
  <c r="N2064" i="1"/>
  <c r="M2064" i="1"/>
  <c r="L2064" i="1"/>
  <c r="K2064" i="1"/>
  <c r="J2064" i="1"/>
  <c r="I2064" i="1"/>
  <c r="H2064" i="1"/>
  <c r="G2064" i="1"/>
  <c r="F2064" i="1"/>
  <c r="Q2063" i="1"/>
  <c r="P2063" i="1"/>
  <c r="O2063" i="1"/>
  <c r="N2063" i="1"/>
  <c r="M2063" i="1"/>
  <c r="L2063" i="1"/>
  <c r="K2063" i="1"/>
  <c r="J2063" i="1"/>
  <c r="I2063" i="1"/>
  <c r="H2063" i="1"/>
  <c r="G2063" i="1"/>
  <c r="F2063" i="1"/>
  <c r="Q2062" i="1"/>
  <c r="P2062" i="1"/>
  <c r="O2062" i="1"/>
  <c r="N2062" i="1"/>
  <c r="M2062" i="1"/>
  <c r="L2062" i="1"/>
  <c r="K2062" i="1"/>
  <c r="J2062" i="1"/>
  <c r="I2062" i="1"/>
  <c r="H2062" i="1"/>
  <c r="G2062" i="1"/>
  <c r="F2062" i="1"/>
  <c r="Q2060" i="1"/>
  <c r="P2060" i="1"/>
  <c r="O2060" i="1"/>
  <c r="N2060" i="1"/>
  <c r="M2060" i="1"/>
  <c r="L2060" i="1"/>
  <c r="K2060" i="1"/>
  <c r="J2060" i="1"/>
  <c r="I2060" i="1"/>
  <c r="H2060" i="1"/>
  <c r="G2060" i="1"/>
  <c r="F2060" i="1"/>
  <c r="Q2059" i="1"/>
  <c r="P2059" i="1"/>
  <c r="O2059" i="1"/>
  <c r="N2059" i="1"/>
  <c r="M2059" i="1"/>
  <c r="L2059" i="1"/>
  <c r="K2059" i="1"/>
  <c r="J2059" i="1"/>
  <c r="I2059" i="1"/>
  <c r="H2059" i="1"/>
  <c r="G2059" i="1"/>
  <c r="F2059" i="1"/>
  <c r="Q2058" i="1"/>
  <c r="P2058" i="1"/>
  <c r="O2058" i="1"/>
  <c r="N2058" i="1"/>
  <c r="M2058" i="1"/>
  <c r="L2058" i="1"/>
  <c r="K2058" i="1"/>
  <c r="J2058" i="1"/>
  <c r="I2058" i="1"/>
  <c r="H2058" i="1"/>
  <c r="G2058" i="1"/>
  <c r="F2058" i="1"/>
  <c r="Q2056" i="1"/>
  <c r="P2056" i="1"/>
  <c r="O2056" i="1"/>
  <c r="N2056" i="1"/>
  <c r="M2056" i="1"/>
  <c r="L2056" i="1"/>
  <c r="K2056" i="1"/>
  <c r="J2056" i="1"/>
  <c r="I2056" i="1"/>
  <c r="H2056" i="1"/>
  <c r="G2056" i="1"/>
  <c r="F2056" i="1"/>
  <c r="Q2055" i="1"/>
  <c r="P2055" i="1"/>
  <c r="O2055" i="1"/>
  <c r="N2055" i="1"/>
  <c r="M2055" i="1"/>
  <c r="L2055" i="1"/>
  <c r="K2055" i="1"/>
  <c r="J2055" i="1"/>
  <c r="I2055" i="1"/>
  <c r="H2055" i="1"/>
  <c r="G2055" i="1"/>
  <c r="F2055" i="1"/>
  <c r="Q2054" i="1"/>
  <c r="P2054" i="1"/>
  <c r="O2054" i="1"/>
  <c r="N2054" i="1"/>
  <c r="M2054" i="1"/>
  <c r="L2054" i="1"/>
  <c r="K2054" i="1"/>
  <c r="J2054" i="1"/>
  <c r="I2054" i="1"/>
  <c r="H2054" i="1"/>
  <c r="G2054" i="1"/>
  <c r="F2054" i="1"/>
  <c r="Q2052" i="1"/>
  <c r="P2052" i="1"/>
  <c r="O2052" i="1"/>
  <c r="N2052" i="1"/>
  <c r="M2052" i="1"/>
  <c r="L2052" i="1"/>
  <c r="K2052" i="1"/>
  <c r="J2052" i="1"/>
  <c r="I2052" i="1"/>
  <c r="H2052" i="1"/>
  <c r="G2052" i="1"/>
  <c r="F2052" i="1"/>
  <c r="Q1822" i="1"/>
  <c r="P1822" i="1"/>
  <c r="O1822" i="1"/>
  <c r="N1822" i="1"/>
  <c r="M1822" i="1"/>
  <c r="L1822" i="1"/>
  <c r="K1822" i="1"/>
  <c r="J1822" i="1"/>
  <c r="I1822" i="1"/>
  <c r="H1822" i="1"/>
  <c r="G1822" i="1"/>
  <c r="F1822" i="1"/>
  <c r="Q1821" i="1"/>
  <c r="P1821" i="1"/>
  <c r="O1821" i="1"/>
  <c r="N1821" i="1"/>
  <c r="M1821" i="1"/>
  <c r="L1821" i="1"/>
  <c r="K1821" i="1"/>
  <c r="J1821" i="1"/>
  <c r="I1821" i="1"/>
  <c r="H1821" i="1"/>
  <c r="G1821" i="1"/>
  <c r="F1821" i="1"/>
  <c r="Q1820" i="1"/>
  <c r="P1820" i="1"/>
  <c r="O1820" i="1"/>
  <c r="N1820" i="1"/>
  <c r="M1820" i="1"/>
  <c r="L1820" i="1"/>
  <c r="K1820" i="1"/>
  <c r="J1820" i="1"/>
  <c r="I1820" i="1"/>
  <c r="H1820" i="1"/>
  <c r="G1820" i="1"/>
  <c r="F1820" i="1"/>
  <c r="Q1819" i="1"/>
  <c r="P1819" i="1"/>
  <c r="O1819" i="1"/>
  <c r="N1819" i="1"/>
  <c r="M1819" i="1"/>
  <c r="L1819" i="1"/>
  <c r="K1819" i="1"/>
  <c r="J1819" i="1"/>
  <c r="I1819" i="1"/>
  <c r="H1819" i="1"/>
  <c r="G1819" i="1"/>
  <c r="F1819" i="1"/>
  <c r="Q1818" i="1"/>
  <c r="P1818" i="1"/>
  <c r="O1818" i="1"/>
  <c r="N1818" i="1"/>
  <c r="M1818" i="1"/>
  <c r="L1818" i="1"/>
  <c r="K1818" i="1"/>
  <c r="J1818" i="1"/>
  <c r="I1818" i="1"/>
  <c r="H1818" i="1"/>
  <c r="G1818" i="1"/>
  <c r="F1818" i="1"/>
  <c r="Q1817" i="1"/>
  <c r="P1817" i="1"/>
  <c r="O1817" i="1"/>
  <c r="N1817" i="1"/>
  <c r="M1817" i="1"/>
  <c r="L1817" i="1"/>
  <c r="K1817" i="1"/>
  <c r="J1817" i="1"/>
  <c r="I1817" i="1"/>
  <c r="H1817" i="1"/>
  <c r="G1817" i="1"/>
  <c r="F1817" i="1"/>
  <c r="Q1816" i="1"/>
  <c r="P1816" i="1"/>
  <c r="O1816" i="1"/>
  <c r="N1816" i="1"/>
  <c r="M1816" i="1"/>
  <c r="L1816" i="1"/>
  <c r="K1816" i="1"/>
  <c r="J1816" i="1"/>
  <c r="I1816" i="1"/>
  <c r="H1816" i="1"/>
  <c r="G1816" i="1"/>
  <c r="F1816" i="1"/>
  <c r="Q1814" i="1"/>
  <c r="P1814" i="1"/>
  <c r="O1814" i="1"/>
  <c r="N1814" i="1"/>
  <c r="M1814" i="1"/>
  <c r="L1814" i="1"/>
  <c r="K1814" i="1"/>
  <c r="J1814" i="1"/>
  <c r="I1814" i="1"/>
  <c r="H1814" i="1"/>
  <c r="G1814" i="1"/>
  <c r="F1814" i="1"/>
  <c r="Q1813" i="1"/>
  <c r="P1813" i="1"/>
  <c r="O1813" i="1"/>
  <c r="N1813" i="1"/>
  <c r="M1813" i="1"/>
  <c r="L1813" i="1"/>
  <c r="K1813" i="1"/>
  <c r="J1813" i="1"/>
  <c r="I1813" i="1"/>
  <c r="H1813" i="1"/>
  <c r="G1813" i="1"/>
  <c r="F1813" i="1"/>
  <c r="Q1812" i="1"/>
  <c r="P1812" i="1"/>
  <c r="O1812" i="1"/>
  <c r="N1812" i="1"/>
  <c r="M1812" i="1"/>
  <c r="L1812" i="1"/>
  <c r="K1812" i="1"/>
  <c r="J1812" i="1"/>
  <c r="I1812" i="1"/>
  <c r="H1812" i="1"/>
  <c r="G1812" i="1"/>
  <c r="F1812" i="1"/>
  <c r="Q1809" i="1"/>
  <c r="P1809" i="1"/>
  <c r="O1809" i="1"/>
  <c r="N1809" i="1"/>
  <c r="M1809" i="1"/>
  <c r="L1809" i="1"/>
  <c r="K1809" i="1"/>
  <c r="J1809" i="1"/>
  <c r="I1809" i="1"/>
  <c r="H1809" i="1"/>
  <c r="G1809" i="1"/>
  <c r="F1809" i="1"/>
  <c r="Q1808" i="1"/>
  <c r="P1808" i="1"/>
  <c r="O1808" i="1"/>
  <c r="N1808" i="1"/>
  <c r="M1808" i="1"/>
  <c r="L1808" i="1"/>
  <c r="K1808" i="1"/>
  <c r="J1808" i="1"/>
  <c r="I1808" i="1"/>
  <c r="H1808" i="1"/>
  <c r="G1808" i="1"/>
  <c r="F1808" i="1"/>
  <c r="Q1807" i="1"/>
  <c r="P1807" i="1"/>
  <c r="O1807" i="1"/>
  <c r="N1807" i="1"/>
  <c r="M1807" i="1"/>
  <c r="L1807" i="1"/>
  <c r="K1807" i="1"/>
  <c r="J1807" i="1"/>
  <c r="I1807" i="1"/>
  <c r="H1807" i="1"/>
  <c r="G1807" i="1"/>
  <c r="F1807" i="1"/>
  <c r="Q1806" i="1"/>
  <c r="P1806" i="1"/>
  <c r="O1806" i="1"/>
  <c r="N1806" i="1"/>
  <c r="M1806" i="1"/>
  <c r="L1806" i="1"/>
  <c r="K1806" i="1"/>
  <c r="J1806" i="1"/>
  <c r="I1806" i="1"/>
  <c r="H1806" i="1"/>
  <c r="G1806" i="1"/>
  <c r="F1806" i="1"/>
  <c r="Q1805" i="1"/>
  <c r="P1805" i="1"/>
  <c r="O1805" i="1"/>
  <c r="N1805" i="1"/>
  <c r="M1805" i="1"/>
  <c r="L1805" i="1"/>
  <c r="K1805" i="1"/>
  <c r="J1805" i="1"/>
  <c r="I1805" i="1"/>
  <c r="H1805" i="1"/>
  <c r="G1805" i="1"/>
  <c r="F1805" i="1"/>
  <c r="Q1804" i="1"/>
  <c r="P1804" i="1"/>
  <c r="O1804" i="1"/>
  <c r="N1804" i="1"/>
  <c r="M1804" i="1"/>
  <c r="L1804" i="1"/>
  <c r="K1804" i="1"/>
  <c r="J1804" i="1"/>
  <c r="I1804" i="1"/>
  <c r="H1804" i="1"/>
  <c r="G1804" i="1"/>
  <c r="F1804" i="1"/>
  <c r="Q1802" i="1"/>
  <c r="P1802" i="1"/>
  <c r="O1802" i="1"/>
  <c r="N1802" i="1"/>
  <c r="M1802" i="1"/>
  <c r="L1802" i="1"/>
  <c r="K1802" i="1"/>
  <c r="J1802" i="1"/>
  <c r="I1802" i="1"/>
  <c r="H1802" i="1"/>
  <c r="G1802" i="1"/>
  <c r="F1802" i="1"/>
  <c r="Q1800" i="1"/>
  <c r="P1800" i="1"/>
  <c r="O1800" i="1"/>
  <c r="N1800" i="1"/>
  <c r="M1800" i="1"/>
  <c r="L1800" i="1"/>
  <c r="K1800" i="1"/>
  <c r="J1800" i="1"/>
  <c r="I1800" i="1"/>
  <c r="H1800" i="1"/>
  <c r="G1800" i="1"/>
  <c r="F1800" i="1"/>
  <c r="Q1799" i="1"/>
  <c r="P1799" i="1"/>
  <c r="O1799" i="1"/>
  <c r="N1799" i="1"/>
  <c r="M1799" i="1"/>
  <c r="L1799" i="1"/>
  <c r="K1799" i="1"/>
  <c r="J1799" i="1"/>
  <c r="I1799" i="1"/>
  <c r="H1799" i="1"/>
  <c r="G1799" i="1"/>
  <c r="F1799" i="1"/>
  <c r="Q1798" i="1"/>
  <c r="P1798" i="1"/>
  <c r="O1798" i="1"/>
  <c r="N1798" i="1"/>
  <c r="M1798" i="1"/>
  <c r="L1798" i="1"/>
  <c r="K1798" i="1"/>
  <c r="J1798" i="1"/>
  <c r="I1798" i="1"/>
  <c r="H1798" i="1"/>
  <c r="G1798" i="1"/>
  <c r="F1798" i="1"/>
  <c r="Q1797" i="1"/>
  <c r="P1797" i="1"/>
  <c r="O1797" i="1"/>
  <c r="N1797" i="1"/>
  <c r="M1797" i="1"/>
  <c r="L1797" i="1"/>
  <c r="K1797" i="1"/>
  <c r="J1797" i="1"/>
  <c r="I1797" i="1"/>
  <c r="H1797" i="1"/>
  <c r="G1797" i="1"/>
  <c r="F1797" i="1"/>
  <c r="Q1796" i="1"/>
  <c r="P1796" i="1"/>
  <c r="O1796" i="1"/>
  <c r="N1796" i="1"/>
  <c r="M1796" i="1"/>
  <c r="L1796" i="1"/>
  <c r="K1796" i="1"/>
  <c r="J1796" i="1"/>
  <c r="I1796" i="1"/>
  <c r="H1796" i="1"/>
  <c r="G1796" i="1"/>
  <c r="F1796" i="1"/>
  <c r="Q1795" i="1"/>
  <c r="P1795" i="1"/>
  <c r="O1795" i="1"/>
  <c r="N1795" i="1"/>
  <c r="M1795" i="1"/>
  <c r="L1795" i="1"/>
  <c r="K1795" i="1"/>
  <c r="J1795" i="1"/>
  <c r="I1795" i="1"/>
  <c r="H1795" i="1"/>
  <c r="G1795" i="1"/>
  <c r="F1795" i="1"/>
  <c r="Q1794" i="1"/>
  <c r="P1794" i="1"/>
  <c r="O1794" i="1"/>
  <c r="N1794" i="1"/>
  <c r="M1794" i="1"/>
  <c r="L1794" i="1"/>
  <c r="K1794" i="1"/>
  <c r="J1794" i="1"/>
  <c r="I1794" i="1"/>
  <c r="H1794" i="1"/>
  <c r="G1794" i="1"/>
  <c r="F1794" i="1"/>
  <c r="Q1792" i="1"/>
  <c r="P1792" i="1"/>
  <c r="O1792" i="1"/>
  <c r="N1792" i="1"/>
  <c r="M1792" i="1"/>
  <c r="L1792" i="1"/>
  <c r="K1792" i="1"/>
  <c r="J1792" i="1"/>
  <c r="I1792" i="1"/>
  <c r="H1792" i="1"/>
  <c r="G1792" i="1"/>
  <c r="F1792" i="1"/>
  <c r="Q1791" i="1"/>
  <c r="P1791" i="1"/>
  <c r="O1791" i="1"/>
  <c r="N1791" i="1"/>
  <c r="M1791" i="1"/>
  <c r="L1791" i="1"/>
  <c r="K1791" i="1"/>
  <c r="J1791" i="1"/>
  <c r="I1791" i="1"/>
  <c r="H1791" i="1"/>
  <c r="G1791" i="1"/>
  <c r="F1791" i="1"/>
  <c r="Q1790" i="1"/>
  <c r="P1790" i="1"/>
  <c r="O1790" i="1"/>
  <c r="N1790" i="1"/>
  <c r="M1790" i="1"/>
  <c r="L1790" i="1"/>
  <c r="K1790" i="1"/>
  <c r="J1790" i="1"/>
  <c r="I1790" i="1"/>
  <c r="H1790" i="1"/>
  <c r="G1790" i="1"/>
  <c r="F1790" i="1"/>
  <c r="Q1789" i="1"/>
  <c r="P1789" i="1"/>
  <c r="O1789" i="1"/>
  <c r="N1789" i="1"/>
  <c r="M1789" i="1"/>
  <c r="L1789" i="1"/>
  <c r="K1789" i="1"/>
  <c r="J1789" i="1"/>
  <c r="I1789" i="1"/>
  <c r="H1789" i="1"/>
  <c r="G1789" i="1"/>
  <c r="F1789" i="1"/>
  <c r="Q1788" i="1"/>
  <c r="P1788" i="1"/>
  <c r="O1788" i="1"/>
  <c r="N1788" i="1"/>
  <c r="M1788" i="1"/>
  <c r="L1788" i="1"/>
  <c r="K1788" i="1"/>
  <c r="J1788" i="1"/>
  <c r="I1788" i="1"/>
  <c r="H1788" i="1"/>
  <c r="G1788" i="1"/>
  <c r="F1788" i="1"/>
  <c r="Q1787" i="1"/>
  <c r="P1787" i="1"/>
  <c r="O1787" i="1"/>
  <c r="N1787" i="1"/>
  <c r="M1787" i="1"/>
  <c r="L1787" i="1"/>
  <c r="K1787" i="1"/>
  <c r="J1787" i="1"/>
  <c r="I1787" i="1"/>
  <c r="H1787" i="1"/>
  <c r="G1787" i="1"/>
  <c r="F1787" i="1"/>
  <c r="Q1785" i="1"/>
  <c r="P1785" i="1"/>
  <c r="O1785" i="1"/>
  <c r="N1785" i="1"/>
  <c r="M1785" i="1"/>
  <c r="L1785" i="1"/>
  <c r="K1785" i="1"/>
  <c r="J1785" i="1"/>
  <c r="I1785" i="1"/>
  <c r="H1785" i="1"/>
  <c r="G1785" i="1"/>
  <c r="F1785" i="1"/>
  <c r="Q1784" i="1"/>
  <c r="P1784" i="1"/>
  <c r="O1784" i="1"/>
  <c r="N1784" i="1"/>
  <c r="M1784" i="1"/>
  <c r="L1784" i="1"/>
  <c r="K1784" i="1"/>
  <c r="J1784" i="1"/>
  <c r="I1784" i="1"/>
  <c r="H1784" i="1"/>
  <c r="G1784" i="1"/>
  <c r="F1784" i="1"/>
  <c r="Q1783" i="1"/>
  <c r="P1783" i="1"/>
  <c r="O1783" i="1"/>
  <c r="N1783" i="1"/>
  <c r="M1783" i="1"/>
  <c r="L1783" i="1"/>
  <c r="K1783" i="1"/>
  <c r="J1783" i="1"/>
  <c r="I1783" i="1"/>
  <c r="H1783" i="1"/>
  <c r="G1783" i="1"/>
  <c r="F1783" i="1"/>
  <c r="Q1782" i="1"/>
  <c r="P1782" i="1"/>
  <c r="O1782" i="1"/>
  <c r="N1782" i="1"/>
  <c r="M1782" i="1"/>
  <c r="L1782" i="1"/>
  <c r="K1782" i="1"/>
  <c r="J1782" i="1"/>
  <c r="I1782" i="1"/>
  <c r="H1782" i="1"/>
  <c r="G1782" i="1"/>
  <c r="F1782" i="1"/>
  <c r="Q1781" i="1"/>
  <c r="P1781" i="1"/>
  <c r="O1781" i="1"/>
  <c r="N1781" i="1"/>
  <c r="M1781" i="1"/>
  <c r="L1781" i="1"/>
  <c r="K1781" i="1"/>
  <c r="J1781" i="1"/>
  <c r="I1781" i="1"/>
  <c r="H1781" i="1"/>
  <c r="G1781" i="1"/>
  <c r="F1781" i="1"/>
  <c r="Q1780" i="1"/>
  <c r="P1780" i="1"/>
  <c r="O1780" i="1"/>
  <c r="N1780" i="1"/>
  <c r="M1780" i="1"/>
  <c r="L1780" i="1"/>
  <c r="K1780" i="1"/>
  <c r="J1780" i="1"/>
  <c r="I1780" i="1"/>
  <c r="H1780" i="1"/>
  <c r="G1780" i="1"/>
  <c r="F1780" i="1"/>
  <c r="Q1779" i="1"/>
  <c r="P1779" i="1"/>
  <c r="O1779" i="1"/>
  <c r="N1779" i="1"/>
  <c r="M1779" i="1"/>
  <c r="L1779" i="1"/>
  <c r="K1779" i="1"/>
  <c r="J1779" i="1"/>
  <c r="I1779" i="1"/>
  <c r="H1779" i="1"/>
  <c r="G1779" i="1"/>
  <c r="F1779" i="1"/>
  <c r="Q1778" i="1"/>
  <c r="P1778" i="1"/>
  <c r="O1778" i="1"/>
  <c r="N1778" i="1"/>
  <c r="M1778" i="1"/>
  <c r="L1778" i="1"/>
  <c r="K1778" i="1"/>
  <c r="J1778" i="1"/>
  <c r="I1778" i="1"/>
  <c r="H1778" i="1"/>
  <c r="G1778" i="1"/>
  <c r="F1778" i="1"/>
  <c r="Q1777" i="1"/>
  <c r="P1777" i="1"/>
  <c r="O1777" i="1"/>
  <c r="N1777" i="1"/>
  <c r="M1777" i="1"/>
  <c r="L1777" i="1"/>
  <c r="K1777" i="1"/>
  <c r="J1777" i="1"/>
  <c r="I1777" i="1"/>
  <c r="H1777" i="1"/>
  <c r="G1777" i="1"/>
  <c r="F1777" i="1"/>
  <c r="Q1776" i="1"/>
  <c r="P1776" i="1"/>
  <c r="O1776" i="1"/>
  <c r="N1776" i="1"/>
  <c r="M1776" i="1"/>
  <c r="L1776" i="1"/>
  <c r="K1776" i="1"/>
  <c r="J1776" i="1"/>
  <c r="I1776" i="1"/>
  <c r="H1776" i="1"/>
  <c r="G1776" i="1"/>
  <c r="F1776" i="1"/>
  <c r="Q1775" i="1"/>
  <c r="P1775" i="1"/>
  <c r="O1775" i="1"/>
  <c r="N1775" i="1"/>
  <c r="M1775" i="1"/>
  <c r="L1775" i="1"/>
  <c r="K1775" i="1"/>
  <c r="J1775" i="1"/>
  <c r="I1775" i="1"/>
  <c r="H1775" i="1"/>
  <c r="G1775" i="1"/>
  <c r="F1775" i="1"/>
  <c r="Q1774" i="1"/>
  <c r="P1774" i="1"/>
  <c r="O1774" i="1"/>
  <c r="N1774" i="1"/>
  <c r="M1774" i="1"/>
  <c r="L1774" i="1"/>
  <c r="K1774" i="1"/>
  <c r="J1774" i="1"/>
  <c r="I1774" i="1"/>
  <c r="H1774" i="1"/>
  <c r="G1774" i="1"/>
  <c r="F1774" i="1"/>
  <c r="Q1773" i="1"/>
  <c r="P1773" i="1"/>
  <c r="O1773" i="1"/>
  <c r="N1773" i="1"/>
  <c r="M1773" i="1"/>
  <c r="L1773" i="1"/>
  <c r="K1773" i="1"/>
  <c r="J1773" i="1"/>
  <c r="I1773" i="1"/>
  <c r="H1773" i="1"/>
  <c r="G1773" i="1"/>
  <c r="F1773" i="1"/>
  <c r="Q1772" i="1"/>
  <c r="P1772" i="1"/>
  <c r="O1772" i="1"/>
  <c r="N1772" i="1"/>
  <c r="M1772" i="1"/>
  <c r="L1772" i="1"/>
  <c r="K1772" i="1"/>
  <c r="J1772" i="1"/>
  <c r="I1772" i="1"/>
  <c r="H1772" i="1"/>
  <c r="G1772" i="1"/>
  <c r="F1772" i="1"/>
  <c r="Q1771" i="1"/>
  <c r="P1771" i="1"/>
  <c r="O1771" i="1"/>
  <c r="N1771" i="1"/>
  <c r="M1771" i="1"/>
  <c r="L1771" i="1"/>
  <c r="K1771" i="1"/>
  <c r="J1771" i="1"/>
  <c r="I1771" i="1"/>
  <c r="H1771" i="1"/>
  <c r="G1771" i="1"/>
  <c r="F1771" i="1"/>
  <c r="Q1769" i="1"/>
  <c r="P1769" i="1"/>
  <c r="O1769" i="1"/>
  <c r="N1769" i="1"/>
  <c r="M1769" i="1"/>
  <c r="L1769" i="1"/>
  <c r="K1769" i="1"/>
  <c r="J1769" i="1"/>
  <c r="I1769" i="1"/>
  <c r="H1769" i="1"/>
  <c r="G1769" i="1"/>
  <c r="F1769" i="1"/>
  <c r="Q1768" i="1"/>
  <c r="P1768" i="1"/>
  <c r="O1768" i="1"/>
  <c r="N1768" i="1"/>
  <c r="M1768" i="1"/>
  <c r="L1768" i="1"/>
  <c r="K1768" i="1"/>
  <c r="J1768" i="1"/>
  <c r="I1768" i="1"/>
  <c r="H1768" i="1"/>
  <c r="G1768" i="1"/>
  <c r="F1768" i="1"/>
  <c r="Q1767" i="1"/>
  <c r="P1767" i="1"/>
  <c r="O1767" i="1"/>
  <c r="N1767" i="1"/>
  <c r="M1767" i="1"/>
  <c r="L1767" i="1"/>
  <c r="K1767" i="1"/>
  <c r="J1767" i="1"/>
  <c r="I1767" i="1"/>
  <c r="H1767" i="1"/>
  <c r="G1767" i="1"/>
  <c r="F1767" i="1"/>
  <c r="Q1765" i="1"/>
  <c r="P1765" i="1"/>
  <c r="O1765" i="1"/>
  <c r="N1765" i="1"/>
  <c r="M1765" i="1"/>
  <c r="L1765" i="1"/>
  <c r="K1765" i="1"/>
  <c r="J1765" i="1"/>
  <c r="I1765" i="1"/>
  <c r="H1765" i="1"/>
  <c r="G1765" i="1"/>
  <c r="F1765" i="1"/>
  <c r="Q1764" i="1"/>
  <c r="P1764" i="1"/>
  <c r="O1764" i="1"/>
  <c r="N1764" i="1"/>
  <c r="M1764" i="1"/>
  <c r="L1764" i="1"/>
  <c r="K1764" i="1"/>
  <c r="J1764" i="1"/>
  <c r="I1764" i="1"/>
  <c r="H1764" i="1"/>
  <c r="G1764" i="1"/>
  <c r="F1764" i="1"/>
  <c r="Q1763" i="1"/>
  <c r="P1763" i="1"/>
  <c r="O1763" i="1"/>
  <c r="N1763" i="1"/>
  <c r="M1763" i="1"/>
  <c r="L1763" i="1"/>
  <c r="K1763" i="1"/>
  <c r="J1763" i="1"/>
  <c r="I1763" i="1"/>
  <c r="H1763" i="1"/>
  <c r="G1763" i="1"/>
  <c r="F1763" i="1"/>
  <c r="Q1761" i="1"/>
  <c r="P1761" i="1"/>
  <c r="O1761" i="1"/>
  <c r="N1761" i="1"/>
  <c r="M1761" i="1"/>
  <c r="L1761" i="1"/>
  <c r="K1761" i="1"/>
  <c r="J1761" i="1"/>
  <c r="I1761" i="1"/>
  <c r="H1761" i="1"/>
  <c r="G1761" i="1"/>
  <c r="F1761" i="1"/>
  <c r="I1693" i="1" a="1"/>
  <c r="I1693" i="1" s="1"/>
  <c r="H1693" i="1" a="1"/>
  <c r="H1693" i="1"/>
  <c r="G1693" i="1" a="1"/>
  <c r="G1693" i="1" s="1"/>
  <c r="F1693" i="1" a="1"/>
  <c r="F1693" i="1" s="1"/>
  <c r="M1693" i="1" a="1"/>
  <c r="M1693" i="1" s="1"/>
  <c r="N1693" i="1" a="1"/>
  <c r="N1693" i="1" s="1"/>
  <c r="Q1693" i="1" a="1"/>
  <c r="Q1693" i="1" s="1"/>
  <c r="O1693" i="1" a="1"/>
  <c r="O1693" i="1" s="1"/>
  <c r="P1693" i="1" a="1"/>
  <c r="P1693" i="1" s="1"/>
  <c r="L1693" i="1" a="1"/>
  <c r="L1693" i="1" s="1"/>
  <c r="J1693" i="1" a="1"/>
  <c r="J1693" i="1" s="1"/>
  <c r="K1693" i="1" a="1"/>
  <c r="K1693" i="1" s="1"/>
  <c r="Q1705" i="1"/>
  <c r="P1705" i="1"/>
  <c r="O1705" i="1"/>
  <c r="N1705" i="1"/>
  <c r="M1705" i="1"/>
  <c r="L1705" i="1"/>
  <c r="K1705" i="1"/>
  <c r="J1705" i="1"/>
  <c r="Q1704" i="1"/>
  <c r="P1704" i="1"/>
  <c r="O1704" i="1"/>
  <c r="N1704" i="1"/>
  <c r="M1704" i="1"/>
  <c r="L1704" i="1"/>
  <c r="K1704" i="1"/>
  <c r="J1704" i="1"/>
  <c r="Q1703" i="1"/>
  <c r="P1703" i="1"/>
  <c r="O1703" i="1"/>
  <c r="N1703" i="1"/>
  <c r="M1703" i="1"/>
  <c r="L1703" i="1"/>
  <c r="K1703" i="1"/>
  <c r="J1703" i="1"/>
  <c r="Q1701" i="1"/>
  <c r="P1701" i="1"/>
  <c r="O1701" i="1"/>
  <c r="N1701" i="1"/>
  <c r="M1701" i="1"/>
  <c r="L1701" i="1"/>
  <c r="K1701" i="1"/>
  <c r="J1701" i="1"/>
  <c r="I1701" i="1"/>
  <c r="H1701" i="1"/>
  <c r="G1701" i="1"/>
  <c r="F1701" i="1"/>
  <c r="Q1700" i="1"/>
  <c r="P1700" i="1"/>
  <c r="O1700" i="1"/>
  <c r="N1700" i="1"/>
  <c r="M1700" i="1"/>
  <c r="L1700" i="1"/>
  <c r="K1700" i="1"/>
  <c r="J1700" i="1"/>
  <c r="I1700" i="1"/>
  <c r="H1700" i="1"/>
  <c r="G1700" i="1"/>
  <c r="F1700" i="1"/>
  <c r="Q1699" i="1"/>
  <c r="P1699" i="1"/>
  <c r="O1699" i="1"/>
  <c r="N1699" i="1"/>
  <c r="M1699" i="1"/>
  <c r="L1699" i="1"/>
  <c r="K1699" i="1"/>
  <c r="J1699" i="1"/>
  <c r="I1699" i="1"/>
  <c r="H1699" i="1"/>
  <c r="G1699" i="1"/>
  <c r="F1699" i="1"/>
  <c r="Q1698" i="1"/>
  <c r="P1698" i="1"/>
  <c r="O1698" i="1"/>
  <c r="N1698" i="1"/>
  <c r="M1698" i="1"/>
  <c r="L1698" i="1"/>
  <c r="K1698" i="1"/>
  <c r="J1698" i="1"/>
  <c r="I1698" i="1"/>
  <c r="H1698" i="1"/>
  <c r="G1698" i="1"/>
  <c r="F1698" i="1"/>
  <c r="Q1697" i="1"/>
  <c r="P1697" i="1"/>
  <c r="O1697" i="1"/>
  <c r="N1697" i="1"/>
  <c r="M1697" i="1"/>
  <c r="L1697" i="1"/>
  <c r="K1697" i="1"/>
  <c r="J1697" i="1"/>
  <c r="I1697" i="1"/>
  <c r="H1697" i="1"/>
  <c r="G1697" i="1"/>
  <c r="F1697" i="1"/>
  <c r="Q1696" i="1"/>
  <c r="P1696" i="1"/>
  <c r="O1696" i="1"/>
  <c r="N1696" i="1"/>
  <c r="M1696" i="1"/>
  <c r="L1696" i="1"/>
  <c r="K1696" i="1"/>
  <c r="J1696" i="1"/>
  <c r="I1696" i="1"/>
  <c r="H1696" i="1"/>
  <c r="G1696" i="1"/>
  <c r="F1696" i="1"/>
  <c r="Q1695" i="1"/>
  <c r="P1695" i="1"/>
  <c r="O1695" i="1"/>
  <c r="N1695" i="1"/>
  <c r="M1695" i="1"/>
  <c r="L1695" i="1"/>
  <c r="K1695" i="1"/>
  <c r="J1695" i="1"/>
  <c r="I1695" i="1"/>
  <c r="H1695" i="1"/>
  <c r="G1695" i="1"/>
  <c r="F1695" i="1"/>
  <c r="Q1694" i="1"/>
  <c r="P1694" i="1"/>
  <c r="O1694" i="1"/>
  <c r="N1694" i="1"/>
  <c r="M1694" i="1"/>
  <c r="L1694" i="1"/>
  <c r="K1694" i="1"/>
  <c r="J1694" i="1"/>
  <c r="I1694" i="1"/>
  <c r="H1694" i="1"/>
  <c r="G1694" i="1"/>
  <c r="F1694" i="1"/>
  <c r="Q1691" i="1"/>
  <c r="P1691" i="1"/>
  <c r="O1691" i="1"/>
  <c r="N1691" i="1"/>
  <c r="M1691" i="1"/>
  <c r="L1691" i="1"/>
  <c r="K1691" i="1"/>
  <c r="J1691" i="1"/>
  <c r="I1691" i="1"/>
  <c r="H1691" i="1"/>
  <c r="G1691" i="1"/>
  <c r="F1691" i="1"/>
  <c r="Q1690" i="1"/>
  <c r="P1690" i="1"/>
  <c r="O1690" i="1"/>
  <c r="N1690" i="1"/>
  <c r="M1690" i="1"/>
  <c r="L1690" i="1"/>
  <c r="K1690" i="1"/>
  <c r="J1690" i="1"/>
  <c r="I1690" i="1"/>
  <c r="H1690" i="1"/>
  <c r="G1690" i="1"/>
  <c r="F1690" i="1"/>
  <c r="Q1689" i="1"/>
  <c r="P1689" i="1"/>
  <c r="O1689" i="1"/>
  <c r="N1689" i="1"/>
  <c r="M1689" i="1"/>
  <c r="L1689" i="1"/>
  <c r="K1689" i="1"/>
  <c r="J1689" i="1"/>
  <c r="I1689" i="1"/>
  <c r="H1689" i="1"/>
  <c r="G1689" i="1"/>
  <c r="F1689" i="1"/>
  <c r="Q1655" i="1"/>
  <c r="P1655" i="1"/>
  <c r="O1655" i="1"/>
  <c r="N1655" i="1"/>
  <c r="M1655" i="1"/>
  <c r="L1655" i="1"/>
  <c r="K1655" i="1"/>
  <c r="J1655" i="1"/>
  <c r="I1655" i="1"/>
  <c r="H1655" i="1"/>
  <c r="G1655" i="1"/>
  <c r="F1655" i="1"/>
  <c r="Q2001" i="1" a="1"/>
  <c r="Q2001" i="1" s="1"/>
  <c r="M2003" i="1" a="1"/>
  <c r="M2003" i="1"/>
  <c r="M2004" i="1" s="1" a="1"/>
  <c r="M2004" i="1" s="1"/>
  <c r="I2001" i="1" a="1"/>
  <c r="I2001" i="1" s="1"/>
  <c r="H2001" i="1" a="1"/>
  <c r="H2001" i="1" s="1"/>
  <c r="K2004" i="1" a="1"/>
  <c r="K2004" i="1" s="1"/>
  <c r="P2003" i="1" a="1"/>
  <c r="P2003" i="1" s="1"/>
  <c r="P2004" i="1" s="1" a="1"/>
  <c r="P2004" i="1" s="1"/>
  <c r="K2003" i="1" a="1"/>
  <c r="K2003" i="1" s="1"/>
  <c r="K2001" i="1" a="1"/>
  <c r="K2001" i="1" s="1"/>
  <c r="Q2000" i="1" a="1"/>
  <c r="Q2000" i="1" s="1"/>
  <c r="I2003" i="1" a="1"/>
  <c r="I2003" i="1" s="1"/>
  <c r="I2004" i="1" s="1" a="1"/>
  <c r="I2004" i="1" s="1"/>
  <c r="G2003" i="1" a="1"/>
  <c r="G2003" i="1" s="1"/>
  <c r="G2004" i="1" s="1" a="1"/>
  <c r="G2004" i="1" s="1"/>
  <c r="G2001" i="1" a="1"/>
  <c r="G2001" i="1" s="1"/>
  <c r="M2001" i="1" a="1"/>
  <c r="M2001" i="1" s="1"/>
  <c r="P2001" i="1" a="1"/>
  <c r="P2001" i="1" s="1"/>
  <c r="J2005" i="1" a="1"/>
  <c r="J2005" i="1"/>
  <c r="L2003" i="1" a="1"/>
  <c r="L2003" i="1" s="1"/>
  <c r="L2004" i="1" s="1" a="1"/>
  <c r="L2004" i="1" s="1"/>
  <c r="M2005" i="1" a="1"/>
  <c r="M2005" i="1" s="1"/>
  <c r="G2005" i="1" a="1"/>
  <c r="G2005" i="1" s="1"/>
  <c r="P2000" i="1" a="1"/>
  <c r="P2000" i="1" s="1"/>
  <c r="J2003" i="1" a="1"/>
  <c r="J2003" i="1" s="1"/>
  <c r="J2004" i="1" s="1" a="1"/>
  <c r="J2004" i="1" s="1"/>
  <c r="N2005" i="1" a="1"/>
  <c r="N2005" i="1" s="1"/>
  <c r="K2005" i="1" a="1"/>
  <c r="K2005" i="1" s="1"/>
  <c r="O2001" i="1" a="1"/>
  <c r="O2001" i="1" s="1"/>
  <c r="N2003" i="1" a="1"/>
  <c r="N2003" i="1"/>
  <c r="N2004" i="1" s="1" a="1"/>
  <c r="N2004" i="1" s="1"/>
  <c r="Q2003" i="1" a="1"/>
  <c r="Q2003" i="1" s="1"/>
  <c r="Q2004" i="1" s="1" a="1"/>
  <c r="Q2004" i="1" s="1"/>
  <c r="F2001" i="1" a="1"/>
  <c r="F2001" i="1" s="1"/>
  <c r="I2006" i="1" a="1"/>
  <c r="I2006" i="1" s="1"/>
  <c r="H2006" i="1" a="1"/>
  <c r="H2006" i="1" s="1"/>
  <c r="G2006" i="1" a="1"/>
  <c r="G2006" i="1" s="1"/>
  <c r="F2006" i="1" a="1"/>
  <c r="F2006" i="1" s="1"/>
  <c r="O2003" i="1" a="1"/>
  <c r="O2003" i="1" s="1"/>
  <c r="O2004" i="1" s="1" a="1"/>
  <c r="O2004" i="1" s="1"/>
  <c r="J2001" i="1" a="1"/>
  <c r="J2001" i="1" s="1"/>
  <c r="L2001" i="1" a="1"/>
  <c r="L2001" i="1" s="1"/>
  <c r="Q2005" i="1" a="1"/>
  <c r="Q2005" i="1" s="1"/>
  <c r="P2005" i="1" a="1"/>
  <c r="P2005" i="1" s="1"/>
  <c r="H2003" i="1" a="1"/>
  <c r="H2003" i="1" s="1"/>
  <c r="H2004" i="1" s="1" a="1"/>
  <c r="H2004" i="1" s="1"/>
  <c r="N2001" i="1" a="1"/>
  <c r="N2001" i="1" s="1"/>
  <c r="I2005" i="1" a="1"/>
  <c r="I2005" i="1" s="1"/>
  <c r="O2005" i="1" a="1"/>
  <c r="O2005" i="1" s="1"/>
  <c r="F2003" i="1" a="1"/>
  <c r="F2003" i="1" s="1"/>
  <c r="F2004" i="1" s="1" a="1"/>
  <c r="F2004" i="1" s="1"/>
  <c r="L2005" i="1" a="1"/>
  <c r="L2005" i="1" s="1"/>
  <c r="H2005" i="1" a="1"/>
  <c r="H2005" i="1" s="1"/>
  <c r="F2005" i="1" a="1"/>
  <c r="F2005" i="1" s="1"/>
  <c r="Q1999" i="1" a="1"/>
  <c r="Q1999" i="1" s="1"/>
  <c r="I1996" i="1" a="1"/>
  <c r="I1996" i="1" s="1"/>
  <c r="L1999" i="1" a="1"/>
  <c r="L1999" i="1"/>
  <c r="G1996" i="1" a="1"/>
  <c r="G1996" i="1" s="1"/>
  <c r="K1999" i="1" a="1"/>
  <c r="K1999" i="1" s="1"/>
  <c r="F1996" i="1" a="1"/>
  <c r="F1996" i="1" s="1"/>
  <c r="L1997" i="1" a="1"/>
  <c r="L1997" i="1" s="1"/>
  <c r="F1997" i="1" a="1"/>
  <c r="F1997" i="1" s="1"/>
  <c r="N1996" i="1" a="1"/>
  <c r="N1996" i="1" s="1"/>
  <c r="M2000" i="1" a="1"/>
  <c r="M2000" i="1"/>
  <c r="O1998" i="1" a="1"/>
  <c r="O1998" i="1" s="1"/>
  <c r="G1999" i="1" a="1"/>
  <c r="G1999" i="1" s="1"/>
  <c r="F2000" i="1" a="1"/>
  <c r="F2000" i="1" s="1"/>
  <c r="I1998" i="1" a="1"/>
  <c r="I1998" i="1" s="1"/>
  <c r="K1997" i="1" a="1"/>
  <c r="K1997" i="1" s="1"/>
  <c r="M1995" i="1" a="1"/>
  <c r="M1995" i="1" s="1"/>
  <c r="P1997" i="1" a="1"/>
  <c r="P1997" i="1"/>
  <c r="L1995" i="1" a="1"/>
  <c r="L1995" i="1"/>
  <c r="O2000" i="1" a="1"/>
  <c r="O2000" i="1" s="1"/>
  <c r="I1999" i="1" a="1"/>
  <c r="I1999" i="1" s="1"/>
  <c r="K1998" i="1" a="1"/>
  <c r="K1998" i="1" s="1"/>
  <c r="N2000" i="1" a="1"/>
  <c r="N2000" i="1"/>
  <c r="G2000" i="1" a="1"/>
  <c r="G2000" i="1" s="1"/>
  <c r="O1996" i="1" a="1"/>
  <c r="O1996" i="1" s="1"/>
  <c r="M1996" i="1" a="1"/>
  <c r="M1996" i="1" s="1"/>
  <c r="L1996" i="1" a="1"/>
  <c r="L1996" i="1" s="1"/>
  <c r="P1999" i="1" a="1"/>
  <c r="P1999" i="1" s="1"/>
  <c r="H1999" i="1" a="1"/>
  <c r="H1999" i="1" s="1"/>
  <c r="M1998" i="1" a="1"/>
  <c r="M1998" i="1" s="1"/>
  <c r="F1999" i="1" a="1"/>
  <c r="F1999" i="1"/>
  <c r="Q1998" i="1" a="1"/>
  <c r="Q1998" i="1"/>
  <c r="J1998" i="1" a="1"/>
  <c r="J1998" i="1"/>
  <c r="N1997" i="1" a="1"/>
  <c r="N1997" i="1" s="1"/>
  <c r="N1999" i="1" a="1"/>
  <c r="N1999" i="1"/>
  <c r="J1999" i="1" a="1"/>
  <c r="J1999" i="1" s="1"/>
  <c r="F1998" i="1" a="1"/>
  <c r="F1998" i="1"/>
  <c r="P1996" i="1" a="1"/>
  <c r="P1996" i="1" s="1"/>
  <c r="Q1995" i="1" a="1"/>
  <c r="Q1995" i="1" s="1"/>
  <c r="N1995" i="1" a="1"/>
  <c r="N1995" i="1" s="1"/>
  <c r="P1998" i="1" a="1"/>
  <c r="P1998" i="1" s="1"/>
  <c r="Q1996" i="1" a="1"/>
  <c r="Q1996" i="1" s="1"/>
  <c r="N1998" i="1" a="1"/>
  <c r="N1998" i="1" s="1"/>
  <c r="Q1997" i="1" a="1"/>
  <c r="Q1997" i="1" s="1"/>
  <c r="I1997" i="1" a="1"/>
  <c r="I1997" i="1" s="1"/>
  <c r="M1997" i="1" a="1"/>
  <c r="M1997" i="1" s="1"/>
  <c r="G1998" i="1" a="1"/>
  <c r="G1998" i="1" s="1"/>
  <c r="J1997" i="1" a="1"/>
  <c r="J1997" i="1" s="1"/>
  <c r="J1996" i="1" a="1"/>
  <c r="J1996" i="1" s="1"/>
  <c r="O1995" i="1" a="1"/>
  <c r="O1995" i="1" s="1"/>
  <c r="H1996" i="1" a="1"/>
  <c r="H1996" i="1"/>
  <c r="L2000" i="1" a="1"/>
  <c r="L2000" i="1"/>
  <c r="H1998" i="1" a="1"/>
  <c r="H1998" i="1" s="1"/>
  <c r="K1996" i="1" a="1"/>
  <c r="K1996" i="1" s="1"/>
  <c r="P1995" i="1" a="1"/>
  <c r="P1995" i="1" s="1"/>
  <c r="O1999" i="1" a="1"/>
  <c r="O1999" i="1" s="1"/>
  <c r="K2000" i="1" a="1"/>
  <c r="K2000" i="1" s="1"/>
  <c r="H2000" i="1" a="1"/>
  <c r="H2000" i="1" s="1"/>
  <c r="M1999" i="1" a="1"/>
  <c r="M1999" i="1" s="1"/>
  <c r="L1998" i="1" a="1"/>
  <c r="L1998" i="1" s="1"/>
  <c r="H1997" i="1" a="1"/>
  <c r="H1997" i="1"/>
  <c r="J2000" i="1" a="1"/>
  <c r="J2000" i="1" s="1"/>
  <c r="I2000" i="1" a="1"/>
  <c r="I2000" i="1"/>
  <c r="O1997" i="1" a="1"/>
  <c r="O1997" i="1"/>
  <c r="G1997" i="1" a="1"/>
  <c r="G1997" i="1"/>
  <c r="Q1990" i="1" a="1"/>
  <c r="Q1990" i="1"/>
  <c r="H1990" i="1" a="1"/>
  <c r="H1990" i="1" s="1"/>
  <c r="H1992" i="1" a="1"/>
  <c r="H1992" i="1" s="1"/>
  <c r="L1990" i="1" a="1"/>
  <c r="L1990" i="1" s="1"/>
  <c r="P1993" i="1" a="1"/>
  <c r="P1993" i="1" s="1"/>
  <c r="P1992" i="1" a="1"/>
  <c r="P1992" i="1" s="1"/>
  <c r="H1991" i="1" a="1"/>
  <c r="H1991" i="1" s="1"/>
  <c r="F1991" i="1" a="1"/>
  <c r="F1991" i="1" s="1"/>
  <c r="P1990" i="1" a="1"/>
  <c r="P1990" i="1"/>
  <c r="O1992" i="1" a="1"/>
  <c r="O1992" i="1"/>
  <c r="I1992" i="1" a="1"/>
  <c r="I1992" i="1" s="1"/>
  <c r="L1992" i="1" a="1"/>
  <c r="L1992" i="1" s="1"/>
  <c r="Q1992" i="1" a="1"/>
  <c r="Q1992" i="1" s="1"/>
  <c r="Q1993" i="1" a="1"/>
  <c r="Q1993" i="1" s="1"/>
  <c r="F1995" i="1" a="1"/>
  <c r="F1995" i="1" s="1"/>
  <c r="J1995" i="1" a="1"/>
  <c r="J1995" i="1" s="1"/>
  <c r="M1991" i="1" a="1"/>
  <c r="M1991" i="1" s="1"/>
  <c r="N1992" i="1" a="1"/>
  <c r="N1992" i="1" s="1"/>
  <c r="L1991" i="1" a="1"/>
  <c r="L1991" i="1" s="1"/>
  <c r="O1994" i="1" a="1"/>
  <c r="O1994" i="1" s="1"/>
  <c r="O1990" i="1" a="1"/>
  <c r="O1990" i="1" s="1"/>
  <c r="O1993" i="1" a="1"/>
  <c r="O1993" i="1"/>
  <c r="K1995" i="1" a="1"/>
  <c r="K1995" i="1" s="1"/>
  <c r="P1994" i="1" a="1"/>
  <c r="P1994" i="1"/>
  <c r="J1993" i="1" a="1"/>
  <c r="J1993" i="1" s="1"/>
  <c r="F1993" i="1" a="1"/>
  <c r="F1993" i="1" s="1"/>
  <c r="L1993" i="1" a="1"/>
  <c r="L1993" i="1" s="1"/>
  <c r="I1995" i="1" a="1"/>
  <c r="I1995" i="1" s="1"/>
  <c r="H1995" i="1" a="1"/>
  <c r="H1995" i="1"/>
  <c r="G1995" i="1" a="1"/>
  <c r="G1995" i="1"/>
  <c r="Q1994" i="1" a="1"/>
  <c r="Q1994" i="1" s="1"/>
  <c r="L1994" i="1" a="1"/>
  <c r="L1994" i="1" s="1"/>
  <c r="N1993" i="1" a="1"/>
  <c r="N1993" i="1" s="1"/>
  <c r="I1991" i="1" a="1"/>
  <c r="I1991" i="1" s="1"/>
  <c r="N1994" i="1" a="1"/>
  <c r="N1994" i="1" s="1"/>
  <c r="M1994" i="1" a="1"/>
  <c r="M1994" i="1" s="1"/>
  <c r="K1994" i="1" a="1"/>
  <c r="K1994" i="1" s="1"/>
  <c r="J1994" i="1" a="1"/>
  <c r="J1994" i="1"/>
  <c r="N1991" i="1" a="1"/>
  <c r="N1991" i="1"/>
  <c r="J1990" i="1" a="1"/>
  <c r="J1990" i="1"/>
  <c r="I1994" i="1" a="1"/>
  <c r="I1994" i="1" s="1"/>
  <c r="K1990" i="1" a="1"/>
  <c r="K1990" i="1" s="1"/>
  <c r="I1990" i="1" a="1"/>
  <c r="I1990" i="1"/>
  <c r="H1994" i="1" a="1"/>
  <c r="H1994" i="1" s="1"/>
  <c r="G1992" i="1" a="1"/>
  <c r="G1992" i="1" s="1"/>
  <c r="G1994" i="1" a="1"/>
  <c r="G1994" i="1" s="1"/>
  <c r="G1991" i="1" a="1"/>
  <c r="G1991" i="1" s="1"/>
  <c r="F1994" i="1" a="1"/>
  <c r="F1994" i="1" s="1"/>
  <c r="K1992" i="1" a="1"/>
  <c r="K1992" i="1" s="1"/>
  <c r="M1993" i="1" a="1"/>
  <c r="M1993" i="1" s="1"/>
  <c r="K1993" i="1" a="1"/>
  <c r="K1993" i="1"/>
  <c r="I1993" i="1" a="1"/>
  <c r="I1993" i="1"/>
  <c r="G1993" i="1" a="1"/>
  <c r="G1993" i="1"/>
  <c r="H1993" i="1" a="1"/>
  <c r="H1993" i="1" s="1"/>
  <c r="N1990" i="1" a="1"/>
  <c r="N1990" i="1"/>
  <c r="M1992" i="1" a="1"/>
  <c r="M1992" i="1" s="1"/>
  <c r="K1991" i="1" a="1"/>
  <c r="K1991" i="1" s="1"/>
  <c r="J1991" i="1" a="1"/>
  <c r="J1991" i="1"/>
  <c r="J1992" i="1" a="1"/>
  <c r="J1992" i="1" s="1"/>
  <c r="F1992" i="1" a="1"/>
  <c r="F1992" i="1" s="1"/>
  <c r="P1991" i="1" a="1"/>
  <c r="P1991" i="1" s="1"/>
  <c r="O1991" i="1" a="1"/>
  <c r="O1991" i="1" s="1"/>
  <c r="M1990" i="1" a="1"/>
  <c r="M1990" i="1" s="1"/>
  <c r="Q1991" i="1" a="1"/>
  <c r="Q1991" i="1"/>
  <c r="Q1987" i="1" a="1"/>
  <c r="Q1987" i="1" s="1"/>
  <c r="N1985" i="1" a="1"/>
  <c r="N1985" i="1"/>
  <c r="H1989" i="1" a="1"/>
  <c r="H1989" i="1" s="1"/>
  <c r="K1985" i="1" a="1"/>
  <c r="K1985" i="1" s="1"/>
  <c r="Q1989" i="1" a="1"/>
  <c r="Q1989" i="1" s="1"/>
  <c r="O1989" i="1" a="1"/>
  <c r="O1989" i="1" s="1"/>
  <c r="K1988" i="1" a="1"/>
  <c r="K1988" i="1"/>
  <c r="N1989" i="1" a="1"/>
  <c r="N1989" i="1"/>
  <c r="K1989" i="1" a="1"/>
  <c r="K1989" i="1" s="1"/>
  <c r="G1987" i="1" a="1"/>
  <c r="G1987" i="1" s="1"/>
  <c r="N1987" i="1" a="1"/>
  <c r="N1987" i="1" s="1"/>
  <c r="M1989" i="1" a="1"/>
  <c r="M1989" i="1" s="1"/>
  <c r="Q1988" i="1" a="1"/>
  <c r="Q1988" i="1" s="1"/>
  <c r="K1987" i="1" a="1"/>
  <c r="K1987" i="1" s="1"/>
  <c r="J1988" i="1" a="1"/>
  <c r="J1988" i="1" s="1"/>
  <c r="I1988" i="1" a="1"/>
  <c r="I1988" i="1"/>
  <c r="J1986" i="1" a="1"/>
  <c r="J1986" i="1"/>
  <c r="L1989" i="1" a="1"/>
  <c r="L1989" i="1"/>
  <c r="J1989" i="1" a="1"/>
  <c r="J1989" i="1" s="1"/>
  <c r="G1988" i="1" a="1"/>
  <c r="G1988" i="1"/>
  <c r="K1986" i="1" a="1"/>
  <c r="K1986" i="1"/>
  <c r="F1987" i="1" a="1"/>
  <c r="F1987" i="1"/>
  <c r="F1989" i="1" a="1"/>
  <c r="F1989" i="1" s="1"/>
  <c r="G1986" i="1" a="1"/>
  <c r="G1986" i="1" s="1"/>
  <c r="L1986" i="1" a="1"/>
  <c r="L1986" i="1" s="1"/>
  <c r="J1985" i="1" a="1"/>
  <c r="J1985" i="1" s="1"/>
  <c r="Q1986" i="1" a="1"/>
  <c r="Q1986" i="1" s="1"/>
  <c r="I1985" i="1" a="1"/>
  <c r="I1985" i="1"/>
  <c r="L1987" i="1" a="1"/>
  <c r="L1987" i="1" s="1"/>
  <c r="J1987" i="1" a="1"/>
  <c r="J1987" i="1"/>
  <c r="H1986" i="1" a="1"/>
  <c r="H1986" i="1"/>
  <c r="G1985" i="1" a="1"/>
  <c r="G1985" i="1" s="1"/>
  <c r="Q1985" i="1" a="1"/>
  <c r="Q1985" i="1"/>
  <c r="I1989" i="1" a="1"/>
  <c r="I1989" i="1" s="1"/>
  <c r="I1987" i="1" a="1"/>
  <c r="I1987" i="1"/>
  <c r="M1988" i="1" a="1"/>
  <c r="M1988" i="1" s="1"/>
  <c r="G1989" i="1" a="1"/>
  <c r="G1989" i="1" s="1"/>
  <c r="H1985" i="1" a="1"/>
  <c r="H1985" i="1" s="1"/>
  <c r="L1988" i="1" a="1"/>
  <c r="L1988" i="1" s="1"/>
  <c r="I1986" i="1" a="1"/>
  <c r="I1986" i="1" s="1"/>
  <c r="F1988" i="1" a="1"/>
  <c r="F1988" i="1" s="1"/>
  <c r="O1987" i="1" a="1"/>
  <c r="O1987" i="1" s="1"/>
  <c r="O1986" i="1" a="1"/>
  <c r="O1986" i="1"/>
  <c r="L1985" i="1" a="1"/>
  <c r="L1985" i="1" s="1"/>
  <c r="O1988" i="1" a="1"/>
  <c r="O1988" i="1"/>
  <c r="N1988" i="1" a="1"/>
  <c r="N1988" i="1"/>
  <c r="M1987" i="1" a="1"/>
  <c r="M1987" i="1" s="1"/>
  <c r="M1985" i="1" a="1"/>
  <c r="M1985" i="1" s="1"/>
  <c r="H1987" i="1" a="1"/>
  <c r="H1987" i="1"/>
  <c r="O1985" i="1" a="1"/>
  <c r="O1985" i="1"/>
  <c r="F1985" i="1" a="1"/>
  <c r="F1985" i="1" s="1"/>
  <c r="H1988" i="1" a="1"/>
  <c r="H1988" i="1" s="1"/>
  <c r="P1987" i="1" a="1"/>
  <c r="P1987" i="1" s="1"/>
  <c r="P1986" i="1" a="1"/>
  <c r="P1986" i="1" s="1"/>
  <c r="N1986" i="1" a="1"/>
  <c r="N1986" i="1" s="1"/>
  <c r="F1986" i="1" a="1"/>
  <c r="F1986" i="1" s="1"/>
  <c r="P1985" i="1" a="1"/>
  <c r="P1985" i="1" s="1"/>
  <c r="Q1984" i="1" a="1"/>
  <c r="Q1984" i="1" s="1"/>
  <c r="P1984" i="1" a="1"/>
  <c r="P1984" i="1"/>
  <c r="M1986" i="1" a="1"/>
  <c r="M1986" i="1"/>
  <c r="P1989" i="1" a="1"/>
  <c r="P1989" i="1"/>
  <c r="P1988" i="1" a="1"/>
  <c r="P1988" i="1" s="1"/>
  <c r="G1990" i="1" a="1"/>
  <c r="G1990" i="1"/>
  <c r="F1990" i="1" a="1"/>
  <c r="F1990" i="1" s="1"/>
  <c r="F1982" i="1" a="1"/>
  <c r="F1982" i="1" s="1"/>
  <c r="K1981" i="1" a="1"/>
  <c r="K1981" i="1" s="1"/>
  <c r="I1981" i="1" a="1"/>
  <c r="I1981" i="1" s="1"/>
  <c r="J1980" i="1" a="1"/>
  <c r="J1980" i="1" s="1"/>
  <c r="G1981" i="1" a="1"/>
  <c r="G1981" i="1" s="1"/>
  <c r="O1981" i="1" a="1"/>
  <c r="O1981" i="1"/>
  <c r="O1979" i="1" a="1"/>
  <c r="O1979" i="1" s="1"/>
  <c r="N1983" i="1" a="1"/>
  <c r="N1983" i="1"/>
  <c r="Q1982" i="1" a="1"/>
  <c r="Q1982" i="1"/>
  <c r="M1982" i="1" a="1"/>
  <c r="M1982" i="1"/>
  <c r="L1982" i="1" a="1"/>
  <c r="L1982" i="1" s="1"/>
  <c r="L1981" i="1" a="1"/>
  <c r="L1981" i="1"/>
  <c r="F1980" i="1" a="1"/>
  <c r="F1980" i="1" s="1"/>
  <c r="Q1979" i="1" a="1"/>
  <c r="Q1979" i="1"/>
  <c r="H1980" i="1" a="1"/>
  <c r="H1980" i="1" s="1"/>
  <c r="I1983" i="1" a="1"/>
  <c r="I1983" i="1" s="1"/>
  <c r="O1984" i="1" a="1"/>
  <c r="O1984" i="1" s="1"/>
  <c r="Q1983" i="1" a="1"/>
  <c r="Q1983" i="1" s="1"/>
  <c r="I1982" i="1" a="1"/>
  <c r="I1982" i="1" s="1"/>
  <c r="G1983" i="1" a="1"/>
  <c r="G1983" i="1" s="1"/>
  <c r="F1983" i="1" a="1"/>
  <c r="F1983" i="1"/>
  <c r="N1982" i="1" a="1"/>
  <c r="N1982" i="1" s="1"/>
  <c r="Q1981" i="1" a="1"/>
  <c r="Q1981" i="1" s="1"/>
  <c r="F1981" i="1" a="1"/>
  <c r="F1981" i="1" s="1"/>
  <c r="N1980" i="1" a="1"/>
  <c r="N1980" i="1" s="1"/>
  <c r="P1980" i="1" a="1"/>
  <c r="P1980" i="1" s="1"/>
  <c r="N1984" i="1" a="1"/>
  <c r="N1984" i="1" s="1"/>
  <c r="M1984" i="1" a="1"/>
  <c r="M1984" i="1"/>
  <c r="M1981" i="1" a="1"/>
  <c r="M1981" i="1" s="1"/>
  <c r="N1979" i="1" a="1"/>
  <c r="N1979" i="1" s="1"/>
  <c r="L1984" i="1" a="1"/>
  <c r="L1984" i="1" s="1"/>
  <c r="K1984" i="1" a="1"/>
  <c r="K1984" i="1" s="1"/>
  <c r="J1984" i="1" a="1"/>
  <c r="J1984" i="1" s="1"/>
  <c r="K1983" i="1" a="1"/>
  <c r="K1983" i="1" s="1"/>
  <c r="L1980" i="1" a="1"/>
  <c r="L1980" i="1" s="1"/>
  <c r="H1983" i="1" a="1"/>
  <c r="H1983" i="1" s="1"/>
  <c r="M1983" i="1" a="1"/>
  <c r="M1983" i="1"/>
  <c r="P1981" i="1" a="1"/>
  <c r="P1981" i="1"/>
  <c r="J1982" i="1" a="1"/>
  <c r="J1982" i="1"/>
  <c r="G1980" i="1" a="1"/>
  <c r="G1980" i="1" s="1"/>
  <c r="Q1980" i="1" a="1"/>
  <c r="Q1980" i="1"/>
  <c r="I1980" i="1" a="1"/>
  <c r="I1980" i="1"/>
  <c r="G1982" i="1" a="1"/>
  <c r="G1982" i="1" s="1"/>
  <c r="P1983" i="1" a="1"/>
  <c r="P1983" i="1" s="1"/>
  <c r="K1982" i="1" a="1"/>
  <c r="K1982" i="1" s="1"/>
  <c r="O1980" i="1" a="1"/>
  <c r="O1980" i="1" s="1"/>
  <c r="M1979" i="1" a="1"/>
  <c r="M1979" i="1" s="1"/>
  <c r="N1981" i="1" a="1"/>
  <c r="N1981" i="1" s="1"/>
  <c r="P1979" i="1" a="1"/>
  <c r="P1979" i="1" s="1"/>
  <c r="L1983" i="1" a="1"/>
  <c r="L1983" i="1" s="1"/>
  <c r="P1982" i="1" a="1"/>
  <c r="P1982" i="1" s="1"/>
  <c r="F1984" i="1" a="1"/>
  <c r="F1984" i="1" s="1"/>
  <c r="J1981" i="1" a="1"/>
  <c r="J1981" i="1" s="1"/>
  <c r="H1981" i="1" a="1"/>
  <c r="H1981" i="1"/>
  <c r="M1980" i="1" a="1"/>
  <c r="M1980" i="1" s="1"/>
  <c r="O1982" i="1" a="1"/>
  <c r="O1982" i="1" s="1"/>
  <c r="I1984" i="1" a="1"/>
  <c r="I1984" i="1" s="1"/>
  <c r="H1984" i="1" a="1"/>
  <c r="H1984" i="1" s="1"/>
  <c r="G1984" i="1" a="1"/>
  <c r="G1984" i="1" s="1"/>
  <c r="O1983" i="1" a="1"/>
  <c r="O1983" i="1" s="1"/>
  <c r="L1979" i="1" a="1"/>
  <c r="L1979" i="1" s="1"/>
  <c r="J1983" i="1" a="1"/>
  <c r="J1983" i="1"/>
  <c r="H1982" i="1" a="1"/>
  <c r="H1982" i="1" s="1"/>
  <c r="K1980" i="1" a="1"/>
  <c r="K1980" i="1" s="1"/>
  <c r="F1977" i="1" a="1"/>
  <c r="F1977" i="1" s="1"/>
  <c r="K1977" i="1" a="1"/>
  <c r="K1977" i="1" s="1"/>
  <c r="M1977" i="1" a="1"/>
  <c r="M1977" i="1"/>
  <c r="L1974" i="1" a="1"/>
  <c r="L1974" i="1" s="1"/>
  <c r="K1976" i="1" a="1"/>
  <c r="K1976" i="1" s="1"/>
  <c r="I1976" i="1" a="1"/>
  <c r="I1976" i="1" s="1"/>
  <c r="I1974" i="1" a="1"/>
  <c r="I1974" i="1" s="1"/>
  <c r="O1977" i="1" a="1"/>
  <c r="O1977" i="1" s="1"/>
  <c r="M1974" i="1" a="1"/>
  <c r="M1974" i="1" s="1"/>
  <c r="H1977" i="1" a="1"/>
  <c r="H1977" i="1" s="1"/>
  <c r="M1976" i="1" a="1"/>
  <c r="M1976" i="1" s="1"/>
  <c r="K1979" i="1" a="1"/>
  <c r="K1979" i="1" s="1"/>
  <c r="G1979" i="1" a="1"/>
  <c r="G1979" i="1" s="1"/>
  <c r="Q1974" i="1" a="1"/>
  <c r="Q1974" i="1" s="1"/>
  <c r="O1975" i="1" a="1"/>
  <c r="O1975" i="1" s="1"/>
  <c r="J1977" i="1" a="1"/>
  <c r="J1977" i="1"/>
  <c r="I1977" i="1" a="1"/>
  <c r="I1977" i="1"/>
  <c r="J1979" i="1" a="1"/>
  <c r="J1979" i="1" s="1"/>
  <c r="F1979" i="1" a="1"/>
  <c r="F1979" i="1" s="1"/>
  <c r="Q1977" i="1" a="1"/>
  <c r="Q1977" i="1" s="1"/>
  <c r="L1977" i="1" a="1"/>
  <c r="L1977" i="1" s="1"/>
  <c r="P1975" i="1" a="1"/>
  <c r="P1975" i="1" s="1"/>
  <c r="K1975" i="1" a="1"/>
  <c r="K1975" i="1" s="1"/>
  <c r="J1976" i="1" a="1"/>
  <c r="J1976" i="1" s="1"/>
  <c r="P1974" i="1" a="1"/>
  <c r="P1974" i="1" s="1"/>
  <c r="O1976" i="1" a="1"/>
  <c r="O1976" i="1"/>
  <c r="J1975" i="1" a="1"/>
  <c r="J1975" i="1"/>
  <c r="Q1976" i="1" a="1"/>
  <c r="Q1976" i="1" s="1"/>
  <c r="K1974" i="1" a="1"/>
  <c r="K1974" i="1"/>
  <c r="N1977" i="1" a="1"/>
  <c r="N1977" i="1"/>
  <c r="F1975" i="1" a="1"/>
  <c r="F1975" i="1"/>
  <c r="I1979" i="1" a="1"/>
  <c r="I1979" i="1" s="1"/>
  <c r="G1977" i="1" a="1"/>
  <c r="G1977" i="1" s="1"/>
  <c r="L1976" i="1" a="1"/>
  <c r="L1976" i="1"/>
  <c r="F1976" i="1" a="1"/>
  <c r="F1976" i="1" s="1"/>
  <c r="H1979" i="1" a="1"/>
  <c r="H1979" i="1" s="1"/>
  <c r="J1974" i="1" a="1"/>
  <c r="J1974" i="1" s="1"/>
  <c r="P1977" i="1" a="1"/>
  <c r="P1977" i="1" s="1"/>
  <c r="P1976" i="1" a="1"/>
  <c r="P1976" i="1" s="1"/>
  <c r="O1974" i="1" a="1"/>
  <c r="O1974" i="1" s="1"/>
  <c r="N1976" i="1" a="1"/>
  <c r="N1976" i="1" s="1"/>
  <c r="H1976" i="1" a="1"/>
  <c r="H1976" i="1" s="1"/>
  <c r="Q1975" i="1" a="1"/>
  <c r="Q1975" i="1" s="1"/>
  <c r="H1975" i="1" a="1"/>
  <c r="H1975" i="1"/>
  <c r="G1975" i="1" a="1"/>
  <c r="G1975" i="1" s="1"/>
  <c r="G1976" i="1" a="1"/>
  <c r="G1976" i="1" s="1"/>
  <c r="N1975" i="1" a="1"/>
  <c r="N1975" i="1" s="1"/>
  <c r="M1975" i="1" a="1"/>
  <c r="M1975" i="1" s="1"/>
  <c r="I1975" i="1" a="1"/>
  <c r="I1975" i="1" s="1"/>
  <c r="N1974" i="1" a="1"/>
  <c r="N1974" i="1" s="1"/>
  <c r="L1975" i="1" a="1"/>
  <c r="L1975" i="1" s="1"/>
  <c r="K1970" i="1" a="1"/>
  <c r="K1970" i="1" s="1"/>
  <c r="Q1969" i="1" a="1"/>
  <c r="Q1969" i="1" s="1"/>
  <c r="J1973" i="1" a="1"/>
  <c r="J1973" i="1"/>
  <c r="I1971" i="1" a="1"/>
  <c r="I1971" i="1" s="1"/>
  <c r="O1971" i="1" a="1"/>
  <c r="O1971" i="1" s="1"/>
  <c r="G1971" i="1" a="1"/>
  <c r="G1971" i="1" s="1"/>
  <c r="H1973" i="1" a="1"/>
  <c r="H1973" i="1"/>
  <c r="G1973" i="1" a="1"/>
  <c r="G1973" i="1"/>
  <c r="H1972" i="1" a="1"/>
  <c r="H1972" i="1"/>
  <c r="F1972" i="1" a="1"/>
  <c r="F1972" i="1" s="1"/>
  <c r="L1971" i="1" a="1"/>
  <c r="L1971" i="1"/>
  <c r="Q1971" i="1" a="1"/>
  <c r="Q1971" i="1" s="1"/>
  <c r="N1969" i="1" a="1"/>
  <c r="N1969" i="1" s="1"/>
  <c r="P1970" i="1" a="1"/>
  <c r="P1970" i="1" s="1"/>
  <c r="L1970" i="1" a="1"/>
  <c r="L1970" i="1" s="1"/>
  <c r="I1970" i="1" a="1"/>
  <c r="I1970" i="1" s="1"/>
  <c r="F1970" i="1" a="1"/>
  <c r="F1970" i="1"/>
  <c r="Q1970" i="1" a="1"/>
  <c r="Q1970" i="1"/>
  <c r="M1972" i="1" a="1"/>
  <c r="M1972" i="1" s="1"/>
  <c r="K1973" i="1" a="1"/>
  <c r="K1973" i="1" s="1"/>
  <c r="Q1972" i="1" a="1"/>
  <c r="Q1972" i="1"/>
  <c r="I1972" i="1" a="1"/>
  <c r="I1972" i="1" s="1"/>
  <c r="M1970" i="1" a="1"/>
  <c r="M1970" i="1" s="1"/>
  <c r="K1971" i="1" a="1"/>
  <c r="K1971" i="1" s="1"/>
  <c r="G1972" i="1" a="1"/>
  <c r="G1972" i="1" s="1"/>
  <c r="P1972" i="1" a="1"/>
  <c r="P1972" i="1" s="1"/>
  <c r="O1972" i="1" a="1"/>
  <c r="O1972" i="1" s="1"/>
  <c r="P1971" i="1" a="1"/>
  <c r="P1971" i="1" s="1"/>
  <c r="J1971" i="1" a="1"/>
  <c r="J1971" i="1" s="1"/>
  <c r="P1969" i="1" a="1"/>
  <c r="P1969" i="1" s="1"/>
  <c r="H1974" i="1" a="1"/>
  <c r="H1974" i="1"/>
  <c r="O1973" i="1" a="1"/>
  <c r="O1973" i="1"/>
  <c r="L1973" i="1" a="1"/>
  <c r="L1973" i="1" s="1"/>
  <c r="M1969" i="1" a="1"/>
  <c r="M1969" i="1" s="1"/>
  <c r="F1973" i="1" a="1"/>
  <c r="F1973" i="1" s="1"/>
  <c r="L1972" i="1" a="1"/>
  <c r="L1972" i="1"/>
  <c r="J1972" i="1" a="1"/>
  <c r="J1972" i="1" s="1"/>
  <c r="M1971" i="1" a="1"/>
  <c r="M1971" i="1"/>
  <c r="N1971" i="1" a="1"/>
  <c r="N1971" i="1" s="1"/>
  <c r="O1970" i="1" a="1"/>
  <c r="O1970" i="1" s="1"/>
  <c r="H1971" i="1" a="1"/>
  <c r="H1971" i="1" s="1"/>
  <c r="O1969" i="1" a="1"/>
  <c r="O1969" i="1" s="1"/>
  <c r="P1973" i="1" a="1"/>
  <c r="P1973" i="1" s="1"/>
  <c r="N1972" i="1" a="1"/>
  <c r="N1972" i="1" s="1"/>
  <c r="I1973" i="1" a="1"/>
  <c r="I1973" i="1"/>
  <c r="F1971" i="1" a="1"/>
  <c r="F1971" i="1" s="1"/>
  <c r="H1970" i="1" a="1"/>
  <c r="H1970" i="1" s="1"/>
  <c r="G1970" i="1" a="1"/>
  <c r="G1970" i="1" s="1"/>
  <c r="N1970" i="1" a="1"/>
  <c r="N1970" i="1" s="1"/>
  <c r="G1974" i="1" a="1"/>
  <c r="G1974" i="1"/>
  <c r="K1972" i="1" a="1"/>
  <c r="K1972" i="1"/>
  <c r="F1974" i="1" a="1"/>
  <c r="F1974" i="1" s="1"/>
  <c r="Q1973" i="1" a="1"/>
  <c r="Q1973" i="1" s="1"/>
  <c r="N1973" i="1" a="1"/>
  <c r="N1973" i="1" s="1"/>
  <c r="M1973" i="1" a="1"/>
  <c r="M1973" i="1" s="1"/>
  <c r="J1970" i="1" a="1"/>
  <c r="J1970" i="1" s="1"/>
  <c r="F2205" i="1" a="1"/>
  <c r="F2205" i="1" s="1"/>
  <c r="N2202" i="1" a="1"/>
  <c r="N2202" i="1" s="1"/>
  <c r="O2204" i="1" a="1"/>
  <c r="O2204" i="1"/>
  <c r="L2202" i="1" a="1"/>
  <c r="L2202" i="1"/>
  <c r="P2201" i="1" a="1"/>
  <c r="P2201" i="1"/>
  <c r="J2204" i="1" a="1"/>
  <c r="J2204" i="1" s="1"/>
  <c r="K2202" i="1" a="1"/>
  <c r="K2202" i="1" s="1"/>
  <c r="M2203" i="1" a="1"/>
  <c r="M2203" i="1"/>
  <c r="M2201" i="1" a="1"/>
  <c r="M2201" i="1"/>
  <c r="H2201" i="1" a="1"/>
  <c r="H2201" i="1" s="1"/>
  <c r="L2200" i="1" a="1"/>
  <c r="L2200" i="1" s="1"/>
  <c r="L2201" i="1" a="1"/>
  <c r="L2201" i="1" s="1"/>
  <c r="H2204" i="1" a="1"/>
  <c r="H2204" i="1" s="1"/>
  <c r="P2203" i="1" a="1"/>
  <c r="P2203" i="1" s="1"/>
  <c r="J2201" i="1" a="1"/>
  <c r="J2201" i="1" s="1"/>
  <c r="F2203" i="1" a="1"/>
  <c r="F2203" i="1" s="1"/>
  <c r="J2202" i="1" a="1"/>
  <c r="J2202" i="1" s="1"/>
  <c r="F2201" i="1" a="1"/>
  <c r="F2201" i="1" s="1"/>
  <c r="N2200" i="1" a="1"/>
  <c r="N2200" i="1" s="1"/>
  <c r="P2202" i="1" a="1"/>
  <c r="P2202" i="1" s="1"/>
  <c r="L2204" i="1" a="1"/>
  <c r="L2204" i="1"/>
  <c r="K2204" i="1" a="1"/>
  <c r="K2204" i="1"/>
  <c r="G2201" i="1" a="1"/>
  <c r="G2201" i="1" s="1"/>
  <c r="L2203" i="1" a="1"/>
  <c r="L2203" i="1" s="1"/>
  <c r="I2203" i="1" a="1"/>
  <c r="I2203" i="1" s="1"/>
  <c r="Q2204" i="1" a="1"/>
  <c r="Q2204" i="1" s="1"/>
  <c r="G2203" i="1" a="1"/>
  <c r="G2203" i="1" s="1"/>
  <c r="H2202" i="1" a="1"/>
  <c r="H2202" i="1" s="1"/>
  <c r="O2202" i="1" a="1"/>
  <c r="O2202" i="1" s="1"/>
  <c r="M2200" i="1" a="1"/>
  <c r="M2200" i="1" s="1"/>
  <c r="Q2202" i="1" a="1"/>
  <c r="Q2202" i="1"/>
  <c r="M2205" i="1" a="1"/>
  <c r="M2205" i="1" s="1"/>
  <c r="Q2201" i="1" a="1"/>
  <c r="Q2201" i="1" s="1"/>
  <c r="L2205" i="1" a="1"/>
  <c r="L2205" i="1" s="1"/>
  <c r="Q2200" i="1" a="1"/>
  <c r="Q2200" i="1" s="1"/>
  <c r="K2205" i="1" a="1"/>
  <c r="K2205" i="1"/>
  <c r="J2205" i="1" a="1"/>
  <c r="J2205" i="1" s="1"/>
  <c r="I2205" i="1" a="1"/>
  <c r="I2205" i="1"/>
  <c r="G2204" i="1" a="1"/>
  <c r="G2204" i="1" s="1"/>
  <c r="H2205" i="1" a="1"/>
  <c r="H2205" i="1" s="1"/>
  <c r="N2201" i="1" a="1"/>
  <c r="N2201" i="1" s="1"/>
  <c r="I2201" i="1" a="1"/>
  <c r="I2201" i="1" s="1"/>
  <c r="G2205" i="1" a="1"/>
  <c r="G2205" i="1" s="1"/>
  <c r="J2203" i="1" a="1"/>
  <c r="J2203" i="1" s="1"/>
  <c r="P2204" i="1" a="1"/>
  <c r="P2204" i="1" s="1"/>
  <c r="O2200" i="1" a="1"/>
  <c r="O2200" i="1"/>
  <c r="N2204" i="1" a="1"/>
  <c r="N2204" i="1"/>
  <c r="M2204" i="1" a="1"/>
  <c r="M2204" i="1"/>
  <c r="I2204" i="1" a="1"/>
  <c r="I2204" i="1" s="1"/>
  <c r="O2203" i="1" a="1"/>
  <c r="O2203" i="1" s="1"/>
  <c r="M2202" i="1" a="1"/>
  <c r="M2202" i="1" s="1"/>
  <c r="H2203" i="1" a="1"/>
  <c r="H2203" i="1" s="1"/>
  <c r="Q2203" i="1" a="1"/>
  <c r="Q2203" i="1" s="1"/>
  <c r="P2200" i="1" a="1"/>
  <c r="P2200" i="1" s="1"/>
  <c r="G2202" i="1" a="1"/>
  <c r="G2202" i="1" s="1"/>
  <c r="N2203" i="1" a="1"/>
  <c r="N2203" i="1" s="1"/>
  <c r="K2203" i="1" a="1"/>
  <c r="K2203" i="1" s="1"/>
  <c r="I2202" i="1" a="1"/>
  <c r="I2202" i="1" s="1"/>
  <c r="F2204" i="1" a="1"/>
  <c r="F2204" i="1" s="1"/>
  <c r="F2202" i="1" a="1"/>
  <c r="F2202" i="1"/>
  <c r="O2201" i="1" a="1"/>
  <c r="O2201" i="1"/>
  <c r="K2201" i="1" a="1"/>
  <c r="K2201" i="1" s="1"/>
  <c r="O2199" i="1" a="1"/>
  <c r="O2199" i="1"/>
  <c r="G2197" i="1" a="1"/>
  <c r="G2197" i="1" s="1"/>
  <c r="J2199" i="1" a="1"/>
  <c r="J2199" i="1"/>
  <c r="P2198" i="1" a="1"/>
  <c r="P2198" i="1"/>
  <c r="H2198" i="1" a="1"/>
  <c r="H2198" i="1" s="1"/>
  <c r="O2196" i="1" a="1"/>
  <c r="O2196" i="1" s="1"/>
  <c r="M2196" i="1" a="1"/>
  <c r="M2196" i="1" s="1"/>
  <c r="F2196" i="1" a="1"/>
  <c r="F2196" i="1" s="1"/>
  <c r="Q2197" i="1" a="1"/>
  <c r="Q2197" i="1" s="1"/>
  <c r="L2195" i="1" a="1"/>
  <c r="L2195" i="1" s="1"/>
  <c r="Q2195" i="1" a="1"/>
  <c r="Q2195" i="1"/>
  <c r="P2196" i="1" a="1"/>
  <c r="P2196" i="1" s="1"/>
  <c r="F2200" i="1" a="1"/>
  <c r="F2200" i="1" s="1"/>
  <c r="J2197" i="1" a="1"/>
  <c r="J2197" i="1" s="1"/>
  <c r="M2195" i="1" a="1"/>
  <c r="M2195" i="1" s="1"/>
  <c r="K2196" i="1" a="1"/>
  <c r="K2196" i="1" s="1"/>
  <c r="N2198" i="1" a="1"/>
  <c r="N2198" i="1"/>
  <c r="K2198" i="1" a="1"/>
  <c r="K2198" i="1"/>
  <c r="K2195" i="1" a="1"/>
  <c r="K2195" i="1"/>
  <c r="F2198" i="1" a="1"/>
  <c r="F2198" i="1" s="1"/>
  <c r="L2196" i="1" a="1"/>
  <c r="L2196" i="1" s="1"/>
  <c r="P2197" i="1" a="1"/>
  <c r="P2197" i="1" s="1"/>
  <c r="F2197" i="1" a="1"/>
  <c r="F2197" i="1" s="1"/>
  <c r="G2199" i="1" a="1"/>
  <c r="G2199" i="1" s="1"/>
  <c r="N2199" i="1" a="1"/>
  <c r="N2199" i="1" s="1"/>
  <c r="H2197" i="1" a="1"/>
  <c r="H2197" i="1"/>
  <c r="K2199" i="1" a="1"/>
  <c r="K2199" i="1" s="1"/>
  <c r="I2199" i="1" a="1"/>
  <c r="I2199" i="1"/>
  <c r="N2197" i="1" a="1"/>
  <c r="N2197" i="1" s="1"/>
  <c r="H2199" i="1" a="1"/>
  <c r="H2199" i="1" s="1"/>
  <c r="H2196" i="1" a="1"/>
  <c r="H2196" i="1"/>
  <c r="Q2198" i="1" a="1"/>
  <c r="Q2198" i="1"/>
  <c r="K2197" i="1" a="1"/>
  <c r="K2197" i="1" s="1"/>
  <c r="J2196" i="1" a="1"/>
  <c r="J2196" i="1" s="1"/>
  <c r="P2195" i="1" a="1"/>
  <c r="P2195" i="1" s="1"/>
  <c r="K2200" i="1" a="1"/>
  <c r="K2200" i="1" s="1"/>
  <c r="J2195" i="1" a="1"/>
  <c r="J2195" i="1" s="1"/>
  <c r="J2198" i="1" a="1"/>
  <c r="J2198" i="1" s="1"/>
  <c r="M2197" i="1" a="1"/>
  <c r="M2197" i="1"/>
  <c r="L2197" i="1" a="1"/>
  <c r="L2197" i="1"/>
  <c r="J2200" i="1" a="1"/>
  <c r="J2200" i="1" s="1"/>
  <c r="Q2199" i="1" a="1"/>
  <c r="Q2199" i="1" s="1"/>
  <c r="M2199" i="1" a="1"/>
  <c r="M2199" i="1" s="1"/>
  <c r="Q2196" i="1" a="1"/>
  <c r="Q2196" i="1"/>
  <c r="G2196" i="1" a="1"/>
  <c r="G2196" i="1" s="1"/>
  <c r="I2200" i="1" a="1"/>
  <c r="I2200" i="1"/>
  <c r="H2200" i="1" a="1"/>
  <c r="H2200" i="1" s="1"/>
  <c r="G2200" i="1" a="1"/>
  <c r="G2200" i="1" s="1"/>
  <c r="I2196" i="1" a="1"/>
  <c r="I2196" i="1" s="1"/>
  <c r="P2199" i="1" a="1"/>
  <c r="P2199" i="1" s="1"/>
  <c r="L2199" i="1" a="1"/>
  <c r="L2199" i="1" s="1"/>
  <c r="F2199" i="1" a="1"/>
  <c r="F2199" i="1" s="1"/>
  <c r="N2195" i="1" a="1"/>
  <c r="N2195" i="1" s="1"/>
  <c r="O2198" i="1" a="1"/>
  <c r="O2198" i="1"/>
  <c r="M2198" i="1" a="1"/>
  <c r="M2198" i="1" s="1"/>
  <c r="L2198" i="1" a="1"/>
  <c r="L2198" i="1"/>
  <c r="I2197" i="1" a="1"/>
  <c r="I2197" i="1"/>
  <c r="G2198" i="1" a="1"/>
  <c r="G2198" i="1" s="1"/>
  <c r="O2197" i="1" a="1"/>
  <c r="O2197" i="1"/>
  <c r="I2198" i="1" a="1"/>
  <c r="I2198" i="1" s="1"/>
  <c r="N2196" i="1" a="1"/>
  <c r="N2196" i="1" s="1"/>
  <c r="O2195" i="1" a="1"/>
  <c r="O2195" i="1" s="1"/>
  <c r="F2192" i="1" a="1"/>
  <c r="F2192" i="1" s="1"/>
  <c r="Q2190" i="1" a="1"/>
  <c r="Q2190" i="1" s="1"/>
  <c r="F2195" i="1" a="1"/>
  <c r="F2195" i="1" s="1"/>
  <c r="M2192" i="1" a="1"/>
  <c r="M2192" i="1" s="1"/>
  <c r="H2194" i="1" a="1"/>
  <c r="H2194" i="1" s="1"/>
  <c r="Q2194" i="1" a="1"/>
  <c r="Q2194" i="1" s="1"/>
  <c r="I2193" i="1" a="1"/>
  <c r="I2193" i="1"/>
  <c r="H2192" i="1" a="1"/>
  <c r="H2192" i="1"/>
  <c r="P2194" i="1" a="1"/>
  <c r="P2194" i="1"/>
  <c r="H2193" i="1" a="1"/>
  <c r="H2193" i="1"/>
  <c r="J2192" i="1" a="1"/>
  <c r="J2192" i="1" s="1"/>
  <c r="I2190" i="1" a="1"/>
  <c r="I2190" i="1" s="1"/>
  <c r="H2190" i="1" a="1"/>
  <c r="H2190" i="1" s="1"/>
  <c r="J2191" i="1" a="1"/>
  <c r="J2191" i="1" s="1"/>
  <c r="N2192" i="1" a="1"/>
  <c r="N2192" i="1" s="1"/>
  <c r="G2190" i="1" a="1"/>
  <c r="G2190" i="1" s="1"/>
  <c r="M2190" i="1" a="1"/>
  <c r="M2190" i="1" s="1"/>
  <c r="J2190" i="1" a="1"/>
  <c r="J2190" i="1" s="1"/>
  <c r="O2194" i="1" a="1"/>
  <c r="O2194" i="1"/>
  <c r="K2191" i="1" a="1"/>
  <c r="K2191" i="1" s="1"/>
  <c r="N2194" i="1" a="1"/>
  <c r="N2194" i="1"/>
  <c r="O2193" i="1" a="1"/>
  <c r="O2193" i="1"/>
  <c r="M2193" i="1" a="1"/>
  <c r="M2193" i="1" s="1"/>
  <c r="G2193" i="1" a="1"/>
  <c r="G2193" i="1"/>
  <c r="N2193" i="1" a="1"/>
  <c r="N2193" i="1" s="1"/>
  <c r="L2193" i="1" a="1"/>
  <c r="L2193" i="1"/>
  <c r="L2190" i="1" a="1"/>
  <c r="L2190" i="1"/>
  <c r="O2192" i="1" a="1"/>
  <c r="O2192" i="1" s="1"/>
  <c r="K2190" i="1" a="1"/>
  <c r="K2190" i="1" s="1"/>
  <c r="N2191" i="1" a="1"/>
  <c r="N2191" i="1" s="1"/>
  <c r="H2191" i="1" a="1"/>
  <c r="H2191" i="1" s="1"/>
  <c r="P2190" i="1" a="1"/>
  <c r="P2190" i="1" s="1"/>
  <c r="N2190" i="1" a="1"/>
  <c r="N2190" i="1"/>
  <c r="F2190" i="1" a="1"/>
  <c r="F2190" i="1"/>
  <c r="P2191" i="1" a="1"/>
  <c r="P2191" i="1" s="1"/>
  <c r="M2194" i="1" a="1"/>
  <c r="M2194" i="1"/>
  <c r="L2194" i="1" a="1"/>
  <c r="L2194" i="1" s="1"/>
  <c r="J2194" i="1" a="1"/>
  <c r="J2194" i="1" s="1"/>
  <c r="P2193" i="1" a="1"/>
  <c r="P2193" i="1" s="1"/>
  <c r="G2194" i="1" a="1"/>
  <c r="G2194" i="1"/>
  <c r="F2193" i="1" a="1"/>
  <c r="F2193" i="1" s="1"/>
  <c r="Q2192" i="1" a="1"/>
  <c r="Q2192" i="1" s="1"/>
  <c r="L2192" i="1" a="1"/>
  <c r="L2192" i="1" s="1"/>
  <c r="G2192" i="1" a="1"/>
  <c r="G2192" i="1" s="1"/>
  <c r="Q2191" i="1" a="1"/>
  <c r="Q2191" i="1" s="1"/>
  <c r="I2192" i="1" a="1"/>
  <c r="I2192" i="1" s="1"/>
  <c r="I2191" i="1" a="1"/>
  <c r="I2191" i="1" s="1"/>
  <c r="G2191" i="1" a="1"/>
  <c r="G2191" i="1" s="1"/>
  <c r="F2191" i="1" a="1"/>
  <c r="F2191" i="1"/>
  <c r="O2190" i="1" a="1"/>
  <c r="O2190" i="1" s="1"/>
  <c r="O2191" i="1" a="1"/>
  <c r="O2191" i="1"/>
  <c r="M2191" i="1" a="1"/>
  <c r="M2191" i="1"/>
  <c r="I2194" i="1" a="1"/>
  <c r="I2194" i="1" s="1"/>
  <c r="L2191" i="1" a="1"/>
  <c r="L2191" i="1"/>
  <c r="I2195" i="1" a="1"/>
  <c r="I2195" i="1"/>
  <c r="Q2193" i="1" a="1"/>
  <c r="Q2193" i="1" s="1"/>
  <c r="J2193" i="1" a="1"/>
  <c r="J2193" i="1" s="1"/>
  <c r="H2195" i="1" a="1"/>
  <c r="H2195" i="1" s="1"/>
  <c r="G2195" i="1" a="1"/>
  <c r="G2195" i="1" s="1"/>
  <c r="P2192" i="1" a="1"/>
  <c r="P2192" i="1" s="1"/>
  <c r="K2192" i="1" a="1"/>
  <c r="K2192" i="1"/>
  <c r="F2194" i="1" a="1"/>
  <c r="F2194" i="1" s="1"/>
  <c r="K2194" i="1" a="1"/>
  <c r="K2194" i="1" s="1"/>
  <c r="K2193" i="1" a="1"/>
  <c r="K2193" i="1" s="1"/>
  <c r="Q2187" i="1" a="1"/>
  <c r="Q2187" i="1"/>
  <c r="N2187" i="1" a="1"/>
  <c r="N2187" i="1" s="1"/>
  <c r="Q2186" i="1" a="1"/>
  <c r="Q2186" i="1"/>
  <c r="G2185" i="1" a="1"/>
  <c r="G2185" i="1"/>
  <c r="P2188" i="1" a="1"/>
  <c r="P2188" i="1"/>
  <c r="O2185" i="1" a="1"/>
  <c r="O2185" i="1" s="1"/>
  <c r="I2184" i="1" a="1"/>
  <c r="I2184" i="1" s="1"/>
  <c r="L2185" i="1" a="1"/>
  <c r="L2185" i="1" s="1"/>
  <c r="Q2184" i="1" a="1"/>
  <c r="Q2184" i="1" s="1"/>
  <c r="O2188" i="1" a="1"/>
  <c r="O2188" i="1" s="1"/>
  <c r="G2184" i="1" a="1"/>
  <c r="G2184" i="1" s="1"/>
  <c r="N2188" i="1" a="1"/>
  <c r="N2188" i="1" s="1"/>
  <c r="M2188" i="1" a="1"/>
  <c r="M2188" i="1" s="1"/>
  <c r="L2188" i="1" a="1"/>
  <c r="L2188" i="1" s="1"/>
  <c r="I2188" i="1" a="1"/>
  <c r="I2188" i="1" s="1"/>
  <c r="G2188" i="1" a="1"/>
  <c r="G2188" i="1" s="1"/>
  <c r="F2187" i="1" a="1"/>
  <c r="F2187" i="1" s="1"/>
  <c r="N2185" i="1" a="1"/>
  <c r="N2185" i="1"/>
  <c r="N2186" i="1" a="1"/>
  <c r="N2186" i="1"/>
  <c r="K2188" i="1" a="1"/>
  <c r="K2188" i="1" s="1"/>
  <c r="J2188" i="1" a="1"/>
  <c r="J2188" i="1" s="1"/>
  <c r="P2187" i="1" a="1"/>
  <c r="P2187" i="1" s="1"/>
  <c r="O2187" i="1" a="1"/>
  <c r="O2187" i="1" s="1"/>
  <c r="M2187" i="1" a="1"/>
  <c r="M2187" i="1" s="1"/>
  <c r="L2187" i="1" a="1"/>
  <c r="L2187" i="1" s="1"/>
  <c r="O2186" i="1" a="1"/>
  <c r="O2186" i="1" s="1"/>
  <c r="L2186" i="1" a="1"/>
  <c r="L2186" i="1" s="1"/>
  <c r="Q2185" i="1" a="1"/>
  <c r="Q2185" i="1"/>
  <c r="K2184" i="1" a="1"/>
  <c r="K2184" i="1" s="1"/>
  <c r="L2184" i="1" a="1"/>
  <c r="L2184" i="1"/>
  <c r="G2186" i="1" a="1"/>
  <c r="G2186" i="1"/>
  <c r="P2184" i="1" a="1"/>
  <c r="P2184" i="1" s="1"/>
  <c r="F2186" i="1" a="1"/>
  <c r="F2186" i="1" s="1"/>
  <c r="I2185" i="1" a="1"/>
  <c r="I2185" i="1" s="1"/>
  <c r="M2184" i="1" a="1"/>
  <c r="M2184" i="1" s="1"/>
  <c r="H2186" i="1" a="1"/>
  <c r="H2186" i="1" s="1"/>
  <c r="M2185" i="1" a="1"/>
  <c r="M2185" i="1" s="1"/>
  <c r="H2185" i="1" a="1"/>
  <c r="H2185" i="1" s="1"/>
  <c r="F2185" i="1" a="1"/>
  <c r="F2185" i="1" s="1"/>
  <c r="P2183" i="1" a="1"/>
  <c r="P2183" i="1" s="1"/>
  <c r="K2187" i="1" a="1"/>
  <c r="K2187" i="1" s="1"/>
  <c r="P2186" i="1" a="1"/>
  <c r="P2186" i="1"/>
  <c r="P2185" i="1" a="1"/>
  <c r="P2185" i="1"/>
  <c r="J2185" i="1" a="1"/>
  <c r="J2185" i="1" s="1"/>
  <c r="O2184" i="1" a="1"/>
  <c r="O2184" i="1" s="1"/>
  <c r="I2186" i="1" a="1"/>
  <c r="I2186" i="1" s="1"/>
  <c r="K2186" i="1" a="1"/>
  <c r="K2186" i="1"/>
  <c r="F2184" i="1" a="1"/>
  <c r="F2184" i="1" s="1"/>
  <c r="I2187" i="1" a="1"/>
  <c r="I2187" i="1" s="1"/>
  <c r="Q2183" i="1" a="1"/>
  <c r="Q2183" i="1" s="1"/>
  <c r="H2187" i="1" a="1"/>
  <c r="H2187" i="1" s="1"/>
  <c r="N2184" i="1" a="1"/>
  <c r="N2184" i="1" s="1"/>
  <c r="G2187" i="1" a="1"/>
  <c r="G2187" i="1"/>
  <c r="J2186" i="1" a="1"/>
  <c r="J2186" i="1"/>
  <c r="J2184" i="1" a="1"/>
  <c r="J2184" i="1" s="1"/>
  <c r="J2187" i="1" a="1"/>
  <c r="J2187" i="1"/>
  <c r="K2185" i="1" a="1"/>
  <c r="K2185" i="1"/>
  <c r="F2188" i="1" a="1"/>
  <c r="F2188" i="1" s="1"/>
  <c r="H2188" i="1" a="1"/>
  <c r="H2188" i="1" s="1"/>
  <c r="M2186" i="1" a="1"/>
  <c r="M2186" i="1" s="1"/>
  <c r="H2184" i="1" a="1"/>
  <c r="H2184" i="1"/>
  <c r="Q2188" i="1" a="1"/>
  <c r="Q2188" i="1" s="1"/>
  <c r="N2180" i="1" a="1"/>
  <c r="N2180" i="1" s="1"/>
  <c r="H2180" i="1" a="1"/>
  <c r="H2180" i="1" s="1"/>
  <c r="M2179" i="1" a="1"/>
  <c r="M2179" i="1" s="1"/>
  <c r="N2178" i="1" a="1"/>
  <c r="N2178" i="1" s="1"/>
  <c r="I2180" i="1" a="1"/>
  <c r="I2180" i="1" s="1"/>
  <c r="M2178" i="1" a="1"/>
  <c r="M2178" i="1"/>
  <c r="N2179" i="1" a="1"/>
  <c r="N2179" i="1" s="1"/>
  <c r="O2181" i="1" a="1"/>
  <c r="O2181" i="1"/>
  <c r="K2183" i="1" a="1"/>
  <c r="K2183" i="1" s="1"/>
  <c r="O2179" i="1" a="1"/>
  <c r="O2179" i="1" s="1"/>
  <c r="J2183" i="1" a="1"/>
  <c r="J2183" i="1" s="1"/>
  <c r="H2181" i="1" a="1"/>
  <c r="H2181" i="1" s="1"/>
  <c r="G2183" i="1" a="1"/>
  <c r="G2183" i="1"/>
  <c r="L2180" i="1" a="1"/>
  <c r="L2180" i="1" s="1"/>
  <c r="Q2181" i="1" a="1"/>
  <c r="Q2181" i="1" s="1"/>
  <c r="Q2179" i="1" a="1"/>
  <c r="Q2179" i="1" s="1"/>
  <c r="G2179" i="1" a="1"/>
  <c r="G2179" i="1" s="1"/>
  <c r="P2179" i="1" a="1"/>
  <c r="P2179" i="1" s="1"/>
  <c r="O2182" i="1" a="1"/>
  <c r="O2182" i="1"/>
  <c r="J2180" i="1" a="1"/>
  <c r="J2180" i="1"/>
  <c r="M2182" i="1" a="1"/>
  <c r="M2182" i="1" s="1"/>
  <c r="J2182" i="1" a="1"/>
  <c r="J2182" i="1"/>
  <c r="O2180" i="1" a="1"/>
  <c r="O2180" i="1"/>
  <c r="I2179" i="1" a="1"/>
  <c r="I2179" i="1"/>
  <c r="P2178" i="1" a="1"/>
  <c r="P2178" i="1"/>
  <c r="K2179" i="1" a="1"/>
  <c r="K2179" i="1" s="1"/>
  <c r="L2182" i="1" a="1"/>
  <c r="L2182" i="1"/>
  <c r="G2182" i="1" a="1"/>
  <c r="G2182" i="1" s="1"/>
  <c r="J2179" i="1" a="1"/>
  <c r="J2179" i="1" s="1"/>
  <c r="L2178" i="1" a="1"/>
  <c r="L2178" i="1" s="1"/>
  <c r="F2180" i="1" a="1"/>
  <c r="F2180" i="1" s="1"/>
  <c r="Q2182" i="1" a="1"/>
  <c r="Q2182" i="1" s="1"/>
  <c r="I2182" i="1" a="1"/>
  <c r="I2182" i="1"/>
  <c r="M2181" i="1" a="1"/>
  <c r="M2181" i="1" s="1"/>
  <c r="P2180" i="1" a="1"/>
  <c r="P2180" i="1"/>
  <c r="H2182" i="1" a="1"/>
  <c r="H2182" i="1" s="1"/>
  <c r="G2181" i="1" a="1"/>
  <c r="G2181" i="1"/>
  <c r="F2179" i="1" a="1"/>
  <c r="F2179" i="1" s="1"/>
  <c r="Q2180" i="1" a="1"/>
  <c r="Q2180" i="1" s="1"/>
  <c r="H2179" i="1" a="1"/>
  <c r="H2179" i="1"/>
  <c r="M2180" i="1" a="1"/>
  <c r="M2180" i="1" s="1"/>
  <c r="N2182" i="1" a="1"/>
  <c r="N2182" i="1" s="1"/>
  <c r="K2181" i="1" a="1"/>
  <c r="K2181" i="1" s="1"/>
  <c r="K2180" i="1" a="1"/>
  <c r="K2180" i="1" s="1"/>
  <c r="O2183" i="1" a="1"/>
  <c r="O2183" i="1" s="1"/>
  <c r="G2180" i="1" a="1"/>
  <c r="G2180" i="1" s="1"/>
  <c r="Q2178" i="1" a="1"/>
  <c r="Q2178" i="1" s="1"/>
  <c r="N2183" i="1" a="1"/>
  <c r="N2183" i="1" s="1"/>
  <c r="M2183" i="1" a="1"/>
  <c r="M2183" i="1" s="1"/>
  <c r="L2183" i="1" a="1"/>
  <c r="L2183" i="1" s="1"/>
  <c r="I2183" i="1" a="1"/>
  <c r="I2183" i="1"/>
  <c r="K2182" i="1" a="1"/>
  <c r="K2182" i="1" s="1"/>
  <c r="L2181" i="1" a="1"/>
  <c r="L2181" i="1"/>
  <c r="H2183" i="1" a="1"/>
  <c r="H2183" i="1" s="1"/>
  <c r="F2183" i="1" a="1"/>
  <c r="F2183" i="1"/>
  <c r="N2181" i="1" a="1"/>
  <c r="N2181" i="1" s="1"/>
  <c r="J2181" i="1" a="1"/>
  <c r="J2181" i="1" s="1"/>
  <c r="I2181" i="1" a="1"/>
  <c r="I2181" i="1" s="1"/>
  <c r="F2181" i="1" a="1"/>
  <c r="F2181" i="1" s="1"/>
  <c r="P2182" i="1" a="1"/>
  <c r="P2182" i="1" s="1"/>
  <c r="F2182" i="1" a="1"/>
  <c r="F2182" i="1"/>
  <c r="L2179" i="1" a="1"/>
  <c r="L2179" i="1"/>
  <c r="O2178" i="1" a="1"/>
  <c r="O2178" i="1"/>
  <c r="P2181" i="1" a="1"/>
  <c r="P2181" i="1" s="1"/>
  <c r="Q2174" i="1" a="1"/>
  <c r="Q2174" i="1"/>
  <c r="L2174" i="1" a="1"/>
  <c r="L2174" i="1"/>
  <c r="H2173" i="1" a="1"/>
  <c r="H2173" i="1" s="1"/>
  <c r="N2173" i="1" a="1"/>
  <c r="N2173" i="1"/>
  <c r="I2178" i="1" a="1"/>
  <c r="I2178" i="1"/>
  <c r="M2174" i="1" a="1"/>
  <c r="M2174" i="1" s="1"/>
  <c r="H2178" i="1" a="1"/>
  <c r="H2178" i="1" s="1"/>
  <c r="Q2175" i="1" a="1"/>
  <c r="Q2175" i="1" s="1"/>
  <c r="J2177" i="1" a="1"/>
  <c r="J2177" i="1" s="1"/>
  <c r="N2176" i="1" a="1"/>
  <c r="N2176" i="1" s="1"/>
  <c r="O2173" i="1" a="1"/>
  <c r="O2173" i="1"/>
  <c r="F2176" i="1" a="1"/>
  <c r="F2176" i="1" s="1"/>
  <c r="K2173" i="1" a="1"/>
  <c r="K2173" i="1" s="1"/>
  <c r="I2177" i="1" a="1"/>
  <c r="I2177" i="1"/>
  <c r="H2177" i="1" a="1"/>
  <c r="H2177" i="1" s="1"/>
  <c r="G2177" i="1" a="1"/>
  <c r="G2177" i="1" s="1"/>
  <c r="K2175" i="1" a="1"/>
  <c r="K2175" i="1" s="1"/>
  <c r="F2177" i="1" a="1"/>
  <c r="F2177" i="1" s="1"/>
  <c r="J2175" i="1" a="1"/>
  <c r="J2175" i="1" s="1"/>
  <c r="F2178" i="1" a="1"/>
  <c r="F2178" i="1" s="1"/>
  <c r="Q2177" i="1" a="1"/>
  <c r="Q2177" i="1" s="1"/>
  <c r="L2173" i="1" a="1"/>
  <c r="L2173" i="1" s="1"/>
  <c r="O2177" i="1" a="1"/>
  <c r="O2177" i="1" s="1"/>
  <c r="N2177" i="1" a="1"/>
  <c r="N2177" i="1" s="1"/>
  <c r="H2174" i="1" a="1"/>
  <c r="H2174" i="1" s="1"/>
  <c r="L2177" i="1" a="1"/>
  <c r="L2177" i="1" s="1"/>
  <c r="O2176" i="1" a="1"/>
  <c r="O2176" i="1"/>
  <c r="L2176" i="1" a="1"/>
  <c r="L2176" i="1" s="1"/>
  <c r="H2176" i="1" a="1"/>
  <c r="H2176" i="1"/>
  <c r="L2175" i="1" a="1"/>
  <c r="L2175" i="1" s="1"/>
  <c r="I2173" i="1" a="1"/>
  <c r="I2173" i="1" s="1"/>
  <c r="H2175" i="1" a="1"/>
  <c r="H2175" i="1"/>
  <c r="Q2173" i="1" a="1"/>
  <c r="Q2173" i="1" s="1"/>
  <c r="I2174" i="1" a="1"/>
  <c r="I2174" i="1" s="1"/>
  <c r="M2175" i="1" a="1"/>
  <c r="M2175" i="1" s="1"/>
  <c r="F2175" i="1" a="1"/>
  <c r="F2175" i="1" s="1"/>
  <c r="O2175" i="1" a="1"/>
  <c r="O2175" i="1" s="1"/>
  <c r="Q2176" i="1" a="1"/>
  <c r="Q2176" i="1" s="1"/>
  <c r="N2174" i="1" a="1"/>
  <c r="N2174" i="1"/>
  <c r="P2176" i="1" a="1"/>
  <c r="P2176" i="1" s="1"/>
  <c r="I2175" i="1" a="1"/>
  <c r="I2175" i="1" s="1"/>
  <c r="K2174" i="1" a="1"/>
  <c r="K2174" i="1" s="1"/>
  <c r="O2174" i="1" a="1"/>
  <c r="O2174" i="1" s="1"/>
  <c r="K2176" i="1" a="1"/>
  <c r="K2176" i="1"/>
  <c r="P2173" i="1" a="1"/>
  <c r="P2173" i="1" s="1"/>
  <c r="P2174" i="1" a="1"/>
  <c r="P2174" i="1"/>
  <c r="I2176" i="1" a="1"/>
  <c r="I2176" i="1" s="1"/>
  <c r="J2173" i="1" a="1"/>
  <c r="J2173" i="1" s="1"/>
  <c r="J2174" i="1" a="1"/>
  <c r="J2174" i="1" s="1"/>
  <c r="G2175" i="1" a="1"/>
  <c r="G2175" i="1" s="1"/>
  <c r="G2176" i="1" a="1"/>
  <c r="G2176" i="1" s="1"/>
  <c r="J2176" i="1" a="1"/>
  <c r="J2176" i="1" s="1"/>
  <c r="G2174" i="1" a="1"/>
  <c r="G2174" i="1"/>
  <c r="F2174" i="1" a="1"/>
  <c r="F2174" i="1"/>
  <c r="K2178" i="1" a="1"/>
  <c r="K2178" i="1" s="1"/>
  <c r="J2178" i="1" a="1"/>
  <c r="J2178" i="1" s="1"/>
  <c r="M2177" i="1" a="1"/>
  <c r="M2177" i="1" s="1"/>
  <c r="G2178" i="1" a="1"/>
  <c r="G2178" i="1" s="1"/>
  <c r="N2175" i="1" a="1"/>
  <c r="N2175" i="1" s="1"/>
  <c r="P2177" i="1" a="1"/>
  <c r="P2177" i="1" s="1"/>
  <c r="K2177" i="1" a="1"/>
  <c r="K2177" i="1"/>
  <c r="M2176" i="1" a="1"/>
  <c r="M2176" i="1" s="1"/>
  <c r="M2173" i="1" a="1"/>
  <c r="M2173" i="1" s="1"/>
  <c r="P2175" i="1" a="1"/>
  <c r="P2175" i="1" s="1"/>
  <c r="J2168" i="1" a="1"/>
  <c r="J2168" i="1" s="1"/>
  <c r="N2170" i="1" a="1"/>
  <c r="N2170" i="1" s="1"/>
  <c r="G2170" i="1" a="1"/>
  <c r="G2170" i="1"/>
  <c r="O2168" i="1" a="1"/>
  <c r="O2168" i="1" s="1"/>
  <c r="P2167" i="1" a="1"/>
  <c r="P2167" i="1" s="1"/>
  <c r="O2169" i="1" a="1"/>
  <c r="O2169" i="1" s="1"/>
  <c r="L2169" i="1" a="1"/>
  <c r="L2169" i="1" s="1"/>
  <c r="J2169" i="1" a="1"/>
  <c r="J2169" i="1"/>
  <c r="M2168" i="1" a="1"/>
  <c r="M2168" i="1"/>
  <c r="G2173" i="1" a="1"/>
  <c r="G2173" i="1"/>
  <c r="F2172" i="1" a="1"/>
  <c r="F2172" i="1" s="1"/>
  <c r="H2171" i="1" a="1"/>
  <c r="H2171" i="1" s="1"/>
  <c r="I2170" i="1" a="1"/>
  <c r="I2170" i="1" s="1"/>
  <c r="J2170" i="1" a="1"/>
  <c r="J2170" i="1" s="1"/>
  <c r="L2172" i="1" a="1"/>
  <c r="L2172" i="1" s="1"/>
  <c r="F2173" i="1" a="1"/>
  <c r="F2173" i="1" s="1"/>
  <c r="K2172" i="1" a="1"/>
  <c r="K2172" i="1"/>
  <c r="Q2172" i="1" a="1"/>
  <c r="Q2172" i="1" s="1"/>
  <c r="O2172" i="1" a="1"/>
  <c r="O2172" i="1"/>
  <c r="H2170" i="1" a="1"/>
  <c r="H2170" i="1"/>
  <c r="K2169" i="1" a="1"/>
  <c r="K2169" i="1" s="1"/>
  <c r="Q2169" i="1" a="1"/>
  <c r="Q2169" i="1"/>
  <c r="P2172" i="1" a="1"/>
  <c r="P2172" i="1"/>
  <c r="G2172" i="1" a="1"/>
  <c r="G2172" i="1" s="1"/>
  <c r="L2171" i="1" a="1"/>
  <c r="L2171" i="1"/>
  <c r="P2169" i="1" a="1"/>
  <c r="P2169" i="1" s="1"/>
  <c r="L2168" i="1" a="1"/>
  <c r="L2168" i="1" s="1"/>
  <c r="P2171" i="1" a="1"/>
  <c r="P2171" i="1" s="1"/>
  <c r="J2171" i="1" a="1"/>
  <c r="J2171" i="1" s="1"/>
  <c r="L2170" i="1" a="1"/>
  <c r="L2170" i="1" s="1"/>
  <c r="Q2168" i="1" a="1"/>
  <c r="Q2168" i="1" s="1"/>
  <c r="N2168" i="1" a="1"/>
  <c r="N2168" i="1" s="1"/>
  <c r="P2168" i="1" a="1"/>
  <c r="P2168" i="1" s="1"/>
  <c r="N2172" i="1" a="1"/>
  <c r="N2172" i="1" s="1"/>
  <c r="M2172" i="1" a="1"/>
  <c r="M2172" i="1"/>
  <c r="O2171" i="1" a="1"/>
  <c r="O2171" i="1" s="1"/>
  <c r="I2171" i="1" a="1"/>
  <c r="I2171" i="1"/>
  <c r="I2172" i="1" a="1"/>
  <c r="I2172" i="1" s="1"/>
  <c r="P2170" i="1" a="1"/>
  <c r="P2170" i="1" s="1"/>
  <c r="M2170" i="1" a="1"/>
  <c r="M2170" i="1" s="1"/>
  <c r="F2170" i="1" a="1"/>
  <c r="F2170" i="1" s="1"/>
  <c r="F2168" i="1" a="1"/>
  <c r="F2168" i="1" s="1"/>
  <c r="K2168" i="1" a="1"/>
  <c r="K2168" i="1" s="1"/>
  <c r="Q2171" i="1" a="1"/>
  <c r="Q2171" i="1" s="1"/>
  <c r="K2171" i="1" a="1"/>
  <c r="K2171" i="1" s="1"/>
  <c r="J2172" i="1" a="1"/>
  <c r="J2172" i="1"/>
  <c r="Q2170" i="1" a="1"/>
  <c r="Q2170" i="1" s="1"/>
  <c r="O2170" i="1" a="1"/>
  <c r="O2170" i="1"/>
  <c r="M2169" i="1" a="1"/>
  <c r="M2169" i="1" s="1"/>
  <c r="I2169" i="1" a="1"/>
  <c r="I2169" i="1"/>
  <c r="I2168" i="1" a="1"/>
  <c r="I2168" i="1"/>
  <c r="H2169" i="1" a="1"/>
  <c r="H2169" i="1"/>
  <c r="H2168" i="1" a="1"/>
  <c r="H2168" i="1" s="1"/>
  <c r="F2169" i="1" a="1"/>
  <c r="F2169" i="1" s="1"/>
  <c r="Q2167" i="1" a="1"/>
  <c r="Q2167" i="1" s="1"/>
  <c r="H2172" i="1" a="1"/>
  <c r="H2172" i="1" s="1"/>
  <c r="N2171" i="1" a="1"/>
  <c r="N2171" i="1" s="1"/>
  <c r="M2171" i="1" a="1"/>
  <c r="M2171" i="1" s="1"/>
  <c r="N2169" i="1" a="1"/>
  <c r="N2169" i="1" s="1"/>
  <c r="G2169" i="1" a="1"/>
  <c r="G2169" i="1"/>
  <c r="F2171" i="1" a="1"/>
  <c r="F2171" i="1" s="1"/>
  <c r="G2168" i="1" a="1"/>
  <c r="G2168" i="1"/>
  <c r="G2171" i="1" a="1"/>
  <c r="G2171" i="1" s="1"/>
  <c r="K2170" i="1" a="1"/>
  <c r="K2170" i="1"/>
  <c r="Q2164" i="1" a="1"/>
  <c r="Q2164" i="1" s="1"/>
  <c r="M2163" i="1" a="1"/>
  <c r="M2163" i="1" s="1"/>
  <c r="J2162" i="1" a="1"/>
  <c r="J2162" i="1"/>
  <c r="G2162" i="1" a="1"/>
  <c r="G2162" i="1" s="1"/>
  <c r="P2161" i="1" a="1"/>
  <c r="P2161" i="1" s="1"/>
  <c r="O2167" i="1" a="1"/>
  <c r="O2167" i="1" s="1"/>
  <c r="P2166" i="1" a="1"/>
  <c r="P2166" i="1" s="1"/>
  <c r="K2164" i="1" a="1"/>
  <c r="K2164" i="1" s="1"/>
  <c r="N2167" i="1" a="1"/>
  <c r="N2167" i="1" s="1"/>
  <c r="M2167" i="1" a="1"/>
  <c r="M2167" i="1"/>
  <c r="L2167" i="1" a="1"/>
  <c r="L2167" i="1"/>
  <c r="K2167" i="1" a="1"/>
  <c r="K2167" i="1" s="1"/>
  <c r="I2167" i="1" a="1"/>
  <c r="I2167" i="1"/>
  <c r="H2167" i="1" a="1"/>
  <c r="H2167" i="1"/>
  <c r="G2167" i="1" a="1"/>
  <c r="G2167" i="1" s="1"/>
  <c r="F2167" i="1" a="1"/>
  <c r="F2167" i="1"/>
  <c r="I2164" i="1" a="1"/>
  <c r="I2164" i="1" s="1"/>
  <c r="G2164" i="1" a="1"/>
  <c r="G2164" i="1" s="1"/>
  <c r="J2163" i="1" a="1"/>
  <c r="J2163" i="1" s="1"/>
  <c r="F2164" i="1" a="1"/>
  <c r="F2164" i="1" s="1"/>
  <c r="I2162" i="1" a="1"/>
  <c r="I2162" i="1" s="1"/>
  <c r="Q2163" i="1" a="1"/>
  <c r="Q2163" i="1" s="1"/>
  <c r="L2162" i="1" a="1"/>
  <c r="L2162" i="1"/>
  <c r="L2163" i="1" a="1"/>
  <c r="L2163" i="1"/>
  <c r="N2164" i="1" a="1"/>
  <c r="N2164" i="1"/>
  <c r="G2163" i="1" a="1"/>
  <c r="G2163" i="1" s="1"/>
  <c r="Q2162" i="1" a="1"/>
  <c r="Q2162" i="1" s="1"/>
  <c r="N2162" i="1" a="1"/>
  <c r="N2162" i="1" s="1"/>
  <c r="K2166" i="1" a="1"/>
  <c r="K2166" i="1"/>
  <c r="N2166" i="1" a="1"/>
  <c r="N2166" i="1" s="1"/>
  <c r="P2162" i="1" a="1"/>
  <c r="P2162" i="1" s="1"/>
  <c r="O2166" i="1" a="1"/>
  <c r="O2166" i="1" s="1"/>
  <c r="L2166" i="1" a="1"/>
  <c r="L2166" i="1" s="1"/>
  <c r="M2166" i="1" a="1"/>
  <c r="M2166" i="1" s="1"/>
  <c r="H2163" i="1" a="1"/>
  <c r="H2163" i="1" s="1"/>
  <c r="M2164" i="1" a="1"/>
  <c r="M2164" i="1" s="1"/>
  <c r="J2166" i="1" a="1"/>
  <c r="J2166" i="1" s="1"/>
  <c r="O2162" i="1" a="1"/>
  <c r="O2162" i="1" s="1"/>
  <c r="I2166" i="1" a="1"/>
  <c r="I2166" i="1"/>
  <c r="I2163" i="1" a="1"/>
  <c r="I2163" i="1" s="1"/>
  <c r="F2166" i="1" a="1"/>
  <c r="F2166" i="1"/>
  <c r="N2163" i="1" a="1"/>
  <c r="N2163" i="1" s="1"/>
  <c r="H2166" i="1" a="1"/>
  <c r="H2166" i="1"/>
  <c r="O2164" i="1" a="1"/>
  <c r="O2164" i="1"/>
  <c r="G2166" i="1" a="1"/>
  <c r="G2166" i="1" s="1"/>
  <c r="F2162" i="1" a="1"/>
  <c r="F2162" i="1" s="1"/>
  <c r="L2164" i="1" a="1"/>
  <c r="L2164" i="1" s="1"/>
  <c r="J2164" i="1" a="1"/>
  <c r="J2164" i="1" s="1"/>
  <c r="H2162" i="1" a="1"/>
  <c r="H2162" i="1" s="1"/>
  <c r="H2164" i="1" a="1"/>
  <c r="H2164" i="1" s="1"/>
  <c r="P2163" i="1" a="1"/>
  <c r="P2163" i="1" s="1"/>
  <c r="O2163" i="1" a="1"/>
  <c r="O2163" i="1"/>
  <c r="P2164" i="1" a="1"/>
  <c r="P2164" i="1"/>
  <c r="M2162" i="1" a="1"/>
  <c r="M2162" i="1" s="1"/>
  <c r="F2163" i="1" a="1"/>
  <c r="F2163" i="1" s="1"/>
  <c r="K2162" i="1" a="1"/>
  <c r="K2162" i="1" s="1"/>
  <c r="Q2161" i="1" a="1"/>
  <c r="Q2161" i="1" s="1"/>
  <c r="J2167" i="1" a="1"/>
  <c r="J2167" i="1" s="1"/>
  <c r="K2163" i="1" a="1"/>
  <c r="K2163" i="1" s="1"/>
  <c r="Q2166" i="1" a="1"/>
  <c r="Q2166" i="1" s="1"/>
  <c r="N2159" i="1" a="1"/>
  <c r="N2159" i="1" s="1"/>
  <c r="H2159" i="1" a="1"/>
  <c r="H2159" i="1" s="1"/>
  <c r="I2158" i="1" a="1"/>
  <c r="I2158" i="1" s="1"/>
  <c r="I2157" i="1" a="1"/>
  <c r="I2157" i="1" s="1"/>
  <c r="F2157" i="1" a="1"/>
  <c r="F2157" i="1" s="1"/>
  <c r="Q2158" i="1" a="1"/>
  <c r="Q2158" i="1"/>
  <c r="J2158" i="1" a="1"/>
  <c r="J2158" i="1" s="1"/>
  <c r="M2158" i="1" a="1"/>
  <c r="M2158" i="1"/>
  <c r="K2158" i="1" a="1"/>
  <c r="K2158" i="1"/>
  <c r="L2157" i="1" a="1"/>
  <c r="L2157" i="1" s="1"/>
  <c r="H2160" i="1" a="1"/>
  <c r="H2160" i="1" s="1"/>
  <c r="P2159" i="1" a="1"/>
  <c r="P2159" i="1" s="1"/>
  <c r="I2159" i="1" a="1"/>
  <c r="I2159" i="1"/>
  <c r="G2159" i="1" a="1"/>
  <c r="G2159" i="1" s="1"/>
  <c r="K2157" i="1" a="1"/>
  <c r="K2157" i="1" s="1"/>
  <c r="N2157" i="1" a="1"/>
  <c r="N2157" i="1" s="1"/>
  <c r="P2158" i="1" a="1"/>
  <c r="P2158" i="1" s="1"/>
  <c r="F2158" i="1" a="1"/>
  <c r="F2158" i="1" s="1"/>
  <c r="O2161" i="1" a="1"/>
  <c r="O2161" i="1" s="1"/>
  <c r="N2161" i="1" a="1"/>
  <c r="N2161" i="1" s="1"/>
  <c r="M2160" i="1" a="1"/>
  <c r="M2160" i="1"/>
  <c r="O2159" i="1" a="1"/>
  <c r="O2159" i="1" s="1"/>
  <c r="N2156" i="1" a="1"/>
  <c r="N2156" i="1"/>
  <c r="G2157" i="1" a="1"/>
  <c r="G2157" i="1"/>
  <c r="M2161" i="1" a="1"/>
  <c r="M2161" i="1"/>
  <c r="L2161" i="1" a="1"/>
  <c r="L2161" i="1" s="1"/>
  <c r="M2159" i="1" a="1"/>
  <c r="M2159" i="1" s="1"/>
  <c r="O2158" i="1" a="1"/>
  <c r="O2158" i="1" s="1"/>
  <c r="L2156" i="1" a="1"/>
  <c r="L2156" i="1" s="1"/>
  <c r="Q2156" i="1" a="1"/>
  <c r="Q2156" i="1" s="1"/>
  <c r="P2160" i="1" a="1"/>
  <c r="P2160" i="1" s="1"/>
  <c r="K2161" i="1" a="1"/>
  <c r="K2161" i="1" s="1"/>
  <c r="Q2159" i="1" a="1"/>
  <c r="Q2159" i="1" s="1"/>
  <c r="N2158" i="1" a="1"/>
  <c r="N2158" i="1" s="1"/>
  <c r="O2157" i="1" a="1"/>
  <c r="O2157" i="1"/>
  <c r="J2159" i="1" a="1"/>
  <c r="J2159" i="1"/>
  <c r="J2161" i="1" a="1"/>
  <c r="J2161" i="1" s="1"/>
  <c r="F2159" i="1" a="1"/>
  <c r="F2159" i="1" s="1"/>
  <c r="I2161" i="1" a="1"/>
  <c r="I2161" i="1"/>
  <c r="I2160" i="1" a="1"/>
  <c r="I2160" i="1" s="1"/>
  <c r="G2161" i="1" a="1"/>
  <c r="G2161" i="1"/>
  <c r="F2161" i="1" a="1"/>
  <c r="F2161" i="1" s="1"/>
  <c r="O2160" i="1" a="1"/>
  <c r="O2160" i="1" s="1"/>
  <c r="M2156" i="1" a="1"/>
  <c r="M2156" i="1" s="1"/>
  <c r="L2158" i="1" a="1"/>
  <c r="L2158" i="1" s="1"/>
  <c r="N2160" i="1" a="1"/>
  <c r="N2160" i="1" s="1"/>
  <c r="L2160" i="1" a="1"/>
  <c r="L2160" i="1"/>
  <c r="G2158" i="1" a="1"/>
  <c r="G2158" i="1" s="1"/>
  <c r="M2157" i="1" a="1"/>
  <c r="M2157" i="1" s="1"/>
  <c r="F2160" i="1" a="1"/>
  <c r="F2160" i="1"/>
  <c r="H2161" i="1" a="1"/>
  <c r="H2161" i="1" s="1"/>
  <c r="O2156" i="1" a="1"/>
  <c r="O2156" i="1" s="1"/>
  <c r="Q2160" i="1" a="1"/>
  <c r="Q2160" i="1" s="1"/>
  <c r="L2159" i="1" a="1"/>
  <c r="L2159" i="1"/>
  <c r="J2157" i="1" a="1"/>
  <c r="J2157" i="1" s="1"/>
  <c r="P2157" i="1" a="1"/>
  <c r="P2157" i="1" s="1"/>
  <c r="K2159" i="1" a="1"/>
  <c r="K2159" i="1" s="1"/>
  <c r="Q2157" i="1" a="1"/>
  <c r="Q2157" i="1" s="1"/>
  <c r="H2157" i="1" a="1"/>
  <c r="H2157" i="1" s="1"/>
  <c r="P2156" i="1" a="1"/>
  <c r="P2156" i="1" s="1"/>
  <c r="H2158" i="1" a="1"/>
  <c r="H2158" i="1"/>
  <c r="K2160" i="1" a="1"/>
  <c r="K2160" i="1"/>
  <c r="J2160" i="1" a="1"/>
  <c r="J2160" i="1"/>
  <c r="G2160" i="1" a="1"/>
  <c r="G2160" i="1"/>
  <c r="H2155" i="1" a="1"/>
  <c r="H2155" i="1"/>
  <c r="P2154" i="1" a="1"/>
  <c r="P2154" i="1" s="1"/>
  <c r="O2153" i="1" a="1"/>
  <c r="O2153" i="1" s="1"/>
  <c r="O2152" i="1" a="1"/>
  <c r="O2152" i="1"/>
  <c r="N2152" i="1" a="1"/>
  <c r="N2152" i="1"/>
  <c r="G2155" i="1" a="1"/>
  <c r="G2155" i="1" s="1"/>
  <c r="F2155" i="1" a="1"/>
  <c r="F2155" i="1" s="1"/>
  <c r="L2154" i="1" a="1"/>
  <c r="L2154" i="1" s="1"/>
  <c r="G2154" i="1" a="1"/>
  <c r="G2154" i="1" s="1"/>
  <c r="Q2153" i="1" a="1"/>
  <c r="Q2153" i="1" s="1"/>
  <c r="P2153" i="1" a="1"/>
  <c r="P2153" i="1"/>
  <c r="I2152" i="1" a="1"/>
  <c r="I2152" i="1"/>
  <c r="M2153" i="1" a="1"/>
  <c r="M2153" i="1" s="1"/>
  <c r="H2153" i="1" a="1"/>
  <c r="H2153" i="1" s="1"/>
  <c r="F2153" i="1" a="1"/>
  <c r="F2153" i="1"/>
  <c r="H2152" i="1" a="1"/>
  <c r="H2152" i="1"/>
  <c r="P2151" i="1" a="1"/>
  <c r="P2151" i="1" s="1"/>
  <c r="L2152" i="1" a="1"/>
  <c r="L2152" i="1"/>
  <c r="K2152" i="1" a="1"/>
  <c r="K2152" i="1"/>
  <c r="Q2151" i="1" a="1"/>
  <c r="Q2151" i="1" s="1"/>
  <c r="J2155" i="1" a="1"/>
  <c r="J2155" i="1" s="1"/>
  <c r="O2154" i="1" a="1"/>
  <c r="O2154" i="1" s="1"/>
  <c r="G2152" i="1" a="1"/>
  <c r="G2152" i="1" s="1"/>
  <c r="G2153" i="1" a="1"/>
  <c r="G2153" i="1" s="1"/>
  <c r="H2154" i="1" a="1"/>
  <c r="H2154" i="1" s="1"/>
  <c r="K2153" i="1" a="1"/>
  <c r="K2153" i="1" s="1"/>
  <c r="J2153" i="1" a="1"/>
  <c r="J2153" i="1" s="1"/>
  <c r="I2151" i="1" a="1"/>
  <c r="I2151" i="1"/>
  <c r="N2151" i="1" a="1"/>
  <c r="N2151" i="1"/>
  <c r="L2151" i="1" a="1"/>
  <c r="L2151" i="1" s="1"/>
  <c r="J2151" i="1" a="1"/>
  <c r="J2151" i="1" s="1"/>
  <c r="K2156" i="1" a="1"/>
  <c r="K2156" i="1"/>
  <c r="H2151" i="1" a="1"/>
  <c r="H2151" i="1"/>
  <c r="J2156" i="1" a="1"/>
  <c r="J2156" i="1" s="1"/>
  <c r="I2156" i="1" a="1"/>
  <c r="I2156" i="1" s="1"/>
  <c r="H2156" i="1" a="1"/>
  <c r="H2156" i="1" s="1"/>
  <c r="G2156" i="1" a="1"/>
  <c r="G2156" i="1" s="1"/>
  <c r="F2156" i="1" a="1"/>
  <c r="F2156" i="1" s="1"/>
  <c r="Q2155" i="1" a="1"/>
  <c r="Q2155" i="1" s="1"/>
  <c r="I2155" i="1" a="1"/>
  <c r="I2155" i="1" s="1"/>
  <c r="O2155" i="1" a="1"/>
  <c r="O2155" i="1" s="1"/>
  <c r="N2153" i="1" a="1"/>
  <c r="N2153" i="1"/>
  <c r="P2152" i="1" a="1"/>
  <c r="P2152" i="1" s="1"/>
  <c r="J2154" i="1" a="1"/>
  <c r="J2154" i="1"/>
  <c r="F2154" i="1" a="1"/>
  <c r="F2154" i="1" s="1"/>
  <c r="I2154" i="1" a="1"/>
  <c r="I2154" i="1" s="1"/>
  <c r="L2155" i="1" a="1"/>
  <c r="L2155" i="1"/>
  <c r="N2154" i="1" a="1"/>
  <c r="N2154" i="1" s="1"/>
  <c r="L2153" i="1" a="1"/>
  <c r="L2153" i="1" s="1"/>
  <c r="I2153" i="1" a="1"/>
  <c r="I2153" i="1" s="1"/>
  <c r="F2152" i="1" a="1"/>
  <c r="F2152" i="1" s="1"/>
  <c r="O2151" i="1" a="1"/>
  <c r="O2151" i="1" s="1"/>
  <c r="Q2152" i="1" a="1"/>
  <c r="Q2152" i="1"/>
  <c r="P2155" i="1" a="1"/>
  <c r="P2155" i="1" s="1"/>
  <c r="N2155" i="1" a="1"/>
  <c r="N2155" i="1" s="1"/>
  <c r="M2154" i="1" a="1"/>
  <c r="M2154" i="1"/>
  <c r="M2155" i="1" a="1"/>
  <c r="M2155" i="1"/>
  <c r="K2155" i="1" a="1"/>
  <c r="K2155" i="1" s="1"/>
  <c r="Q2154" i="1" a="1"/>
  <c r="Q2154" i="1"/>
  <c r="J2152" i="1" a="1"/>
  <c r="J2152" i="1"/>
  <c r="M2152" i="1" a="1"/>
  <c r="M2152" i="1" s="1"/>
  <c r="K2154" i="1" a="1"/>
  <c r="K2154" i="1" s="1"/>
  <c r="M2151" i="1" a="1"/>
  <c r="M2151" i="1" s="1"/>
  <c r="K2151" i="1" a="1"/>
  <c r="K2151" i="1" s="1"/>
  <c r="G2149" i="1" a="1"/>
  <c r="G2149" i="1" s="1"/>
  <c r="P2148" i="1" a="1"/>
  <c r="P2148" i="1" s="1"/>
  <c r="I2146" i="1" a="1"/>
  <c r="I2146" i="1"/>
  <c r="N2146" i="1" a="1"/>
  <c r="N2146" i="1" s="1"/>
  <c r="H2148" i="1" a="1"/>
  <c r="H2148" i="1"/>
  <c r="K2147" i="1" a="1"/>
  <c r="K2147" i="1" s="1"/>
  <c r="M2150" i="1" a="1"/>
  <c r="M2150" i="1"/>
  <c r="G2151" i="1" a="1"/>
  <c r="G2151" i="1" s="1"/>
  <c r="H2150" i="1" a="1"/>
  <c r="H2150" i="1" s="1"/>
  <c r="M2149" i="1" a="1"/>
  <c r="M2149" i="1" s="1"/>
  <c r="J2149" i="1" a="1"/>
  <c r="J2149" i="1"/>
  <c r="K2148" i="1" a="1"/>
  <c r="K2148" i="1" s="1"/>
  <c r="F2148" i="1" a="1"/>
  <c r="F2148" i="1" s="1"/>
  <c r="I2147" i="1" a="1"/>
  <c r="I2147" i="1" s="1"/>
  <c r="Q2150" i="1" a="1"/>
  <c r="Q2150" i="1" s="1"/>
  <c r="L2148" i="1" a="1"/>
  <c r="L2148" i="1" s="1"/>
  <c r="P2147" i="1" a="1"/>
  <c r="P2147" i="1" s="1"/>
  <c r="P2146" i="1" a="1"/>
  <c r="P2146" i="1" s="1"/>
  <c r="F2151" i="1" a="1"/>
  <c r="F2151" i="1"/>
  <c r="G2146" i="1" a="1"/>
  <c r="G2146" i="1"/>
  <c r="F2149" i="1" a="1"/>
  <c r="F2149" i="1" s="1"/>
  <c r="O2146" i="1" a="1"/>
  <c r="O2146" i="1" s="1"/>
  <c r="P2150" i="1" a="1"/>
  <c r="P2150" i="1"/>
  <c r="J2147" i="1" a="1"/>
  <c r="J2147" i="1" s="1"/>
  <c r="O2150" i="1" a="1"/>
  <c r="O2150" i="1"/>
  <c r="N2150" i="1" a="1"/>
  <c r="N2150" i="1" s="1"/>
  <c r="L2150" i="1" a="1"/>
  <c r="L2150" i="1" s="1"/>
  <c r="J2146" i="1" a="1"/>
  <c r="J2146" i="1" s="1"/>
  <c r="Q2149" i="1" a="1"/>
  <c r="Q2149" i="1" s="1"/>
  <c r="P2149" i="1" a="1"/>
  <c r="P2149" i="1" s="1"/>
  <c r="J2148" i="1" a="1"/>
  <c r="J2148" i="1" s="1"/>
  <c r="H2149" i="1" a="1"/>
  <c r="H2149" i="1" s="1"/>
  <c r="G2148" i="1" a="1"/>
  <c r="G2148" i="1" s="1"/>
  <c r="N2147" i="1" a="1"/>
  <c r="N2147" i="1" s="1"/>
  <c r="F2147" i="1" a="1"/>
  <c r="F2147" i="1" s="1"/>
  <c r="K2150" i="1" a="1"/>
  <c r="K2150" i="1"/>
  <c r="J2150" i="1" a="1"/>
  <c r="J2150" i="1"/>
  <c r="I2150" i="1" a="1"/>
  <c r="I2150" i="1" s="1"/>
  <c r="I2148" i="1" a="1"/>
  <c r="I2148" i="1" s="1"/>
  <c r="H2147" i="1" a="1"/>
  <c r="H2147" i="1" s="1"/>
  <c r="G2150" i="1" a="1"/>
  <c r="G2150" i="1" s="1"/>
  <c r="O2149" i="1" a="1"/>
  <c r="O2149" i="1" s="1"/>
  <c r="O2147" i="1" a="1"/>
  <c r="O2147" i="1" s="1"/>
  <c r="G2147" i="1" a="1"/>
  <c r="G2147" i="1" s="1"/>
  <c r="K2146" i="1" a="1"/>
  <c r="K2146" i="1"/>
  <c r="L2146" i="1" a="1"/>
  <c r="L2146" i="1" s="1"/>
  <c r="K2149" i="1" a="1"/>
  <c r="K2149" i="1"/>
  <c r="L2149" i="1" a="1"/>
  <c r="L2149" i="1" s="1"/>
  <c r="Q2148" i="1" a="1"/>
  <c r="Q2148" i="1" s="1"/>
  <c r="M2147" i="1" a="1"/>
  <c r="M2147" i="1" s="1"/>
  <c r="N2148" i="1" a="1"/>
  <c r="N2148" i="1" s="1"/>
  <c r="Q2146" i="1" a="1"/>
  <c r="Q2146" i="1" s="1"/>
  <c r="H2146" i="1" a="1"/>
  <c r="H2146" i="1" s="1"/>
  <c r="M2146" i="1" a="1"/>
  <c r="M2146" i="1" s="1"/>
  <c r="F2150" i="1" a="1"/>
  <c r="F2150" i="1" s="1"/>
  <c r="M2148" i="1" a="1"/>
  <c r="M2148" i="1" s="1"/>
  <c r="N2149" i="1" a="1"/>
  <c r="N2149" i="1" s="1"/>
  <c r="L2147" i="1" a="1"/>
  <c r="L2147" i="1" s="1"/>
  <c r="O2148" i="1" a="1"/>
  <c r="O2148" i="1"/>
  <c r="I2149" i="1" a="1"/>
  <c r="I2149" i="1" s="1"/>
  <c r="Q2147" i="1" a="1"/>
  <c r="Q2147" i="1" s="1"/>
  <c r="G2144" i="1" a="1"/>
  <c r="G2144" i="1" s="1"/>
  <c r="H2142" i="1" a="1"/>
  <c r="H2142" i="1"/>
  <c r="F2144" i="1" a="1"/>
  <c r="F2144" i="1"/>
  <c r="M2142" i="1" a="1"/>
  <c r="M2142" i="1"/>
  <c r="Q2143" i="1" a="1"/>
  <c r="Q2143" i="1" s="1"/>
  <c r="Q2141" i="1" a="1"/>
  <c r="Q2141" i="1" s="1"/>
  <c r="K2143" i="1" a="1"/>
  <c r="K2143" i="1" s="1"/>
  <c r="K2141" i="1" a="1"/>
  <c r="K2141" i="1" s="1"/>
  <c r="J2143" i="1" a="1"/>
  <c r="J2143" i="1" s="1"/>
  <c r="P2141" i="1" a="1"/>
  <c r="P2141" i="1" s="1"/>
  <c r="P2142" i="1" a="1"/>
  <c r="P2142" i="1" s="1"/>
  <c r="Q2142" i="1" a="1"/>
  <c r="Q2142" i="1" s="1"/>
  <c r="M2141" i="1" a="1"/>
  <c r="M2141" i="1"/>
  <c r="F2146" i="1" a="1"/>
  <c r="F2146" i="1" s="1"/>
  <c r="L2142" i="1" a="1"/>
  <c r="L2142" i="1" s="1"/>
  <c r="J2144" i="1" a="1"/>
  <c r="J2144" i="1"/>
  <c r="J2142" i="1" a="1"/>
  <c r="J2142" i="1"/>
  <c r="Q2145" i="1" a="1"/>
  <c r="Q2145" i="1" s="1"/>
  <c r="P2145" i="1" a="1"/>
  <c r="P2145" i="1" s="1"/>
  <c r="O2145" i="1" a="1"/>
  <c r="O2145" i="1" s="1"/>
  <c r="N2145" i="1" a="1"/>
  <c r="N2145" i="1" s="1"/>
  <c r="H2144" i="1" a="1"/>
  <c r="H2144" i="1" s="1"/>
  <c r="I2142" i="1" a="1"/>
  <c r="I2142" i="1" s="1"/>
  <c r="F2141" i="1" a="1"/>
  <c r="F2141" i="1" s="1"/>
  <c r="M2145" i="1" a="1"/>
  <c r="M2145" i="1" s="1"/>
  <c r="L2145" i="1" a="1"/>
  <c r="L2145" i="1" s="1"/>
  <c r="K2145" i="1" a="1"/>
  <c r="K2145" i="1" s="1"/>
  <c r="P2140" i="1" a="1"/>
  <c r="P2140" i="1"/>
  <c r="P2144" i="1" a="1"/>
  <c r="P2144" i="1" s="1"/>
  <c r="P2143" i="1" a="1"/>
  <c r="P2143" i="1" s="1"/>
  <c r="I2143" i="1" a="1"/>
  <c r="I2143" i="1"/>
  <c r="I2141" i="1" a="1"/>
  <c r="I2141" i="1" s="1"/>
  <c r="H2141" i="1" a="1"/>
  <c r="H2141" i="1" s="1"/>
  <c r="L2141" i="1" a="1"/>
  <c r="L2141" i="1"/>
  <c r="N2142" i="1" a="1"/>
  <c r="N2142" i="1" s="1"/>
  <c r="K2142" i="1" a="1"/>
  <c r="K2142" i="1" s="1"/>
  <c r="J2145" i="1" a="1"/>
  <c r="J2145" i="1" s="1"/>
  <c r="M2143" i="1" a="1"/>
  <c r="M2143" i="1" s="1"/>
  <c r="G2143" i="1" a="1"/>
  <c r="G2143" i="1" s="1"/>
  <c r="N2143" i="1" a="1"/>
  <c r="N2143" i="1" s="1"/>
  <c r="I2145" i="1" a="1"/>
  <c r="I2145" i="1" s="1"/>
  <c r="F2145" i="1" a="1"/>
  <c r="F2145" i="1"/>
  <c r="H2143" i="1" a="1"/>
  <c r="H2143" i="1" s="1"/>
  <c r="L2144" i="1" a="1"/>
  <c r="L2144" i="1" s="1"/>
  <c r="F2143" i="1" a="1"/>
  <c r="F2143" i="1" s="1"/>
  <c r="H2145" i="1" a="1"/>
  <c r="H2145" i="1" s="1"/>
  <c r="N2144" i="1" a="1"/>
  <c r="N2144" i="1" s="1"/>
  <c r="G2145" i="1" a="1"/>
  <c r="G2145" i="1" s="1"/>
  <c r="Q2144" i="1" a="1"/>
  <c r="Q2144" i="1" s="1"/>
  <c r="O2141" i="1" a="1"/>
  <c r="O2141" i="1" s="1"/>
  <c r="K2144" i="1" a="1"/>
  <c r="K2144" i="1" s="1"/>
  <c r="F2142" i="1" a="1"/>
  <c r="F2142" i="1" s="1"/>
  <c r="L2143" i="1" a="1"/>
  <c r="L2143" i="1" s="1"/>
  <c r="Q2140" i="1" a="1"/>
  <c r="Q2140" i="1"/>
  <c r="O2142" i="1" a="1"/>
  <c r="O2142" i="1" s="1"/>
  <c r="O2144" i="1" a="1"/>
  <c r="O2144" i="1"/>
  <c r="N2141" i="1" a="1"/>
  <c r="N2141" i="1" s="1"/>
  <c r="M2144" i="1" a="1"/>
  <c r="M2144" i="1"/>
  <c r="O2143" i="1" a="1"/>
  <c r="O2143" i="1" s="1"/>
  <c r="G2142" i="1" a="1"/>
  <c r="G2142" i="1" s="1"/>
  <c r="O2140" i="1" a="1"/>
  <c r="O2140" i="1"/>
  <c r="I2144" i="1" a="1"/>
  <c r="I2144" i="1" s="1"/>
  <c r="J2141" i="1" a="1"/>
  <c r="J2141" i="1" s="1"/>
  <c r="G2141" i="1" a="1"/>
  <c r="G2141" i="1" s="1"/>
  <c r="M2135" i="1" a="1"/>
  <c r="M2135" i="1" s="1"/>
  <c r="F2136" i="1" a="1"/>
  <c r="F2136" i="1" s="1"/>
  <c r="Q2136" i="1" a="1"/>
  <c r="Q2136" i="1" s="1"/>
  <c r="N2137" i="1" a="1"/>
  <c r="N2137" i="1"/>
  <c r="H2136" i="1" a="1"/>
  <c r="H2136" i="1"/>
  <c r="P2136" i="1" a="1"/>
  <c r="P2136" i="1"/>
  <c r="K2139" i="1" a="1"/>
  <c r="K2139" i="1"/>
  <c r="O2138" i="1" a="1"/>
  <c r="O2138" i="1"/>
  <c r="I2138" i="1" a="1"/>
  <c r="I2138" i="1"/>
  <c r="Q2137" i="1" a="1"/>
  <c r="Q2137" i="1" s="1"/>
  <c r="L2137" i="1" a="1"/>
  <c r="L2137" i="1" s="1"/>
  <c r="P2135" i="1" a="1"/>
  <c r="P2135" i="1"/>
  <c r="I2137" i="1" a="1"/>
  <c r="I2137" i="1" s="1"/>
  <c r="G2137" i="1" a="1"/>
  <c r="G2137" i="1"/>
  <c r="N2136" i="1" a="1"/>
  <c r="N2136" i="1"/>
  <c r="K2135" i="1" a="1"/>
  <c r="K2135" i="1" s="1"/>
  <c r="O2139" i="1" a="1"/>
  <c r="O2139" i="1" s="1"/>
  <c r="I2140" i="1" a="1"/>
  <c r="I2140" i="1"/>
  <c r="H2140" i="1" a="1"/>
  <c r="H2140" i="1"/>
  <c r="K2137" i="1" a="1"/>
  <c r="K2137" i="1" s="1"/>
  <c r="P2139" i="1" a="1"/>
  <c r="P2139" i="1" s="1"/>
  <c r="P2138" i="1" a="1"/>
  <c r="P2138" i="1" s="1"/>
  <c r="J2137" i="1" a="1"/>
  <c r="J2137" i="1" s="1"/>
  <c r="M2136" i="1" a="1"/>
  <c r="M2136" i="1" s="1"/>
  <c r="Q2135" i="1" a="1"/>
  <c r="Q2135" i="1"/>
  <c r="N2138" i="1" a="1"/>
  <c r="N2138" i="1"/>
  <c r="H2138" i="1" a="1"/>
  <c r="H2138" i="1" s="1"/>
  <c r="K2138" i="1" a="1"/>
  <c r="K2138" i="1" s="1"/>
  <c r="J2138" i="1" a="1"/>
  <c r="J2138" i="1" s="1"/>
  <c r="O2135" i="1" a="1"/>
  <c r="O2135" i="1" s="1"/>
  <c r="N2135" i="1" a="1"/>
  <c r="N2135" i="1" s="1"/>
  <c r="G2138" i="1" a="1"/>
  <c r="G2138" i="1"/>
  <c r="K2136" i="1" a="1"/>
  <c r="K2136" i="1"/>
  <c r="F2138" i="1" a="1"/>
  <c r="F2138" i="1"/>
  <c r="O2137" i="1" a="1"/>
  <c r="O2137" i="1"/>
  <c r="N2140" i="1" a="1"/>
  <c r="N2140" i="1" s="1"/>
  <c r="F2139" i="1" a="1"/>
  <c r="F2139" i="1" s="1"/>
  <c r="Q2138" i="1" a="1"/>
  <c r="Q2138" i="1" s="1"/>
  <c r="J2140" i="1" a="1"/>
  <c r="J2140" i="1" s="1"/>
  <c r="G2140" i="1" a="1"/>
  <c r="G2140" i="1"/>
  <c r="N2139" i="1" a="1"/>
  <c r="N2139" i="1" s="1"/>
  <c r="M2138" i="1" a="1"/>
  <c r="M2138" i="1" s="1"/>
  <c r="L2138" i="1" a="1"/>
  <c r="L2138" i="1" s="1"/>
  <c r="O2136" i="1" a="1"/>
  <c r="O2136" i="1"/>
  <c r="I2136" i="1" a="1"/>
  <c r="I2136" i="1" s="1"/>
  <c r="L2139" i="1" a="1"/>
  <c r="L2139" i="1"/>
  <c r="H2137" i="1" a="1"/>
  <c r="H2137" i="1"/>
  <c r="L2135" i="1" a="1"/>
  <c r="L2135" i="1" s="1"/>
  <c r="I2139" i="1" a="1"/>
  <c r="I2139" i="1" s="1"/>
  <c r="M2139" i="1" a="1"/>
  <c r="M2139" i="1"/>
  <c r="J2139" i="1" a="1"/>
  <c r="J2139" i="1"/>
  <c r="P2137" i="1" a="1"/>
  <c r="P2137" i="1" s="1"/>
  <c r="G2139" i="1" a="1"/>
  <c r="G2139" i="1" s="1"/>
  <c r="L2136" i="1" a="1"/>
  <c r="L2136" i="1" s="1"/>
  <c r="J2136" i="1" a="1"/>
  <c r="J2136" i="1" s="1"/>
  <c r="F2137" i="1" a="1"/>
  <c r="F2137" i="1"/>
  <c r="M2140" i="1" a="1"/>
  <c r="M2140" i="1"/>
  <c r="L2140" i="1" a="1"/>
  <c r="L2140" i="1" s="1"/>
  <c r="K2140" i="1" a="1"/>
  <c r="K2140" i="1" s="1"/>
  <c r="F2140" i="1" a="1"/>
  <c r="F2140" i="1" s="1"/>
  <c r="Q2139" i="1" a="1"/>
  <c r="Q2139" i="1" s="1"/>
  <c r="H2139" i="1" a="1"/>
  <c r="H2139" i="1"/>
  <c r="M2137" i="1" a="1"/>
  <c r="M2137" i="1"/>
  <c r="G2136" i="1" a="1"/>
  <c r="G2136" i="1"/>
  <c r="K2130" i="1" a="1"/>
  <c r="K2130" i="1"/>
  <c r="M2131" i="1" a="1"/>
  <c r="M2131" i="1"/>
  <c r="H2132" i="1" a="1"/>
  <c r="H2132" i="1"/>
  <c r="P2132" i="1" a="1"/>
  <c r="P2132" i="1"/>
  <c r="O2134" i="1" a="1"/>
  <c r="O2134" i="1"/>
  <c r="I2133" i="1" a="1"/>
  <c r="I2133" i="1"/>
  <c r="F2133" i="1" a="1"/>
  <c r="F2133" i="1" s="1"/>
  <c r="N2132" i="1" a="1"/>
  <c r="N2132" i="1" s="1"/>
  <c r="I2132" i="1" a="1"/>
  <c r="I2132" i="1" s="1"/>
  <c r="I2131" i="1" a="1"/>
  <c r="I2131" i="1"/>
  <c r="L2130" i="1" a="1"/>
  <c r="L2130" i="1" s="1"/>
  <c r="J2130" i="1" a="1"/>
  <c r="J2130" i="1"/>
  <c r="F2135" i="1" a="1"/>
  <c r="F2135" i="1" s="1"/>
  <c r="K2131" i="1" a="1"/>
  <c r="K2131" i="1" s="1"/>
  <c r="G2134" i="1" a="1"/>
  <c r="G2134" i="1" s="1"/>
  <c r="Q2133" i="1" a="1"/>
  <c r="Q2133" i="1" s="1"/>
  <c r="P2133" i="1" a="1"/>
  <c r="P2133" i="1"/>
  <c r="F2131" i="1" a="1"/>
  <c r="F2131" i="1"/>
  <c r="H2131" i="1" a="1"/>
  <c r="H2131" i="1" s="1"/>
  <c r="Q2130" i="1" a="1"/>
  <c r="Q2130" i="1" s="1"/>
  <c r="L2133" i="1" a="1"/>
  <c r="L2133" i="1" s="1"/>
  <c r="G2132" i="1" a="1"/>
  <c r="G2132" i="1" s="1"/>
  <c r="P2134" i="1" a="1"/>
  <c r="P2134" i="1" s="1"/>
  <c r="Q2131" i="1" a="1"/>
  <c r="Q2131" i="1"/>
  <c r="J2131" i="1" a="1"/>
  <c r="J2131" i="1" s="1"/>
  <c r="N2131" i="1" a="1"/>
  <c r="N2131" i="1" s="1"/>
  <c r="H2135" i="1" a="1"/>
  <c r="H2135" i="1"/>
  <c r="H2134" i="1" a="1"/>
  <c r="H2134" i="1"/>
  <c r="G2131" i="1" a="1"/>
  <c r="G2131" i="1"/>
  <c r="H2130" i="1" a="1"/>
  <c r="H2130" i="1"/>
  <c r="I2130" i="1" a="1"/>
  <c r="I2130" i="1"/>
  <c r="F2132" i="1" a="1"/>
  <c r="F2132" i="1" s="1"/>
  <c r="L2134" i="1" a="1"/>
  <c r="L2134" i="1" s="1"/>
  <c r="J2135" i="1" a="1"/>
  <c r="J2135" i="1"/>
  <c r="I2135" i="1" a="1"/>
  <c r="I2135" i="1"/>
  <c r="K2134" i="1" a="1"/>
  <c r="K2134" i="1"/>
  <c r="N2133" i="1" a="1"/>
  <c r="N2133" i="1" s="1"/>
  <c r="O2132" i="1" a="1"/>
  <c r="O2132" i="1" s="1"/>
  <c r="L2132" i="1" a="1"/>
  <c r="L2132" i="1" s="1"/>
  <c r="I2134" i="1" a="1"/>
  <c r="I2134" i="1" s="1"/>
  <c r="O2130" i="1" a="1"/>
  <c r="O2130" i="1"/>
  <c r="G2133" i="1" a="1"/>
  <c r="G2133" i="1" s="1"/>
  <c r="P2131" i="1" a="1"/>
  <c r="P2131" i="1" s="1"/>
  <c r="M2132" i="1" a="1"/>
  <c r="M2132" i="1" s="1"/>
  <c r="K2133" i="1" a="1"/>
  <c r="K2133" i="1" s="1"/>
  <c r="N2134" i="1" a="1"/>
  <c r="N2134" i="1"/>
  <c r="M2130" i="1" a="1"/>
  <c r="M2130" i="1"/>
  <c r="K2132" i="1" a="1"/>
  <c r="K2132" i="1" s="1"/>
  <c r="H2133" i="1" a="1"/>
  <c r="H2133" i="1" s="1"/>
  <c r="O2133" i="1" a="1"/>
  <c r="O2133" i="1"/>
  <c r="L2131" i="1" a="1"/>
  <c r="L2131" i="1" s="1"/>
  <c r="G2130" i="1" a="1"/>
  <c r="G2130" i="1" s="1"/>
  <c r="O2131" i="1" a="1"/>
  <c r="O2131" i="1" s="1"/>
  <c r="F2134" i="1" a="1"/>
  <c r="F2134" i="1" s="1"/>
  <c r="G2135" i="1" a="1"/>
  <c r="G2135" i="1" s="1"/>
  <c r="Q2134" i="1" a="1"/>
  <c r="Q2134" i="1"/>
  <c r="M2134" i="1" a="1"/>
  <c r="M2134" i="1"/>
  <c r="J2134" i="1" a="1"/>
  <c r="J2134" i="1"/>
  <c r="J2132" i="1" a="1"/>
  <c r="J2132" i="1" s="1"/>
  <c r="N2130" i="1" a="1"/>
  <c r="N2130" i="1" s="1"/>
  <c r="M2133" i="1" a="1"/>
  <c r="M2133" i="1" s="1"/>
  <c r="J2133" i="1" a="1"/>
  <c r="J2133" i="1" s="1"/>
  <c r="Q2132" i="1" a="1"/>
  <c r="Q2132" i="1" s="1"/>
  <c r="P2130" i="1" a="1"/>
  <c r="P2130" i="1"/>
  <c r="Q2127" i="1" a="1"/>
  <c r="Q2127" i="1" s="1"/>
  <c r="H2127" i="1" a="1"/>
  <c r="H2127" i="1"/>
  <c r="K2128" i="1" a="1"/>
  <c r="K2128" i="1" s="1"/>
  <c r="O2125" i="1" a="1"/>
  <c r="O2125" i="1"/>
  <c r="J2128" i="1" a="1"/>
  <c r="J2128" i="1" s="1"/>
  <c r="N2126" i="1" a="1"/>
  <c r="N2126" i="1"/>
  <c r="Q2125" i="1" a="1"/>
  <c r="Q2125" i="1" s="1"/>
  <c r="H2128" i="1" a="1"/>
  <c r="H2128" i="1" s="1"/>
  <c r="F2127" i="1" a="1"/>
  <c r="F2127" i="1"/>
  <c r="O2124" i="1" a="1"/>
  <c r="O2124" i="1"/>
  <c r="P2126" i="1" a="1"/>
  <c r="P2126" i="1" s="1"/>
  <c r="L2126" i="1" a="1"/>
  <c r="L2126" i="1"/>
  <c r="M2125" i="1" a="1"/>
  <c r="M2125" i="1" s="1"/>
  <c r="P2125" i="1" a="1"/>
  <c r="P2125" i="1" s="1"/>
  <c r="K2125" i="1" a="1"/>
  <c r="K2125" i="1" s="1"/>
  <c r="O2129" i="1" a="1"/>
  <c r="O2129" i="1" s="1"/>
  <c r="I2129" i="1" a="1"/>
  <c r="I2129" i="1" s="1"/>
  <c r="M2127" i="1" a="1"/>
  <c r="M2127" i="1"/>
  <c r="Q2126" i="1" a="1"/>
  <c r="Q2126" i="1" s="1"/>
  <c r="N2125" i="1" a="1"/>
  <c r="N2125" i="1" s="1"/>
  <c r="P2128" i="1" a="1"/>
  <c r="P2128" i="1"/>
  <c r="G2128" i="1" a="1"/>
  <c r="G2128" i="1"/>
  <c r="O2127" i="1" a="1"/>
  <c r="O2127" i="1"/>
  <c r="L2127" i="1" a="1"/>
  <c r="L2127" i="1"/>
  <c r="J2127" i="1" a="1"/>
  <c r="J2127" i="1" s="1"/>
  <c r="F2126" i="1" a="1"/>
  <c r="F2126" i="1"/>
  <c r="J2125" i="1" a="1"/>
  <c r="J2125" i="1"/>
  <c r="H2129" i="1" a="1"/>
  <c r="H2129" i="1" s="1"/>
  <c r="O2126" i="1" a="1"/>
  <c r="O2126" i="1" s="1"/>
  <c r="L2129" i="1" a="1"/>
  <c r="L2129" i="1" s="1"/>
  <c r="F2130" i="1" a="1"/>
  <c r="F2130" i="1" s="1"/>
  <c r="Q2129" i="1" a="1"/>
  <c r="Q2129" i="1"/>
  <c r="J2129" i="1" a="1"/>
  <c r="J2129" i="1"/>
  <c r="P2129" i="1" a="1"/>
  <c r="P2129" i="1" s="1"/>
  <c r="F2128" i="1" a="1"/>
  <c r="F2128" i="1"/>
  <c r="G2127" i="1" a="1"/>
  <c r="G2127" i="1" s="1"/>
  <c r="K2129" i="1" a="1"/>
  <c r="K2129" i="1" s="1"/>
  <c r="J2126" i="1" a="1"/>
  <c r="J2126" i="1"/>
  <c r="K2127" i="1" a="1"/>
  <c r="K2127" i="1"/>
  <c r="N2129" i="1" a="1"/>
  <c r="N2129" i="1"/>
  <c r="M2129" i="1" a="1"/>
  <c r="M2129" i="1" s="1"/>
  <c r="F2125" i="1" a="1"/>
  <c r="F2125" i="1" s="1"/>
  <c r="Q2124" i="1" a="1"/>
  <c r="Q2124" i="1" s="1"/>
  <c r="G2129" i="1" a="1"/>
  <c r="G2129" i="1" s="1"/>
  <c r="F2129" i="1" a="1"/>
  <c r="F2129" i="1" s="1"/>
  <c r="N2128" i="1" a="1"/>
  <c r="N2128" i="1" s="1"/>
  <c r="N2127" i="1" a="1"/>
  <c r="N2127" i="1" s="1"/>
  <c r="I2125" i="1" a="1"/>
  <c r="I2125" i="1" s="1"/>
  <c r="L2128" i="1" a="1"/>
  <c r="L2128" i="1" s="1"/>
  <c r="P2124" i="1" a="1"/>
  <c r="P2124" i="1"/>
  <c r="M2126" i="1" a="1"/>
  <c r="M2126" i="1"/>
  <c r="H2126" i="1" a="1"/>
  <c r="H2126" i="1"/>
  <c r="K2126" i="1" a="1"/>
  <c r="K2126" i="1"/>
  <c r="I2127" i="1" a="1"/>
  <c r="I2127" i="1"/>
  <c r="H2125" i="1" a="1"/>
  <c r="H2125" i="1"/>
  <c r="G2125" i="1" a="1"/>
  <c r="G2125" i="1" s="1"/>
  <c r="I2128" i="1" a="1"/>
  <c r="I2128" i="1" s="1"/>
  <c r="Q2128" i="1" a="1"/>
  <c r="Q2128" i="1" s="1"/>
  <c r="L2125" i="1" a="1"/>
  <c r="L2125" i="1" s="1"/>
  <c r="P2127" i="1" a="1"/>
  <c r="P2127" i="1" s="1"/>
  <c r="O2128" i="1" a="1"/>
  <c r="O2128" i="1"/>
  <c r="I2126" i="1" a="1"/>
  <c r="I2126" i="1"/>
  <c r="G2126" i="1" a="1"/>
  <c r="G2126" i="1" s="1"/>
  <c r="M2128" i="1" a="1"/>
  <c r="M2128" i="1"/>
  <c r="K2122" i="1" a="1"/>
  <c r="K2122" i="1" s="1"/>
  <c r="H2122" i="1" a="1"/>
  <c r="H2122" i="1" s="1"/>
  <c r="O2121" i="1" a="1"/>
  <c r="O2121" i="1"/>
  <c r="H2124" i="1" a="1"/>
  <c r="H2124" i="1"/>
  <c r="N2120" i="1" a="1"/>
  <c r="N2120" i="1"/>
  <c r="N2119" i="1" a="1"/>
  <c r="N2119" i="1"/>
  <c r="H2120" i="1" a="1"/>
  <c r="H2120" i="1" s="1"/>
  <c r="Q2119" i="1" a="1"/>
  <c r="Q2119" i="1"/>
  <c r="O2120" i="1" a="1"/>
  <c r="O2120" i="1" s="1"/>
  <c r="G2123" i="1" a="1"/>
  <c r="G2123" i="1" s="1"/>
  <c r="L2122" i="1" a="1"/>
  <c r="L2122" i="1"/>
  <c r="I2120" i="1" a="1"/>
  <c r="I2120" i="1"/>
  <c r="P2120" i="1" a="1"/>
  <c r="P2120" i="1" s="1"/>
  <c r="M2121" i="1" a="1"/>
  <c r="M2121" i="1" s="1"/>
  <c r="F2121" i="1" a="1"/>
  <c r="F2121" i="1"/>
  <c r="Q2123" i="1" a="1"/>
  <c r="Q2123" i="1"/>
  <c r="I2123" i="1" a="1"/>
  <c r="I2123" i="1"/>
  <c r="H2123" i="1" a="1"/>
  <c r="H2123" i="1"/>
  <c r="Q2122" i="1" a="1"/>
  <c r="Q2122" i="1"/>
  <c r="N2123" i="1" a="1"/>
  <c r="N2123" i="1"/>
  <c r="F2123" i="1" a="1"/>
  <c r="F2123" i="1" s="1"/>
  <c r="Q2120" i="1" a="1"/>
  <c r="Q2120" i="1" s="1"/>
  <c r="P2122" i="1" a="1"/>
  <c r="P2122" i="1" s="1"/>
  <c r="J2122" i="1" a="1"/>
  <c r="J2122" i="1"/>
  <c r="I2121" i="1" a="1"/>
  <c r="I2121" i="1"/>
  <c r="L2119" i="1" a="1"/>
  <c r="L2119" i="1" s="1"/>
  <c r="L2123" i="1" a="1"/>
  <c r="L2123" i="1" s="1"/>
  <c r="P2119" i="1" a="1"/>
  <c r="P2119" i="1" s="1"/>
  <c r="O2119" i="1" a="1"/>
  <c r="O2119" i="1"/>
  <c r="F2122" i="1" a="1"/>
  <c r="F2122" i="1" s="1"/>
  <c r="K2123" i="1" a="1"/>
  <c r="K2123" i="1" s="1"/>
  <c r="L2121" i="1" a="1"/>
  <c r="L2121" i="1" s="1"/>
  <c r="K2120" i="1" a="1"/>
  <c r="K2120" i="1" s="1"/>
  <c r="K2121" i="1" a="1"/>
  <c r="K2121" i="1"/>
  <c r="H2121" i="1" a="1"/>
  <c r="H2121" i="1" s="1"/>
  <c r="N2124" i="1" a="1"/>
  <c r="N2124" i="1" s="1"/>
  <c r="M2124" i="1" a="1"/>
  <c r="M2124" i="1" s="1"/>
  <c r="O2123" i="1" a="1"/>
  <c r="O2123" i="1" s="1"/>
  <c r="N2121" i="1" a="1"/>
  <c r="N2121" i="1" s="1"/>
  <c r="O2122" i="1" a="1"/>
  <c r="O2122" i="1" s="1"/>
  <c r="J2121" i="1" a="1"/>
  <c r="J2121" i="1" s="1"/>
  <c r="K2119" i="1" a="1"/>
  <c r="K2119" i="1" s="1"/>
  <c r="L2124" i="1" a="1"/>
  <c r="L2124" i="1" s="1"/>
  <c r="L2120" i="1" a="1"/>
  <c r="L2120" i="1"/>
  <c r="M2119" i="1" a="1"/>
  <c r="M2119" i="1"/>
  <c r="P2123" i="1" a="1"/>
  <c r="P2123" i="1"/>
  <c r="G2121" i="1" a="1"/>
  <c r="G2121" i="1" s="1"/>
  <c r="J2123" i="1" a="1"/>
  <c r="J2123" i="1"/>
  <c r="F2124" i="1" a="1"/>
  <c r="F2124" i="1" s="1"/>
  <c r="P2121" i="1" a="1"/>
  <c r="P2121" i="1" s="1"/>
  <c r="Q2121" i="1" a="1"/>
  <c r="Q2121" i="1" s="1"/>
  <c r="M2123" i="1" a="1"/>
  <c r="M2123" i="1" s="1"/>
  <c r="G2120" i="1" a="1"/>
  <c r="G2120" i="1" s="1"/>
  <c r="F2120" i="1" a="1"/>
  <c r="F2120" i="1" s="1"/>
  <c r="I2122" i="1" a="1"/>
  <c r="I2122" i="1" s="1"/>
  <c r="K2124" i="1" a="1"/>
  <c r="K2124" i="1" s="1"/>
  <c r="M2122" i="1" a="1"/>
  <c r="M2122" i="1" s="1"/>
  <c r="J2124" i="1" a="1"/>
  <c r="J2124" i="1"/>
  <c r="I2124" i="1" a="1"/>
  <c r="I2124" i="1" s="1"/>
  <c r="G2124" i="1" a="1"/>
  <c r="G2124" i="1" s="1"/>
  <c r="N2122" i="1" a="1"/>
  <c r="N2122" i="1" s="1"/>
  <c r="M2120" i="1" a="1"/>
  <c r="M2120" i="1" s="1"/>
  <c r="J2120" i="1" a="1"/>
  <c r="J2120" i="1" s="1"/>
  <c r="G2122" i="1" a="1"/>
  <c r="G2122" i="1" s="1"/>
  <c r="G2117" i="1" a="1"/>
  <c r="G2117" i="1" s="1"/>
  <c r="F2117" i="1" a="1"/>
  <c r="F2117" i="1" s="1"/>
  <c r="Q2115" i="1" a="1"/>
  <c r="Q2115" i="1"/>
  <c r="M2115" i="1" a="1"/>
  <c r="M2115" i="1" s="1"/>
  <c r="K2115" i="1" a="1"/>
  <c r="K2115" i="1" s="1"/>
  <c r="Q2116" i="1" a="1"/>
  <c r="Q2116" i="1" s="1"/>
  <c r="M2117" i="1" a="1"/>
  <c r="M2117" i="1" s="1"/>
  <c r="L2117" i="1" a="1"/>
  <c r="L2117" i="1" s="1"/>
  <c r="K2117" i="1" a="1"/>
  <c r="K2117" i="1"/>
  <c r="H2117" i="1" a="1"/>
  <c r="H2117" i="1"/>
  <c r="N2116" i="1" a="1"/>
  <c r="N2116" i="1"/>
  <c r="P2115" i="1" a="1"/>
  <c r="P2115" i="1" s="1"/>
  <c r="L2116" i="1" a="1"/>
  <c r="L2116" i="1" s="1"/>
  <c r="N2115" i="1" a="1"/>
  <c r="N2115" i="1"/>
  <c r="L2115" i="1" a="1"/>
  <c r="L2115" i="1" s="1"/>
  <c r="J2115" i="1" a="1"/>
  <c r="J2115" i="1" s="1"/>
  <c r="F2115" i="1" a="1"/>
  <c r="F2115" i="1"/>
  <c r="J2119" i="1" a="1"/>
  <c r="J2119" i="1"/>
  <c r="I2119" i="1" a="1"/>
  <c r="I2119" i="1"/>
  <c r="H2119" i="1" a="1"/>
  <c r="H2119" i="1" s="1"/>
  <c r="G2119" i="1" a="1"/>
  <c r="G2119" i="1"/>
  <c r="G2118" i="1" a="1"/>
  <c r="G2118" i="1" s="1"/>
  <c r="G2115" i="1" a="1"/>
  <c r="G2115" i="1"/>
  <c r="O2115" i="1" a="1"/>
  <c r="O2115" i="1" s="1"/>
  <c r="G2116" i="1" a="1"/>
  <c r="G2116" i="1" s="1"/>
  <c r="F2119" i="1" a="1"/>
  <c r="F2119" i="1" s="1"/>
  <c r="Q2118" i="1" a="1"/>
  <c r="Q2118" i="1" s="1"/>
  <c r="P2118" i="1" a="1"/>
  <c r="P2118" i="1"/>
  <c r="H2116" i="1" a="1"/>
  <c r="H2116" i="1"/>
  <c r="O2118" i="1" a="1"/>
  <c r="O2118" i="1"/>
  <c r="H2118" i="1" a="1"/>
  <c r="H2118" i="1" s="1"/>
  <c r="M2118" i="1" a="1"/>
  <c r="M2118" i="1" s="1"/>
  <c r="O2116" i="1" a="1"/>
  <c r="O2116" i="1"/>
  <c r="L2118" i="1" a="1"/>
  <c r="L2118" i="1"/>
  <c r="N2118" i="1" a="1"/>
  <c r="N2118" i="1"/>
  <c r="P2117" i="1" a="1"/>
  <c r="P2117" i="1"/>
  <c r="J2116" i="1" a="1"/>
  <c r="J2116" i="1" s="1"/>
  <c r="P2116" i="1" a="1"/>
  <c r="P2116" i="1"/>
  <c r="K2118" i="1" a="1"/>
  <c r="K2118" i="1"/>
  <c r="J2118" i="1" a="1"/>
  <c r="J2118" i="1"/>
  <c r="I2117" i="1" a="1"/>
  <c r="I2117" i="1" s="1"/>
  <c r="I2118" i="1" a="1"/>
  <c r="I2118" i="1"/>
  <c r="I2116" i="1" a="1"/>
  <c r="I2116" i="1"/>
  <c r="O2117" i="1" a="1"/>
  <c r="O2117" i="1"/>
  <c r="M2116" i="1" a="1"/>
  <c r="M2116" i="1"/>
  <c r="H2115" i="1" a="1"/>
  <c r="H2115" i="1" s="1"/>
  <c r="K2116" i="1" a="1"/>
  <c r="K2116" i="1" s="1"/>
  <c r="I2115" i="1" a="1"/>
  <c r="I2115" i="1" s="1"/>
  <c r="F2118" i="1" a="1"/>
  <c r="F2118" i="1"/>
  <c r="Q2117" i="1" a="1"/>
  <c r="Q2117" i="1"/>
  <c r="N2117" i="1" a="1"/>
  <c r="N2117" i="1" s="1"/>
  <c r="F2116" i="1" a="1"/>
  <c r="F2116" i="1"/>
  <c r="J2117" i="1" a="1"/>
  <c r="J2117" i="1" s="1"/>
  <c r="I2020" i="1" a="1"/>
  <c r="I2020" i="1" s="1"/>
  <c r="H2020" i="1" a="1"/>
  <c r="H2020" i="1" s="1"/>
  <c r="P2018" i="1" a="1"/>
  <c r="P2018" i="1" s="1"/>
  <c r="P2019" i="1" s="1" a="1"/>
  <c r="P2019" i="1" s="1"/>
  <c r="Q2019" i="1" a="1"/>
  <c r="Q2019" i="1" s="1"/>
  <c r="K2019" i="1" a="1"/>
  <c r="K2019" i="1" s="1"/>
  <c r="Q2021" i="1" a="1"/>
  <c r="Q2021" i="1" s="1"/>
  <c r="K2020" i="1" a="1"/>
  <c r="K2020" i="1" s="1"/>
  <c r="N2021" i="1" a="1"/>
  <c r="N2021" i="1"/>
  <c r="Q2020" i="1" a="1"/>
  <c r="Q2020" i="1"/>
  <c r="I2021" i="1" a="1"/>
  <c r="I2021" i="1"/>
  <c r="N2020" i="1" a="1"/>
  <c r="N2020" i="1"/>
  <c r="G2018" i="1" a="1"/>
  <c r="G2018" i="1" s="1"/>
  <c r="N2019" i="1"/>
  <c r="M2020" i="1" a="1"/>
  <c r="M2020" i="1"/>
  <c r="H2018" i="1" a="1"/>
  <c r="H2018" i="1" s="1"/>
  <c r="H2019" i="1" s="1" a="1"/>
  <c r="H2019" i="1" s="1"/>
  <c r="P2021" i="1" a="1"/>
  <c r="P2021" i="1" s="1"/>
  <c r="M2018" i="1" a="1"/>
  <c r="M2018" i="1" s="1"/>
  <c r="M2019" i="1" s="1" a="1"/>
  <c r="M2019" i="1" s="1"/>
  <c r="G2021" i="1" a="1"/>
  <c r="G2021" i="1" s="1"/>
  <c r="N2018" i="1" a="1"/>
  <c r="N2018" i="1" s="1"/>
  <c r="N2019" i="1" s="1" a="1"/>
  <c r="O2021" i="1" a="1"/>
  <c r="O2021" i="1" s="1"/>
  <c r="L2021" i="1" a="1"/>
  <c r="L2021" i="1" s="1"/>
  <c r="J2021" i="1" a="1"/>
  <c r="J2021" i="1"/>
  <c r="L2018" i="1" a="1"/>
  <c r="L2018" i="1" s="1"/>
  <c r="L2019" i="1" s="1" a="1"/>
  <c r="L2019" i="1" s="1"/>
  <c r="F2018" i="1" a="1"/>
  <c r="F2018" i="1" s="1"/>
  <c r="F2019" i="1" s="1" a="1"/>
  <c r="F2019" i="1" s="1"/>
  <c r="O2018" i="1" a="1"/>
  <c r="O2018" i="1" s="1"/>
  <c r="O2019" i="1" s="1" a="1"/>
  <c r="O2019" i="1" s="1"/>
  <c r="I2018" i="1" a="1"/>
  <c r="I2018" i="1" s="1"/>
  <c r="I2019" i="1" s="1" a="1"/>
  <c r="I2019" i="1" s="1"/>
  <c r="O2017" i="1" a="1"/>
  <c r="O2017" i="1" s="1"/>
  <c r="Q2017" i="1" a="1"/>
  <c r="Q2017" i="1" s="1"/>
  <c r="F2020" i="1" a="1"/>
  <c r="F2020" i="1" s="1"/>
  <c r="K2021" i="1" a="1"/>
  <c r="K2021" i="1" s="1"/>
  <c r="G2019" i="1" a="1"/>
  <c r="G2019" i="1" s="1"/>
  <c r="J2020" i="1" a="1"/>
  <c r="J2020" i="1"/>
  <c r="G2020" i="1" a="1"/>
  <c r="G2020" i="1" s="1"/>
  <c r="P2020" i="1" a="1"/>
  <c r="P2020" i="1" s="1"/>
  <c r="H2021" i="1" a="1"/>
  <c r="H2021" i="1"/>
  <c r="Q2018" i="1" a="1"/>
  <c r="Q2018" i="1"/>
  <c r="K2018" i="1" a="1"/>
  <c r="K2018" i="1"/>
  <c r="O2020" i="1" a="1"/>
  <c r="O2020" i="1" s="1"/>
  <c r="J2018" i="1" a="1"/>
  <c r="J2018" i="1"/>
  <c r="J2019" i="1" s="1" a="1"/>
  <c r="J2019" i="1" s="1"/>
  <c r="M2021" i="1" a="1"/>
  <c r="M2021" i="1"/>
  <c r="F2021" i="1" a="1"/>
  <c r="F2021" i="1"/>
  <c r="L2020" i="1" a="1"/>
  <c r="L2020" i="1" s="1"/>
  <c r="P2015" i="1" a="1"/>
  <c r="P2015" i="1" s="1"/>
  <c r="Q2013" i="1" a="1"/>
  <c r="Q2013" i="1" s="1"/>
  <c r="Q2014" i="1" s="1" a="1"/>
  <c r="Q2014" i="1" s="1"/>
  <c r="P2011" i="1" a="1"/>
  <c r="P2011" i="1"/>
  <c r="K2013" i="1" a="1"/>
  <c r="K2013" i="1"/>
  <c r="H2013" i="1" a="1"/>
  <c r="H2013" i="1"/>
  <c r="H2014" i="1" s="1" a="1"/>
  <c r="H2014" i="1" s="1"/>
  <c r="L2015" i="1" a="1"/>
  <c r="L2015" i="1" s="1"/>
  <c r="F2015" i="1" a="1"/>
  <c r="F2015" i="1" s="1"/>
  <c r="K2014" i="1" a="1"/>
  <c r="K2014" i="1"/>
  <c r="I2013" i="1" a="1"/>
  <c r="I2013" i="1"/>
  <c r="O2011" i="1" a="1"/>
  <c r="O2011" i="1"/>
  <c r="F2017" i="1" a="1"/>
  <c r="F2017" i="1"/>
  <c r="O2015" i="1" a="1"/>
  <c r="O2015" i="1" s="1"/>
  <c r="I2014" i="1" a="1"/>
  <c r="I2014" i="1" s="1"/>
  <c r="F2013" i="1" a="1"/>
  <c r="F2013" i="1" s="1"/>
  <c r="Q2016" i="1" a="1"/>
  <c r="Q2016" i="1" s="1"/>
  <c r="P2016" i="1" a="1"/>
  <c r="P2016" i="1" s="1"/>
  <c r="P2017" i="1" s="1" a="1"/>
  <c r="P2017" i="1" s="1"/>
  <c r="O2016" i="1" a="1"/>
  <c r="O2016" i="1" s="1"/>
  <c r="J2016" i="1" a="1"/>
  <c r="J2016" i="1"/>
  <c r="J2017" i="1" s="1" a="1"/>
  <c r="J2017" i="1" s="1"/>
  <c r="N2016" i="1" a="1"/>
  <c r="N2016" i="1"/>
  <c r="N2017" i="1" s="1" a="1"/>
  <c r="N2017" i="1" s="1"/>
  <c r="L2016" i="1" a="1"/>
  <c r="L2016" i="1"/>
  <c r="L2017" i="1" s="1" a="1"/>
  <c r="L2017" i="1" s="1"/>
  <c r="J2013" i="1" a="1"/>
  <c r="J2013" i="1"/>
  <c r="K2016" i="1" a="1"/>
  <c r="K2016" i="1"/>
  <c r="K2017" i="1" s="1" a="1"/>
  <c r="K2017" i="1" s="1"/>
  <c r="G2016" i="1" a="1"/>
  <c r="G2016" i="1"/>
  <c r="F2016" i="1" a="1"/>
  <c r="F2016" i="1" s="1"/>
  <c r="N2015" i="1" a="1"/>
  <c r="N2015" i="1"/>
  <c r="J2015" i="1" a="1"/>
  <c r="J2015" i="1"/>
  <c r="H2015" i="1" a="1"/>
  <c r="H2015" i="1" s="1"/>
  <c r="N2013" i="1" a="1"/>
  <c r="N2013" i="1"/>
  <c r="N2014" i="1" s="1" a="1"/>
  <c r="N2014" i="1" s="1"/>
  <c r="Q2015" i="1" a="1"/>
  <c r="Q2015" i="1"/>
  <c r="M2015" i="1" a="1"/>
  <c r="M2015" i="1" s="1"/>
  <c r="K2015" i="1" a="1"/>
  <c r="K2015" i="1" s="1"/>
  <c r="I2015" i="1" a="1"/>
  <c r="I2015" i="1" s="1"/>
  <c r="F2014" i="1" a="1"/>
  <c r="F2014" i="1" s="1"/>
  <c r="L2013" i="1" a="1"/>
  <c r="L2013" i="1"/>
  <c r="L2014" i="1" s="1" a="1"/>
  <c r="L2014" i="1" s="1"/>
  <c r="P2013" i="1" a="1"/>
  <c r="P2013" i="1" s="1"/>
  <c r="P2014" i="1" s="1" a="1"/>
  <c r="P2014" i="1" s="1"/>
  <c r="G2013" i="1" a="1"/>
  <c r="G2013" i="1" s="1"/>
  <c r="G2014" i="1" s="1" a="1"/>
  <c r="G2014" i="1" s="1"/>
  <c r="N2011" i="1" a="1"/>
  <c r="N2011" i="1" s="1"/>
  <c r="Q2011" i="1" a="1"/>
  <c r="Q2011" i="1"/>
  <c r="O2013" i="1" a="1"/>
  <c r="O2013" i="1" s="1"/>
  <c r="M2016" i="1" a="1"/>
  <c r="M2016" i="1"/>
  <c r="M2017" i="1" s="1" a="1"/>
  <c r="M2017" i="1" s="1"/>
  <c r="G2015" i="1" a="1"/>
  <c r="G2015" i="1"/>
  <c r="J2014" i="1" a="1"/>
  <c r="J2014" i="1"/>
  <c r="I2017" i="1" a="1"/>
  <c r="I2017" i="1" s="1"/>
  <c r="H2017" i="1"/>
  <c r="G2017" i="1" a="1"/>
  <c r="G2017" i="1" s="1"/>
  <c r="I2016" i="1" a="1"/>
  <c r="I2016" i="1" s="1"/>
  <c r="O2014" i="1" a="1"/>
  <c r="O2014" i="1" s="1"/>
  <c r="M2013" i="1" a="1"/>
  <c r="M2013" i="1" s="1"/>
  <c r="M2014" i="1" s="1" a="1"/>
  <c r="M2014" i="1" s="1"/>
  <c r="H2016" i="1" a="1"/>
  <c r="H2016" i="1"/>
  <c r="H2017" i="1" s="1" a="1"/>
  <c r="N2008" i="1" a="1"/>
  <c r="N2008" i="1"/>
  <c r="N2006" i="1" a="1"/>
  <c r="N2006" i="1" s="1"/>
  <c r="M2008" i="1" a="1"/>
  <c r="M2008" i="1"/>
  <c r="M2011" i="1" a="1"/>
  <c r="M2011" i="1"/>
  <c r="J2011" i="1" a="1"/>
  <c r="J2011" i="1" s="1"/>
  <c r="F2007" i="1" a="1"/>
  <c r="F2007" i="1" s="1"/>
  <c r="Q2008" i="1" a="1"/>
  <c r="Q2008" i="1" s="1"/>
  <c r="Q2009" i="1" s="1" a="1"/>
  <c r="Q2009" i="1" s="1"/>
  <c r="L2011" i="1" a="1"/>
  <c r="L2011" i="1"/>
  <c r="K2011" i="1" a="1"/>
  <c r="K2011" i="1" s="1"/>
  <c r="I2011" i="1" a="1"/>
  <c r="I2011" i="1" s="1"/>
  <c r="G2011" i="1" a="1"/>
  <c r="G2011" i="1"/>
  <c r="F2011" i="1" a="1"/>
  <c r="F2011" i="1" s="1"/>
  <c r="N2010" i="1" a="1"/>
  <c r="N2010" i="1" s="1"/>
  <c r="P2008" i="1" a="1"/>
  <c r="P2008" i="1" s="1"/>
  <c r="P2009" i="1" s="1" a="1"/>
  <c r="P2009" i="1" s="1"/>
  <c r="G2008" i="1" a="1"/>
  <c r="G2008" i="1"/>
  <c r="J2006" i="1" a="1"/>
  <c r="J2006" i="1" s="1"/>
  <c r="J2007" i="1" s="1" a="1"/>
  <c r="J2007" i="1" s="1"/>
  <c r="J2010" i="1" a="1"/>
  <c r="J2010" i="1"/>
  <c r="G2009" i="1" a="1"/>
  <c r="G2009" i="1" s="1"/>
  <c r="L2008" i="1" a="1"/>
  <c r="L2008" i="1" s="1"/>
  <c r="L2009" i="1" s="1" a="1"/>
  <c r="F2008" i="1" a="1"/>
  <c r="F2008" i="1" s="1"/>
  <c r="F2009" i="1" s="1" a="1"/>
  <c r="F2009" i="1" s="1"/>
  <c r="G2010" i="1" a="1"/>
  <c r="G2010" i="1"/>
  <c r="M2009" i="1" a="1"/>
  <c r="M2009" i="1" s="1"/>
  <c r="K2008" i="1" a="1"/>
  <c r="K2008" i="1" s="1"/>
  <c r="K2009" i="1" s="1" a="1"/>
  <c r="Q2007" i="1" a="1"/>
  <c r="Q2007" i="1" s="1"/>
  <c r="H2011" i="1" a="1"/>
  <c r="H2011" i="1" s="1"/>
  <c r="Q2010" i="1" a="1"/>
  <c r="Q2010" i="1"/>
  <c r="K2009" i="1"/>
  <c r="N2007" i="1" a="1"/>
  <c r="N2007" i="1"/>
  <c r="O2006" i="1" a="1"/>
  <c r="O2006" i="1"/>
  <c r="O2007" i="1" s="1" a="1"/>
  <c r="O2007" i="1" s="1"/>
  <c r="K2010" i="1" a="1"/>
  <c r="K2010" i="1"/>
  <c r="P2010" i="1" a="1"/>
  <c r="P2010" i="1" s="1"/>
  <c r="O2010" i="1" a="1"/>
  <c r="O2010" i="1" s="1"/>
  <c r="M2006" i="1" a="1"/>
  <c r="M2006" i="1" s="1"/>
  <c r="M2007" i="1" s="1" a="1"/>
  <c r="M2007" i="1" s="1"/>
  <c r="M2010" i="1" a="1"/>
  <c r="M2010" i="1"/>
  <c r="O2008" i="1" a="1"/>
  <c r="O2008" i="1" s="1"/>
  <c r="O2009" i="1" s="1" a="1"/>
  <c r="O2009" i="1" s="1"/>
  <c r="I2010" i="1" a="1"/>
  <c r="I2010" i="1"/>
  <c r="K2006" i="1" a="1"/>
  <c r="K2006" i="1" s="1"/>
  <c r="K2007" i="1" s="1" a="1"/>
  <c r="K2007" i="1" s="1"/>
  <c r="H2010" i="1" a="1"/>
  <c r="H2010" i="1"/>
  <c r="F2010" i="1" a="1"/>
  <c r="F2010" i="1" s="1"/>
  <c r="H2008" i="1" a="1"/>
  <c r="H2008" i="1" s="1"/>
  <c r="H2009" i="1" s="1" a="1"/>
  <c r="H2009" i="1" s="1"/>
  <c r="L2006" i="1" a="1"/>
  <c r="L2006" i="1" s="1"/>
  <c r="L2007" i="1" s="1" a="1"/>
  <c r="L2007" i="1" s="1"/>
  <c r="L2009" i="1"/>
  <c r="I2008" i="1" a="1"/>
  <c r="I2008" i="1" s="1"/>
  <c r="P2007" i="1" a="1"/>
  <c r="P2007" i="1" s="1"/>
  <c r="Q2006" i="1" a="1"/>
  <c r="Q2006" i="1" s="1"/>
  <c r="G2007" i="1" a="1"/>
  <c r="G2007" i="1"/>
  <c r="P2006" i="1" a="1"/>
  <c r="P2006" i="1" s="1"/>
  <c r="I2007" i="1" a="1"/>
  <c r="I2007" i="1" s="1"/>
  <c r="L2010" i="1" a="1"/>
  <c r="L2010" i="1" s="1"/>
  <c r="N2009" i="1" a="1"/>
  <c r="N2009" i="1" s="1"/>
  <c r="J2008" i="1" a="1"/>
  <c r="J2008" i="1"/>
  <c r="J2009" i="1" s="1" a="1"/>
  <c r="J2009" i="1" s="1"/>
  <c r="H2007" i="1" a="1"/>
  <c r="H2007" i="1" s="1"/>
  <c r="I2009" i="1" a="1"/>
  <c r="I2009" i="1" s="1"/>
  <c r="P1259" i="1" a="1"/>
  <c r="P1259" i="1"/>
  <c r="I1259" i="1" a="1"/>
  <c r="I1259" i="1"/>
  <c r="O1262" i="1" a="1"/>
  <c r="O1262" i="1"/>
  <c r="N1261" i="1" a="1"/>
  <c r="N1261" i="1" s="1"/>
  <c r="L1261" i="1" a="1"/>
  <c r="L1261" i="1"/>
  <c r="J1261" i="1" a="1"/>
  <c r="J1261" i="1" s="1"/>
  <c r="G1261" i="1" a="1"/>
  <c r="G1261" i="1" s="1"/>
  <c r="Q1259" i="1" a="1"/>
  <c r="Q1259" i="1" s="1"/>
  <c r="J1259" i="1" a="1"/>
  <c r="J1259" i="1" s="1"/>
  <c r="P1258" i="1" a="1"/>
  <c r="P1258" i="1" s="1"/>
  <c r="N1258" i="1" a="1"/>
  <c r="N1258" i="1"/>
  <c r="G1258" i="1" a="1"/>
  <c r="G1258" i="1"/>
  <c r="L1258" i="1" a="1"/>
  <c r="L1258" i="1"/>
  <c r="K1258" i="1" a="1"/>
  <c r="K1258" i="1"/>
  <c r="H1258" i="1" a="1"/>
  <c r="H1258" i="1" s="1"/>
  <c r="F1258" i="1" a="1"/>
  <c r="F1258" i="1" s="1"/>
  <c r="N1262" i="1" a="1"/>
  <c r="N1262" i="1"/>
  <c r="M1262" i="1" a="1"/>
  <c r="M1262" i="1"/>
  <c r="K1262" i="1" a="1"/>
  <c r="K1262" i="1" s="1"/>
  <c r="G1262" i="1" a="1"/>
  <c r="G1262" i="1" s="1"/>
  <c r="K1259" i="1" a="1"/>
  <c r="K1259" i="1"/>
  <c r="H1259" i="1" a="1"/>
  <c r="H1259" i="1" s="1"/>
  <c r="M1258" i="1" a="1"/>
  <c r="M1258" i="1"/>
  <c r="K1260" i="1" a="1"/>
  <c r="K1260" i="1"/>
  <c r="I1260" i="1" a="1"/>
  <c r="I1260" i="1"/>
  <c r="H1262" i="1" a="1"/>
  <c r="H1262" i="1" s="1"/>
  <c r="O1261" i="1" a="1"/>
  <c r="O1261" i="1"/>
  <c r="G1260" i="1" a="1"/>
  <c r="G1260" i="1"/>
  <c r="P1260" i="1" a="1"/>
  <c r="P1260" i="1"/>
  <c r="N1260" i="1" a="1"/>
  <c r="N1260" i="1" s="1"/>
  <c r="F1260" i="1" a="1"/>
  <c r="F1260" i="1" s="1"/>
  <c r="O1258" i="1" a="1"/>
  <c r="O1258" i="1"/>
  <c r="L1262" i="1" a="1"/>
  <c r="L1262" i="1" s="1"/>
  <c r="L1259" i="1" a="1"/>
  <c r="L1259" i="1"/>
  <c r="Q1261" i="1" a="1"/>
  <c r="Q1261" i="1" s="1"/>
  <c r="H1261" i="1" a="1"/>
  <c r="H1261" i="1" s="1"/>
  <c r="O1260" i="1" a="1"/>
  <c r="O1260" i="1" s="1"/>
  <c r="J1260" i="1" a="1"/>
  <c r="J1260" i="1" s="1"/>
  <c r="N1259" i="1" a="1"/>
  <c r="N1259" i="1"/>
  <c r="G1259" i="1" a="1"/>
  <c r="G1259" i="1"/>
  <c r="F1259" i="1" a="1"/>
  <c r="F1259" i="1"/>
  <c r="I1258" i="1" a="1"/>
  <c r="I1258" i="1"/>
  <c r="I1262" i="1" a="1"/>
  <c r="I1262" i="1"/>
  <c r="J1262" i="1" a="1"/>
  <c r="J1262" i="1"/>
  <c r="J1258" i="1" a="1"/>
  <c r="J1258" i="1" s="1"/>
  <c r="M1259" i="1" a="1"/>
  <c r="M1259" i="1" s="1"/>
  <c r="F1262" i="1" a="1"/>
  <c r="F1262" i="1"/>
  <c r="L1260" i="1" a="1"/>
  <c r="L1260" i="1" s="1"/>
  <c r="I1261" i="1" a="1"/>
  <c r="I1261" i="1" s="1"/>
  <c r="K1261" i="1" a="1"/>
  <c r="K1261" i="1" s="1"/>
  <c r="P1261" i="1" a="1"/>
  <c r="P1261" i="1" s="1"/>
  <c r="Q1260" i="1" a="1"/>
  <c r="Q1260" i="1"/>
  <c r="M1261" i="1" a="1"/>
  <c r="M1261" i="1" s="1"/>
  <c r="O1259" i="1" a="1"/>
  <c r="O1259" i="1" s="1"/>
  <c r="Q1258" i="1" a="1"/>
  <c r="Q1258" i="1" s="1"/>
  <c r="F1261" i="1" a="1"/>
  <c r="F1261" i="1" s="1"/>
  <c r="M1260" i="1" a="1"/>
  <c r="M1260" i="1"/>
  <c r="H1260" i="1" a="1"/>
  <c r="H1260" i="1"/>
  <c r="N1256" i="1" a="1"/>
  <c r="N1256" i="1"/>
  <c r="O1254" i="1" a="1"/>
  <c r="O1254" i="1"/>
  <c r="O1256" i="1" a="1"/>
  <c r="O1256" i="1" s="1"/>
  <c r="L1257" i="1" a="1"/>
  <c r="L1257" i="1" s="1"/>
  <c r="K1257" i="1" a="1"/>
  <c r="K1257" i="1"/>
  <c r="N1255" i="1" a="1"/>
  <c r="N1255" i="1" s="1"/>
  <c r="J1254" i="1" a="1"/>
  <c r="J1254" i="1"/>
  <c r="H1253" i="1" a="1"/>
  <c r="H1253" i="1"/>
  <c r="F1253" i="1" a="1"/>
  <c r="F1253" i="1"/>
  <c r="N1252" i="1" a="1"/>
  <c r="N1252" i="1" s="1"/>
  <c r="J1257" i="1" a="1"/>
  <c r="J1257" i="1" s="1"/>
  <c r="G1256" i="1" a="1"/>
  <c r="G1256" i="1"/>
  <c r="N1254" i="1" a="1"/>
  <c r="N1254" i="1"/>
  <c r="I1257" i="1" a="1"/>
  <c r="I1257" i="1"/>
  <c r="Q1255" i="1" a="1"/>
  <c r="Q1255" i="1"/>
  <c r="K1256" i="1" a="1"/>
  <c r="K1256" i="1" s="1"/>
  <c r="M1254" i="1" a="1"/>
  <c r="M1254" i="1" s="1"/>
  <c r="O1253" i="1" a="1"/>
  <c r="O1253" i="1"/>
  <c r="K1254" i="1" a="1"/>
  <c r="K1254" i="1"/>
  <c r="H1257" i="1" a="1"/>
  <c r="H1257" i="1" s="1"/>
  <c r="G1257" i="1" a="1"/>
  <c r="G1257" i="1"/>
  <c r="G1254" i="1" a="1"/>
  <c r="G1254" i="1"/>
  <c r="F1257" i="1" a="1"/>
  <c r="F1257" i="1" s="1"/>
  <c r="P1256" i="1" a="1"/>
  <c r="P1256" i="1"/>
  <c r="O1252" i="1" a="1"/>
  <c r="O1252" i="1"/>
  <c r="P1252" i="1" a="1"/>
  <c r="P1252" i="1" s="1"/>
  <c r="L1255" i="1" a="1"/>
  <c r="L1255" i="1" s="1"/>
  <c r="M1253" i="1" a="1"/>
  <c r="M1253" i="1" s="1"/>
  <c r="K1253" i="1" a="1"/>
  <c r="K1253" i="1" s="1"/>
  <c r="N1253" i="1" a="1"/>
  <c r="N1253" i="1"/>
  <c r="P1254" i="1" a="1"/>
  <c r="P1254" i="1"/>
  <c r="L1256" i="1" a="1"/>
  <c r="L1256" i="1"/>
  <c r="G1255" i="1" a="1"/>
  <c r="G1255" i="1"/>
  <c r="Q1254" i="1" a="1"/>
  <c r="Q1254" i="1" s="1"/>
  <c r="L1253" i="1" a="1"/>
  <c r="L1253" i="1"/>
  <c r="F1255" i="1" a="1"/>
  <c r="F1255" i="1"/>
  <c r="L1254" i="1" a="1"/>
  <c r="L1254" i="1" s="1"/>
  <c r="H1256" i="1" a="1"/>
  <c r="H1256" i="1" s="1"/>
  <c r="J1256" i="1" a="1"/>
  <c r="J1256" i="1"/>
  <c r="I1256" i="1" a="1"/>
  <c r="I1256" i="1"/>
  <c r="F1256" i="1" a="1"/>
  <c r="F1256" i="1"/>
  <c r="M1255" i="1" a="1"/>
  <c r="M1255" i="1" s="1"/>
  <c r="K1255" i="1" a="1"/>
  <c r="K1255" i="1" s="1"/>
  <c r="F1254" i="1" a="1"/>
  <c r="F1254" i="1" s="1"/>
  <c r="P1253" i="1" a="1"/>
  <c r="P1253" i="1"/>
  <c r="J1255" i="1" a="1"/>
  <c r="J1255" i="1"/>
  <c r="G1253" i="1" a="1"/>
  <c r="G1253" i="1"/>
  <c r="H1255" i="1" a="1"/>
  <c r="H1255" i="1" s="1"/>
  <c r="I1253" i="1" a="1"/>
  <c r="I1253" i="1"/>
  <c r="H1254" i="1" a="1"/>
  <c r="H1254" i="1"/>
  <c r="I1254" i="1" a="1"/>
  <c r="I1254" i="1"/>
  <c r="Q1252" i="1" a="1"/>
  <c r="Q1252" i="1"/>
  <c r="O1257" i="1" a="1"/>
  <c r="O1257" i="1"/>
  <c r="P1255" i="1" a="1"/>
  <c r="P1255" i="1"/>
  <c r="Q1253" i="1" a="1"/>
  <c r="Q1253" i="1" s="1"/>
  <c r="M1256" i="1" a="1"/>
  <c r="M1256" i="1"/>
  <c r="I1255" i="1" a="1"/>
  <c r="I1255" i="1" s="1"/>
  <c r="O1255" i="1" a="1"/>
  <c r="O1255" i="1" s="1"/>
  <c r="Q1257" i="1" a="1"/>
  <c r="Q1257" i="1" s="1"/>
  <c r="J1253" i="1" a="1"/>
  <c r="J1253" i="1"/>
  <c r="P1257" i="1" a="1"/>
  <c r="P1257" i="1"/>
  <c r="N1257" i="1" a="1"/>
  <c r="N1257" i="1" s="1"/>
  <c r="Q1256" i="1" a="1"/>
  <c r="Q1256" i="1" s="1"/>
  <c r="M1257" i="1" a="1"/>
  <c r="M1257" i="1"/>
  <c r="Q1251" i="1" a="1"/>
  <c r="Q1251" i="1"/>
  <c r="L1248" i="1" a="1"/>
  <c r="L1248" i="1"/>
  <c r="I1250" i="1" a="1"/>
  <c r="I1250" i="1" s="1"/>
  <c r="L1249" i="1" a="1"/>
  <c r="L1249" i="1"/>
  <c r="F1249" i="1" a="1"/>
  <c r="F1249" i="1"/>
  <c r="J1248" i="1" a="1"/>
  <c r="J1248" i="1"/>
  <c r="K1247" i="1" a="1"/>
  <c r="K1247" i="1" s="1"/>
  <c r="K1251" i="1" a="1"/>
  <c r="K1251" i="1"/>
  <c r="N1249" i="1" a="1"/>
  <c r="N1249" i="1"/>
  <c r="J1247" i="1" a="1"/>
  <c r="J1247" i="1"/>
  <c r="I1249" i="1" a="1"/>
  <c r="I1249" i="1"/>
  <c r="N1250" i="1" a="1"/>
  <c r="N1250" i="1" s="1"/>
  <c r="O1248" i="1" a="1"/>
  <c r="O1248" i="1"/>
  <c r="G1251" i="1" a="1"/>
  <c r="G1251" i="1"/>
  <c r="J1250" i="1" a="1"/>
  <c r="J1250" i="1" s="1"/>
  <c r="I1251" i="1" a="1"/>
  <c r="I1251" i="1" s="1"/>
  <c r="G1249" i="1" a="1"/>
  <c r="G1249" i="1"/>
  <c r="H1251" i="1" a="1"/>
  <c r="H1251" i="1" s="1"/>
  <c r="P1250" i="1" a="1"/>
  <c r="P1250" i="1"/>
  <c r="N1248" i="1" a="1"/>
  <c r="N1248" i="1" s="1"/>
  <c r="O1249" i="1" a="1"/>
  <c r="O1249" i="1" s="1"/>
  <c r="G1250" i="1" a="1"/>
  <c r="G1250" i="1" s="1"/>
  <c r="K1248" i="1" a="1"/>
  <c r="K1248" i="1" s="1"/>
  <c r="H1249" i="1" a="1"/>
  <c r="H1249" i="1"/>
  <c r="Q1248" i="1" a="1"/>
  <c r="Q1248" i="1"/>
  <c r="G1248" i="1" a="1"/>
  <c r="G1248" i="1" s="1"/>
  <c r="O1247" i="1" a="1"/>
  <c r="O1247" i="1"/>
  <c r="M1248" i="1" a="1"/>
  <c r="M1248" i="1"/>
  <c r="Q1250" i="1" a="1"/>
  <c r="Q1250" i="1"/>
  <c r="F1251" i="1" a="1"/>
  <c r="F1251" i="1"/>
  <c r="J1251" i="1" a="1"/>
  <c r="J1251" i="1" s="1"/>
  <c r="M1252" i="1" a="1"/>
  <c r="M1252" i="1" s="1"/>
  <c r="J1249" i="1" a="1"/>
  <c r="J1249" i="1" s="1"/>
  <c r="K1252" i="1" a="1"/>
  <c r="K1252" i="1" s="1"/>
  <c r="I1252" i="1" a="1"/>
  <c r="I1252" i="1"/>
  <c r="N1251" i="1" a="1"/>
  <c r="N1251" i="1"/>
  <c r="P1248" i="1" a="1"/>
  <c r="P1248" i="1" s="1"/>
  <c r="I1248" i="1" a="1"/>
  <c r="I1248" i="1" s="1"/>
  <c r="Q1247" i="1" a="1"/>
  <c r="Q1247" i="1"/>
  <c r="K1250" i="1" a="1"/>
  <c r="K1250" i="1" s="1"/>
  <c r="F1250" i="1" a="1"/>
  <c r="F1250" i="1" s="1"/>
  <c r="P1249" i="1" a="1"/>
  <c r="P1249" i="1"/>
  <c r="F1248" i="1" a="1"/>
  <c r="F1248" i="1"/>
  <c r="N1247" i="1" a="1"/>
  <c r="N1247" i="1"/>
  <c r="L1251" i="1" a="1"/>
  <c r="L1251" i="1"/>
  <c r="M1251" i="1" a="1"/>
  <c r="M1251" i="1" s="1"/>
  <c r="O1250" i="1" a="1"/>
  <c r="O1250" i="1" s="1"/>
  <c r="M1250" i="1" a="1"/>
  <c r="M1250" i="1"/>
  <c r="L1250" i="1" a="1"/>
  <c r="L1250" i="1" s="1"/>
  <c r="Q1249" i="1" a="1"/>
  <c r="Q1249" i="1" s="1"/>
  <c r="M1249" i="1" a="1"/>
  <c r="M1249" i="1"/>
  <c r="K1249" i="1" a="1"/>
  <c r="K1249" i="1" s="1"/>
  <c r="H1248" i="1" a="1"/>
  <c r="H1248" i="1" s="1"/>
  <c r="M1247" i="1" a="1"/>
  <c r="M1247" i="1" s="1"/>
  <c r="L1247" i="1" a="1"/>
  <c r="L1247" i="1" s="1"/>
  <c r="L1252" i="1" a="1"/>
  <c r="L1252" i="1" s="1"/>
  <c r="J1252" i="1" a="1"/>
  <c r="J1252" i="1"/>
  <c r="H1252" i="1" a="1"/>
  <c r="H1252" i="1"/>
  <c r="P1251" i="1" a="1"/>
  <c r="P1251" i="1"/>
  <c r="H1250" i="1" a="1"/>
  <c r="H1250" i="1"/>
  <c r="G1252" i="1" a="1"/>
  <c r="G1252" i="1" s="1"/>
  <c r="F1252" i="1" a="1"/>
  <c r="F1252" i="1" s="1"/>
  <c r="O1251" i="1" a="1"/>
  <c r="O1251" i="1"/>
  <c r="P1247" i="1" a="1"/>
  <c r="P1247" i="1"/>
  <c r="F1245" i="1" a="1"/>
  <c r="F1245" i="1" s="1"/>
  <c r="F1243" i="1" a="1"/>
  <c r="F1243" i="1"/>
  <c r="O1242" i="1" a="1"/>
  <c r="O1242" i="1" s="1"/>
  <c r="F1242" i="1" a="1"/>
  <c r="F1242" i="1" s="1"/>
  <c r="M1246" i="1" a="1"/>
  <c r="M1246" i="1" s="1"/>
  <c r="J1245" i="1" a="1"/>
  <c r="J1245" i="1" s="1"/>
  <c r="H1246" i="1" a="1"/>
  <c r="H1246" i="1" s="1"/>
  <c r="Q1245" i="1" a="1"/>
  <c r="Q1245" i="1"/>
  <c r="J1242" i="1" a="1"/>
  <c r="J1242" i="1"/>
  <c r="Q1242" i="1" a="1"/>
  <c r="Q1242" i="1"/>
  <c r="L1246" i="1" a="1"/>
  <c r="L1246" i="1"/>
  <c r="I1246" i="1" a="1"/>
  <c r="I1246" i="1" s="1"/>
  <c r="G1246" i="1" a="1"/>
  <c r="G1246" i="1" s="1"/>
  <c r="P1244" i="1" a="1"/>
  <c r="P1244" i="1" s="1"/>
  <c r="M1244" i="1" a="1"/>
  <c r="M1244" i="1"/>
  <c r="G1244" i="1" a="1"/>
  <c r="G1244" i="1" s="1"/>
  <c r="O1243" i="1" a="1"/>
  <c r="O1243" i="1" s="1"/>
  <c r="M1243" i="1" a="1"/>
  <c r="M1243" i="1" s="1"/>
  <c r="G1243" i="1" a="1"/>
  <c r="G1243" i="1"/>
  <c r="L1242" i="1" a="1"/>
  <c r="L1242" i="1"/>
  <c r="P1242" i="1" a="1"/>
  <c r="P1242" i="1" s="1"/>
  <c r="I1243" i="1" a="1"/>
  <c r="I1243" i="1" s="1"/>
  <c r="N1245" i="1" a="1"/>
  <c r="N1245" i="1" s="1"/>
  <c r="H1243" i="1" a="1"/>
  <c r="H1243" i="1"/>
  <c r="G1245" i="1" a="1"/>
  <c r="G1245" i="1"/>
  <c r="Q1244" i="1" a="1"/>
  <c r="Q1244" i="1"/>
  <c r="M1245" i="1" a="1"/>
  <c r="M1245" i="1"/>
  <c r="L1245" i="1" a="1"/>
  <c r="L1245" i="1" s="1"/>
  <c r="K1245" i="1" a="1"/>
  <c r="K1245" i="1"/>
  <c r="L1244" i="1" a="1"/>
  <c r="L1244" i="1"/>
  <c r="H1244" i="1" a="1"/>
  <c r="H1244" i="1"/>
  <c r="I1244" i="1" a="1"/>
  <c r="I1244" i="1" s="1"/>
  <c r="H1245" i="1" a="1"/>
  <c r="H1245" i="1" s="1"/>
  <c r="O1244" i="1" a="1"/>
  <c r="O1244" i="1" s="1"/>
  <c r="N1242" i="1" a="1"/>
  <c r="N1242" i="1"/>
  <c r="M1242" i="1" a="1"/>
  <c r="M1242" i="1" s="1"/>
  <c r="I1245" i="1" a="1"/>
  <c r="I1245" i="1" s="1"/>
  <c r="N1244" i="1" a="1"/>
  <c r="N1244" i="1" s="1"/>
  <c r="Q1243" i="1" a="1"/>
  <c r="Q1243" i="1"/>
  <c r="H1247" i="1" a="1"/>
  <c r="H1247" i="1"/>
  <c r="I1242" i="1" a="1"/>
  <c r="I1242" i="1"/>
  <c r="L1243" i="1" a="1"/>
  <c r="L1243" i="1"/>
  <c r="K1246" i="1" a="1"/>
  <c r="K1246" i="1" s="1"/>
  <c r="N1246" i="1" a="1"/>
  <c r="N1246" i="1"/>
  <c r="J1246" i="1" a="1"/>
  <c r="J1246" i="1"/>
  <c r="P1245" i="1" a="1"/>
  <c r="P1245" i="1" s="1"/>
  <c r="F1244" i="1" a="1"/>
  <c r="F1244" i="1" s="1"/>
  <c r="O1245" i="1" a="1"/>
  <c r="O1245" i="1"/>
  <c r="J1244" i="1" a="1"/>
  <c r="J1244" i="1"/>
  <c r="P1243" i="1" a="1"/>
  <c r="P1243" i="1"/>
  <c r="K1243" i="1" a="1"/>
  <c r="K1243" i="1" s="1"/>
  <c r="G1242" i="1" a="1"/>
  <c r="G1242" i="1" s="1"/>
  <c r="H1242" i="1" a="1"/>
  <c r="H1242" i="1" s="1"/>
  <c r="K1242" i="1" a="1"/>
  <c r="K1242" i="1"/>
  <c r="I1247" i="1" a="1"/>
  <c r="I1247" i="1"/>
  <c r="G1247" i="1" a="1"/>
  <c r="G1247" i="1"/>
  <c r="N1243" i="1" a="1"/>
  <c r="N1243" i="1"/>
  <c r="F1247" i="1" a="1"/>
  <c r="F1247" i="1"/>
  <c r="J1243" i="1" a="1"/>
  <c r="J1243" i="1" s="1"/>
  <c r="Q1246" i="1" a="1"/>
  <c r="Q1246" i="1" s="1"/>
  <c r="K1244" i="1" a="1"/>
  <c r="K1244" i="1"/>
  <c r="P1246" i="1" a="1"/>
  <c r="P1246" i="1"/>
  <c r="O1246" i="1" a="1"/>
  <c r="O1246" i="1"/>
  <c r="F1246" i="1" a="1"/>
  <c r="F1246" i="1" s="1"/>
  <c r="O1236" i="1" a="1"/>
  <c r="O1236" i="1" s="1"/>
  <c r="F1237" i="1" a="1"/>
  <c r="F1237" i="1"/>
  <c r="N1239" i="1" a="1"/>
  <c r="N1239" i="1"/>
  <c r="N1241" i="1" a="1"/>
  <c r="N1241" i="1"/>
  <c r="M1241" i="1" a="1"/>
  <c r="M1241" i="1"/>
  <c r="L1241" i="1" a="1"/>
  <c r="L1241" i="1" s="1"/>
  <c r="K1241" i="1" a="1"/>
  <c r="K1241" i="1" s="1"/>
  <c r="O1238" i="1" a="1"/>
  <c r="O1238" i="1" s="1"/>
  <c r="K1240" i="1" a="1"/>
  <c r="K1240" i="1"/>
  <c r="J1241" i="1" a="1"/>
  <c r="J1241" i="1" s="1"/>
  <c r="I1238" i="1" a="1"/>
  <c r="I1238" i="1"/>
  <c r="H1241" i="1" a="1"/>
  <c r="H1241" i="1"/>
  <c r="Q1240" i="1" a="1"/>
  <c r="Q1240" i="1"/>
  <c r="F1241" i="1" a="1"/>
  <c r="F1241" i="1" s="1"/>
  <c r="Q1237" i="1" a="1"/>
  <c r="Q1237" i="1" s="1"/>
  <c r="G1240" i="1" a="1"/>
  <c r="G1240" i="1" s="1"/>
  <c r="F1240" i="1" a="1"/>
  <c r="F1240" i="1"/>
  <c r="Q1239" i="1" a="1"/>
  <c r="Q1239" i="1"/>
  <c r="Q1236" i="1" a="1"/>
  <c r="Q1236" i="1"/>
  <c r="K1237" i="1" a="1"/>
  <c r="K1237" i="1"/>
  <c r="M1240" i="1" a="1"/>
  <c r="M1240" i="1" s="1"/>
  <c r="K1239" i="1" a="1"/>
  <c r="K1239" i="1" s="1"/>
  <c r="M1237" i="1" a="1"/>
  <c r="M1237" i="1"/>
  <c r="H1239" i="1" a="1"/>
  <c r="H1239" i="1" s="1"/>
  <c r="F1238" i="1" a="1"/>
  <c r="F1238" i="1" s="1"/>
  <c r="J1240" i="1" a="1"/>
  <c r="J1240" i="1" s="1"/>
  <c r="I1240" i="1" a="1"/>
  <c r="I1240" i="1"/>
  <c r="O1237" i="1" a="1"/>
  <c r="O1237" i="1" s="1"/>
  <c r="I1237" i="1" a="1"/>
  <c r="I1237" i="1" s="1"/>
  <c r="I1241" i="1" a="1"/>
  <c r="I1241" i="1"/>
  <c r="G1241" i="1" a="1"/>
  <c r="G1241" i="1" s="1"/>
  <c r="N1238" i="1" a="1"/>
  <c r="N1238" i="1"/>
  <c r="P1240" i="1" a="1"/>
  <c r="P1240" i="1"/>
  <c r="L1239" i="1" a="1"/>
  <c r="L1239" i="1"/>
  <c r="O1240" i="1" a="1"/>
  <c r="O1240" i="1"/>
  <c r="O1239" i="1" a="1"/>
  <c r="O1239" i="1" s="1"/>
  <c r="L1240" i="1" a="1"/>
  <c r="L1240" i="1" s="1"/>
  <c r="H1238" i="1" a="1"/>
  <c r="H1238" i="1" s="1"/>
  <c r="M1238" i="1" a="1"/>
  <c r="M1238" i="1"/>
  <c r="H1240" i="1" a="1"/>
  <c r="H1240" i="1"/>
  <c r="N1236" i="1" a="1"/>
  <c r="N1236" i="1" s="1"/>
  <c r="P1239" i="1" a="1"/>
  <c r="P1239" i="1"/>
  <c r="P1237" i="1" a="1"/>
  <c r="P1237" i="1" s="1"/>
  <c r="M1239" i="1" a="1"/>
  <c r="M1239" i="1" s="1"/>
  <c r="I1239" i="1" a="1"/>
  <c r="I1239" i="1" s="1"/>
  <c r="L1237" i="1" a="1"/>
  <c r="L1237" i="1" s="1"/>
  <c r="J1239" i="1" a="1"/>
  <c r="J1239" i="1" s="1"/>
  <c r="G1239" i="1" a="1"/>
  <c r="G1239" i="1" s="1"/>
  <c r="F1239" i="1" a="1"/>
  <c r="F1239" i="1" s="1"/>
  <c r="Q1238" i="1" a="1"/>
  <c r="Q1238" i="1"/>
  <c r="P1238" i="1" a="1"/>
  <c r="P1238" i="1"/>
  <c r="L1238" i="1" a="1"/>
  <c r="L1238" i="1" s="1"/>
  <c r="G1238" i="1" a="1"/>
  <c r="G1238" i="1" s="1"/>
  <c r="K1238" i="1" a="1"/>
  <c r="K1238" i="1" s="1"/>
  <c r="J1238" i="1" a="1"/>
  <c r="J1238" i="1" s="1"/>
  <c r="J1237" i="1" a="1"/>
  <c r="J1237" i="1"/>
  <c r="G1237" i="1" a="1"/>
  <c r="G1237" i="1"/>
  <c r="H1237" i="1" a="1"/>
  <c r="H1237" i="1"/>
  <c r="N1237" i="1" a="1"/>
  <c r="N1237" i="1"/>
  <c r="P1236" i="1" a="1"/>
  <c r="P1236" i="1"/>
  <c r="Q1241" i="1" a="1"/>
  <c r="Q1241" i="1"/>
  <c r="N1240" i="1" a="1"/>
  <c r="N1240" i="1" s="1"/>
  <c r="P1241" i="1" a="1"/>
  <c r="P1241" i="1" s="1"/>
  <c r="O1241" i="1" a="1"/>
  <c r="O1241" i="1" s="1"/>
  <c r="N1235" i="1" a="1"/>
  <c r="N1235" i="1"/>
  <c r="N1233" i="1" a="1"/>
  <c r="N1233" i="1" s="1"/>
  <c r="O1232" i="1" a="1"/>
  <c r="O1232" i="1"/>
  <c r="L1231" i="1" a="1"/>
  <c r="L1231" i="1"/>
  <c r="M1232" i="1" a="1"/>
  <c r="M1232" i="1"/>
  <c r="H1232" i="1" a="1"/>
  <c r="H1232" i="1" s="1"/>
  <c r="G1235" i="1" a="1"/>
  <c r="G1235" i="1" s="1"/>
  <c r="O1235" i="1" a="1"/>
  <c r="O1235" i="1"/>
  <c r="M1235" i="1" a="1"/>
  <c r="M1235" i="1"/>
  <c r="G1233" i="1" a="1"/>
  <c r="G1233" i="1"/>
  <c r="P1232" i="1" a="1"/>
  <c r="P1232" i="1" s="1"/>
  <c r="P1231" i="1" a="1"/>
  <c r="P1231" i="1"/>
  <c r="G1232" i="1" a="1"/>
  <c r="G1232" i="1" s="1"/>
  <c r="F1235" i="1" a="1"/>
  <c r="F1235" i="1" s="1"/>
  <c r="L1234" i="1" a="1"/>
  <c r="L1234" i="1" s="1"/>
  <c r="K1236" i="1" a="1"/>
  <c r="K1236" i="1" s="1"/>
  <c r="K1233" i="1" a="1"/>
  <c r="K1233" i="1" s="1"/>
  <c r="L1236" i="1" a="1"/>
  <c r="L1236" i="1"/>
  <c r="F1232" i="1" a="1"/>
  <c r="F1232" i="1"/>
  <c r="J1236" i="1" a="1"/>
  <c r="J1236" i="1" s="1"/>
  <c r="I1234" i="1" a="1"/>
  <c r="I1234" i="1" s="1"/>
  <c r="I1236" i="1" a="1"/>
  <c r="I1236" i="1"/>
  <c r="I1233" i="1" a="1"/>
  <c r="I1233" i="1"/>
  <c r="G1234" i="1" a="1"/>
  <c r="G1234" i="1" s="1"/>
  <c r="O1233" i="1" a="1"/>
  <c r="O1233" i="1" s="1"/>
  <c r="F1233" i="1" a="1"/>
  <c r="F1233" i="1" s="1"/>
  <c r="M1231" i="1" a="1"/>
  <c r="M1231" i="1" s="1"/>
  <c r="G1236" i="1" a="1"/>
  <c r="G1236" i="1" s="1"/>
  <c r="J1234" i="1" a="1"/>
  <c r="J1234" i="1"/>
  <c r="Q1233" i="1" a="1"/>
  <c r="Q1233" i="1" s="1"/>
  <c r="I1232" i="1" a="1"/>
  <c r="I1232" i="1" s="1"/>
  <c r="F1236" i="1" a="1"/>
  <c r="F1236" i="1"/>
  <c r="Q1235" i="1" a="1"/>
  <c r="Q1235" i="1" s="1"/>
  <c r="H1233" i="1" a="1"/>
  <c r="H1233" i="1" s="1"/>
  <c r="N1231" i="1" a="1"/>
  <c r="N1231" i="1" s="1"/>
  <c r="P1235" i="1" a="1"/>
  <c r="P1235" i="1"/>
  <c r="O1234" i="1" a="1"/>
  <c r="O1234" i="1"/>
  <c r="K1234" i="1" a="1"/>
  <c r="K1234" i="1"/>
  <c r="F1234" i="1" a="1"/>
  <c r="F1234" i="1"/>
  <c r="K1232" i="1" a="1"/>
  <c r="K1232" i="1"/>
  <c r="O1231" i="1" a="1"/>
  <c r="O1231" i="1" s="1"/>
  <c r="L1235" i="1" a="1"/>
  <c r="L1235" i="1" s="1"/>
  <c r="Q1231" i="1" a="1"/>
  <c r="Q1231" i="1" s="1"/>
  <c r="K1235" i="1" a="1"/>
  <c r="K1235" i="1" s="1"/>
  <c r="J1231" i="1" a="1"/>
  <c r="J1231" i="1" s="1"/>
  <c r="J1232" i="1" a="1"/>
  <c r="J1232" i="1" s="1"/>
  <c r="I1235" i="1" a="1"/>
  <c r="I1235" i="1"/>
  <c r="Q1234" i="1" a="1"/>
  <c r="Q1234" i="1" s="1"/>
  <c r="M1233" i="1" a="1"/>
  <c r="M1233" i="1"/>
  <c r="L1233" i="1" a="1"/>
  <c r="L1233" i="1"/>
  <c r="N1232" i="1" a="1"/>
  <c r="N1232" i="1"/>
  <c r="M1234" i="1" a="1"/>
  <c r="M1234" i="1" s="1"/>
  <c r="K1231" i="1" a="1"/>
  <c r="K1231" i="1" s="1"/>
  <c r="J1235" i="1" a="1"/>
  <c r="J1235" i="1"/>
  <c r="H1236" i="1" a="1"/>
  <c r="H1236" i="1"/>
  <c r="H1234" i="1" a="1"/>
  <c r="H1234" i="1" s="1"/>
  <c r="L1232" i="1" a="1"/>
  <c r="L1232" i="1" s="1"/>
  <c r="N1234" i="1" a="1"/>
  <c r="N1234" i="1" s="1"/>
  <c r="P1233" i="1" a="1"/>
  <c r="P1233" i="1" s="1"/>
  <c r="P1234" i="1" a="1"/>
  <c r="P1234" i="1"/>
  <c r="M1236" i="1" a="1"/>
  <c r="M1236" i="1"/>
  <c r="J1233" i="1" a="1"/>
  <c r="J1233" i="1"/>
  <c r="Q1232" i="1" a="1"/>
  <c r="Q1232" i="1"/>
  <c r="H1235" i="1" a="1"/>
  <c r="H1235" i="1" s="1"/>
  <c r="H1230" i="1" a="1"/>
  <c r="H1230" i="1" s="1"/>
  <c r="G1227" i="1" a="1"/>
  <c r="G1227" i="1"/>
  <c r="F1226" i="1" a="1"/>
  <c r="F1226" i="1"/>
  <c r="O1227" i="1" a="1"/>
  <c r="O1227" i="1"/>
  <c r="H1229" i="1" a="1"/>
  <c r="H1229" i="1" s="1"/>
  <c r="N1228" i="1" a="1"/>
  <c r="N1228" i="1" s="1"/>
  <c r="L1228" i="1" a="1"/>
  <c r="L1228" i="1"/>
  <c r="K1228" i="1" a="1"/>
  <c r="K1228" i="1" s="1"/>
  <c r="K1227" i="1" a="1"/>
  <c r="K1227" i="1"/>
  <c r="Q1226" i="1" a="1"/>
  <c r="Q1226" i="1" s="1"/>
  <c r="H1227" i="1" a="1"/>
  <c r="H1227" i="1" s="1"/>
  <c r="I1226" i="1" a="1"/>
  <c r="I1226" i="1"/>
  <c r="I1228" i="1" a="1"/>
  <c r="I1228" i="1"/>
  <c r="H1228" i="1" a="1"/>
  <c r="H1228" i="1"/>
  <c r="F1228" i="1" a="1"/>
  <c r="F1228" i="1" s="1"/>
  <c r="N1227" i="1" a="1"/>
  <c r="N1227" i="1" s="1"/>
  <c r="I1227" i="1" a="1"/>
  <c r="I1227" i="1"/>
  <c r="H1226" i="1" a="1"/>
  <c r="H1226" i="1"/>
  <c r="O1230" i="1" a="1"/>
  <c r="O1230" i="1"/>
  <c r="J1230" i="1" a="1"/>
  <c r="J1230" i="1" s="1"/>
  <c r="Q1228" i="1" a="1"/>
  <c r="Q1228" i="1" s="1"/>
  <c r="J1227" i="1" a="1"/>
  <c r="J1227" i="1" s="1"/>
  <c r="L1230" i="1" a="1"/>
  <c r="L1230" i="1" s="1"/>
  <c r="G1230" i="1" a="1"/>
  <c r="G1230" i="1"/>
  <c r="P1229" i="1" a="1"/>
  <c r="P1229" i="1" s="1"/>
  <c r="M1229" i="1" a="1"/>
  <c r="M1229" i="1"/>
  <c r="M1228" i="1" a="1"/>
  <c r="M1228" i="1" s="1"/>
  <c r="G1228" i="1" a="1"/>
  <c r="G1228" i="1" s="1"/>
  <c r="K1226" i="1" a="1"/>
  <c r="K1226" i="1"/>
  <c r="F1227" i="1" a="1"/>
  <c r="F1227" i="1" s="1"/>
  <c r="Q1227" i="1" a="1"/>
  <c r="Q1227" i="1" s="1"/>
  <c r="N1230" i="1" a="1"/>
  <c r="N1230" i="1"/>
  <c r="K1230" i="1" a="1"/>
  <c r="K1230" i="1"/>
  <c r="L1226" i="1" a="1"/>
  <c r="L1226" i="1"/>
  <c r="J1229" i="1" a="1"/>
  <c r="J1229" i="1"/>
  <c r="G1229" i="1" a="1"/>
  <c r="G1229" i="1" s="1"/>
  <c r="O1229" i="1" a="1"/>
  <c r="O1229" i="1"/>
  <c r="M1227" i="1" a="1"/>
  <c r="M1227" i="1"/>
  <c r="I1230" i="1" a="1"/>
  <c r="I1230" i="1" s="1"/>
  <c r="Q1229" i="1" a="1"/>
  <c r="Q1229" i="1" s="1"/>
  <c r="N1229" i="1" a="1"/>
  <c r="N1229" i="1"/>
  <c r="P1228" i="1" a="1"/>
  <c r="P1228" i="1"/>
  <c r="P1226" i="1" a="1"/>
  <c r="P1226" i="1" s="1"/>
  <c r="I1231" i="1" a="1"/>
  <c r="I1231" i="1"/>
  <c r="O1226" i="1" a="1"/>
  <c r="O1226" i="1"/>
  <c r="F1230" i="1" a="1"/>
  <c r="F1230" i="1"/>
  <c r="L1227" i="1" a="1"/>
  <c r="L1227" i="1"/>
  <c r="J1226" i="1" a="1"/>
  <c r="J1226" i="1" s="1"/>
  <c r="G1226" i="1" a="1"/>
  <c r="G1226" i="1" s="1"/>
  <c r="F1229" i="1" a="1"/>
  <c r="F1229" i="1" s="1"/>
  <c r="N1226" i="1" a="1"/>
  <c r="N1226" i="1" s="1"/>
  <c r="F1231" i="1" a="1"/>
  <c r="F1231" i="1"/>
  <c r="I1229" i="1" a="1"/>
  <c r="I1229" i="1"/>
  <c r="H1231" i="1" a="1"/>
  <c r="H1231" i="1" s="1"/>
  <c r="G1231" i="1" a="1"/>
  <c r="G1231" i="1"/>
  <c r="Q1230" i="1" a="1"/>
  <c r="Q1230" i="1"/>
  <c r="L1229" i="1" a="1"/>
  <c r="L1229" i="1"/>
  <c r="K1229" i="1" a="1"/>
  <c r="K1229" i="1"/>
  <c r="M1226" i="1" a="1"/>
  <c r="M1226" i="1"/>
  <c r="O1228" i="1" a="1"/>
  <c r="O1228" i="1" s="1"/>
  <c r="J1228" i="1" a="1"/>
  <c r="J1228" i="1" s="1"/>
  <c r="P1227" i="1" a="1"/>
  <c r="P1227" i="1"/>
  <c r="P1230" i="1" a="1"/>
  <c r="P1230" i="1"/>
  <c r="M1230" i="1" a="1"/>
  <c r="M1230" i="1" s="1"/>
  <c r="F1221" i="1" a="1"/>
  <c r="F1221" i="1"/>
  <c r="Q1220" i="1" a="1"/>
  <c r="Q1220" i="1"/>
  <c r="I1221" i="1" a="1"/>
  <c r="I1221" i="1"/>
  <c r="J1224" i="1" a="1"/>
  <c r="J1224" i="1"/>
  <c r="P1221" i="1" a="1"/>
  <c r="P1221" i="1" s="1"/>
  <c r="G1221" i="1" a="1"/>
  <c r="G1221" i="1" s="1"/>
  <c r="L1221" i="1" a="1"/>
  <c r="L1221" i="1"/>
  <c r="P1222" i="1" a="1"/>
  <c r="P1222" i="1"/>
  <c r="N1221" i="1" a="1"/>
  <c r="N1221" i="1"/>
  <c r="P1223" i="1" a="1"/>
  <c r="P1223" i="1" s="1"/>
  <c r="L1224" i="1" a="1"/>
  <c r="L1224" i="1" s="1"/>
  <c r="I1223" i="1" a="1"/>
  <c r="I1223" i="1" s="1"/>
  <c r="K1222" i="1" a="1"/>
  <c r="K1222" i="1"/>
  <c r="N1222" i="1" a="1"/>
  <c r="N1222" i="1"/>
  <c r="K1221" i="1" a="1"/>
  <c r="K1221" i="1"/>
  <c r="L1222" i="1" a="1"/>
  <c r="L1222" i="1" s="1"/>
  <c r="N1220" i="1" a="1"/>
  <c r="N1220" i="1" s="1"/>
  <c r="P1225" i="1" a="1"/>
  <c r="P1225" i="1" s="1"/>
  <c r="K1225" i="1" a="1"/>
  <c r="K1225" i="1" s="1"/>
  <c r="Q1224" i="1" a="1"/>
  <c r="Q1224" i="1"/>
  <c r="P1224" i="1" a="1"/>
  <c r="P1224" i="1" s="1"/>
  <c r="F1224" i="1" a="1"/>
  <c r="F1224" i="1" s="1"/>
  <c r="M1224" i="1" a="1"/>
  <c r="M1224" i="1" s="1"/>
  <c r="K1224" i="1" a="1"/>
  <c r="K1224" i="1"/>
  <c r="M1221" i="1" a="1"/>
  <c r="M1221" i="1" s="1"/>
  <c r="Q1225" i="1" a="1"/>
  <c r="Q1225" i="1" s="1"/>
  <c r="O1225" i="1" a="1"/>
  <c r="O1225" i="1" s="1"/>
  <c r="O1221" i="1" a="1"/>
  <c r="O1221" i="1"/>
  <c r="M1222" i="1" a="1"/>
  <c r="M1222" i="1"/>
  <c r="O1224" i="1" a="1"/>
  <c r="O1224" i="1"/>
  <c r="Q1221" i="1" a="1"/>
  <c r="Q1221" i="1" s="1"/>
  <c r="I1224" i="1" a="1"/>
  <c r="I1224" i="1" s="1"/>
  <c r="N1223" i="1" a="1"/>
  <c r="N1223" i="1" s="1"/>
  <c r="Q1223" i="1" a="1"/>
  <c r="Q1223" i="1" s="1"/>
  <c r="M1225" i="1" a="1"/>
  <c r="M1225" i="1" s="1"/>
  <c r="J1225" i="1" a="1"/>
  <c r="J1225" i="1" s="1"/>
  <c r="I1225" i="1" a="1"/>
  <c r="I1225" i="1" s="1"/>
  <c r="M1223" i="1" a="1"/>
  <c r="M1223" i="1"/>
  <c r="H1225" i="1" a="1"/>
  <c r="H1225" i="1"/>
  <c r="G1225" i="1" a="1"/>
  <c r="G1225" i="1"/>
  <c r="J1223" i="1" a="1"/>
  <c r="J1223" i="1"/>
  <c r="F1225" i="1" a="1"/>
  <c r="F1225" i="1"/>
  <c r="J1221" i="1" a="1"/>
  <c r="J1221" i="1" s="1"/>
  <c r="N1224" i="1" a="1"/>
  <c r="N1224" i="1" s="1"/>
  <c r="G1223" i="1" a="1"/>
  <c r="G1223" i="1"/>
  <c r="F1222" i="1" a="1"/>
  <c r="F1222" i="1" s="1"/>
  <c r="H1224" i="1" a="1"/>
  <c r="H1224" i="1" s="1"/>
  <c r="Q1222" i="1" a="1"/>
  <c r="Q1222" i="1" s="1"/>
  <c r="K1223" i="1" a="1"/>
  <c r="K1223" i="1" s="1"/>
  <c r="L1223" i="1" a="1"/>
  <c r="L1223" i="1" s="1"/>
  <c r="F1223" i="1" a="1"/>
  <c r="F1223" i="1"/>
  <c r="O1220" i="1" a="1"/>
  <c r="O1220" i="1" s="1"/>
  <c r="J1222" i="1" a="1"/>
  <c r="J1222" i="1" s="1"/>
  <c r="H1222" i="1" a="1"/>
  <c r="H1222" i="1"/>
  <c r="H1221" i="1" a="1"/>
  <c r="H1221" i="1"/>
  <c r="H1223" i="1" a="1"/>
  <c r="H1223" i="1"/>
  <c r="N1225" i="1" a="1"/>
  <c r="N1225" i="1"/>
  <c r="L1225" i="1" a="1"/>
  <c r="L1225" i="1" s="1"/>
  <c r="G1224" i="1" a="1"/>
  <c r="G1224" i="1" s="1"/>
  <c r="O1223" i="1" a="1"/>
  <c r="O1223" i="1"/>
  <c r="I1222" i="1" a="1"/>
  <c r="I1222" i="1" s="1"/>
  <c r="G1222" i="1" a="1"/>
  <c r="G1222" i="1" s="1"/>
  <c r="P1220" i="1" a="1"/>
  <c r="P1220" i="1"/>
  <c r="O1222" i="1" a="1"/>
  <c r="O1222" i="1" s="1"/>
  <c r="G1218" i="1" a="1"/>
  <c r="G1218" i="1" s="1"/>
  <c r="L1215" i="1" a="1"/>
  <c r="L1215" i="1"/>
  <c r="O1216" i="1" a="1"/>
  <c r="O1216" i="1"/>
  <c r="K1216" i="1" a="1"/>
  <c r="K1216" i="1"/>
  <c r="J1216" i="1" a="1"/>
  <c r="J1216" i="1" s="1"/>
  <c r="H1216" i="1" a="1"/>
  <c r="H1216" i="1" s="1"/>
  <c r="Q1215" i="1" a="1"/>
  <c r="Q1215" i="1" s="1"/>
  <c r="F1217" i="1" a="1"/>
  <c r="F1217" i="1"/>
  <c r="M1220" i="1" a="1"/>
  <c r="M1220" i="1"/>
  <c r="N1218" i="1" a="1"/>
  <c r="N1218" i="1"/>
  <c r="L1220" i="1" a="1"/>
  <c r="L1220" i="1" s="1"/>
  <c r="K1220" i="1" a="1"/>
  <c r="K1220" i="1" s="1"/>
  <c r="H1220" i="1" a="1"/>
  <c r="H1220" i="1" s="1"/>
  <c r="I1219" i="1" a="1"/>
  <c r="I1219" i="1" s="1"/>
  <c r="L1218" i="1" a="1"/>
  <c r="L1218" i="1" s="1"/>
  <c r="K1218" i="1" a="1"/>
  <c r="K1218" i="1" s="1"/>
  <c r="K1219" i="1" a="1"/>
  <c r="K1219" i="1" s="1"/>
  <c r="N1217" i="1" a="1"/>
  <c r="N1217" i="1"/>
  <c r="J1220" i="1" a="1"/>
  <c r="J1220" i="1"/>
  <c r="I1220" i="1" a="1"/>
  <c r="I1220" i="1" s="1"/>
  <c r="Q1218" i="1" a="1"/>
  <c r="Q1218" i="1" s="1"/>
  <c r="F1220" i="1" a="1"/>
  <c r="F1220" i="1" s="1"/>
  <c r="J1217" i="1" a="1"/>
  <c r="J1217" i="1"/>
  <c r="L1219" i="1" a="1"/>
  <c r="L1219" i="1"/>
  <c r="F1218" i="1" a="1"/>
  <c r="F1218" i="1" s="1"/>
  <c r="I1218" i="1" a="1"/>
  <c r="I1218" i="1"/>
  <c r="O1219" i="1" a="1"/>
  <c r="O1219" i="1"/>
  <c r="N1219" i="1" a="1"/>
  <c r="N1219" i="1"/>
  <c r="P1218" i="1" a="1"/>
  <c r="P1218" i="1" s="1"/>
  <c r="P1216" i="1" a="1"/>
  <c r="P1216" i="1" s="1"/>
  <c r="F1219" i="1" a="1"/>
  <c r="F1219" i="1" s="1"/>
  <c r="H1219" i="1" a="1"/>
  <c r="H1219" i="1"/>
  <c r="P1217" i="1" a="1"/>
  <c r="P1217" i="1" s="1"/>
  <c r="L1216" i="1" a="1"/>
  <c r="L1216" i="1"/>
  <c r="G1217" i="1" a="1"/>
  <c r="G1217" i="1"/>
  <c r="J1219" i="1" a="1"/>
  <c r="J1219" i="1"/>
  <c r="N1215" i="1" a="1"/>
  <c r="N1215" i="1"/>
  <c r="G1219" i="1" a="1"/>
  <c r="G1219" i="1" s="1"/>
  <c r="J1218" i="1" a="1"/>
  <c r="J1218" i="1" s="1"/>
  <c r="I1216" i="1" a="1"/>
  <c r="I1216" i="1"/>
  <c r="H1218" i="1" a="1"/>
  <c r="H1218" i="1" s="1"/>
  <c r="Q1217" i="1" a="1"/>
  <c r="Q1217" i="1" s="1"/>
  <c r="O1217" i="1" a="1"/>
  <c r="O1217" i="1"/>
  <c r="M1217" i="1" a="1"/>
  <c r="M1217" i="1"/>
  <c r="Q1216" i="1" a="1"/>
  <c r="Q1216" i="1" s="1"/>
  <c r="I1217" i="1" a="1"/>
  <c r="I1217" i="1" s="1"/>
  <c r="K1217" i="1" a="1"/>
  <c r="K1217" i="1" s="1"/>
  <c r="F1216" i="1" a="1"/>
  <c r="F1216" i="1" s="1"/>
  <c r="H1217" i="1" a="1"/>
  <c r="H1217" i="1"/>
  <c r="O1218" i="1" a="1"/>
  <c r="O1218" i="1"/>
  <c r="P1219" i="1" a="1"/>
  <c r="P1219" i="1"/>
  <c r="P1215" i="1" a="1"/>
  <c r="P1215" i="1"/>
  <c r="L1217" i="1" a="1"/>
  <c r="L1217" i="1" s="1"/>
  <c r="M1218" i="1" a="1"/>
  <c r="M1218" i="1"/>
  <c r="N1216" i="1" a="1"/>
  <c r="N1216" i="1"/>
  <c r="O1215" i="1" a="1"/>
  <c r="O1215" i="1"/>
  <c r="M1216" i="1" a="1"/>
  <c r="M1216" i="1"/>
  <c r="M1215" i="1" a="1"/>
  <c r="M1215" i="1"/>
  <c r="G1220" i="1" a="1"/>
  <c r="G1220" i="1"/>
  <c r="Q1219" i="1" a="1"/>
  <c r="Q1219" i="1" s="1"/>
  <c r="G1216" i="1" a="1"/>
  <c r="G1216" i="1"/>
  <c r="M1219" i="1" a="1"/>
  <c r="M1219" i="1"/>
  <c r="O1211" i="1" a="1"/>
  <c r="O1211" i="1"/>
  <c r="N1211" i="1" a="1"/>
  <c r="N1211" i="1" s="1"/>
  <c r="L1210" i="1" a="1"/>
  <c r="L1210" i="1" s="1"/>
  <c r="M1212" i="1" a="1"/>
  <c r="M1212" i="1" s="1"/>
  <c r="F1212" i="1" a="1"/>
  <c r="F1212" i="1" s="1"/>
  <c r="F1211" i="1" a="1"/>
  <c r="F1211" i="1" s="1"/>
  <c r="N1209" i="1" a="1"/>
  <c r="N1209" i="1" s="1"/>
  <c r="N1210" i="1" a="1"/>
  <c r="N1210" i="1"/>
  <c r="K1210" i="1" a="1"/>
  <c r="K1210" i="1"/>
  <c r="K1215" i="1" a="1"/>
  <c r="K1215" i="1" s="1"/>
  <c r="J1215" i="1" a="1"/>
  <c r="J1215" i="1" s="1"/>
  <c r="I1215" i="1" a="1"/>
  <c r="I1215" i="1" s="1"/>
  <c r="I1214" i="1" a="1"/>
  <c r="I1214" i="1" s="1"/>
  <c r="H1215" i="1" a="1"/>
  <c r="H1215" i="1"/>
  <c r="H1210" i="1" a="1"/>
  <c r="H1210" i="1"/>
  <c r="K1211" i="1" a="1"/>
  <c r="K1211" i="1"/>
  <c r="N1214" i="1" a="1"/>
  <c r="N1214" i="1" s="1"/>
  <c r="G1215" i="1" a="1"/>
  <c r="G1215" i="1" s="1"/>
  <c r="F1215" i="1" a="1"/>
  <c r="F1215" i="1" s="1"/>
  <c r="Q1214" i="1" a="1"/>
  <c r="Q1214" i="1"/>
  <c r="P1214" i="1" a="1"/>
  <c r="P1214" i="1" s="1"/>
  <c r="G1210" i="1" a="1"/>
  <c r="G1210" i="1" s="1"/>
  <c r="O1214" i="1" a="1"/>
  <c r="O1214" i="1"/>
  <c r="M1214" i="1" a="1"/>
  <c r="M1214" i="1" s="1"/>
  <c r="J1214" i="1" a="1"/>
  <c r="J1214" i="1"/>
  <c r="J1211" i="1" a="1"/>
  <c r="J1211" i="1"/>
  <c r="I1212" i="1" a="1"/>
  <c r="I1212" i="1" s="1"/>
  <c r="H1211" i="1" a="1"/>
  <c r="H1211" i="1"/>
  <c r="O1210" i="1" a="1"/>
  <c r="O1210" i="1" s="1"/>
  <c r="K1209" i="1" a="1"/>
  <c r="K1209" i="1" s="1"/>
  <c r="O1209" i="1" a="1"/>
  <c r="O1209" i="1"/>
  <c r="Q1212" i="1" a="1"/>
  <c r="Q1212" i="1"/>
  <c r="Q1209" i="1" a="1"/>
  <c r="Q1209" i="1" s="1"/>
  <c r="P1210" i="1" a="1"/>
  <c r="P1210" i="1" s="1"/>
  <c r="L1214" i="1" a="1"/>
  <c r="L1214" i="1"/>
  <c r="P1209" i="1" a="1"/>
  <c r="P1209" i="1"/>
  <c r="K1214" i="1" a="1"/>
  <c r="K1214" i="1"/>
  <c r="O1212" i="1" a="1"/>
  <c r="O1212" i="1" s="1"/>
  <c r="P1212" i="1" a="1"/>
  <c r="P1212" i="1" s="1"/>
  <c r="L1211" i="1" a="1"/>
  <c r="L1211" i="1" s="1"/>
  <c r="H1214" i="1" a="1"/>
  <c r="H1214" i="1"/>
  <c r="M1209" i="1" a="1"/>
  <c r="M1209" i="1" s="1"/>
  <c r="L1212" i="1" a="1"/>
  <c r="L1212" i="1" s="1"/>
  <c r="K1212" i="1" a="1"/>
  <c r="K1212" i="1" s="1"/>
  <c r="I1210" i="1" a="1"/>
  <c r="I1210" i="1" s="1"/>
  <c r="H1212" i="1" a="1"/>
  <c r="H1212" i="1"/>
  <c r="M1210" i="1" a="1"/>
  <c r="M1210" i="1" s="1"/>
  <c r="Q1210" i="1" a="1"/>
  <c r="Q1210" i="1" s="1"/>
  <c r="L1209" i="1" a="1"/>
  <c r="L1209" i="1" s="1"/>
  <c r="G1211" i="1" a="1"/>
  <c r="G1211" i="1"/>
  <c r="Q1211" i="1" a="1"/>
  <c r="Q1211" i="1"/>
  <c r="J1212" i="1" a="1"/>
  <c r="J1212" i="1"/>
  <c r="F1210" i="1" a="1"/>
  <c r="F1210" i="1"/>
  <c r="M1211" i="1" a="1"/>
  <c r="M1211" i="1"/>
  <c r="G1214" i="1" a="1"/>
  <c r="G1214" i="1"/>
  <c r="I1211" i="1" a="1"/>
  <c r="I1211" i="1" s="1"/>
  <c r="G1212" i="1" a="1"/>
  <c r="G1212" i="1"/>
  <c r="J1210" i="1" a="1"/>
  <c r="J1210" i="1"/>
  <c r="F1214" i="1" a="1"/>
  <c r="F1214" i="1"/>
  <c r="P1211" i="1" a="1"/>
  <c r="P1211" i="1"/>
  <c r="N1212" i="1" a="1"/>
  <c r="N1212" i="1" s="1"/>
  <c r="K1201" i="1" a="1"/>
  <c r="K1201" i="1"/>
  <c r="O1200" i="1" a="1"/>
  <c r="O1200" i="1"/>
  <c r="M1200" i="1" a="1"/>
  <c r="M1200" i="1"/>
  <c r="L1201" i="1" a="1"/>
  <c r="L1201" i="1" s="1"/>
  <c r="G1209" i="1" a="1"/>
  <c r="G1209" i="1" s="1"/>
  <c r="M1208" i="1" a="1"/>
  <c r="M1208" i="1"/>
  <c r="L1202" i="1" a="1"/>
  <c r="L1202" i="1"/>
  <c r="O1201" i="1" a="1"/>
  <c r="O1201" i="1" s="1"/>
  <c r="L1208" i="1" a="1"/>
  <c r="L1208" i="1" s="1"/>
  <c r="O1202" i="1" a="1"/>
  <c r="O1202" i="1" s="1"/>
  <c r="J1209" i="1" a="1"/>
  <c r="J1209" i="1" s="1"/>
  <c r="I1209" i="1" a="1"/>
  <c r="I1209" i="1"/>
  <c r="H1209" i="1" a="1"/>
  <c r="H1209" i="1"/>
  <c r="F1201" i="1" a="1"/>
  <c r="F1201" i="1" s="1"/>
  <c r="P1202" i="1" a="1"/>
  <c r="P1202" i="1"/>
  <c r="Q1200" i="1" a="1"/>
  <c r="Q1200" i="1"/>
  <c r="K1208" i="1" a="1"/>
  <c r="K1208" i="1"/>
  <c r="M1201" i="1" a="1"/>
  <c r="M1201" i="1"/>
  <c r="G1201" i="1" a="1"/>
  <c r="G1201" i="1" s="1"/>
  <c r="G1202" i="1" a="1"/>
  <c r="G1202" i="1" s="1"/>
  <c r="M1202" i="1" a="1"/>
  <c r="M1202" i="1"/>
  <c r="H1202" i="1" a="1"/>
  <c r="H1202" i="1" s="1"/>
  <c r="F1209" i="1" a="1"/>
  <c r="F1209" i="1"/>
  <c r="Q1208" i="1" a="1"/>
  <c r="Q1208" i="1"/>
  <c r="P1208" i="1" a="1"/>
  <c r="P1208" i="1"/>
  <c r="Q1202" i="1" a="1"/>
  <c r="Q1202" i="1" s="1"/>
  <c r="J1208" i="1" a="1"/>
  <c r="J1208" i="1" s="1"/>
  <c r="I1201" i="1" a="1"/>
  <c r="I1201" i="1" s="1"/>
  <c r="L1200" i="1" a="1"/>
  <c r="L1200" i="1"/>
  <c r="N1208" i="1" a="1"/>
  <c r="N1208" i="1" s="1"/>
  <c r="K1202" i="1" a="1"/>
  <c r="K1202" i="1" s="1"/>
  <c r="F1202" i="1" a="1"/>
  <c r="F1202" i="1" s="1"/>
  <c r="O1208" i="1" a="1"/>
  <c r="O1208" i="1"/>
  <c r="I1208" i="1" a="1"/>
  <c r="I1208" i="1"/>
  <c r="Q1201" i="1" a="1"/>
  <c r="Q1201" i="1"/>
  <c r="F1208" i="1" a="1"/>
  <c r="F1208" i="1"/>
  <c r="J1201" i="1" a="1"/>
  <c r="J1201" i="1" s="1"/>
  <c r="H1208" i="1" a="1"/>
  <c r="H1208" i="1"/>
  <c r="N1201" i="1" a="1"/>
  <c r="N1201" i="1" s="1"/>
  <c r="P1200" i="1" a="1"/>
  <c r="P1200" i="1"/>
  <c r="K1200" i="1" a="1"/>
  <c r="K1200" i="1" s="1"/>
  <c r="G1208" i="1" a="1"/>
  <c r="G1208" i="1" s="1"/>
  <c r="J1202" i="1" a="1"/>
  <c r="J1202" i="1"/>
  <c r="N1202" i="1" a="1"/>
  <c r="N1202" i="1"/>
  <c r="I1202" i="1" a="1"/>
  <c r="I1202" i="1" s="1"/>
  <c r="P1201" i="1" a="1"/>
  <c r="P1201" i="1" s="1"/>
  <c r="N1200" i="1" a="1"/>
  <c r="N1200" i="1" s="1"/>
  <c r="H1201" i="1" a="1"/>
  <c r="H1201" i="1"/>
  <c r="F1196" i="1" a="1"/>
  <c r="F1196" i="1"/>
  <c r="P1196" i="1" a="1"/>
  <c r="P1196" i="1"/>
  <c r="O1197" i="1" a="1"/>
  <c r="O1197" i="1" s="1"/>
  <c r="O1198" i="1" a="1"/>
  <c r="O1198" i="1"/>
  <c r="J1198" i="1" a="1"/>
  <c r="J1198" i="1"/>
  <c r="G1197" i="1" a="1"/>
  <c r="G1197" i="1"/>
  <c r="M1195" i="1" a="1"/>
  <c r="M1195" i="1" s="1"/>
  <c r="Q1196" i="1" a="1"/>
  <c r="Q1196" i="1" s="1"/>
  <c r="O1199" i="1" a="1"/>
  <c r="O1199" i="1" s="1"/>
  <c r="J1196" i="1" a="1"/>
  <c r="J1196" i="1" s="1"/>
  <c r="I1197" i="1" a="1"/>
  <c r="I1197" i="1"/>
  <c r="K1197" i="1" a="1"/>
  <c r="K1197" i="1"/>
  <c r="G1196" i="1" a="1"/>
  <c r="G1196" i="1"/>
  <c r="M1199" i="1" a="1"/>
  <c r="M1199" i="1"/>
  <c r="O1195" i="1" a="1"/>
  <c r="O1195" i="1" s="1"/>
  <c r="L1199" i="1" a="1"/>
  <c r="L1199" i="1" s="1"/>
  <c r="J1199" i="1" a="1"/>
  <c r="J1199" i="1"/>
  <c r="H1199" i="1" a="1"/>
  <c r="H1199" i="1" s="1"/>
  <c r="G1199" i="1" a="1"/>
  <c r="G1199" i="1" s="1"/>
  <c r="I1195" i="1" a="1"/>
  <c r="I1195" i="1" s="1"/>
  <c r="N1198" i="1" a="1"/>
  <c r="N1198" i="1" s="1"/>
  <c r="O1196" i="1" a="1"/>
  <c r="O1196" i="1" s="1"/>
  <c r="K1198" i="1" a="1"/>
  <c r="K1198" i="1" s="1"/>
  <c r="Q1197" i="1" a="1"/>
  <c r="Q1197" i="1" s="1"/>
  <c r="H1196" i="1" a="1"/>
  <c r="H1196" i="1" s="1"/>
  <c r="I1196" i="1" a="1"/>
  <c r="I1196" i="1"/>
  <c r="G1198" i="1" a="1"/>
  <c r="G1198" i="1"/>
  <c r="F1198" i="1" a="1"/>
  <c r="F1198" i="1"/>
  <c r="L1197" i="1" a="1"/>
  <c r="L1197" i="1"/>
  <c r="F1197" i="1" a="1"/>
  <c r="F1197" i="1" s="1"/>
  <c r="H1197" i="1" a="1"/>
  <c r="H1197" i="1" s="1"/>
  <c r="N1197" i="1" a="1"/>
  <c r="N1197" i="1"/>
  <c r="M1196" i="1" a="1"/>
  <c r="M1196" i="1" s="1"/>
  <c r="N1195" i="1" a="1"/>
  <c r="N1195" i="1" s="1"/>
  <c r="I1199" i="1" a="1"/>
  <c r="I1199" i="1"/>
  <c r="F1199" i="1" a="1"/>
  <c r="F1199" i="1" s="1"/>
  <c r="H1198" i="1" a="1"/>
  <c r="H1198" i="1" s="1"/>
  <c r="P1197" i="1" a="1"/>
  <c r="P1197" i="1"/>
  <c r="P1195" i="1" a="1"/>
  <c r="P1195" i="1"/>
  <c r="G1195" i="1" a="1"/>
  <c r="G1195" i="1"/>
  <c r="K1195" i="1" a="1"/>
  <c r="K1195" i="1" s="1"/>
  <c r="K1199" i="1" a="1"/>
  <c r="K1199" i="1" s="1"/>
  <c r="I1198" i="1" a="1"/>
  <c r="I1198" i="1" s="1"/>
  <c r="M1197" i="1" a="1"/>
  <c r="M1197" i="1"/>
  <c r="N1196" i="1" a="1"/>
  <c r="N1196" i="1"/>
  <c r="Q1195" i="1" a="1"/>
  <c r="Q1195" i="1"/>
  <c r="J1195" i="1" a="1"/>
  <c r="J1195" i="1"/>
  <c r="H1195" i="1" a="1"/>
  <c r="H1195" i="1"/>
  <c r="Q1198" i="1" a="1"/>
  <c r="Q1198" i="1" s="1"/>
  <c r="L1198" i="1" a="1"/>
  <c r="L1198" i="1" s="1"/>
  <c r="K1196" i="1" a="1"/>
  <c r="K1196" i="1"/>
  <c r="P1198" i="1" a="1"/>
  <c r="P1198" i="1" s="1"/>
  <c r="M1198" i="1" a="1"/>
  <c r="M1198" i="1"/>
  <c r="L1196" i="1" a="1"/>
  <c r="L1196" i="1"/>
  <c r="J1200" i="1" a="1"/>
  <c r="J1200" i="1"/>
  <c r="I1200" i="1" a="1"/>
  <c r="I1200" i="1" s="1"/>
  <c r="F1200" i="1" a="1"/>
  <c r="F1200" i="1" s="1"/>
  <c r="J1197" i="1" a="1"/>
  <c r="J1197" i="1" s="1"/>
  <c r="H1200" i="1" a="1"/>
  <c r="H1200" i="1"/>
  <c r="G1200" i="1" a="1"/>
  <c r="G1200" i="1"/>
  <c r="N1199" i="1" a="1"/>
  <c r="N1199" i="1"/>
  <c r="L1195" i="1" a="1"/>
  <c r="L1195" i="1" s="1"/>
  <c r="Q1199" i="1" a="1"/>
  <c r="Q1199" i="1"/>
  <c r="P1199" i="1" a="1"/>
  <c r="P1199" i="1" s="1"/>
  <c r="N1190" i="1" a="1"/>
  <c r="N1190" i="1" s="1"/>
  <c r="N1194" i="1" a="1"/>
  <c r="N1194" i="1" s="1"/>
  <c r="K1194" i="1" a="1"/>
  <c r="K1194" i="1" s="1"/>
  <c r="Q1193" i="1" a="1"/>
  <c r="Q1193" i="1" s="1"/>
  <c r="J1194" i="1" a="1"/>
  <c r="J1194" i="1" s="1"/>
  <c r="F1194" i="1" a="1"/>
  <c r="F1194" i="1"/>
  <c r="Q1190" i="1" a="1"/>
  <c r="Q1190" i="1"/>
  <c r="H1190" i="1" a="1"/>
  <c r="H1190" i="1"/>
  <c r="M1190" i="1" a="1"/>
  <c r="M1190" i="1"/>
  <c r="O1194" i="1" a="1"/>
  <c r="O1194" i="1" s="1"/>
  <c r="H1192" i="1" a="1"/>
  <c r="H1192" i="1" s="1"/>
  <c r="M1194" i="1" a="1"/>
  <c r="M1194" i="1"/>
  <c r="G1194" i="1" a="1"/>
  <c r="G1194" i="1" s="1"/>
  <c r="I1194" i="1" a="1"/>
  <c r="I1194" i="1" s="1"/>
  <c r="P1193" i="1" a="1"/>
  <c r="P1193" i="1"/>
  <c r="M1193" i="1" a="1"/>
  <c r="M1193" i="1"/>
  <c r="L1193" i="1" a="1"/>
  <c r="L1193" i="1" s="1"/>
  <c r="H1193" i="1" a="1"/>
  <c r="H1193" i="1"/>
  <c r="P1191" i="1" a="1"/>
  <c r="P1191" i="1"/>
  <c r="P1189" i="1" a="1"/>
  <c r="P1189" i="1"/>
  <c r="N1193" i="1" a="1"/>
  <c r="N1193" i="1" s="1"/>
  <c r="J1193" i="1" a="1"/>
  <c r="J1193" i="1" s="1"/>
  <c r="L1192" i="1" a="1"/>
  <c r="L1192" i="1" s="1"/>
  <c r="N1191" i="1" a="1"/>
  <c r="N1191" i="1"/>
  <c r="G1193" i="1" a="1"/>
  <c r="G1193" i="1"/>
  <c r="P1192" i="1" a="1"/>
  <c r="P1192" i="1"/>
  <c r="G1191" i="1" a="1"/>
  <c r="G1191" i="1" s="1"/>
  <c r="M1192" i="1" a="1"/>
  <c r="M1192" i="1" s="1"/>
  <c r="J1190" i="1" a="1"/>
  <c r="J1190" i="1" s="1"/>
  <c r="L1190" i="1" a="1"/>
  <c r="L1190" i="1" s="1"/>
  <c r="N1192" i="1" a="1"/>
  <c r="N1192" i="1" s="1"/>
  <c r="O1189" i="1" a="1"/>
  <c r="O1189" i="1" s="1"/>
  <c r="I1192" i="1" a="1"/>
  <c r="I1192" i="1"/>
  <c r="G1192" i="1" a="1"/>
  <c r="G1192" i="1"/>
  <c r="F1192" i="1" a="1"/>
  <c r="F1192" i="1"/>
  <c r="Q1191" i="1" a="1"/>
  <c r="Q1191" i="1" s="1"/>
  <c r="J1191" i="1" a="1"/>
  <c r="J1191" i="1" s="1"/>
  <c r="I1191" i="1" a="1"/>
  <c r="I1191" i="1" s="1"/>
  <c r="P1190" i="1" a="1"/>
  <c r="P1190" i="1"/>
  <c r="F1191" i="1" a="1"/>
  <c r="F1191" i="1"/>
  <c r="Q1189" i="1" a="1"/>
  <c r="Q1189" i="1"/>
  <c r="F1195" i="1" a="1"/>
  <c r="F1195" i="1" s="1"/>
  <c r="F1190" i="1" a="1"/>
  <c r="F1190" i="1" s="1"/>
  <c r="Q1194" i="1" a="1"/>
  <c r="Q1194" i="1"/>
  <c r="K1192" i="1" a="1"/>
  <c r="K1192" i="1"/>
  <c r="M1191" i="1" a="1"/>
  <c r="M1191" i="1"/>
  <c r="P1194" i="1" a="1"/>
  <c r="P1194" i="1" s="1"/>
  <c r="H1194" i="1" a="1"/>
  <c r="H1194" i="1" s="1"/>
  <c r="L1194" i="1" a="1"/>
  <c r="L1194" i="1" s="1"/>
  <c r="H1191" i="1" a="1"/>
  <c r="H1191" i="1"/>
  <c r="O1193" i="1" a="1"/>
  <c r="O1193" i="1"/>
  <c r="O1190" i="1" a="1"/>
  <c r="O1190" i="1"/>
  <c r="K1193" i="1" a="1"/>
  <c r="K1193" i="1"/>
  <c r="I1193" i="1" a="1"/>
  <c r="I1193" i="1" s="1"/>
  <c r="F1193" i="1" a="1"/>
  <c r="F1193" i="1" s="1"/>
  <c r="K1191" i="1" a="1"/>
  <c r="K1191" i="1" s="1"/>
  <c r="Q1192" i="1" a="1"/>
  <c r="Q1192" i="1"/>
  <c r="O1192" i="1" a="1"/>
  <c r="O1192" i="1" s="1"/>
  <c r="J1192" i="1" a="1"/>
  <c r="J1192" i="1" s="1"/>
  <c r="O1191" i="1" a="1"/>
  <c r="O1191" i="1"/>
  <c r="L1191" i="1" a="1"/>
  <c r="L1191" i="1"/>
  <c r="I1190" i="1" a="1"/>
  <c r="I1190" i="1" s="1"/>
  <c r="G1190" i="1" a="1"/>
  <c r="G1190" i="1" s="1"/>
  <c r="K1190" i="1" a="1"/>
  <c r="K1190" i="1" s="1"/>
  <c r="M1187" i="1" a="1"/>
  <c r="M1187" i="1"/>
  <c r="L1187" i="1" a="1"/>
  <c r="L1187" i="1"/>
  <c r="P1186" i="1" a="1"/>
  <c r="P1186" i="1"/>
  <c r="L1185" i="1" a="1"/>
  <c r="L1185" i="1"/>
  <c r="N1188" i="1" a="1"/>
  <c r="N1188" i="1" s="1"/>
  <c r="H1186" i="1" a="1"/>
  <c r="H1186" i="1" s="1"/>
  <c r="I1188" i="1" a="1"/>
  <c r="I1188" i="1"/>
  <c r="K1186" i="1" a="1"/>
  <c r="K1186" i="1"/>
  <c r="J1185" i="1" a="1"/>
  <c r="J1185" i="1"/>
  <c r="I1186" i="1" a="1"/>
  <c r="I1186" i="1"/>
  <c r="I1185" i="1" a="1"/>
  <c r="I1185" i="1" s="1"/>
  <c r="N1189" i="1" a="1"/>
  <c r="N1189" i="1" s="1"/>
  <c r="J1189" i="1" a="1"/>
  <c r="J1189" i="1"/>
  <c r="N1187" i="1" a="1"/>
  <c r="N1187" i="1"/>
  <c r="J1187" i="1" a="1"/>
  <c r="J1187" i="1"/>
  <c r="O1186" i="1" a="1"/>
  <c r="O1186" i="1" s="1"/>
  <c r="H1189" i="1" a="1"/>
  <c r="H1189" i="1" s="1"/>
  <c r="P1185" i="1" a="1"/>
  <c r="P1185" i="1" s="1"/>
  <c r="G1189" i="1" a="1"/>
  <c r="G1189" i="1"/>
  <c r="O1187" i="1" a="1"/>
  <c r="O1187" i="1" s="1"/>
  <c r="H1185" i="1" a="1"/>
  <c r="H1185" i="1" s="1"/>
  <c r="Q1186" i="1" a="1"/>
  <c r="Q1186" i="1"/>
  <c r="G1188" i="1" a="1"/>
  <c r="G1188" i="1" s="1"/>
  <c r="K1185" i="1" a="1"/>
  <c r="K1185" i="1"/>
  <c r="M1185" i="1" a="1"/>
  <c r="M1185" i="1" s="1"/>
  <c r="M1188" i="1" a="1"/>
  <c r="M1188" i="1" s="1"/>
  <c r="L1188" i="1" a="1"/>
  <c r="L1188" i="1" s="1"/>
  <c r="H1188" i="1" a="1"/>
  <c r="H1188" i="1"/>
  <c r="F1188" i="1" a="1"/>
  <c r="F1188" i="1"/>
  <c r="G1185" i="1" a="1"/>
  <c r="G1185" i="1"/>
  <c r="P1187" i="1" a="1"/>
  <c r="P1187" i="1" s="1"/>
  <c r="F1186" i="1" a="1"/>
  <c r="F1186" i="1" s="1"/>
  <c r="L1186" i="1" a="1"/>
  <c r="L1186" i="1" s="1"/>
  <c r="K1187" i="1" a="1"/>
  <c r="K1187" i="1" s="1"/>
  <c r="I1187" i="1" a="1"/>
  <c r="I1187" i="1" s="1"/>
  <c r="G1187" i="1" a="1"/>
  <c r="G1187" i="1" s="1"/>
  <c r="N1186" i="1" a="1"/>
  <c r="N1186" i="1"/>
  <c r="G1186" i="1" a="1"/>
  <c r="G1186" i="1"/>
  <c r="F1185" i="1" a="1"/>
  <c r="F1185" i="1"/>
  <c r="N1185" i="1" a="1"/>
  <c r="N1185" i="1" s="1"/>
  <c r="F1187" i="1" a="1"/>
  <c r="F1187" i="1"/>
  <c r="Q1187" i="1" a="1"/>
  <c r="Q1187" i="1" s="1"/>
  <c r="J1186" i="1" a="1"/>
  <c r="J1186" i="1" s="1"/>
  <c r="M1189" i="1" a="1"/>
  <c r="M1189" i="1" s="1"/>
  <c r="K1188" i="1" a="1"/>
  <c r="K1188" i="1"/>
  <c r="Q1185" i="1" a="1"/>
  <c r="Q1185" i="1"/>
  <c r="Q1188" i="1" a="1"/>
  <c r="Q1188" i="1"/>
  <c r="H1187" i="1" a="1"/>
  <c r="H1187" i="1" s="1"/>
  <c r="M1186" i="1" a="1"/>
  <c r="M1186" i="1"/>
  <c r="L1189" i="1" a="1"/>
  <c r="L1189" i="1"/>
  <c r="O1188" i="1" a="1"/>
  <c r="O1188" i="1"/>
  <c r="K1189" i="1" a="1"/>
  <c r="K1189" i="1" s="1"/>
  <c r="I1189" i="1" a="1"/>
  <c r="I1189" i="1" s="1"/>
  <c r="O1185" i="1" a="1"/>
  <c r="O1185" i="1" s="1"/>
  <c r="F1189" i="1" a="1"/>
  <c r="F1189" i="1" s="1"/>
  <c r="J1188" i="1" a="1"/>
  <c r="J1188" i="1" s="1"/>
  <c r="P1188" i="1" a="1"/>
  <c r="P1188" i="1" s="1"/>
  <c r="Q1179" i="1" a="1"/>
  <c r="Q1179" i="1" s="1"/>
  <c r="P1179" i="1" a="1"/>
  <c r="P1179" i="1" s="1"/>
  <c r="O1179" i="1" a="1"/>
  <c r="O1179" i="1"/>
  <c r="N1179" i="1" a="1"/>
  <c r="N1179" i="1"/>
  <c r="M1179" i="1" a="1"/>
  <c r="M1179" i="1" s="1"/>
  <c r="K1179" i="1" a="1"/>
  <c r="K1179" i="1" s="1"/>
  <c r="L1179" i="1" a="1"/>
  <c r="L1179" i="1"/>
  <c r="J1179" i="1" a="1"/>
  <c r="J1179" i="1"/>
  <c r="O1178" i="1" a="1"/>
  <c r="O1178" i="1"/>
  <c r="G1179" i="1" a="1"/>
  <c r="G1179" i="1"/>
  <c r="H1179" i="1" a="1"/>
  <c r="H1179" i="1" s="1"/>
  <c r="F1179" i="1" a="1"/>
  <c r="F1179" i="1"/>
  <c r="Q1178" i="1" a="1"/>
  <c r="Q1178" i="1"/>
  <c r="P1178" i="1" a="1"/>
  <c r="P1178" i="1" s="1"/>
  <c r="N1178" i="1" a="1"/>
  <c r="N1178" i="1"/>
  <c r="I1179" i="1" a="1"/>
  <c r="I1179" i="1"/>
  <c r="L1176" i="1" a="1"/>
  <c r="L1176" i="1"/>
  <c r="F1177" i="1" a="1"/>
  <c r="F1177" i="1" s="1"/>
  <c r="H1175" i="1" a="1"/>
  <c r="H1175" i="1" s="1"/>
  <c r="L1175" i="1" a="1"/>
  <c r="L1175" i="1"/>
  <c r="N1176" i="1" a="1"/>
  <c r="N1176" i="1"/>
  <c r="K1176" i="1" a="1"/>
  <c r="K1176" i="1" s="1"/>
  <c r="J1176" i="1" a="1"/>
  <c r="J1176" i="1" s="1"/>
  <c r="H1176" i="1" a="1"/>
  <c r="H1176" i="1" s="1"/>
  <c r="G1176" i="1" a="1"/>
  <c r="G1176" i="1" s="1"/>
  <c r="Q1174" i="1" a="1"/>
  <c r="Q1174" i="1" s="1"/>
  <c r="M1178" i="1" a="1"/>
  <c r="M1178" i="1" s="1"/>
  <c r="L1178" i="1" a="1"/>
  <c r="L1178" i="1" s="1"/>
  <c r="K1178" i="1" a="1"/>
  <c r="K1178" i="1" s="1"/>
  <c r="F1175" i="1" a="1"/>
  <c r="F1175" i="1"/>
  <c r="J1178" i="1" a="1"/>
  <c r="J1178" i="1"/>
  <c r="N1175" i="1" a="1"/>
  <c r="N1175" i="1"/>
  <c r="I1178" i="1" a="1"/>
  <c r="I1178" i="1" s="1"/>
  <c r="F1178" i="1" a="1"/>
  <c r="F1178" i="1"/>
  <c r="I1175" i="1" a="1"/>
  <c r="I1175" i="1"/>
  <c r="Q1177" i="1" a="1"/>
  <c r="Q1177" i="1"/>
  <c r="K1177" i="1" a="1"/>
  <c r="K1177" i="1" s="1"/>
  <c r="Q1176" i="1" a="1"/>
  <c r="Q1176" i="1" s="1"/>
  <c r="P1176" i="1" a="1"/>
  <c r="P1176" i="1"/>
  <c r="M1176" i="1" a="1"/>
  <c r="M1176" i="1"/>
  <c r="P1175" i="1" a="1"/>
  <c r="P1175" i="1" s="1"/>
  <c r="I1176" i="1" a="1"/>
  <c r="I1176" i="1" s="1"/>
  <c r="O1175" i="1" a="1"/>
  <c r="O1175" i="1" s="1"/>
  <c r="J1177" i="1" a="1"/>
  <c r="J1177" i="1" s="1"/>
  <c r="M1177" i="1" a="1"/>
  <c r="M1177" i="1" s="1"/>
  <c r="K1175" i="1" a="1"/>
  <c r="K1175" i="1" s="1"/>
  <c r="H1178" i="1" a="1"/>
  <c r="H1178" i="1" s="1"/>
  <c r="P1177" i="1" a="1"/>
  <c r="P1177" i="1" s="1"/>
  <c r="G1178" i="1" a="1"/>
  <c r="G1178" i="1" s="1"/>
  <c r="O1177" i="1" a="1"/>
  <c r="O1177" i="1" s="1"/>
  <c r="N1177" i="1" a="1"/>
  <c r="N1177" i="1"/>
  <c r="L1177" i="1" a="1"/>
  <c r="L1177" i="1"/>
  <c r="F1176" i="1" a="1"/>
  <c r="F1176" i="1" s="1"/>
  <c r="P1174" i="1" a="1"/>
  <c r="P1174" i="1"/>
  <c r="J1175" i="1" a="1"/>
  <c r="J1175" i="1"/>
  <c r="I1177" i="1" a="1"/>
  <c r="I1177" i="1"/>
  <c r="H1177" i="1" a="1"/>
  <c r="H1177" i="1"/>
  <c r="Q1175" i="1" a="1"/>
  <c r="Q1175" i="1"/>
  <c r="M1175" i="1" a="1"/>
  <c r="M1175" i="1" s="1"/>
  <c r="G1175" i="1" a="1"/>
  <c r="G1175" i="1" s="1"/>
  <c r="G1177" i="1" a="1"/>
  <c r="G1177" i="1" s="1"/>
  <c r="O1176" i="1" a="1"/>
  <c r="O1176" i="1"/>
  <c r="G1326" i="1" a="1"/>
  <c r="G1326" i="1" s="1"/>
  <c r="Q1332" i="1" a="1"/>
  <c r="Q1332" i="1" s="1"/>
  <c r="P1332" i="1" a="1"/>
  <c r="P1332" i="1" s="1"/>
  <c r="N1332" i="1" a="1"/>
  <c r="N1332" i="1"/>
  <c r="M1332" i="1" a="1"/>
  <c r="M1332" i="1"/>
  <c r="J1332" i="1" a="1"/>
  <c r="J1332" i="1"/>
  <c r="I1332" i="1" a="1"/>
  <c r="I1332" i="1"/>
  <c r="H1332" i="1" a="1"/>
  <c r="H1332" i="1" s="1"/>
  <c r="F1332" i="1" a="1"/>
  <c r="F1332" i="1"/>
  <c r="Q1326" i="1" a="1"/>
  <c r="Q1326" i="1"/>
  <c r="J1326" i="1" a="1"/>
  <c r="J1326" i="1" s="1"/>
  <c r="P1326" i="1" a="1"/>
  <c r="P1326" i="1"/>
  <c r="N1326" i="1" a="1"/>
  <c r="N1326" i="1" s="1"/>
  <c r="H1326" i="1" a="1"/>
  <c r="H1326" i="1" s="1"/>
  <c r="Q1325" i="1" a="1"/>
  <c r="Q1325" i="1"/>
  <c r="P1325" i="1" a="1"/>
  <c r="P1325" i="1"/>
  <c r="K1325" i="1" a="1"/>
  <c r="K1325" i="1"/>
  <c r="F1326" i="1" a="1"/>
  <c r="F1326" i="1"/>
  <c r="M1326" i="1" a="1"/>
  <c r="M1326" i="1" s="1"/>
  <c r="I1333" i="1" a="1"/>
  <c r="I1333" i="1" s="1"/>
  <c r="H1333" i="1" a="1"/>
  <c r="H1333" i="1"/>
  <c r="O1332" i="1" a="1"/>
  <c r="O1332" i="1" s="1"/>
  <c r="G1333" i="1" a="1"/>
  <c r="G1333" i="1" s="1"/>
  <c r="I1325" i="1" a="1"/>
  <c r="I1325" i="1" s="1"/>
  <c r="O1325" i="1" a="1"/>
  <c r="O1325" i="1"/>
  <c r="L1332" i="1" a="1"/>
  <c r="L1332" i="1" s="1"/>
  <c r="I1326" i="1" a="1"/>
  <c r="I1326" i="1" s="1"/>
  <c r="N1325" i="1" a="1"/>
  <c r="N1325" i="1" s="1"/>
  <c r="M1325" i="1" a="1"/>
  <c r="M1325" i="1" s="1"/>
  <c r="K1332" i="1" a="1"/>
  <c r="K1332" i="1"/>
  <c r="G1332" i="1" a="1"/>
  <c r="G1332" i="1"/>
  <c r="L1326" i="1" a="1"/>
  <c r="L1326" i="1"/>
  <c r="J1325" i="1" a="1"/>
  <c r="J1325" i="1"/>
  <c r="O1326" i="1" a="1"/>
  <c r="O1326" i="1" s="1"/>
  <c r="L1325" i="1" a="1"/>
  <c r="L1325" i="1"/>
  <c r="F1333" i="1" a="1"/>
  <c r="F1333" i="1"/>
  <c r="K1326" i="1" a="1"/>
  <c r="K1326" i="1"/>
  <c r="F1321" i="1" a="1"/>
  <c r="F1321" i="1" s="1"/>
  <c r="M1323" i="1" a="1"/>
  <c r="M1323" i="1" s="1"/>
  <c r="F1320" i="1" a="1"/>
  <c r="F1320" i="1"/>
  <c r="I1319" i="1" a="1"/>
  <c r="I1319" i="1" s="1"/>
  <c r="O1323" i="1" a="1"/>
  <c r="O1323" i="1"/>
  <c r="G1320" i="1" a="1"/>
  <c r="G1320" i="1"/>
  <c r="Q1324" i="1" a="1"/>
  <c r="Q1324" i="1"/>
  <c r="L1323" i="1" a="1"/>
  <c r="L1323" i="1" s="1"/>
  <c r="G1323" i="1" a="1"/>
  <c r="G1323" i="1" s="1"/>
  <c r="K1319" i="1" a="1"/>
  <c r="K1319" i="1" s="1"/>
  <c r="F1325" i="1" a="1"/>
  <c r="F1325" i="1"/>
  <c r="N1323" i="1" a="1"/>
  <c r="N1323" i="1" s="1"/>
  <c r="P1324" i="1" a="1"/>
  <c r="P1324" i="1" s="1"/>
  <c r="O1324" i="1" a="1"/>
  <c r="O1324" i="1"/>
  <c r="G1321" i="1" a="1"/>
  <c r="G1321" i="1" s="1"/>
  <c r="M1324" i="1" a="1"/>
  <c r="M1324" i="1" s="1"/>
  <c r="L1324" i="1" a="1"/>
  <c r="L1324" i="1"/>
  <c r="Q1321" i="1" a="1"/>
  <c r="Q1321" i="1" s="1"/>
  <c r="G1319" i="1" a="1"/>
  <c r="G1319" i="1" s="1"/>
  <c r="F1324" i="1" a="1"/>
  <c r="F1324" i="1"/>
  <c r="K1324" i="1" a="1"/>
  <c r="K1324" i="1"/>
  <c r="F1323" i="1" a="1"/>
  <c r="F1323" i="1"/>
  <c r="Q1320" i="1" a="1"/>
  <c r="Q1320" i="1" s="1"/>
  <c r="N1319" i="1" a="1"/>
  <c r="N1319" i="1" s="1"/>
  <c r="M1321" i="1" a="1"/>
  <c r="M1321" i="1" s="1"/>
  <c r="I1323" i="1" a="1"/>
  <c r="I1323" i="1"/>
  <c r="J1324" i="1" a="1"/>
  <c r="J1324" i="1"/>
  <c r="M1319" i="1" a="1"/>
  <c r="M1319" i="1"/>
  <c r="I1324" i="1" a="1"/>
  <c r="I1324" i="1"/>
  <c r="N1320" i="1" a="1"/>
  <c r="N1320" i="1" s="1"/>
  <c r="K1323" i="1" a="1"/>
  <c r="K1323" i="1"/>
  <c r="J1321" i="1" a="1"/>
  <c r="J1321" i="1" s="1"/>
  <c r="P1319" i="1" a="1"/>
  <c r="P1319" i="1" s="1"/>
  <c r="H1321" i="1" a="1"/>
  <c r="H1321" i="1" s="1"/>
  <c r="H1324" i="1" a="1"/>
  <c r="H1324" i="1" s="1"/>
  <c r="G1324" i="1" a="1"/>
  <c r="G1324" i="1" s="1"/>
  <c r="J1323" i="1" a="1"/>
  <c r="J1323" i="1"/>
  <c r="P1321" i="1" a="1"/>
  <c r="P1321" i="1"/>
  <c r="O1321" i="1" a="1"/>
  <c r="O1321" i="1"/>
  <c r="N1321" i="1" a="1"/>
  <c r="N1321" i="1"/>
  <c r="M1320" i="1" a="1"/>
  <c r="M1320" i="1" s="1"/>
  <c r="I1320" i="1" a="1"/>
  <c r="I1320" i="1"/>
  <c r="Q1319" i="1" a="1"/>
  <c r="Q1319" i="1"/>
  <c r="J1320" i="1" a="1"/>
  <c r="J1320" i="1"/>
  <c r="K1320" i="1" a="1"/>
  <c r="K1320" i="1"/>
  <c r="L1319" i="1" a="1"/>
  <c r="L1319" i="1" s="1"/>
  <c r="I1321" i="1" a="1"/>
  <c r="I1321" i="1" s="1"/>
  <c r="L1321" i="1" a="1"/>
  <c r="L1321" i="1" s="1"/>
  <c r="O1319" i="1" a="1"/>
  <c r="O1319" i="1"/>
  <c r="H1323" i="1" a="1"/>
  <c r="H1323" i="1"/>
  <c r="H1320" i="1" a="1"/>
  <c r="H1320" i="1"/>
  <c r="P1323" i="1" a="1"/>
  <c r="P1323" i="1" s="1"/>
  <c r="Q1323" i="1" a="1"/>
  <c r="Q1323" i="1" s="1"/>
  <c r="P1320" i="1" a="1"/>
  <c r="P1320" i="1" s="1"/>
  <c r="O1320" i="1" a="1"/>
  <c r="O1320" i="1" s="1"/>
  <c r="J1319" i="1" a="1"/>
  <c r="J1319" i="1" s="1"/>
  <c r="L1320" i="1" a="1"/>
  <c r="L1320" i="1" s="1"/>
  <c r="H1325" i="1" a="1"/>
  <c r="H1325" i="1"/>
  <c r="G1325" i="1" a="1"/>
  <c r="G1325" i="1"/>
  <c r="N1324" i="1" a="1"/>
  <c r="N1324" i="1"/>
  <c r="K1321" i="1" a="1"/>
  <c r="K1321" i="1"/>
  <c r="H1319" i="1" a="1"/>
  <c r="H1319" i="1"/>
  <c r="G1318" i="1" a="1"/>
  <c r="G1318" i="1" s="1"/>
  <c r="I1318" i="1" a="1"/>
  <c r="I1318" i="1" s="1"/>
  <c r="H1318" i="1" a="1"/>
  <c r="H1318" i="1" s="1"/>
  <c r="F1318" i="1" a="1"/>
  <c r="F1318" i="1"/>
  <c r="F1317" i="1" a="1"/>
  <c r="F1317" i="1"/>
  <c r="G1317" i="1" a="1"/>
  <c r="G1317" i="1"/>
  <c r="P1317" i="1" a="1"/>
  <c r="P1317" i="1" s="1"/>
  <c r="N1317" i="1" a="1"/>
  <c r="N1317" i="1"/>
  <c r="M1317" i="1" a="1"/>
  <c r="M1317" i="1"/>
  <c r="Q1317" i="1" a="1"/>
  <c r="Q1317" i="1"/>
  <c r="I1317" i="1" a="1"/>
  <c r="I1317" i="1" s="1"/>
  <c r="K1317" i="1" a="1"/>
  <c r="K1317" i="1"/>
  <c r="J1317" i="1" a="1"/>
  <c r="J1317" i="1"/>
  <c r="O1317" i="1" a="1"/>
  <c r="O1317" i="1"/>
  <c r="N1318" i="1" a="1"/>
  <c r="N1318" i="1" s="1"/>
  <c r="F1319" i="1" a="1"/>
  <c r="F1319" i="1"/>
  <c r="K1318" i="1" a="1"/>
  <c r="K1318" i="1"/>
  <c r="L1317" i="1" a="1"/>
  <c r="L1317" i="1"/>
  <c r="H1317" i="1" a="1"/>
  <c r="H1317" i="1"/>
  <c r="Q1318" i="1" a="1"/>
  <c r="Q1318" i="1" s="1"/>
  <c r="P1318" i="1" a="1"/>
  <c r="P1318" i="1" s="1"/>
  <c r="O1318" i="1" a="1"/>
  <c r="O1318" i="1"/>
  <c r="M1318" i="1" a="1"/>
  <c r="M1318" i="1" s="1"/>
  <c r="L1318" i="1" a="1"/>
  <c r="L1318" i="1" s="1"/>
  <c r="J1318" i="1" a="1"/>
  <c r="J1318" i="1" s="1"/>
  <c r="K1263" i="1" a="1"/>
  <c r="K1263" i="1" s="1"/>
  <c r="G1263" i="1" a="1"/>
  <c r="G1263" i="1" s="1"/>
  <c r="P1262" i="1" a="1"/>
  <c r="P1262" i="1"/>
  <c r="F1263" i="1" a="1"/>
  <c r="F1263" i="1"/>
  <c r="O1263" i="1" a="1"/>
  <c r="O1263" i="1" s="1"/>
  <c r="H1263" i="1" a="1"/>
  <c r="H1263" i="1" s="1"/>
  <c r="Q1263" i="1" a="1"/>
  <c r="Q1263" i="1" s="1"/>
  <c r="N1263" i="1" a="1"/>
  <c r="N1263" i="1"/>
  <c r="L1263" i="1" a="1"/>
  <c r="L1263" i="1"/>
  <c r="M1263" i="1" a="1"/>
  <c r="M1263" i="1" s="1"/>
  <c r="J1263" i="1" a="1"/>
  <c r="J1263" i="1" s="1"/>
  <c r="I1263" i="1" a="1"/>
  <c r="I1263" i="1"/>
  <c r="Q1262" i="1" a="1"/>
  <c r="Q1262" i="1"/>
  <c r="P1263" i="1" a="1"/>
  <c r="P1263" i="1"/>
  <c r="L2232" i="1" a="1"/>
  <c r="L2232" i="1"/>
  <c r="N2232" i="1" a="1"/>
  <c r="N2232" i="1" s="1"/>
  <c r="Q2232" i="1" a="1"/>
  <c r="Q2232" i="1" s="1"/>
  <c r="P2232" i="1" a="1"/>
  <c r="P2232" i="1"/>
  <c r="O2232" i="1" a="1"/>
  <c r="O2232" i="1" s="1"/>
  <c r="M2232" i="1" a="1"/>
  <c r="M2232" i="1"/>
  <c r="N1675" i="1" a="1"/>
  <c r="N1675" i="1"/>
  <c r="J1676" i="1" a="1"/>
  <c r="J1676" i="1"/>
  <c r="L1675" i="1" a="1"/>
  <c r="L1675" i="1" s="1"/>
  <c r="J1675" i="1" a="1"/>
  <c r="J1675" i="1" s="1"/>
  <c r="O1676" i="1" a="1"/>
  <c r="O1676" i="1"/>
  <c r="G1676" i="1" a="1"/>
  <c r="G1676" i="1"/>
  <c r="P1675" i="1" a="1"/>
  <c r="P1675" i="1" s="1"/>
  <c r="H1675" i="1" a="1"/>
  <c r="H1675" i="1" s="1"/>
  <c r="N1676" i="1" a="1"/>
  <c r="N1676" i="1" s="1"/>
  <c r="K1676" i="1" a="1"/>
  <c r="K1676" i="1" s="1"/>
  <c r="G1675" i="1" a="1"/>
  <c r="G1675" i="1"/>
  <c r="M1675" i="1" a="1"/>
  <c r="M1675" i="1" s="1"/>
  <c r="I1675" i="1" a="1"/>
  <c r="I1675" i="1" s="1"/>
  <c r="H1676" i="1" a="1"/>
  <c r="H1676" i="1" s="1"/>
  <c r="O1675" i="1" a="1"/>
  <c r="O1675" i="1" s="1"/>
  <c r="Q1675" i="1" a="1"/>
  <c r="Q1675" i="1" s="1"/>
  <c r="P1676" i="1" a="1"/>
  <c r="P1676" i="1"/>
  <c r="M1676" i="1" a="1"/>
  <c r="M1676" i="1" s="1"/>
  <c r="F1676" i="1" a="1"/>
  <c r="F1676" i="1" s="1"/>
  <c r="L1676" i="1" a="1"/>
  <c r="L1676" i="1" s="1"/>
  <c r="I1676" i="1" a="1"/>
  <c r="I1676" i="1"/>
  <c r="Q1676" i="1" a="1"/>
  <c r="Q1676" i="1"/>
  <c r="K1675" i="1" a="1"/>
  <c r="K1675" i="1"/>
  <c r="F1673" i="1" a="1"/>
  <c r="F1673" i="1" s="1"/>
  <c r="O1672" i="1" a="1"/>
  <c r="O1672" i="1" s="1"/>
  <c r="M1671" i="1" a="1"/>
  <c r="M1671" i="1" s="1"/>
  <c r="K1671" i="1" a="1"/>
  <c r="K1671" i="1" s="1"/>
  <c r="K1672" i="1" a="1"/>
  <c r="K1672" i="1" s="1"/>
  <c r="I1670" i="1" a="1"/>
  <c r="I1670" i="1"/>
  <c r="L1673" i="1" a="1"/>
  <c r="L1673" i="1"/>
  <c r="N1674" i="1" a="1"/>
  <c r="N1674" i="1"/>
  <c r="L1670" i="1" a="1"/>
  <c r="L1670" i="1" s="1"/>
  <c r="P1671" i="1" a="1"/>
  <c r="P1671" i="1" s="1"/>
  <c r="M1674" i="1" a="1"/>
  <c r="M1674" i="1"/>
  <c r="H1674" i="1" a="1"/>
  <c r="H1674" i="1"/>
  <c r="Q1672" i="1" a="1"/>
  <c r="Q1672" i="1" s="1"/>
  <c r="J1672" i="1" a="1"/>
  <c r="J1672" i="1" s="1"/>
  <c r="I1671" i="1" a="1"/>
  <c r="I1671" i="1"/>
  <c r="F1671" i="1" a="1"/>
  <c r="F1671" i="1"/>
  <c r="G1670" i="1" a="1"/>
  <c r="G1670" i="1" s="1"/>
  <c r="Q1673" i="1" a="1"/>
  <c r="Q1673" i="1" s="1"/>
  <c r="M1673" i="1" a="1"/>
  <c r="M1673" i="1" s="1"/>
  <c r="L1674" i="1" a="1"/>
  <c r="L1674" i="1" s="1"/>
  <c r="H1671" i="1" a="1"/>
  <c r="H1671" i="1" s="1"/>
  <c r="K1674" i="1" a="1"/>
  <c r="K1674" i="1" s="1"/>
  <c r="J1674" i="1" a="1"/>
  <c r="J1674" i="1" s="1"/>
  <c r="J1673" i="1" a="1"/>
  <c r="J1673" i="1" s="1"/>
  <c r="O1673" i="1" a="1"/>
  <c r="O1673" i="1" s="1"/>
  <c r="G1673" i="1" a="1"/>
  <c r="G1673" i="1" s="1"/>
  <c r="M1672" i="1" a="1"/>
  <c r="M1672" i="1"/>
  <c r="I1674" i="1" a="1"/>
  <c r="I1674" i="1"/>
  <c r="I1672" i="1" a="1"/>
  <c r="I1672" i="1"/>
  <c r="N1671" i="1" a="1"/>
  <c r="N1671" i="1"/>
  <c r="G1671" i="1" a="1"/>
  <c r="G1671" i="1"/>
  <c r="P1673" i="1" a="1"/>
  <c r="P1673" i="1"/>
  <c r="G1674" i="1" a="1"/>
  <c r="G1674" i="1"/>
  <c r="Q1669" i="1" a="1"/>
  <c r="Q1669" i="1" s="1"/>
  <c r="F1674" i="1" a="1"/>
  <c r="F1674" i="1"/>
  <c r="H1672" i="1" a="1"/>
  <c r="H1672" i="1"/>
  <c r="N1673" i="1" a="1"/>
  <c r="N1673" i="1" s="1"/>
  <c r="K1673" i="1" a="1"/>
  <c r="K1673" i="1"/>
  <c r="L1672" i="1" a="1"/>
  <c r="L1672" i="1"/>
  <c r="F1672" i="1" a="1"/>
  <c r="F1672" i="1"/>
  <c r="L1671" i="1" a="1"/>
  <c r="L1671" i="1"/>
  <c r="J1670" i="1" a="1"/>
  <c r="J1670" i="1" s="1"/>
  <c r="J1671" i="1" a="1"/>
  <c r="J1671" i="1" s="1"/>
  <c r="O1670" i="1" a="1"/>
  <c r="O1670" i="1" s="1"/>
  <c r="P1670" i="1" a="1"/>
  <c r="P1670" i="1"/>
  <c r="N1670" i="1" a="1"/>
  <c r="N1670" i="1"/>
  <c r="F1675" i="1" a="1"/>
  <c r="F1675" i="1"/>
  <c r="N1672" i="1" a="1"/>
  <c r="N1672" i="1"/>
  <c r="H1670" i="1" a="1"/>
  <c r="H1670" i="1" s="1"/>
  <c r="Q1674" i="1" a="1"/>
  <c r="Q1674" i="1" s="1"/>
  <c r="P1674" i="1" a="1"/>
  <c r="P1674" i="1" s="1"/>
  <c r="H1673" i="1" a="1"/>
  <c r="H1673" i="1"/>
  <c r="P1672" i="1" a="1"/>
  <c r="P1672" i="1"/>
  <c r="K1670" i="1" a="1"/>
  <c r="K1670" i="1" s="1"/>
  <c r="Q1671" i="1" a="1"/>
  <c r="Q1671" i="1" s="1"/>
  <c r="P1669" i="1" a="1"/>
  <c r="P1669" i="1"/>
  <c r="M1670" i="1" a="1"/>
  <c r="M1670" i="1"/>
  <c r="O1671" i="1" a="1"/>
  <c r="O1671" i="1"/>
  <c r="G1672" i="1" a="1"/>
  <c r="G1672" i="1" s="1"/>
  <c r="Q1670" i="1" a="1"/>
  <c r="Q1670" i="1" s="1"/>
  <c r="F1670" i="1" a="1"/>
  <c r="F1670" i="1"/>
  <c r="O1674" i="1" a="1"/>
  <c r="O1674" i="1"/>
  <c r="I1673" i="1" a="1"/>
  <c r="I1673" i="1" s="1"/>
  <c r="P1668" i="1" a="1"/>
  <c r="P1668" i="1"/>
  <c r="O1668" i="1" a="1"/>
  <c r="O1668" i="1" s="1"/>
  <c r="G1662" i="1" a="1"/>
  <c r="G1662" i="1" s="1"/>
  <c r="N1661" i="1" a="1"/>
  <c r="N1661" i="1"/>
  <c r="G1661" i="1" a="1"/>
  <c r="G1661" i="1" s="1"/>
  <c r="L1668" i="1" a="1"/>
  <c r="L1668" i="1"/>
  <c r="I1667" i="1" a="1"/>
  <c r="I1667" i="1"/>
  <c r="M1662" i="1" a="1"/>
  <c r="M1662" i="1" s="1"/>
  <c r="J1661" i="1" a="1"/>
  <c r="J1661" i="1" s="1"/>
  <c r="J1662" i="1" a="1"/>
  <c r="J1662" i="1"/>
  <c r="M1668" i="1" a="1"/>
  <c r="M1668" i="1" s="1"/>
  <c r="Q1667" i="1" a="1"/>
  <c r="Q1667" i="1" s="1"/>
  <c r="O1667" i="1" a="1"/>
  <c r="O1667" i="1"/>
  <c r="K1667" i="1" a="1"/>
  <c r="K1667" i="1" s="1"/>
  <c r="G1668" i="1" a="1"/>
  <c r="G1668" i="1" s="1"/>
  <c r="I1662" i="1" a="1"/>
  <c r="I1662" i="1" s="1"/>
  <c r="H1662" i="1" a="1"/>
  <c r="H1662" i="1"/>
  <c r="F1662" i="1" a="1"/>
  <c r="F1662" i="1"/>
  <c r="J1669" i="1" a="1"/>
  <c r="J1669" i="1"/>
  <c r="J1668" i="1" a="1"/>
  <c r="J1668" i="1" s="1"/>
  <c r="K1662" i="1" a="1"/>
  <c r="K1662" i="1" s="1"/>
  <c r="H1661" i="1" a="1"/>
  <c r="H1661" i="1"/>
  <c r="G1667" i="1" a="1"/>
  <c r="G1667" i="1"/>
  <c r="Q1668" i="1" a="1"/>
  <c r="Q1668" i="1"/>
  <c r="N1668" i="1" a="1"/>
  <c r="N1668" i="1" s="1"/>
  <c r="I1668" i="1" a="1"/>
  <c r="I1668" i="1"/>
  <c r="P1667" i="1" a="1"/>
  <c r="P1667" i="1" s="1"/>
  <c r="J1667" i="1" a="1"/>
  <c r="J1667" i="1" s="1"/>
  <c r="H1667" i="1" a="1"/>
  <c r="H1667" i="1" s="1"/>
  <c r="N1662" i="1" a="1"/>
  <c r="N1662" i="1" s="1"/>
  <c r="Q1661" i="1" a="1"/>
  <c r="Q1661" i="1" s="1"/>
  <c r="I1661" i="1" a="1"/>
  <c r="I1661" i="1" s="1"/>
  <c r="Q1662" i="1" a="1"/>
  <c r="Q1662" i="1"/>
  <c r="H1668" i="1" a="1"/>
  <c r="H1668" i="1"/>
  <c r="O1669" i="1" a="1"/>
  <c r="O1669" i="1"/>
  <c r="P1662" i="1" a="1"/>
  <c r="P1662" i="1"/>
  <c r="N1669" i="1" a="1"/>
  <c r="N1669" i="1" s="1"/>
  <c r="M1669" i="1" a="1"/>
  <c r="M1669" i="1" s="1"/>
  <c r="L1667" i="1" a="1"/>
  <c r="L1667" i="1" s="1"/>
  <c r="K1661" i="1" a="1"/>
  <c r="K1661" i="1" s="1"/>
  <c r="L1669" i="1" a="1"/>
  <c r="L1669" i="1" s="1"/>
  <c r="M1667" i="1" a="1"/>
  <c r="M1667" i="1" s="1"/>
  <c r="K1669" i="1" a="1"/>
  <c r="K1669" i="1"/>
  <c r="K1668" i="1" a="1"/>
  <c r="K1668" i="1" s="1"/>
  <c r="I1669" i="1" a="1"/>
  <c r="I1669" i="1"/>
  <c r="F1668" i="1" a="1"/>
  <c r="F1668" i="1"/>
  <c r="O1662" i="1" a="1"/>
  <c r="O1662" i="1"/>
  <c r="N1667" i="1" a="1"/>
  <c r="N1667" i="1"/>
  <c r="O1661" i="1" a="1"/>
  <c r="O1661" i="1" s="1"/>
  <c r="M1661" i="1" a="1"/>
  <c r="M1661" i="1" s="1"/>
  <c r="L1661" i="1" a="1"/>
  <c r="L1661" i="1"/>
  <c r="F1667" i="1" a="1"/>
  <c r="F1667" i="1"/>
  <c r="P1661" i="1" a="1"/>
  <c r="P1661" i="1"/>
  <c r="L1662" i="1" a="1"/>
  <c r="L1662" i="1"/>
  <c r="F1669" i="1" a="1"/>
  <c r="F1669" i="1" s="1"/>
  <c r="H1669" i="1" a="1"/>
  <c r="H1669" i="1"/>
  <c r="G1669" i="1" a="1"/>
  <c r="G1669" i="1"/>
  <c r="G1654" i="1" a="1"/>
  <c r="G1654" i="1" s="1"/>
  <c r="L1654" i="1" a="1"/>
  <c r="L1654" i="1" s="1"/>
  <c r="F1661" i="1" a="1"/>
  <c r="F1661" i="1" s="1"/>
  <c r="K1654" i="1" a="1"/>
  <c r="K1654" i="1" s="1"/>
  <c r="M1660" i="1" a="1"/>
  <c r="M1660" i="1"/>
  <c r="L1660" i="1" a="1"/>
  <c r="L1660" i="1" s="1"/>
  <c r="G1660" i="1" a="1"/>
  <c r="G1660" i="1"/>
  <c r="Q1654" i="1" a="1"/>
  <c r="Q1654" i="1"/>
  <c r="I1660" i="1" a="1"/>
  <c r="I1660" i="1" s="1"/>
  <c r="J1660" i="1" a="1"/>
  <c r="J1660" i="1" s="1"/>
  <c r="P1654" i="1" a="1"/>
  <c r="P1654" i="1" s="1"/>
  <c r="J1654" i="1" a="1"/>
  <c r="J1654" i="1" s="1"/>
  <c r="F1654" i="1" a="1"/>
  <c r="F1654" i="1" s="1"/>
  <c r="I1654" i="1" a="1"/>
  <c r="I1654" i="1"/>
  <c r="Q1660" i="1" a="1"/>
  <c r="Q1660" i="1" s="1"/>
  <c r="P1660" i="1" a="1"/>
  <c r="P1660" i="1" s="1"/>
  <c r="H1654" i="1" a="1"/>
  <c r="H1654" i="1"/>
  <c r="F1660" i="1" a="1"/>
  <c r="F1660" i="1"/>
  <c r="O1660" i="1" a="1"/>
  <c r="O1660" i="1"/>
  <c r="N1660" i="1" a="1"/>
  <c r="N1660" i="1" s="1"/>
  <c r="K1660" i="1" a="1"/>
  <c r="K1660" i="1" s="1"/>
  <c r="H1660" i="1" a="1"/>
  <c r="H1660" i="1" s="1"/>
  <c r="O1654" i="1" a="1"/>
  <c r="O1654" i="1"/>
  <c r="N1654" i="1" a="1"/>
  <c r="N1654" i="1"/>
  <c r="M1654" i="1" a="1"/>
  <c r="M1654" i="1"/>
  <c r="N1647" i="1" a="1"/>
  <c r="N1647" i="1"/>
  <c r="O1642" i="1" a="1"/>
  <c r="O1642" i="1" s="1"/>
  <c r="J1647" i="1" a="1"/>
  <c r="J1647" i="1" s="1"/>
  <c r="F1646" i="1" a="1"/>
  <c r="F1646" i="1" s="1"/>
  <c r="P1646" i="1" a="1"/>
  <c r="P1646" i="1"/>
  <c r="H1643" i="1" a="1"/>
  <c r="H1643" i="1" s="1"/>
  <c r="G1646" i="1" a="1"/>
  <c r="G1646" i="1" s="1"/>
  <c r="Q1646" i="1" a="1"/>
  <c r="Q1646" i="1" s="1"/>
  <c r="Q1647" i="1" a="1"/>
  <c r="Q1647" i="1"/>
  <c r="K1646" i="1" a="1"/>
  <c r="K1646" i="1"/>
  <c r="P1647" i="1" a="1"/>
  <c r="P1647" i="1"/>
  <c r="O1647" i="1" a="1"/>
  <c r="O1647" i="1"/>
  <c r="P1643" i="1" a="1"/>
  <c r="P1643" i="1" s="1"/>
  <c r="O1643" i="1" a="1"/>
  <c r="O1643" i="1" s="1"/>
  <c r="I1643" i="1" a="1"/>
  <c r="I1643" i="1" s="1"/>
  <c r="Q1642" i="1" a="1"/>
  <c r="Q1642" i="1" s="1"/>
  <c r="F1647" i="1" a="1"/>
  <c r="F1647" i="1"/>
  <c r="M1642" i="1" a="1"/>
  <c r="M1642" i="1" s="1"/>
  <c r="K1647" i="1" a="1"/>
  <c r="K1647" i="1"/>
  <c r="H1646" i="1" a="1"/>
  <c r="H1646" i="1" s="1"/>
  <c r="L1643" i="1" a="1"/>
  <c r="L1643" i="1"/>
  <c r="N1643" i="1" a="1"/>
  <c r="N1643" i="1"/>
  <c r="M1643" i="1" a="1"/>
  <c r="M1643" i="1"/>
  <c r="O1646" i="1" a="1"/>
  <c r="O1646" i="1" s="1"/>
  <c r="J1643" i="1" a="1"/>
  <c r="J1643" i="1" s="1"/>
  <c r="G1643" i="1" a="1"/>
  <c r="G1643" i="1" s="1"/>
  <c r="Q1643" i="1" a="1"/>
  <c r="Q1643" i="1"/>
  <c r="N1646" i="1" a="1"/>
  <c r="N1646" i="1"/>
  <c r="K1643" i="1" a="1"/>
  <c r="K1643" i="1"/>
  <c r="F1643" i="1" a="1"/>
  <c r="F1643" i="1" s="1"/>
  <c r="M1646" i="1" a="1"/>
  <c r="M1646" i="1" s="1"/>
  <c r="L1647" i="1" a="1"/>
  <c r="L1647" i="1" s="1"/>
  <c r="M1647" i="1" a="1"/>
  <c r="M1647" i="1" s="1"/>
  <c r="H1647" i="1" a="1"/>
  <c r="H1647" i="1"/>
  <c r="G1647" i="1" a="1"/>
  <c r="G1647" i="1" s="1"/>
  <c r="J1646" i="1" a="1"/>
  <c r="J1646" i="1" s="1"/>
  <c r="P1642" i="1" a="1"/>
  <c r="P1642" i="1" s="1"/>
  <c r="I1647" i="1" a="1"/>
  <c r="I1647" i="1"/>
  <c r="I1646" i="1" a="1"/>
  <c r="I1646" i="1" s="1"/>
  <c r="L1646" i="1" a="1"/>
  <c r="L1646" i="1"/>
  <c r="N1642" i="1" a="1"/>
  <c r="N1642" i="1"/>
  <c r="J1629" i="1" a="1"/>
  <c r="J1629" i="1" s="1"/>
  <c r="F1642" i="1" a="1"/>
  <c r="F1642" i="1" s="1"/>
  <c r="N1629" i="1" a="1"/>
  <c r="N1629" i="1"/>
  <c r="O1629" i="1" a="1"/>
  <c r="O1629" i="1" s="1"/>
  <c r="F1629" i="1" a="1"/>
  <c r="F1629" i="1" s="1"/>
  <c r="F1628" i="1" a="1"/>
  <c r="F1628" i="1" s="1"/>
  <c r="K1628" i="1" a="1"/>
  <c r="K1628" i="1" s="1"/>
  <c r="I1628" i="1" a="1"/>
  <c r="I1628" i="1" s="1"/>
  <c r="O1628" i="1" a="1"/>
  <c r="O1628" i="1"/>
  <c r="H1629" i="1" a="1"/>
  <c r="H1629" i="1"/>
  <c r="G1628" i="1" a="1"/>
  <c r="G1628" i="1"/>
  <c r="P1629" i="1" a="1"/>
  <c r="P1629" i="1" s="1"/>
  <c r="I1629" i="1" a="1"/>
  <c r="I1629" i="1" s="1"/>
  <c r="L1642" i="1" a="1"/>
  <c r="L1642" i="1" s="1"/>
  <c r="L1629" i="1" a="1"/>
  <c r="L1629" i="1"/>
  <c r="N1628" i="1" a="1"/>
  <c r="N1628" i="1"/>
  <c r="K1642" i="1" a="1"/>
  <c r="K1642" i="1"/>
  <c r="M1629" i="1" a="1"/>
  <c r="M1629" i="1"/>
  <c r="Q1627" i="1" a="1"/>
  <c r="Q1627" i="1" s="1"/>
  <c r="P1627" i="1" a="1"/>
  <c r="P1627" i="1" s="1"/>
  <c r="J1642" i="1" a="1"/>
  <c r="J1642" i="1"/>
  <c r="J1628" i="1" a="1"/>
  <c r="J1628" i="1" s="1"/>
  <c r="H1628" i="1" a="1"/>
  <c r="H1628" i="1" s="1"/>
  <c r="M1627" i="1" a="1"/>
  <c r="M1627" i="1" s="1"/>
  <c r="P1628" i="1" a="1"/>
  <c r="P1628" i="1" s="1"/>
  <c r="G1629" i="1" a="1"/>
  <c r="G1629" i="1"/>
  <c r="O1627" i="1" a="1"/>
  <c r="O1627" i="1"/>
  <c r="L1627" i="1" a="1"/>
  <c r="L1627" i="1"/>
  <c r="N1627" i="1" a="1"/>
  <c r="N1627" i="1"/>
  <c r="Q1628" i="1" a="1"/>
  <c r="Q1628" i="1" s="1"/>
  <c r="I1642" i="1" a="1"/>
  <c r="I1642" i="1" s="1"/>
  <c r="H1642" i="1" a="1"/>
  <c r="H1642" i="1" s="1"/>
  <c r="G1642" i="1" a="1"/>
  <c r="G1642" i="1" s="1"/>
  <c r="K1629" i="1" a="1"/>
  <c r="K1629" i="1" s="1"/>
  <c r="M1628" i="1" a="1"/>
  <c r="M1628" i="1" s="1"/>
  <c r="L1628" i="1" a="1"/>
  <c r="L1628" i="1" s="1"/>
  <c r="Q1629" i="1" a="1"/>
  <c r="Q1629" i="1" s="1"/>
  <c r="K1623" i="1" a="1"/>
  <c r="K1623" i="1"/>
  <c r="N1622" i="1" a="1"/>
  <c r="N1622" i="1"/>
  <c r="J1625" i="1" a="1"/>
  <c r="J1625" i="1"/>
  <c r="P1624" i="1" a="1"/>
  <c r="P1624" i="1"/>
  <c r="H1623" i="1" a="1"/>
  <c r="H1623" i="1" s="1"/>
  <c r="J1622" i="1" a="1"/>
  <c r="J1622" i="1" s="1"/>
  <c r="H1622" i="1" a="1"/>
  <c r="H1622" i="1"/>
  <c r="N1623" i="1" a="1"/>
  <c r="N1623" i="1"/>
  <c r="M1622" i="1" a="1"/>
  <c r="M1622" i="1"/>
  <c r="L1624" i="1" a="1"/>
  <c r="L1624" i="1" s="1"/>
  <c r="M1623" i="1" a="1"/>
  <c r="M1623" i="1" s="1"/>
  <c r="K1627" i="1" a="1"/>
  <c r="K1627" i="1" s="1"/>
  <c r="G1626" i="1" a="1"/>
  <c r="G1626" i="1" s="1"/>
  <c r="M1625" i="1" a="1"/>
  <c r="M1625" i="1" s="1"/>
  <c r="K1624" i="1" a="1"/>
  <c r="K1624" i="1" s="1"/>
  <c r="I1624" i="1" a="1"/>
  <c r="I1624" i="1" s="1"/>
  <c r="Q1623" i="1" a="1"/>
  <c r="Q1623" i="1" s="1"/>
  <c r="O1623" i="1" a="1"/>
  <c r="O1623" i="1"/>
  <c r="L1623" i="1" a="1"/>
  <c r="L1623" i="1" s="1"/>
  <c r="P1626" i="1" a="1"/>
  <c r="P1626" i="1"/>
  <c r="K1626" i="1" a="1"/>
  <c r="K1626" i="1"/>
  <c r="Q1625" i="1" a="1"/>
  <c r="Q1625" i="1" s="1"/>
  <c r="L1625" i="1" a="1"/>
  <c r="L1625" i="1" s="1"/>
  <c r="I1625" i="1" a="1"/>
  <c r="I1625" i="1" s="1"/>
  <c r="M1624" i="1" a="1"/>
  <c r="M1624" i="1"/>
  <c r="H1624" i="1" a="1"/>
  <c r="H1624" i="1"/>
  <c r="G1624" i="1" a="1"/>
  <c r="G1624" i="1"/>
  <c r="I1623" i="1" a="1"/>
  <c r="I1623" i="1" s="1"/>
  <c r="I1622" i="1" a="1"/>
  <c r="I1622" i="1" s="1"/>
  <c r="J1627" i="1" a="1"/>
  <c r="J1627" i="1"/>
  <c r="N1626" i="1" a="1"/>
  <c r="N1626" i="1"/>
  <c r="I1627" i="1" a="1"/>
  <c r="I1627" i="1"/>
  <c r="H1627" i="1" a="1"/>
  <c r="H1627" i="1"/>
  <c r="Q1624" i="1" a="1"/>
  <c r="Q1624" i="1" s="1"/>
  <c r="J1626" i="1" a="1"/>
  <c r="J1626" i="1" s="1"/>
  <c r="G1627" i="1" a="1"/>
  <c r="G1627" i="1"/>
  <c r="Q1626" i="1" a="1"/>
  <c r="Q1626" i="1"/>
  <c r="O1626" i="1" a="1"/>
  <c r="O1626" i="1" s="1"/>
  <c r="I1626" i="1" a="1"/>
  <c r="I1626" i="1"/>
  <c r="P1625" i="1" a="1"/>
  <c r="P1625" i="1" s="1"/>
  <c r="O1625" i="1" a="1"/>
  <c r="O1625" i="1"/>
  <c r="K1625" i="1" a="1"/>
  <c r="K1625" i="1"/>
  <c r="J1624" i="1" a="1"/>
  <c r="J1624" i="1"/>
  <c r="Q1622" i="1" a="1"/>
  <c r="Q1622" i="1" s="1"/>
  <c r="P1622" i="1" a="1"/>
  <c r="P1622" i="1" s="1"/>
  <c r="F1627" i="1" a="1"/>
  <c r="F1627" i="1" s="1"/>
  <c r="M1626" i="1" a="1"/>
  <c r="M1626" i="1"/>
  <c r="L1626" i="1" a="1"/>
  <c r="L1626" i="1" s="1"/>
  <c r="F1623" i="1" a="1"/>
  <c r="F1623" i="1"/>
  <c r="H1626" i="1" a="1"/>
  <c r="H1626" i="1" s="1"/>
  <c r="F1625" i="1" a="1"/>
  <c r="F1625" i="1" s="1"/>
  <c r="G1623" i="1" a="1"/>
  <c r="G1623" i="1" s="1"/>
  <c r="L1622" i="1" a="1"/>
  <c r="L1622" i="1"/>
  <c r="F1624" i="1" a="1"/>
  <c r="F1624" i="1" s="1"/>
  <c r="P1623" i="1" a="1"/>
  <c r="P1623" i="1" s="1"/>
  <c r="F1626" i="1" a="1"/>
  <c r="F1626" i="1"/>
  <c r="O1622" i="1" a="1"/>
  <c r="O1622" i="1" s="1"/>
  <c r="N1625" i="1" a="1"/>
  <c r="N1625" i="1" s="1"/>
  <c r="H1625" i="1" a="1"/>
  <c r="H1625" i="1"/>
  <c r="O1624" i="1" a="1"/>
  <c r="O1624" i="1"/>
  <c r="N1624" i="1" a="1"/>
  <c r="N1624" i="1"/>
  <c r="K1622" i="1" a="1"/>
  <c r="K1622" i="1" s="1"/>
  <c r="G1625" i="1" a="1"/>
  <c r="G1625" i="1" s="1"/>
  <c r="J1623" i="1" a="1"/>
  <c r="J1623" i="1" s="1"/>
  <c r="K1966" i="1" a="1"/>
  <c r="K1966" i="1"/>
  <c r="L1966" i="1" a="1"/>
  <c r="L1966" i="1" s="1"/>
  <c r="L1965" i="1" a="1"/>
  <c r="L1965" i="1" s="1"/>
  <c r="Q1964" i="1" a="1"/>
  <c r="Q1964" i="1"/>
  <c r="O1967" i="1" a="1"/>
  <c r="O1967" i="1" s="1"/>
  <c r="O1966" i="1" a="1"/>
  <c r="O1966" i="1" s="1"/>
  <c r="N1967" i="1" a="1"/>
  <c r="N1967" i="1" s="1"/>
  <c r="Q1966" i="1" a="1"/>
  <c r="Q1966" i="1" s="1"/>
  <c r="I1966" i="1" a="1"/>
  <c r="I1966" i="1" s="1"/>
  <c r="Q1965" i="1" a="1"/>
  <c r="Q1965" i="1" s="1"/>
  <c r="J1969" i="1" a="1"/>
  <c r="J1969" i="1" s="1"/>
  <c r="Q1967" i="1" a="1"/>
  <c r="Q1967" i="1"/>
  <c r="H1968" i="1" a="1"/>
  <c r="H1968" i="1"/>
  <c r="J1965" i="1" a="1"/>
  <c r="J1965" i="1"/>
  <c r="P1965" i="1" a="1"/>
  <c r="P1965" i="1"/>
  <c r="P1968" i="1" a="1"/>
  <c r="P1968" i="1" s="1"/>
  <c r="G1966" i="1" a="1"/>
  <c r="G1966" i="1"/>
  <c r="M1965" i="1" a="1"/>
  <c r="M1965" i="1"/>
  <c r="P1964" i="1" a="1"/>
  <c r="P1964" i="1"/>
  <c r="K1969" i="1" a="1"/>
  <c r="K1969" i="1"/>
  <c r="O1965" i="1" a="1"/>
  <c r="O1965" i="1" s="1"/>
  <c r="N1965" i="1" a="1"/>
  <c r="N1965" i="1" s="1"/>
  <c r="L1967" i="1" a="1"/>
  <c r="L1967" i="1" s="1"/>
  <c r="F1966" i="1" a="1"/>
  <c r="F1966" i="1"/>
  <c r="N1966" i="1" a="1"/>
  <c r="N1966" i="1"/>
  <c r="J1967" i="1" a="1"/>
  <c r="J1967" i="1"/>
  <c r="K1965" i="1" a="1"/>
  <c r="K1965" i="1"/>
  <c r="F1965" i="1" a="1"/>
  <c r="F1965" i="1" s="1"/>
  <c r="L1969" i="1" a="1"/>
  <c r="L1969" i="1" s="1"/>
  <c r="O1964" i="1" a="1"/>
  <c r="O1964" i="1" s="1"/>
  <c r="M1968" i="1" a="1"/>
  <c r="M1968" i="1" s="1"/>
  <c r="J1968" i="1" a="1"/>
  <c r="J1968" i="1" s="1"/>
  <c r="P1966" i="1" a="1"/>
  <c r="P1966" i="1" s="1"/>
  <c r="N1964" i="1" a="1"/>
  <c r="N1964" i="1"/>
  <c r="I1964" i="1" a="1"/>
  <c r="I1964" i="1" s="1"/>
  <c r="M1966" i="1" a="1"/>
  <c r="M1966" i="1"/>
  <c r="F1968" i="1" a="1"/>
  <c r="F1968" i="1"/>
  <c r="G1967" i="1" a="1"/>
  <c r="G1967" i="1" s="1"/>
  <c r="K1964" i="1" a="1"/>
  <c r="K1964" i="1" s="1"/>
  <c r="G1965" i="1" a="1"/>
  <c r="G1965" i="1" s="1"/>
  <c r="I1965" i="1" a="1"/>
  <c r="I1965" i="1"/>
  <c r="I1969" i="1" a="1"/>
  <c r="I1969" i="1" s="1"/>
  <c r="L1964" i="1" a="1"/>
  <c r="L1964" i="1"/>
  <c r="J1964" i="1" a="1"/>
  <c r="J1964" i="1" s="1"/>
  <c r="H1967" i="1" a="1"/>
  <c r="H1967" i="1"/>
  <c r="I1968" i="1" a="1"/>
  <c r="I1968" i="1"/>
  <c r="H1966" i="1" a="1"/>
  <c r="H1966" i="1"/>
  <c r="K1967" i="1" a="1"/>
  <c r="K1967" i="1"/>
  <c r="I1967" i="1" a="1"/>
  <c r="I1967" i="1" s="1"/>
  <c r="H1969" i="1" a="1"/>
  <c r="H1969" i="1"/>
  <c r="F1969" i="1" a="1"/>
  <c r="F1969" i="1" s="1"/>
  <c r="L1968" i="1" a="1"/>
  <c r="L1968" i="1" s="1"/>
  <c r="J1966" i="1" a="1"/>
  <c r="J1966" i="1"/>
  <c r="F1967" i="1" a="1"/>
  <c r="F1967" i="1"/>
  <c r="M1964" i="1" a="1"/>
  <c r="M1964" i="1"/>
  <c r="Q1968" i="1" a="1"/>
  <c r="Q1968" i="1" s="1"/>
  <c r="G1969" i="1" a="1"/>
  <c r="G1969" i="1" s="1"/>
  <c r="O1968" i="1" a="1"/>
  <c r="O1968" i="1" s="1"/>
  <c r="N1968" i="1" a="1"/>
  <c r="N1968" i="1"/>
  <c r="K1968" i="1" a="1"/>
  <c r="K1968" i="1" s="1"/>
  <c r="H1965" i="1" a="1"/>
  <c r="H1965" i="1" s="1"/>
  <c r="M1967" i="1" a="1"/>
  <c r="M1967" i="1" s="1"/>
  <c r="G1968" i="1" a="1"/>
  <c r="G1968" i="1" s="1"/>
  <c r="P1967" i="1" a="1"/>
  <c r="P1967" i="1"/>
  <c r="Q1959" i="1" a="1"/>
  <c r="Q1959" i="1" s="1"/>
  <c r="H1959" i="1" a="1"/>
  <c r="H1959" i="1" s="1"/>
  <c r="K1960" i="1" a="1"/>
  <c r="K1960" i="1" s="1"/>
  <c r="N1963" i="1" a="1"/>
  <c r="N1963" i="1" s="1"/>
  <c r="J1962" i="1" a="1"/>
  <c r="J1962" i="1" s="1"/>
  <c r="I1961" i="1" a="1"/>
  <c r="I1961" i="1"/>
  <c r="G1963" i="1" a="1"/>
  <c r="G1963" i="1" s="1"/>
  <c r="F1963" i="1" a="1"/>
  <c r="F1963" i="1" s="1"/>
  <c r="N1961" i="1" a="1"/>
  <c r="N1961" i="1" s="1"/>
  <c r="Q1962" i="1" a="1"/>
  <c r="Q1962" i="1" s="1"/>
  <c r="O1962" i="1" a="1"/>
  <c r="O1962" i="1"/>
  <c r="M1962" i="1" a="1"/>
  <c r="M1962" i="1"/>
  <c r="L1959" i="1" a="1"/>
  <c r="L1959" i="1" s="1"/>
  <c r="L1962" i="1" a="1"/>
  <c r="L1962" i="1"/>
  <c r="H1962" i="1" a="1"/>
  <c r="H1962" i="1"/>
  <c r="F1962" i="1" a="1"/>
  <c r="F1962" i="1" s="1"/>
  <c r="H1961" i="1" a="1"/>
  <c r="H1961" i="1" s="1"/>
  <c r="M1960" i="1" a="1"/>
  <c r="M1960" i="1"/>
  <c r="I1959" i="1" a="1"/>
  <c r="I1959" i="1"/>
  <c r="P1961" i="1" a="1"/>
  <c r="P1961" i="1"/>
  <c r="L1961" i="1" a="1"/>
  <c r="L1961" i="1"/>
  <c r="F1961" i="1" a="1"/>
  <c r="F1961" i="1" s="1"/>
  <c r="I1960" i="1" a="1"/>
  <c r="I1960" i="1"/>
  <c r="F1960" i="1" a="1"/>
  <c r="F1960" i="1"/>
  <c r="O1959" i="1" a="1"/>
  <c r="O1959" i="1" s="1"/>
  <c r="J1959" i="1" a="1"/>
  <c r="J1959" i="1" s="1"/>
  <c r="F1959" i="1" a="1"/>
  <c r="F1959" i="1"/>
  <c r="M1959" i="1" a="1"/>
  <c r="M1959" i="1" s="1"/>
  <c r="M1963" i="1" a="1"/>
  <c r="M1963" i="1" s="1"/>
  <c r="K1962" i="1" a="1"/>
  <c r="K1962" i="1"/>
  <c r="P1959" i="1" a="1"/>
  <c r="P1959" i="1"/>
  <c r="O1963" i="1" a="1"/>
  <c r="O1963" i="1" s="1"/>
  <c r="L1963" i="1" a="1"/>
  <c r="L1963" i="1" s="1"/>
  <c r="O1960" i="1" a="1"/>
  <c r="O1960" i="1" s="1"/>
  <c r="P1962" i="1" a="1"/>
  <c r="P1962" i="1"/>
  <c r="Q1961" i="1" a="1"/>
  <c r="Q1961" i="1" s="1"/>
  <c r="Q1960" i="1" a="1"/>
  <c r="Q1960" i="1"/>
  <c r="I1963" i="1" a="1"/>
  <c r="I1963" i="1" s="1"/>
  <c r="Q1958" i="1" a="1"/>
  <c r="Q1958" i="1"/>
  <c r="N1962" i="1" a="1"/>
  <c r="N1962" i="1"/>
  <c r="I1962" i="1" a="1"/>
  <c r="I1962" i="1"/>
  <c r="O1961" i="1" a="1"/>
  <c r="O1961" i="1"/>
  <c r="K1961" i="1" a="1"/>
  <c r="K1961" i="1" s="1"/>
  <c r="N1960" i="1" a="1"/>
  <c r="N1960" i="1" s="1"/>
  <c r="J1961" i="1" a="1"/>
  <c r="J1961" i="1"/>
  <c r="H1964" i="1" a="1"/>
  <c r="H1964" i="1" s="1"/>
  <c r="G1959" i="1" a="1"/>
  <c r="G1959" i="1"/>
  <c r="G1964" i="1" a="1"/>
  <c r="G1964" i="1"/>
  <c r="M1961" i="1" a="1"/>
  <c r="M1961" i="1"/>
  <c r="J1960" i="1" a="1"/>
  <c r="J1960" i="1" s="1"/>
  <c r="N1959" i="1" a="1"/>
  <c r="N1959" i="1" s="1"/>
  <c r="F1964" i="1" a="1"/>
  <c r="F1964" i="1" s="1"/>
  <c r="K1963" i="1" a="1"/>
  <c r="K1963" i="1"/>
  <c r="L1960" i="1" a="1"/>
  <c r="L1960" i="1"/>
  <c r="H1960" i="1" a="1"/>
  <c r="H1960" i="1" s="1"/>
  <c r="H1963" i="1" a="1"/>
  <c r="H1963" i="1"/>
  <c r="G1960" i="1" a="1"/>
  <c r="G1960" i="1" s="1"/>
  <c r="K1959" i="1" a="1"/>
  <c r="K1959" i="1"/>
  <c r="P1960" i="1" a="1"/>
  <c r="P1960" i="1"/>
  <c r="Q1963" i="1" a="1"/>
  <c r="Q1963" i="1" s="1"/>
  <c r="P1963" i="1" a="1"/>
  <c r="P1963" i="1" s="1"/>
  <c r="J1963" i="1" a="1"/>
  <c r="J1963" i="1" s="1"/>
  <c r="G1962" i="1" a="1"/>
  <c r="G1962" i="1" s="1"/>
  <c r="G1961" i="1" a="1"/>
  <c r="G1961" i="1" s="1"/>
  <c r="L1953" i="1" a="1"/>
  <c r="L1953" i="1"/>
  <c r="F1956" i="1" a="1"/>
  <c r="F1956" i="1" s="1"/>
  <c r="G1953" i="1" a="1"/>
  <c r="G1953" i="1" s="1"/>
  <c r="O1953" i="1" a="1"/>
  <c r="O1953" i="1" s="1"/>
  <c r="P1958" i="1" a="1"/>
  <c r="P1958" i="1" s="1"/>
  <c r="J1958" i="1" a="1"/>
  <c r="J1958" i="1"/>
  <c r="F1958" i="1" a="1"/>
  <c r="F1958" i="1" s="1"/>
  <c r="N1955" i="1" a="1"/>
  <c r="N1955" i="1" s="1"/>
  <c r="P1953" i="1" a="1"/>
  <c r="P1953" i="1" s="1"/>
  <c r="Q1952" i="1" a="1"/>
  <c r="Q1952" i="1"/>
  <c r="I1953" i="1" a="1"/>
  <c r="I1953" i="1" s="1"/>
  <c r="O1958" i="1" a="1"/>
  <c r="O1958" i="1"/>
  <c r="N1958" i="1" a="1"/>
  <c r="N1958" i="1"/>
  <c r="M1958" i="1" a="1"/>
  <c r="M1958" i="1" s="1"/>
  <c r="L1958" i="1" a="1"/>
  <c r="L1958" i="1"/>
  <c r="K1958" i="1" a="1"/>
  <c r="K1958" i="1"/>
  <c r="I1958" i="1" a="1"/>
  <c r="I1958" i="1"/>
  <c r="M1957" i="1" a="1"/>
  <c r="M1957" i="1"/>
  <c r="H1958" i="1" a="1"/>
  <c r="H1958" i="1"/>
  <c r="G1958" i="1" a="1"/>
  <c r="G1958" i="1" s="1"/>
  <c r="P1955" i="1" a="1"/>
  <c r="P1955" i="1"/>
  <c r="Q1956" i="1" a="1"/>
  <c r="Q1956" i="1"/>
  <c r="L1956" i="1" a="1"/>
  <c r="L1956" i="1"/>
  <c r="L1955" i="1" a="1"/>
  <c r="L1955" i="1" s="1"/>
  <c r="I1955" i="1" a="1"/>
  <c r="I1955" i="1" s="1"/>
  <c r="Q1957" i="1" a="1"/>
  <c r="Q1957" i="1" s="1"/>
  <c r="P1957" i="1" a="1"/>
  <c r="P1957" i="1" s="1"/>
  <c r="O1957" i="1" a="1"/>
  <c r="O1957" i="1" s="1"/>
  <c r="L1957" i="1" a="1"/>
  <c r="L1957" i="1"/>
  <c r="I1957" i="1" a="1"/>
  <c r="I1957" i="1"/>
  <c r="J1955" i="1" a="1"/>
  <c r="J1955" i="1"/>
  <c r="F1955" i="1" a="1"/>
  <c r="F1955" i="1"/>
  <c r="K1953" i="1" a="1"/>
  <c r="K1953" i="1"/>
  <c r="P1956" i="1" a="1"/>
  <c r="P1956" i="1"/>
  <c r="J1956" i="1" a="1"/>
  <c r="J1956" i="1"/>
  <c r="K1955" i="1" a="1"/>
  <c r="K1955" i="1" s="1"/>
  <c r="Q1953" i="1" a="1"/>
  <c r="Q1953" i="1" s="1"/>
  <c r="H1953" i="1" a="1"/>
  <c r="H1953" i="1" s="1"/>
  <c r="Q1955" i="1" a="1"/>
  <c r="Q1955" i="1"/>
  <c r="J1953" i="1" a="1"/>
  <c r="J1953" i="1" s="1"/>
  <c r="N1956" i="1" a="1"/>
  <c r="N1956" i="1"/>
  <c r="O1956" i="1" a="1"/>
  <c r="O1956" i="1" s="1"/>
  <c r="G1956" i="1" a="1"/>
  <c r="G1956" i="1" s="1"/>
  <c r="F1957" i="1" a="1"/>
  <c r="F1957" i="1"/>
  <c r="K1956" i="1" a="1"/>
  <c r="K1956" i="1" s="1"/>
  <c r="F1953" i="1" a="1"/>
  <c r="F1953" i="1" s="1"/>
  <c r="N1953" i="1" a="1"/>
  <c r="N1953" i="1"/>
  <c r="M1956" i="1" a="1"/>
  <c r="M1956" i="1"/>
  <c r="O1955" i="1" a="1"/>
  <c r="O1955" i="1" s="1"/>
  <c r="N1957" i="1" a="1"/>
  <c r="N1957" i="1"/>
  <c r="G1957" i="1" a="1"/>
  <c r="G1957" i="1"/>
  <c r="I1956" i="1" a="1"/>
  <c r="I1956" i="1" s="1"/>
  <c r="H1955" i="1" a="1"/>
  <c r="H1955" i="1" s="1"/>
  <c r="K1957" i="1" a="1"/>
  <c r="K1957" i="1"/>
  <c r="G1955" i="1" a="1"/>
  <c r="G1955" i="1" s="1"/>
  <c r="M1953" i="1" a="1"/>
  <c r="M1953" i="1" s="1"/>
  <c r="H1957" i="1" a="1"/>
  <c r="H1957" i="1"/>
  <c r="J1957" i="1" a="1"/>
  <c r="J1957" i="1"/>
  <c r="M1955" i="1" a="1"/>
  <c r="M1955" i="1"/>
  <c r="H1956" i="1" a="1"/>
  <c r="H1956" i="1" s="1"/>
  <c r="J1950" i="1" a="1"/>
  <c r="J1950" i="1" s="1"/>
  <c r="H1950" i="1" a="1"/>
  <c r="H1950" i="1"/>
  <c r="M1948" i="1" a="1"/>
  <c r="M1948" i="1"/>
  <c r="Q1950" i="1" a="1"/>
  <c r="Q1950" i="1" s="1"/>
  <c r="F1951" i="1" a="1"/>
  <c r="F1951" i="1"/>
  <c r="P1950" i="1" a="1"/>
  <c r="P1950" i="1"/>
  <c r="N1949" i="1" a="1"/>
  <c r="N1949" i="1" s="1"/>
  <c r="M1949" i="1" a="1"/>
  <c r="M1949" i="1" s="1"/>
  <c r="J1948" i="1" a="1"/>
  <c r="J1948" i="1" s="1"/>
  <c r="F1949" i="1" a="1"/>
  <c r="F1949" i="1" s="1"/>
  <c r="I1950" i="1" a="1"/>
  <c r="I1950" i="1" s="1"/>
  <c r="L1948" i="1" a="1"/>
  <c r="L1948" i="1" s="1"/>
  <c r="O1950" i="1" a="1"/>
  <c r="O1950" i="1"/>
  <c r="F1950" i="1" a="1"/>
  <c r="F1950" i="1"/>
  <c r="Q1949" i="1" a="1"/>
  <c r="Q1949" i="1"/>
  <c r="P1947" i="1" a="1"/>
  <c r="P1947" i="1" s="1"/>
  <c r="J1949" i="1" a="1"/>
  <c r="J1949" i="1" s="1"/>
  <c r="P1948" i="1" a="1"/>
  <c r="P1948" i="1"/>
  <c r="G1948" i="1" a="1"/>
  <c r="G1948" i="1"/>
  <c r="P1949" i="1" a="1"/>
  <c r="P1949" i="1" s="1"/>
  <c r="O1948" i="1" a="1"/>
  <c r="O1948" i="1"/>
  <c r="N1948" i="1" a="1"/>
  <c r="N1948" i="1" s="1"/>
  <c r="O1949" i="1" a="1"/>
  <c r="O1949" i="1" s="1"/>
  <c r="N1947" i="1" a="1"/>
  <c r="N1947" i="1" s="1"/>
  <c r="K1950" i="1" a="1"/>
  <c r="K1950" i="1"/>
  <c r="G1951" i="1" a="1"/>
  <c r="G1951" i="1"/>
  <c r="M1950" i="1" a="1"/>
  <c r="M1950" i="1"/>
  <c r="H1949" i="1" a="1"/>
  <c r="H1949" i="1"/>
  <c r="Q1948" i="1" a="1"/>
  <c r="Q1948" i="1" s="1"/>
  <c r="L1952" i="1" a="1"/>
  <c r="L1952" i="1" s="1"/>
  <c r="N1950" i="1" a="1"/>
  <c r="N1950" i="1"/>
  <c r="L1950" i="1" a="1"/>
  <c r="L1950" i="1"/>
  <c r="P1951" i="1" a="1"/>
  <c r="P1951" i="1"/>
  <c r="O1952" i="1" a="1"/>
  <c r="O1952" i="1"/>
  <c r="G1950" i="1" a="1"/>
  <c r="G1950" i="1"/>
  <c r="H1951" i="1" a="1"/>
  <c r="H1951" i="1" s="1"/>
  <c r="I1952" i="1" a="1"/>
  <c r="I1952" i="1" s="1"/>
  <c r="K1948" i="1" a="1"/>
  <c r="K1948" i="1" s="1"/>
  <c r="G1949" i="1" a="1"/>
  <c r="G1949" i="1" s="1"/>
  <c r="H1948" i="1" a="1"/>
  <c r="H1948" i="1" s="1"/>
  <c r="N1951" i="1" a="1"/>
  <c r="N1951" i="1" s="1"/>
  <c r="J1951" i="1" a="1"/>
  <c r="J1951" i="1"/>
  <c r="I1948" i="1" a="1"/>
  <c r="I1948" i="1" s="1"/>
  <c r="O1947" i="1" a="1"/>
  <c r="O1947" i="1"/>
  <c r="O1951" i="1" a="1"/>
  <c r="O1951" i="1" s="1"/>
  <c r="K1951" i="1" a="1"/>
  <c r="K1951" i="1"/>
  <c r="I1951" i="1" a="1"/>
  <c r="I1951" i="1"/>
  <c r="Q1947" i="1" a="1"/>
  <c r="Q1947" i="1"/>
  <c r="I1949" i="1" a="1"/>
  <c r="I1949" i="1"/>
  <c r="F1948" i="1" a="1"/>
  <c r="F1948" i="1"/>
  <c r="J1952" i="1" a="1"/>
  <c r="J1952" i="1"/>
  <c r="P1952" i="1" a="1"/>
  <c r="P1952" i="1" s="1"/>
  <c r="N1952" i="1" a="1"/>
  <c r="N1952" i="1" s="1"/>
  <c r="M1952" i="1" a="1"/>
  <c r="M1952" i="1"/>
  <c r="K1952" i="1" a="1"/>
  <c r="K1952" i="1"/>
  <c r="H1952" i="1" a="1"/>
  <c r="H1952" i="1"/>
  <c r="G1952" i="1" a="1"/>
  <c r="G1952" i="1"/>
  <c r="F1952" i="1" a="1"/>
  <c r="F1952" i="1" s="1"/>
  <c r="Q1951" i="1" a="1"/>
  <c r="Q1951" i="1"/>
  <c r="M1951" i="1" a="1"/>
  <c r="M1951" i="1" s="1"/>
  <c r="L1951" i="1" a="1"/>
  <c r="L1951" i="1" s="1"/>
  <c r="L1949" i="1" a="1"/>
  <c r="L1949" i="1"/>
  <c r="K1949" i="1" a="1"/>
  <c r="K1949" i="1"/>
  <c r="J1947" i="1" a="1"/>
  <c r="J1947" i="1"/>
  <c r="L1946" i="1" a="1"/>
  <c r="L1946" i="1"/>
  <c r="L1945" i="1" a="1"/>
  <c r="L1945" i="1" s="1"/>
  <c r="H1945" i="1" a="1"/>
  <c r="H1945" i="1"/>
  <c r="F1944" i="1" a="1"/>
  <c r="F1944" i="1" s="1"/>
  <c r="P1946" i="1" a="1"/>
  <c r="P1946" i="1" s="1"/>
  <c r="O1945" i="1" a="1"/>
  <c r="O1945" i="1" s="1"/>
  <c r="M1943" i="1" a="1"/>
  <c r="M1943" i="1"/>
  <c r="Q1943" i="1" a="1"/>
  <c r="Q1943" i="1"/>
  <c r="G1943" i="1" a="1"/>
  <c r="G1943" i="1"/>
  <c r="Q1944" i="1" a="1"/>
  <c r="Q1944" i="1" s="1"/>
  <c r="I1947" i="1" a="1"/>
  <c r="I1947" i="1"/>
  <c r="H1947" i="1" a="1"/>
  <c r="H1947" i="1" s="1"/>
  <c r="G1947" i="1" a="1"/>
  <c r="G1947" i="1" s="1"/>
  <c r="Q1945" i="1" a="1"/>
  <c r="Q1945" i="1"/>
  <c r="F1947" i="1" a="1"/>
  <c r="F1947" i="1"/>
  <c r="I1945" i="1" a="1"/>
  <c r="I1945" i="1" s="1"/>
  <c r="Q1946" i="1" a="1"/>
  <c r="Q1946" i="1"/>
  <c r="O1946" i="1" a="1"/>
  <c r="O1946" i="1" s="1"/>
  <c r="K1946" i="1" a="1"/>
  <c r="K1946" i="1"/>
  <c r="N1946" i="1" a="1"/>
  <c r="N1946" i="1"/>
  <c r="M1946" i="1" a="1"/>
  <c r="M1946" i="1"/>
  <c r="N1944" i="1" a="1"/>
  <c r="N1944" i="1"/>
  <c r="F1943" i="1" a="1"/>
  <c r="F1943" i="1" s="1"/>
  <c r="P1944" i="1" a="1"/>
  <c r="P1944" i="1"/>
  <c r="J1946" i="1" a="1"/>
  <c r="J1946" i="1" s="1"/>
  <c r="J1944" i="1" a="1"/>
  <c r="J1944" i="1"/>
  <c r="P1945" i="1" a="1"/>
  <c r="P1945" i="1" s="1"/>
  <c r="P1943" i="1" a="1"/>
  <c r="P1943" i="1" s="1"/>
  <c r="K1944" i="1" a="1"/>
  <c r="K1944" i="1" s="1"/>
  <c r="Q1942" i="1" a="1"/>
  <c r="Q1942" i="1" s="1"/>
  <c r="F1946" i="1" a="1"/>
  <c r="F1946" i="1"/>
  <c r="N1945" i="1" a="1"/>
  <c r="N1945" i="1"/>
  <c r="L1942" i="1" a="1"/>
  <c r="L1942" i="1" s="1"/>
  <c r="M1945" i="1" a="1"/>
  <c r="M1945" i="1" s="1"/>
  <c r="H1944" i="1" a="1"/>
  <c r="H1944" i="1" s="1"/>
  <c r="J1945" i="1" a="1"/>
  <c r="J1945" i="1"/>
  <c r="I1944" i="1" a="1"/>
  <c r="I1944" i="1" s="1"/>
  <c r="G1945" i="1" a="1"/>
  <c r="G1945" i="1"/>
  <c r="O1944" i="1" a="1"/>
  <c r="O1944" i="1" s="1"/>
  <c r="L1944" i="1" a="1"/>
  <c r="L1944" i="1" s="1"/>
  <c r="G1944" i="1" a="1"/>
  <c r="G1944" i="1" s="1"/>
  <c r="M1942" i="1" a="1"/>
  <c r="M1942" i="1"/>
  <c r="O1943" i="1" a="1"/>
  <c r="O1943" i="1" s="1"/>
  <c r="N1943" i="1" a="1"/>
  <c r="N1943" i="1" s="1"/>
  <c r="J1942" i="1" a="1"/>
  <c r="J1942" i="1" s="1"/>
  <c r="J1943" i="1" a="1"/>
  <c r="J1943" i="1" s="1"/>
  <c r="I1943" i="1" a="1"/>
  <c r="I1943" i="1" s="1"/>
  <c r="F1945" i="1" a="1"/>
  <c r="F1945" i="1"/>
  <c r="K1943" i="1" a="1"/>
  <c r="K1943" i="1"/>
  <c r="N1942" i="1" a="1"/>
  <c r="N1942" i="1"/>
  <c r="K1942" i="1" a="1"/>
  <c r="K1942" i="1" s="1"/>
  <c r="K1947" i="1" a="1"/>
  <c r="K1947" i="1"/>
  <c r="H1946" i="1" a="1"/>
  <c r="H1946" i="1"/>
  <c r="G1946" i="1" a="1"/>
  <c r="G1946" i="1" s="1"/>
  <c r="K1945" i="1" a="1"/>
  <c r="K1945" i="1" s="1"/>
  <c r="L1943" i="1" a="1"/>
  <c r="L1943" i="1" s="1"/>
  <c r="P1942" i="1" a="1"/>
  <c r="P1942" i="1"/>
  <c r="H1943" i="1" a="1"/>
  <c r="H1943" i="1" s="1"/>
  <c r="O1942" i="1" a="1"/>
  <c r="O1942" i="1"/>
  <c r="M1944" i="1" a="1"/>
  <c r="M1944" i="1" s="1"/>
  <c r="I1946" i="1" a="1"/>
  <c r="I1946" i="1" s="1"/>
  <c r="M1947" i="1" a="1"/>
  <c r="M1947" i="1" s="1"/>
  <c r="L1947" i="1" a="1"/>
  <c r="L1947" i="1" s="1"/>
  <c r="J1939" i="1" a="1"/>
  <c r="J1939" i="1" s="1"/>
  <c r="Q1939" i="1" a="1"/>
  <c r="Q1939" i="1"/>
  <c r="O1941" i="1" a="1"/>
  <c r="O1941" i="1"/>
  <c r="N1941" i="1" a="1"/>
  <c r="N1941" i="1"/>
  <c r="M1941" i="1" a="1"/>
  <c r="M1941" i="1"/>
  <c r="K1941" i="1" a="1"/>
  <c r="K1941" i="1"/>
  <c r="J1941" i="1" a="1"/>
  <c r="J1941" i="1" s="1"/>
  <c r="I1941" i="1" a="1"/>
  <c r="I1941" i="1" s="1"/>
  <c r="Q1940" i="1" a="1"/>
  <c r="Q1940" i="1" s="1"/>
  <c r="O1940" i="1" a="1"/>
  <c r="O1940" i="1" s="1"/>
  <c r="G1940" i="1" a="1"/>
  <c r="G1940" i="1" s="1"/>
  <c r="I1939" i="1" a="1"/>
  <c r="I1939" i="1"/>
  <c r="N1940" i="1" a="1"/>
  <c r="N1940" i="1" s="1"/>
  <c r="I1940" i="1" a="1"/>
  <c r="I1940" i="1"/>
  <c r="P1937" i="1" a="1"/>
  <c r="P1937" i="1"/>
  <c r="F1940" i="1" a="1"/>
  <c r="F1940" i="1"/>
  <c r="L1940" i="1" a="1"/>
  <c r="L1940" i="1"/>
  <c r="J1940" i="1" a="1"/>
  <c r="J1940" i="1"/>
  <c r="G1939" i="1" a="1"/>
  <c r="G1939" i="1" s="1"/>
  <c r="H1939" i="1" a="1"/>
  <c r="H1939" i="1"/>
  <c r="H1938" i="1" a="1"/>
  <c r="H1938" i="1"/>
  <c r="G1938" i="1" a="1"/>
  <c r="G1938" i="1" s="1"/>
  <c r="F1938" i="1" a="1"/>
  <c r="F1938" i="1" s="1"/>
  <c r="G1937" i="1" a="1"/>
  <c r="G1937" i="1" s="1"/>
  <c r="M1937" i="1" a="1"/>
  <c r="M1937" i="1" s="1"/>
  <c r="O1937" i="1" a="1"/>
  <c r="O1937" i="1"/>
  <c r="N1939" i="1" a="1"/>
  <c r="N1939" i="1"/>
  <c r="I1937" i="1" a="1"/>
  <c r="I1937" i="1" s="1"/>
  <c r="G1941" i="1" a="1"/>
  <c r="G1941" i="1" s="1"/>
  <c r="Q1937" i="1" a="1"/>
  <c r="Q1937" i="1" s="1"/>
  <c r="K1940" i="1" a="1"/>
  <c r="K1940" i="1"/>
  <c r="O1938" i="1" a="1"/>
  <c r="O1938" i="1"/>
  <c r="H1937" i="1" a="1"/>
  <c r="H1937" i="1"/>
  <c r="P1939" i="1" a="1"/>
  <c r="P1939" i="1"/>
  <c r="O1939" i="1" a="1"/>
  <c r="O1939" i="1" s="1"/>
  <c r="Q1938" i="1" a="1"/>
  <c r="Q1938" i="1" s="1"/>
  <c r="F1941" i="1" a="1"/>
  <c r="F1941" i="1" s="1"/>
  <c r="I1942" i="1" a="1"/>
  <c r="I1942" i="1" s="1"/>
  <c r="K1939" i="1" a="1"/>
  <c r="K1939" i="1"/>
  <c r="K1937" i="1" a="1"/>
  <c r="K1937" i="1" s="1"/>
  <c r="L1941" i="1" a="1"/>
  <c r="L1941" i="1" s="1"/>
  <c r="F1939" i="1" a="1"/>
  <c r="F1939" i="1" s="1"/>
  <c r="N1937" i="1" a="1"/>
  <c r="N1937" i="1"/>
  <c r="I1938" i="1" a="1"/>
  <c r="I1938" i="1"/>
  <c r="H1942" i="1" a="1"/>
  <c r="H1942" i="1"/>
  <c r="G1942" i="1" a="1"/>
  <c r="G1942" i="1"/>
  <c r="N1938" i="1" a="1"/>
  <c r="N1938" i="1"/>
  <c r="H1941" i="1" a="1"/>
  <c r="H1941" i="1"/>
  <c r="M1938" i="1" a="1"/>
  <c r="M1938" i="1"/>
  <c r="L1938" i="1" a="1"/>
  <c r="L1938" i="1"/>
  <c r="M1940" i="1" a="1"/>
  <c r="M1940" i="1" s="1"/>
  <c r="M1939" i="1" a="1"/>
  <c r="M1939" i="1" s="1"/>
  <c r="P1940" i="1" a="1"/>
  <c r="P1940" i="1" s="1"/>
  <c r="F1942" i="1" a="1"/>
  <c r="F1942" i="1"/>
  <c r="Q1941" i="1" a="1"/>
  <c r="Q1941" i="1"/>
  <c r="K1938" i="1" a="1"/>
  <c r="K1938" i="1" s="1"/>
  <c r="P1938" i="1" a="1"/>
  <c r="P1938" i="1" s="1"/>
  <c r="L1937" i="1" a="1"/>
  <c r="L1937" i="1" s="1"/>
  <c r="J1937" i="1" a="1"/>
  <c r="J1937" i="1" s="1"/>
  <c r="P1941" i="1" a="1"/>
  <c r="P1941" i="1"/>
  <c r="H1940" i="1" a="1"/>
  <c r="H1940" i="1"/>
  <c r="J1938" i="1" a="1"/>
  <c r="J1938" i="1"/>
  <c r="L1939" i="1" a="1"/>
  <c r="L1939" i="1" s="1"/>
  <c r="O1935" i="1" a="1"/>
  <c r="O1935" i="1" s="1"/>
  <c r="I1935" i="1" a="1"/>
  <c r="I1935" i="1" s="1"/>
  <c r="G1935" i="1" a="1"/>
  <c r="G1935" i="1" s="1"/>
  <c r="I1932" i="1" a="1"/>
  <c r="I1932" i="1" s="1"/>
  <c r="Q1934" i="1" a="1"/>
  <c r="Q1934" i="1" s="1"/>
  <c r="L1934" i="1" a="1"/>
  <c r="L1934" i="1" s="1"/>
  <c r="J1934" i="1" a="1"/>
  <c r="J1934" i="1" s="1"/>
  <c r="G1934" i="1" a="1"/>
  <c r="G1934" i="1" s="1"/>
  <c r="I1933" i="1" a="1"/>
  <c r="I1933" i="1"/>
  <c r="J1932" i="1" a="1"/>
  <c r="J1932" i="1"/>
  <c r="N1933" i="1" a="1"/>
  <c r="N1933" i="1"/>
  <c r="K1934" i="1" a="1"/>
  <c r="K1934" i="1" s="1"/>
  <c r="J1933" i="1" a="1"/>
  <c r="J1933" i="1" s="1"/>
  <c r="H1935" i="1" a="1"/>
  <c r="H1935" i="1"/>
  <c r="N1935" i="1" a="1"/>
  <c r="N1935" i="1" s="1"/>
  <c r="Q1936" i="1" a="1"/>
  <c r="Q1936" i="1" s="1"/>
  <c r="N1936" i="1" a="1"/>
  <c r="N1936" i="1" s="1"/>
  <c r="M1935" i="1" a="1"/>
  <c r="M1935" i="1" s="1"/>
  <c r="P1935" i="1" a="1"/>
  <c r="P1935" i="1"/>
  <c r="O1934" i="1" a="1"/>
  <c r="O1934" i="1" s="1"/>
  <c r="I1936" i="1" a="1"/>
  <c r="I1936" i="1"/>
  <c r="M1932" i="1" a="1"/>
  <c r="M1932" i="1"/>
  <c r="H1936" i="1" a="1"/>
  <c r="H1936" i="1" s="1"/>
  <c r="N1934" i="1" a="1"/>
  <c r="N1934" i="1" s="1"/>
  <c r="F1936" i="1" a="1"/>
  <c r="F1936" i="1" s="1"/>
  <c r="P1934" i="1" a="1"/>
  <c r="P1934" i="1"/>
  <c r="J1935" i="1" a="1"/>
  <c r="J1935" i="1" s="1"/>
  <c r="M1934" i="1" a="1"/>
  <c r="M1934" i="1"/>
  <c r="M1933" i="1" a="1"/>
  <c r="M1933" i="1" s="1"/>
  <c r="F1934" i="1" a="1"/>
  <c r="F1934" i="1" s="1"/>
  <c r="G1933" i="1" a="1"/>
  <c r="G1933" i="1"/>
  <c r="P1932" i="1" a="1"/>
  <c r="P1932" i="1"/>
  <c r="N1932" i="1" a="1"/>
  <c r="N1932" i="1" s="1"/>
  <c r="Q1932" i="1" a="1"/>
  <c r="Q1932" i="1" s="1"/>
  <c r="F1932" i="1" a="1"/>
  <c r="F1932" i="1" s="1"/>
  <c r="L1932" i="1" a="1"/>
  <c r="L1932" i="1" s="1"/>
  <c r="K1932" i="1" a="1"/>
  <c r="K1932" i="1" s="1"/>
  <c r="L1933" i="1" a="1"/>
  <c r="L1933" i="1"/>
  <c r="H1933" i="1" a="1"/>
  <c r="H1933" i="1"/>
  <c r="G1932" i="1" a="1"/>
  <c r="G1932" i="1"/>
  <c r="P1936" i="1" a="1"/>
  <c r="P1936" i="1"/>
  <c r="F1937" i="1" a="1"/>
  <c r="F1937" i="1" s="1"/>
  <c r="O1936" i="1" a="1"/>
  <c r="O1936" i="1" s="1"/>
  <c r="P1931" i="1" a="1"/>
  <c r="P1931" i="1" s="1"/>
  <c r="Q1933" i="1" a="1"/>
  <c r="Q1933" i="1"/>
  <c r="O1932" i="1" a="1"/>
  <c r="O1932" i="1"/>
  <c r="M1936" i="1" a="1"/>
  <c r="M1936" i="1"/>
  <c r="K1936" i="1" a="1"/>
  <c r="K1936" i="1" s="1"/>
  <c r="Q1931" i="1" a="1"/>
  <c r="Q1931" i="1" s="1"/>
  <c r="L1936" i="1" a="1"/>
  <c r="L1936" i="1" s="1"/>
  <c r="H1932" i="1" a="1"/>
  <c r="H1932" i="1" s="1"/>
  <c r="L1935" i="1" a="1"/>
  <c r="L1935" i="1" s="1"/>
  <c r="F1933" i="1" a="1"/>
  <c r="F1933" i="1" s="1"/>
  <c r="O1933" i="1" a="1"/>
  <c r="O1933" i="1" s="1"/>
  <c r="H1934" i="1" a="1"/>
  <c r="H1934" i="1"/>
  <c r="P1933" i="1" a="1"/>
  <c r="P1933" i="1"/>
  <c r="K1933" i="1" a="1"/>
  <c r="K1933" i="1"/>
  <c r="O1931" i="1" a="1"/>
  <c r="O1931" i="1" s="1"/>
  <c r="K1935" i="1" a="1"/>
  <c r="K1935" i="1"/>
  <c r="I1934" i="1" a="1"/>
  <c r="I1934" i="1" s="1"/>
  <c r="J1936" i="1" a="1"/>
  <c r="J1936" i="1" s="1"/>
  <c r="G1936" i="1" a="1"/>
  <c r="G1936" i="1"/>
  <c r="F1935" i="1" a="1"/>
  <c r="F1935" i="1"/>
  <c r="Q1935" i="1" a="1"/>
  <c r="Q1935" i="1" s="1"/>
  <c r="P1929" i="1" a="1"/>
  <c r="P1929" i="1" s="1"/>
  <c r="N1929" i="1" a="1"/>
  <c r="N1929" i="1" s="1"/>
  <c r="N1931" i="1" a="1"/>
  <c r="N1931" i="1"/>
  <c r="F1929" i="1" a="1"/>
  <c r="F1929" i="1"/>
  <c r="M1931" i="1" a="1"/>
  <c r="M1931" i="1"/>
  <c r="L1931" i="1" a="1"/>
  <c r="L1931" i="1"/>
  <c r="I1931" i="1" a="1"/>
  <c r="I1931" i="1" s="1"/>
  <c r="I1927" i="1" a="1"/>
  <c r="I1927" i="1" s="1"/>
  <c r="H1931" i="1" a="1"/>
  <c r="H1931" i="1"/>
  <c r="G1928" i="1" a="1"/>
  <c r="G1928" i="1"/>
  <c r="G1931" i="1" a="1"/>
  <c r="G1931" i="1" s="1"/>
  <c r="M1926" i="1" a="1"/>
  <c r="M1926" i="1" s="1"/>
  <c r="O1930" i="1" a="1"/>
  <c r="O1930" i="1"/>
  <c r="O1929" i="1" a="1"/>
  <c r="O1929" i="1"/>
  <c r="K1929" i="1" a="1"/>
  <c r="K1929" i="1" s="1"/>
  <c r="M1927" i="1" a="1"/>
  <c r="M1927" i="1"/>
  <c r="F1927" i="1" a="1"/>
  <c r="F1927" i="1" s="1"/>
  <c r="N1926" i="1" a="1"/>
  <c r="N1926" i="1" s="1"/>
  <c r="H1929" i="1" a="1"/>
  <c r="H1929" i="1" s="1"/>
  <c r="J1927" i="1" a="1"/>
  <c r="J1927" i="1"/>
  <c r="K1931" i="1" a="1"/>
  <c r="K1931" i="1" s="1"/>
  <c r="J1931" i="1" a="1"/>
  <c r="J1931" i="1" s="1"/>
  <c r="G1930" i="1" a="1"/>
  <c r="G1930" i="1" s="1"/>
  <c r="Q1930" i="1" a="1"/>
  <c r="Q1930" i="1" s="1"/>
  <c r="L1928" i="1" a="1"/>
  <c r="L1928" i="1"/>
  <c r="P1930" i="1" a="1"/>
  <c r="P1930" i="1" s="1"/>
  <c r="N1930" i="1" a="1"/>
  <c r="N1930" i="1" s="1"/>
  <c r="J1930" i="1" a="1"/>
  <c r="J1930" i="1" s="1"/>
  <c r="I1930" i="1" a="1"/>
  <c r="I1930" i="1"/>
  <c r="O1928" i="1" a="1"/>
  <c r="O1928" i="1" s="1"/>
  <c r="Q1927" i="1" a="1"/>
  <c r="Q1927" i="1" s="1"/>
  <c r="K1927" i="1" a="1"/>
  <c r="K1927" i="1"/>
  <c r="G1927" i="1" a="1"/>
  <c r="G1927" i="1"/>
  <c r="H1930" i="1" a="1"/>
  <c r="H1930" i="1"/>
  <c r="J1929" i="1" a="1"/>
  <c r="J1929" i="1"/>
  <c r="I1929" i="1" a="1"/>
  <c r="I1929" i="1" s="1"/>
  <c r="M1929" i="1" a="1"/>
  <c r="M1929" i="1" s="1"/>
  <c r="G1929" i="1" a="1"/>
  <c r="G1929" i="1" s="1"/>
  <c r="L1929" i="1" a="1"/>
  <c r="L1929" i="1" s="1"/>
  <c r="Q1928" i="1" a="1"/>
  <c r="Q1928" i="1" s="1"/>
  <c r="M1928" i="1" a="1"/>
  <c r="M1928" i="1"/>
  <c r="H1928" i="1" a="1"/>
  <c r="H1928" i="1" s="1"/>
  <c r="L1927" i="1" a="1"/>
  <c r="L1927" i="1" s="1"/>
  <c r="P1928" i="1" a="1"/>
  <c r="P1928" i="1"/>
  <c r="N1928" i="1" a="1"/>
  <c r="N1928" i="1" s="1"/>
  <c r="K1928" i="1" a="1"/>
  <c r="K1928" i="1" s="1"/>
  <c r="P1926" i="1" a="1"/>
  <c r="P1926" i="1" s="1"/>
  <c r="J1928" i="1" a="1"/>
  <c r="J1928" i="1" s="1"/>
  <c r="F1928" i="1" a="1"/>
  <c r="F1928" i="1"/>
  <c r="P1927" i="1" a="1"/>
  <c r="P1927" i="1" s="1"/>
  <c r="O1926" i="1" a="1"/>
  <c r="O1926" i="1"/>
  <c r="N1927" i="1" a="1"/>
  <c r="N1927" i="1"/>
  <c r="F1931" i="1" a="1"/>
  <c r="F1931" i="1"/>
  <c r="H1927" i="1" a="1"/>
  <c r="H1927" i="1"/>
  <c r="M1930" i="1" a="1"/>
  <c r="M1930" i="1" s="1"/>
  <c r="Q1929" i="1" a="1"/>
  <c r="Q1929" i="1" s="1"/>
  <c r="L1930" i="1" a="1"/>
  <c r="L1930" i="1" s="1"/>
  <c r="K1930" i="1" a="1"/>
  <c r="K1930" i="1" s="1"/>
  <c r="I1928" i="1" a="1"/>
  <c r="I1928" i="1" s="1"/>
  <c r="F1930" i="1" a="1"/>
  <c r="F1930" i="1" s="1"/>
  <c r="Q1926" i="1" a="1"/>
  <c r="Q1926" i="1"/>
  <c r="O1927" i="1" a="1"/>
  <c r="O1927" i="1"/>
  <c r="H1922" i="1" a="1"/>
  <c r="H1922" i="1"/>
  <c r="N1922" i="1" a="1"/>
  <c r="N1922" i="1" s="1"/>
  <c r="K1922" i="1" a="1"/>
  <c r="K1922" i="1" s="1"/>
  <c r="G1924" i="1" a="1"/>
  <c r="G1924" i="1" s="1"/>
  <c r="N1923" i="1" a="1"/>
  <c r="N1923" i="1" s="1"/>
  <c r="O1922" i="1" a="1"/>
  <c r="O1922" i="1"/>
  <c r="J1922" i="1" a="1"/>
  <c r="J1922" i="1"/>
  <c r="L1923" i="1" a="1"/>
  <c r="L1923" i="1"/>
  <c r="L1926" i="1" a="1"/>
  <c r="L1926" i="1" s="1"/>
  <c r="G1922" i="1" a="1"/>
  <c r="G1922" i="1" s="1"/>
  <c r="K1926" i="1" a="1"/>
  <c r="K1926" i="1"/>
  <c r="N1925" i="1" a="1"/>
  <c r="N1925" i="1"/>
  <c r="J1926" i="1" a="1"/>
  <c r="J1926" i="1" s="1"/>
  <c r="H1926" i="1" a="1"/>
  <c r="H1926" i="1" s="1"/>
  <c r="G1926" i="1" a="1"/>
  <c r="G1926" i="1" s="1"/>
  <c r="P1922" i="1" a="1"/>
  <c r="P1922" i="1" s="1"/>
  <c r="O1923" i="1" a="1"/>
  <c r="O1923" i="1"/>
  <c r="F1922" i="1" a="1"/>
  <c r="F1922" i="1"/>
  <c r="Q1921" i="1" a="1"/>
  <c r="Q1921" i="1" s="1"/>
  <c r="Q1924" i="1" a="1"/>
  <c r="Q1924" i="1" s="1"/>
  <c r="O1924" i="1" a="1"/>
  <c r="O1924" i="1" s="1"/>
  <c r="I1922" i="1" a="1"/>
  <c r="I1922" i="1"/>
  <c r="O1921" i="1" a="1"/>
  <c r="O1921" i="1"/>
  <c r="Q1925" i="1" a="1"/>
  <c r="Q1925" i="1"/>
  <c r="M1922" i="1" a="1"/>
  <c r="M1922" i="1" s="1"/>
  <c r="I1925" i="1" a="1"/>
  <c r="I1925" i="1" s="1"/>
  <c r="H1925" i="1" a="1"/>
  <c r="H1925" i="1"/>
  <c r="F1925" i="1" a="1"/>
  <c r="F1925" i="1"/>
  <c r="F1924" i="1" a="1"/>
  <c r="F1924" i="1"/>
  <c r="K1921" i="1" a="1"/>
  <c r="K1921" i="1" s="1"/>
  <c r="J1923" i="1" a="1"/>
  <c r="J1923" i="1"/>
  <c r="Q1922" i="1" a="1"/>
  <c r="Q1922" i="1" s="1"/>
  <c r="I1926" i="1" a="1"/>
  <c r="I1926" i="1" s="1"/>
  <c r="M1923" i="1" a="1"/>
  <c r="M1923" i="1"/>
  <c r="F1926" i="1" a="1"/>
  <c r="F1926" i="1"/>
  <c r="O1925" i="1" a="1"/>
  <c r="O1925" i="1"/>
  <c r="M1924" i="1" a="1"/>
  <c r="M1924" i="1"/>
  <c r="I1924" i="1" a="1"/>
  <c r="I1924" i="1"/>
  <c r="J1921" i="1" a="1"/>
  <c r="J1921" i="1"/>
  <c r="P1923" i="1" a="1"/>
  <c r="P1923" i="1" s="1"/>
  <c r="H1923" i="1" a="1"/>
  <c r="H1923" i="1" s="1"/>
  <c r="K1923" i="1" a="1"/>
  <c r="K1923" i="1" s="1"/>
  <c r="P1921" i="1" a="1"/>
  <c r="P1921" i="1" s="1"/>
  <c r="M1921" i="1" a="1"/>
  <c r="M1921" i="1" s="1"/>
  <c r="F1923" i="1" a="1"/>
  <c r="F1923" i="1"/>
  <c r="L1921" i="1" a="1"/>
  <c r="L1921" i="1" s="1"/>
  <c r="M1925" i="1" a="1"/>
  <c r="M1925" i="1"/>
  <c r="N1924" i="1" a="1"/>
  <c r="N1924" i="1" s="1"/>
  <c r="K1925" i="1" a="1"/>
  <c r="K1925" i="1"/>
  <c r="L1924" i="1" a="1"/>
  <c r="L1924" i="1"/>
  <c r="H1924" i="1" a="1"/>
  <c r="H1924" i="1"/>
  <c r="L1922" i="1" a="1"/>
  <c r="L1922" i="1"/>
  <c r="I1921" i="1" a="1"/>
  <c r="I1921" i="1"/>
  <c r="P1925" i="1" a="1"/>
  <c r="P1925" i="1"/>
  <c r="L1925" i="1" a="1"/>
  <c r="L1925" i="1" s="1"/>
  <c r="N1921" i="1" a="1"/>
  <c r="N1921" i="1"/>
  <c r="J1925" i="1" a="1"/>
  <c r="J1925" i="1"/>
  <c r="G1925" i="1" a="1"/>
  <c r="G1925" i="1" s="1"/>
  <c r="I1923" i="1" a="1"/>
  <c r="I1923" i="1" s="1"/>
  <c r="G1923" i="1" a="1"/>
  <c r="G1923" i="1"/>
  <c r="P1924" i="1" a="1"/>
  <c r="P1924" i="1" s="1"/>
  <c r="K1924" i="1" a="1"/>
  <c r="K1924" i="1"/>
  <c r="Q1923" i="1" a="1"/>
  <c r="Q1923" i="1" s="1"/>
  <c r="J1924" i="1" a="1"/>
  <c r="J1924" i="1" s="1"/>
  <c r="H1916" i="1" a="1"/>
  <c r="H1916" i="1"/>
  <c r="I1916" i="1" a="1"/>
  <c r="I1916" i="1"/>
  <c r="L1916" i="1" a="1"/>
  <c r="L1916" i="1"/>
  <c r="P1919" i="1" a="1"/>
  <c r="P1919" i="1"/>
  <c r="Q1918" i="1" a="1"/>
  <c r="Q1918" i="1"/>
  <c r="Q1916" i="1" a="1"/>
  <c r="Q1916" i="1" s="1"/>
  <c r="K1919" i="1" a="1"/>
  <c r="K1919" i="1" s="1"/>
  <c r="J1916" i="1" a="1"/>
  <c r="J1916" i="1" s="1"/>
  <c r="G1920" i="1" a="1"/>
  <c r="G1920" i="1"/>
  <c r="J1918" i="1" a="1"/>
  <c r="J1918" i="1"/>
  <c r="F1920" i="1" a="1"/>
  <c r="F1920" i="1"/>
  <c r="M1919" i="1" a="1"/>
  <c r="M1919" i="1" s="1"/>
  <c r="L1919" i="1" a="1"/>
  <c r="L1919" i="1"/>
  <c r="P1918" i="1" a="1"/>
  <c r="P1918" i="1" s="1"/>
  <c r="F1917" i="1" a="1"/>
  <c r="F1917" i="1"/>
  <c r="P1917" i="1" a="1"/>
  <c r="P1917" i="1"/>
  <c r="I1918" i="1" a="1"/>
  <c r="I1918" i="1"/>
  <c r="F1918" i="1" a="1"/>
  <c r="F1918" i="1" s="1"/>
  <c r="K1918" i="1" a="1"/>
  <c r="K1918" i="1"/>
  <c r="J1917" i="1" a="1"/>
  <c r="J1917" i="1" s="1"/>
  <c r="O1918" i="1" a="1"/>
  <c r="O1918" i="1"/>
  <c r="Q1917" i="1" a="1"/>
  <c r="Q1917" i="1" s="1"/>
  <c r="P1916" i="1" a="1"/>
  <c r="P1916" i="1" s="1"/>
  <c r="L1918" i="1" a="1"/>
  <c r="L1918" i="1" s="1"/>
  <c r="N1916" i="1" a="1"/>
  <c r="N1916" i="1"/>
  <c r="K1916" i="1" a="1"/>
  <c r="K1916" i="1"/>
  <c r="H1917" i="1" a="1"/>
  <c r="H1917" i="1"/>
  <c r="O1917" i="1" a="1"/>
  <c r="O1917" i="1" s="1"/>
  <c r="H1921" i="1" a="1"/>
  <c r="H1921" i="1"/>
  <c r="G1921" i="1" a="1"/>
  <c r="G1921" i="1"/>
  <c r="O1919" i="1" a="1"/>
  <c r="O1919" i="1" s="1"/>
  <c r="I1920" i="1" a="1"/>
  <c r="I1920" i="1"/>
  <c r="G1917" i="1" a="1"/>
  <c r="G1917" i="1" s="1"/>
  <c r="O1916" i="1" a="1"/>
  <c r="O1916" i="1"/>
  <c r="F1921" i="1" a="1"/>
  <c r="F1921" i="1"/>
  <c r="Q1920" i="1" a="1"/>
  <c r="Q1920" i="1" s="1"/>
  <c r="P1920" i="1" a="1"/>
  <c r="P1920" i="1"/>
  <c r="J1920" i="1" a="1"/>
  <c r="J1920" i="1"/>
  <c r="J1919" i="1" a="1"/>
  <c r="J1919" i="1"/>
  <c r="I1919" i="1" a="1"/>
  <c r="I1919" i="1"/>
  <c r="H1918" i="1" a="1"/>
  <c r="H1918" i="1"/>
  <c r="M1917" i="1" a="1"/>
  <c r="M1917" i="1" s="1"/>
  <c r="I1917" i="1" a="1"/>
  <c r="I1917" i="1"/>
  <c r="O1920" i="1" a="1"/>
  <c r="O1920" i="1" s="1"/>
  <c r="N1920" i="1" a="1"/>
  <c r="N1920" i="1" s="1"/>
  <c r="M1920" i="1" a="1"/>
  <c r="M1920" i="1"/>
  <c r="N1919" i="1" a="1"/>
  <c r="N1919" i="1"/>
  <c r="K1917" i="1" a="1"/>
  <c r="K1917" i="1" s="1"/>
  <c r="H1919" i="1" a="1"/>
  <c r="H1919" i="1"/>
  <c r="G1918" i="1" a="1"/>
  <c r="G1918" i="1" s="1"/>
  <c r="G1916" i="1" a="1"/>
  <c r="G1916" i="1" s="1"/>
  <c r="G1919" i="1" a="1"/>
  <c r="G1919" i="1" s="1"/>
  <c r="Q1915" i="1" a="1"/>
  <c r="Q1915" i="1" s="1"/>
  <c r="L1920" i="1" a="1"/>
  <c r="L1920" i="1"/>
  <c r="F1916" i="1" a="1"/>
  <c r="F1916" i="1"/>
  <c r="N1917" i="1" a="1"/>
  <c r="N1917" i="1"/>
  <c r="F1919" i="1" a="1"/>
  <c r="F1919" i="1" s="1"/>
  <c r="K1920" i="1" a="1"/>
  <c r="K1920" i="1"/>
  <c r="H1920" i="1" a="1"/>
  <c r="H1920" i="1" s="1"/>
  <c r="M1916" i="1" a="1"/>
  <c r="M1916" i="1" s="1"/>
  <c r="Q1919" i="1" a="1"/>
  <c r="Q1919" i="1" s="1"/>
  <c r="N1918" i="1" a="1"/>
  <c r="N1918" i="1"/>
  <c r="M1918" i="1" a="1"/>
  <c r="M1918" i="1"/>
  <c r="L1917" i="1" a="1"/>
  <c r="L1917" i="1" s="1"/>
  <c r="K1914" i="1" a="1"/>
  <c r="K1914" i="1"/>
  <c r="O1910" i="1" a="1"/>
  <c r="O1910" i="1"/>
  <c r="K1912" i="1" a="1"/>
  <c r="K1912" i="1"/>
  <c r="G1914" i="1" a="1"/>
  <c r="G1914" i="1"/>
  <c r="P1915" i="1" a="1"/>
  <c r="P1915" i="1" s="1"/>
  <c r="J1914" i="1" a="1"/>
  <c r="J1914" i="1" s="1"/>
  <c r="Q1913" i="1" a="1"/>
  <c r="Q1913" i="1"/>
  <c r="L1911" i="1" a="1"/>
  <c r="L1911" i="1"/>
  <c r="K1911" i="1" a="1"/>
  <c r="K1911" i="1" s="1"/>
  <c r="Q1910" i="1" a="1"/>
  <c r="Q1910" i="1"/>
  <c r="M1913" i="1" a="1"/>
  <c r="M1913" i="1" s="1"/>
  <c r="H1913" i="1" a="1"/>
  <c r="H1913" i="1"/>
  <c r="O1912" i="1" a="1"/>
  <c r="O1912" i="1" s="1"/>
  <c r="H1912" i="1" a="1"/>
  <c r="H1912" i="1" s="1"/>
  <c r="L1913" i="1" a="1"/>
  <c r="L1913" i="1"/>
  <c r="P1912" i="1" a="1"/>
  <c r="P1912" i="1" s="1"/>
  <c r="M1912" i="1" a="1"/>
  <c r="M1912" i="1" s="1"/>
  <c r="G1912" i="1" a="1"/>
  <c r="G1912" i="1" s="1"/>
  <c r="G1911" i="1" a="1"/>
  <c r="G1911" i="1" s="1"/>
  <c r="N1910" i="1" a="1"/>
  <c r="N1910" i="1" s="1"/>
  <c r="M1910" i="1" a="1"/>
  <c r="M1910" i="1" s="1"/>
  <c r="P1911" i="1" a="1"/>
  <c r="P1911" i="1" s="1"/>
  <c r="J1913" i="1" a="1"/>
  <c r="J1913" i="1" s="1"/>
  <c r="F1915" i="1" a="1"/>
  <c r="F1915" i="1" s="1"/>
  <c r="O1914" i="1" a="1"/>
  <c r="O1914" i="1"/>
  <c r="I1912" i="1" a="1"/>
  <c r="I1912" i="1" s="1"/>
  <c r="M1911" i="1" a="1"/>
  <c r="M1911" i="1"/>
  <c r="M1915" i="1" a="1"/>
  <c r="M1915" i="1" s="1"/>
  <c r="H1911" i="1" a="1"/>
  <c r="H1911" i="1" s="1"/>
  <c r="Q1914" i="1" a="1"/>
  <c r="Q1914" i="1"/>
  <c r="P1913" i="1" a="1"/>
  <c r="P1913" i="1"/>
  <c r="O1913" i="1" a="1"/>
  <c r="O1913" i="1"/>
  <c r="H1914" i="1" a="1"/>
  <c r="H1914" i="1"/>
  <c r="G1913" i="1" a="1"/>
  <c r="G1913" i="1"/>
  <c r="O1915" i="1" a="1"/>
  <c r="O1915" i="1" s="1"/>
  <c r="G1915" i="1" a="1"/>
  <c r="G1915" i="1"/>
  <c r="Q1911" i="1" a="1"/>
  <c r="Q1911" i="1"/>
  <c r="J1911" i="1" a="1"/>
  <c r="J1911" i="1" s="1"/>
  <c r="O1911" i="1" a="1"/>
  <c r="O1911" i="1" s="1"/>
  <c r="L1915" i="1" a="1"/>
  <c r="L1915" i="1" s="1"/>
  <c r="I1915" i="1" a="1"/>
  <c r="I1915" i="1" s="1"/>
  <c r="N1915" i="1" a="1"/>
  <c r="N1915" i="1" s="1"/>
  <c r="N1911" i="1" a="1"/>
  <c r="N1911" i="1"/>
  <c r="J1912" i="1" a="1"/>
  <c r="J1912" i="1"/>
  <c r="J1915" i="1" a="1"/>
  <c r="J1915" i="1" s="1"/>
  <c r="K1913" i="1" a="1"/>
  <c r="K1913" i="1" s="1"/>
  <c r="P1910" i="1" a="1"/>
  <c r="P1910" i="1" s="1"/>
  <c r="K1915" i="1" a="1"/>
  <c r="K1915" i="1"/>
  <c r="H1915" i="1" a="1"/>
  <c r="H1915" i="1" s="1"/>
  <c r="P1914" i="1" a="1"/>
  <c r="P1914" i="1"/>
  <c r="M1914" i="1" a="1"/>
  <c r="M1914" i="1"/>
  <c r="F1911" i="1" a="1"/>
  <c r="F1911" i="1"/>
  <c r="N1913" i="1" a="1"/>
  <c r="N1913" i="1"/>
  <c r="F1913" i="1" a="1"/>
  <c r="F1913" i="1"/>
  <c r="N1912" i="1" a="1"/>
  <c r="N1912" i="1"/>
  <c r="I1911" i="1" a="1"/>
  <c r="I1911" i="1" s="1"/>
  <c r="F1912" i="1" a="1"/>
  <c r="F1912" i="1" s="1"/>
  <c r="I1913" i="1" a="1"/>
  <c r="I1913" i="1" s="1"/>
  <c r="L1912" i="1" a="1"/>
  <c r="L1912" i="1"/>
  <c r="N1914" i="1" a="1"/>
  <c r="N1914" i="1"/>
  <c r="F1914" i="1" a="1"/>
  <c r="F1914" i="1"/>
  <c r="L1914" i="1" a="1"/>
  <c r="L1914" i="1"/>
  <c r="I1914" i="1" a="1"/>
  <c r="I1914" i="1" s="1"/>
  <c r="Q1912" i="1" a="1"/>
  <c r="Q1912" i="1"/>
  <c r="J1910" i="1" a="1"/>
  <c r="J1910" i="1" s="1"/>
  <c r="I1910" i="1" a="1"/>
  <c r="I1910" i="1" s="1"/>
  <c r="N1907" i="1" a="1"/>
  <c r="N1907" i="1" s="1"/>
  <c r="H1910" i="1" a="1"/>
  <c r="H1910" i="1"/>
  <c r="G1910" i="1" a="1"/>
  <c r="G1910" i="1"/>
  <c r="J1909" i="1" a="1"/>
  <c r="J1909" i="1" s="1"/>
  <c r="M1909" i="1" a="1"/>
  <c r="M1909" i="1" s="1"/>
  <c r="H1909" i="1" a="1"/>
  <c r="H1909" i="1" s="1"/>
  <c r="F1910" i="1" a="1"/>
  <c r="F1910" i="1" s="1"/>
  <c r="Q1909" i="1" a="1"/>
  <c r="Q1909" i="1" s="1"/>
  <c r="O1909" i="1" a="1"/>
  <c r="O1909" i="1" s="1"/>
  <c r="N1906" i="1" a="1"/>
  <c r="N1906" i="1" s="1"/>
  <c r="H1908" i="1" a="1"/>
  <c r="H1908" i="1"/>
  <c r="G1906" i="1" a="1"/>
  <c r="G1906" i="1" s="1"/>
  <c r="M1907" i="1" a="1"/>
  <c r="M1907" i="1"/>
  <c r="N1908" i="1" a="1"/>
  <c r="N1908" i="1" s="1"/>
  <c r="G1908" i="1" a="1"/>
  <c r="G1908" i="1"/>
  <c r="L1906" i="1" a="1"/>
  <c r="L1906" i="1" s="1"/>
  <c r="F1906" i="1" a="1"/>
  <c r="F1906" i="1" s="1"/>
  <c r="J1908" i="1" a="1"/>
  <c r="J1908" i="1" s="1"/>
  <c r="K1908" i="1" a="1"/>
  <c r="K1908" i="1"/>
  <c r="H1906" i="1" a="1"/>
  <c r="H1906" i="1" s="1"/>
  <c r="P1906" i="1" a="1"/>
  <c r="P1906" i="1" s="1"/>
  <c r="J1906" i="1" a="1"/>
  <c r="J1906" i="1" s="1"/>
  <c r="K1909" i="1" a="1"/>
  <c r="K1909" i="1"/>
  <c r="I1908" i="1" a="1"/>
  <c r="I1908" i="1"/>
  <c r="M1906" i="1" a="1"/>
  <c r="M1906" i="1"/>
  <c r="L1905" i="1" a="1"/>
  <c r="L1905" i="1" s="1"/>
  <c r="G1907" i="1" a="1"/>
  <c r="G1907" i="1" s="1"/>
  <c r="I1906" i="1" a="1"/>
  <c r="I1906" i="1"/>
  <c r="L1909" i="1" a="1"/>
  <c r="L1909" i="1"/>
  <c r="G1909" i="1" a="1"/>
  <c r="G1909" i="1"/>
  <c r="O1905" i="1" a="1"/>
  <c r="O1905" i="1"/>
  <c r="K1905" i="1" a="1"/>
  <c r="K1905" i="1" s="1"/>
  <c r="N1909" i="1" a="1"/>
  <c r="N1909" i="1"/>
  <c r="P1907" i="1" a="1"/>
  <c r="P1907" i="1"/>
  <c r="I1909" i="1" a="1"/>
  <c r="I1909" i="1" s="1"/>
  <c r="Q1908" i="1" a="1"/>
  <c r="Q1908" i="1" s="1"/>
  <c r="O1908" i="1" a="1"/>
  <c r="O1908" i="1" s="1"/>
  <c r="F1908" i="1" a="1"/>
  <c r="F1908" i="1" s="1"/>
  <c r="N1905" i="1" a="1"/>
  <c r="N1905" i="1" s="1"/>
  <c r="Q1907" i="1" a="1"/>
  <c r="Q1907" i="1" s="1"/>
  <c r="F1907" i="1" a="1"/>
  <c r="F1907" i="1" s="1"/>
  <c r="L1908" i="1" a="1"/>
  <c r="L1908" i="1"/>
  <c r="P1905" i="1" a="1"/>
  <c r="P1905" i="1" s="1"/>
  <c r="O1906" i="1" a="1"/>
  <c r="O1906" i="1"/>
  <c r="Q1905" i="1" a="1"/>
  <c r="Q1905" i="1" s="1"/>
  <c r="L1907" i="1" a="1"/>
  <c r="L1907" i="1" s="1"/>
  <c r="K1907" i="1" a="1"/>
  <c r="K1907" i="1"/>
  <c r="J1907" i="1" a="1"/>
  <c r="J1907" i="1"/>
  <c r="I1907" i="1" a="1"/>
  <c r="I1907" i="1" s="1"/>
  <c r="H1907" i="1" a="1"/>
  <c r="H1907" i="1" s="1"/>
  <c r="K1906" i="1" a="1"/>
  <c r="K1906" i="1"/>
  <c r="P1908" i="1" a="1"/>
  <c r="P1908" i="1"/>
  <c r="M1908" i="1" a="1"/>
  <c r="M1908" i="1"/>
  <c r="Q1906" i="1" a="1"/>
  <c r="Q1906" i="1"/>
  <c r="I1905" i="1" a="1"/>
  <c r="I1905" i="1"/>
  <c r="F1909" i="1" a="1"/>
  <c r="F1909" i="1"/>
  <c r="M1905" i="1" a="1"/>
  <c r="M1905" i="1"/>
  <c r="J1905" i="1" a="1"/>
  <c r="J1905" i="1"/>
  <c r="L1910" i="1" a="1"/>
  <c r="L1910" i="1"/>
  <c r="O1907" i="1" a="1"/>
  <c r="O1907" i="1" s="1"/>
  <c r="K1910" i="1" a="1"/>
  <c r="K1910" i="1"/>
  <c r="P1909" i="1" a="1"/>
  <c r="P1909" i="1" s="1"/>
  <c r="H1905" i="1" a="1"/>
  <c r="H1905" i="1" s="1"/>
  <c r="G1905" i="1" a="1"/>
  <c r="G1905" i="1" s="1"/>
  <c r="F1905" i="1" a="1"/>
  <c r="F1905" i="1" s="1"/>
  <c r="Q1904" i="1" a="1"/>
  <c r="Q1904" i="1" s="1"/>
  <c r="P1904" i="1" a="1"/>
  <c r="P1904" i="1" s="1"/>
  <c r="O1904" i="1" a="1"/>
  <c r="O1904" i="1" s="1"/>
  <c r="N1904" i="1" a="1"/>
  <c r="N1904" i="1"/>
  <c r="M1904" i="1" a="1"/>
  <c r="M1904" i="1" s="1"/>
  <c r="L1904" i="1" a="1"/>
  <c r="L1904" i="1"/>
  <c r="K1904" i="1" a="1"/>
  <c r="K1904" i="1"/>
  <c r="F1904" i="1" a="1"/>
  <c r="F1904" i="1"/>
  <c r="J1904" i="1" a="1"/>
  <c r="J1904" i="1" s="1"/>
  <c r="I1904" i="1" a="1"/>
  <c r="I1904" i="1"/>
  <c r="H1904" i="1" a="1"/>
  <c r="H1904" i="1" s="1"/>
  <c r="G1904" i="1" a="1"/>
  <c r="G1904" i="1"/>
  <c r="O1174" i="1" a="1"/>
  <c r="O1174" i="1"/>
  <c r="N1174" i="1" a="1"/>
  <c r="N1174" i="1" s="1"/>
  <c r="L1172" i="1" a="1"/>
  <c r="L1172" i="1" s="1"/>
  <c r="K1172" i="1" a="1"/>
  <c r="K1172" i="1"/>
  <c r="J1171" i="1" a="1"/>
  <c r="J1171" i="1"/>
  <c r="I1172" i="1" a="1"/>
  <c r="I1172" i="1"/>
  <c r="H1172" i="1" a="1"/>
  <c r="H1172" i="1"/>
  <c r="N1171" i="1" a="1"/>
  <c r="N1171" i="1" s="1"/>
  <c r="K1171" i="1" a="1"/>
  <c r="K1171" i="1" s="1"/>
  <c r="I1171" i="1" a="1"/>
  <c r="I1171" i="1"/>
  <c r="G1171" i="1" a="1"/>
  <c r="G1171" i="1" s="1"/>
  <c r="O1170" i="1" a="1"/>
  <c r="O1170" i="1"/>
  <c r="O1169" i="1" a="1"/>
  <c r="O1169" i="1"/>
  <c r="F1173" i="1" a="1"/>
  <c r="F1173" i="1"/>
  <c r="M1174" i="1" a="1"/>
  <c r="M1174" i="1" s="1"/>
  <c r="Q1171" i="1" a="1"/>
  <c r="Q1171" i="1"/>
  <c r="L1174" i="1" a="1"/>
  <c r="L1174" i="1" s="1"/>
  <c r="L1170" i="1" a="1"/>
  <c r="L1170" i="1" s="1"/>
  <c r="Q1170" i="1" a="1"/>
  <c r="Q1170" i="1"/>
  <c r="F1170" i="1" a="1"/>
  <c r="F1170" i="1" s="1"/>
  <c r="M1171" i="1" a="1"/>
  <c r="M1171" i="1" s="1"/>
  <c r="K1174" i="1" a="1"/>
  <c r="K1174" i="1"/>
  <c r="J1174" i="1" a="1"/>
  <c r="J1174" i="1"/>
  <c r="I1173" i="1" a="1"/>
  <c r="I1173" i="1" s="1"/>
  <c r="I1174" i="1" a="1"/>
  <c r="I1174" i="1" s="1"/>
  <c r="H1174" i="1" a="1"/>
  <c r="H1174" i="1" s="1"/>
  <c r="N1173" i="1" a="1"/>
  <c r="N1173" i="1" s="1"/>
  <c r="G1174" i="1" a="1"/>
  <c r="G1174" i="1"/>
  <c r="G1173" i="1" a="1"/>
  <c r="G1173" i="1"/>
  <c r="F1174" i="1" a="1"/>
  <c r="F1174" i="1"/>
  <c r="Q1173" i="1" a="1"/>
  <c r="Q1173" i="1"/>
  <c r="J1169" i="1" a="1"/>
  <c r="J1169" i="1" s="1"/>
  <c r="J1173" i="1" a="1"/>
  <c r="J1173" i="1"/>
  <c r="H1173" i="1" a="1"/>
  <c r="H1173" i="1"/>
  <c r="H1170" i="1" a="1"/>
  <c r="H1170" i="1"/>
  <c r="M1170" i="1" a="1"/>
  <c r="M1170" i="1" s="1"/>
  <c r="K1173" i="1" a="1"/>
  <c r="K1173" i="1" s="1"/>
  <c r="Q1172" i="1" a="1"/>
  <c r="Q1172" i="1"/>
  <c r="K1170" i="1" a="1"/>
  <c r="K1170" i="1" s="1"/>
  <c r="Q1169" i="1" a="1"/>
  <c r="Q1169" i="1"/>
  <c r="N1172" i="1" a="1"/>
  <c r="N1172" i="1"/>
  <c r="P1171" i="1" a="1"/>
  <c r="P1171" i="1" s="1"/>
  <c r="F1172" i="1" a="1"/>
  <c r="F1172" i="1"/>
  <c r="O1171" i="1" a="1"/>
  <c r="O1171" i="1" s="1"/>
  <c r="F1171" i="1" a="1"/>
  <c r="F1171" i="1" s="1"/>
  <c r="N1170" i="1" a="1"/>
  <c r="N1170" i="1"/>
  <c r="N1169" i="1" a="1"/>
  <c r="N1169" i="1" s="1"/>
  <c r="O1172" i="1" a="1"/>
  <c r="O1172" i="1"/>
  <c r="P1170" i="1" a="1"/>
  <c r="P1170" i="1" s="1"/>
  <c r="J1170" i="1" a="1"/>
  <c r="J1170" i="1"/>
  <c r="P1169" i="1" a="1"/>
  <c r="P1169" i="1"/>
  <c r="M1172" i="1" a="1"/>
  <c r="M1172" i="1"/>
  <c r="K1169" i="1" a="1"/>
  <c r="K1169" i="1" s="1"/>
  <c r="P1173" i="1" a="1"/>
  <c r="P1173" i="1"/>
  <c r="J1172" i="1" a="1"/>
  <c r="J1172" i="1"/>
  <c r="H1171" i="1" a="1"/>
  <c r="H1171" i="1" s="1"/>
  <c r="L1169" i="1" a="1"/>
  <c r="L1169" i="1"/>
  <c r="M1173" i="1" a="1"/>
  <c r="M1173" i="1" s="1"/>
  <c r="O1173" i="1" a="1"/>
  <c r="O1173" i="1"/>
  <c r="L1173" i="1" a="1"/>
  <c r="L1173" i="1" s="1"/>
  <c r="G1170" i="1" a="1"/>
  <c r="G1170" i="1"/>
  <c r="L1171" i="1" a="1"/>
  <c r="L1171" i="1"/>
  <c r="I1170" i="1" a="1"/>
  <c r="I1170" i="1" s="1"/>
  <c r="M1169" i="1" a="1"/>
  <c r="M1169" i="1"/>
  <c r="P1172" i="1" a="1"/>
  <c r="P1172" i="1" s="1"/>
  <c r="G1172" i="1" a="1"/>
  <c r="G1172" i="1" s="1"/>
  <c r="N1168" i="1" a="1"/>
  <c r="N1168" i="1" s="1"/>
  <c r="H1164" i="1" a="1"/>
  <c r="H1164" i="1"/>
  <c r="L1168" i="1" a="1"/>
  <c r="L1168" i="1" s="1"/>
  <c r="N1165" i="1" a="1"/>
  <c r="N1165" i="1" s="1"/>
  <c r="F1166" i="1" a="1"/>
  <c r="F1166" i="1"/>
  <c r="N1164" i="1" a="1"/>
  <c r="N1164" i="1"/>
  <c r="I1168" i="1" a="1"/>
  <c r="I1168" i="1"/>
  <c r="G1168" i="1" a="1"/>
  <c r="G1168" i="1"/>
  <c r="L1167" i="1" a="1"/>
  <c r="L1167" i="1" s="1"/>
  <c r="H1167" i="1" a="1"/>
  <c r="H1167" i="1" s="1"/>
  <c r="G1167" i="1" a="1"/>
  <c r="G1167" i="1" s="1"/>
  <c r="J1165" i="1" a="1"/>
  <c r="J1165" i="1" s="1"/>
  <c r="O1164" i="1" a="1"/>
  <c r="O1164" i="1" s="1"/>
  <c r="J1167" i="1" a="1"/>
  <c r="J1167" i="1"/>
  <c r="H1166" i="1" a="1"/>
  <c r="H1166" i="1" s="1"/>
  <c r="O1165" i="1" a="1"/>
  <c r="O1165" i="1"/>
  <c r="K1168" i="1" a="1"/>
  <c r="K1168" i="1"/>
  <c r="H1168" i="1" a="1"/>
  <c r="H1168" i="1"/>
  <c r="O1167" i="1" a="1"/>
  <c r="O1167" i="1" s="1"/>
  <c r="M1167" i="1" a="1"/>
  <c r="M1167" i="1" s="1"/>
  <c r="L1166" i="1" a="1"/>
  <c r="L1166" i="1" s="1"/>
  <c r="G1166" i="1" a="1"/>
  <c r="G1166" i="1"/>
  <c r="L1165" i="1" a="1"/>
  <c r="L1165" i="1"/>
  <c r="F1165" i="1" a="1"/>
  <c r="F1165" i="1"/>
  <c r="Q1164" i="1" a="1"/>
  <c r="Q1164" i="1"/>
  <c r="I1165" i="1" a="1"/>
  <c r="I1165" i="1" s="1"/>
  <c r="K1165" i="1" a="1"/>
  <c r="K1165" i="1"/>
  <c r="K1166" i="1" a="1"/>
  <c r="K1166" i="1"/>
  <c r="M1168" i="1" a="1"/>
  <c r="M1168" i="1" s="1"/>
  <c r="I1167" i="1" a="1"/>
  <c r="I1167" i="1" s="1"/>
  <c r="J1168" i="1" a="1"/>
  <c r="J1168" i="1" s="1"/>
  <c r="O1166" i="1" a="1"/>
  <c r="O1166" i="1" s="1"/>
  <c r="Q1165" i="1" a="1"/>
  <c r="Q1165" i="1"/>
  <c r="J1166" i="1" a="1"/>
  <c r="J1166" i="1"/>
  <c r="G1165" i="1" a="1"/>
  <c r="G1165" i="1"/>
  <c r="P1167" i="1" a="1"/>
  <c r="P1167" i="1" s="1"/>
  <c r="K1164" i="1" a="1"/>
  <c r="K1164" i="1" s="1"/>
  <c r="K1167" i="1" a="1"/>
  <c r="K1167" i="1"/>
  <c r="I1164" i="1" a="1"/>
  <c r="I1164" i="1" s="1"/>
  <c r="N1166" i="1" a="1"/>
  <c r="N1166" i="1"/>
  <c r="F1164" i="1" a="1"/>
  <c r="F1164" i="1" s="1"/>
  <c r="F1167" i="1" a="1"/>
  <c r="F1167" i="1" s="1"/>
  <c r="P1164" i="1" a="1"/>
  <c r="P1164" i="1" s="1"/>
  <c r="J1164" i="1" a="1"/>
  <c r="J1164" i="1" s="1"/>
  <c r="I1169" i="1" a="1"/>
  <c r="I1169" i="1"/>
  <c r="H1169" i="1" a="1"/>
  <c r="H1169" i="1" s="1"/>
  <c r="G1169" i="1" a="1"/>
  <c r="G1169" i="1" s="1"/>
  <c r="H1165" i="1" a="1"/>
  <c r="H1165" i="1" s="1"/>
  <c r="M1165" i="1" a="1"/>
  <c r="M1165" i="1"/>
  <c r="O1168" i="1" a="1"/>
  <c r="O1168" i="1"/>
  <c r="Q1167" i="1" a="1"/>
  <c r="Q1167" i="1"/>
  <c r="P1166" i="1" a="1"/>
  <c r="P1166" i="1" s="1"/>
  <c r="P1165" i="1" a="1"/>
  <c r="P1165" i="1"/>
  <c r="L1164" i="1" a="1"/>
  <c r="L1164" i="1"/>
  <c r="I1166" i="1" a="1"/>
  <c r="I1166" i="1"/>
  <c r="G1164" i="1" a="1"/>
  <c r="G1164" i="1"/>
  <c r="M1166" i="1" a="1"/>
  <c r="M1166" i="1" s="1"/>
  <c r="N1167" i="1" a="1"/>
  <c r="N1167" i="1"/>
  <c r="F1169" i="1" a="1"/>
  <c r="F1169" i="1"/>
  <c r="Q1168" i="1" a="1"/>
  <c r="Q1168" i="1"/>
  <c r="P1168" i="1" a="1"/>
  <c r="P1168" i="1"/>
  <c r="M1164" i="1" a="1"/>
  <c r="M1164" i="1"/>
  <c r="F1168" i="1" a="1"/>
  <c r="F1168" i="1"/>
  <c r="Q1166" i="1" a="1"/>
  <c r="Q1166" i="1" s="1"/>
  <c r="N1156" i="1" a="1"/>
  <c r="N1156" i="1" s="1"/>
  <c r="M1162" i="1" a="1"/>
  <c r="M1162" i="1"/>
  <c r="K1162" i="1" a="1"/>
  <c r="K1162" i="1" s="1"/>
  <c r="G1156" i="1" a="1"/>
  <c r="G1156" i="1" s="1"/>
  <c r="J1162" i="1" a="1"/>
  <c r="J1162" i="1"/>
  <c r="Q1156" i="1" a="1"/>
  <c r="Q1156" i="1" s="1"/>
  <c r="G1162" i="1" a="1"/>
  <c r="G1162" i="1" s="1"/>
  <c r="J1156" i="1" a="1"/>
  <c r="J1156" i="1" s="1"/>
  <c r="H1156" i="1" a="1"/>
  <c r="H1156" i="1" s="1"/>
  <c r="K1156" i="1" a="1"/>
  <c r="K1156" i="1"/>
  <c r="P1156" i="1" a="1"/>
  <c r="P1156" i="1"/>
  <c r="I1162" i="1" a="1"/>
  <c r="I1162" i="1" s="1"/>
  <c r="F1156" i="1" a="1"/>
  <c r="F1156" i="1"/>
  <c r="O1156" i="1" a="1"/>
  <c r="O1156" i="1"/>
  <c r="J1163" i="1" a="1"/>
  <c r="J1163" i="1"/>
  <c r="P1162" i="1" a="1"/>
  <c r="P1162" i="1" s="1"/>
  <c r="Q1163" i="1" a="1"/>
  <c r="Q1163" i="1" s="1"/>
  <c r="P1163" i="1" a="1"/>
  <c r="P1163" i="1"/>
  <c r="O1163" i="1" a="1"/>
  <c r="O1163" i="1"/>
  <c r="N1163" i="1" a="1"/>
  <c r="N1163" i="1"/>
  <c r="M1163" i="1" a="1"/>
  <c r="M1163" i="1" s="1"/>
  <c r="L1163" i="1" a="1"/>
  <c r="L1163" i="1"/>
  <c r="K1163" i="1" a="1"/>
  <c r="K1163" i="1" s="1"/>
  <c r="I1163" i="1" a="1"/>
  <c r="I1163" i="1"/>
  <c r="L1162" i="1" a="1"/>
  <c r="L1162" i="1" s="1"/>
  <c r="H1162" i="1" a="1"/>
  <c r="H1162" i="1"/>
  <c r="M1156" i="1" a="1"/>
  <c r="M1156" i="1" s="1"/>
  <c r="F1162" i="1" a="1"/>
  <c r="F1162" i="1" s="1"/>
  <c r="I1156" i="1" a="1"/>
  <c r="I1156" i="1" s="1"/>
  <c r="H1163" i="1" a="1"/>
  <c r="H1163" i="1" s="1"/>
  <c r="G1163" i="1" a="1"/>
  <c r="G1163" i="1"/>
  <c r="F1163" i="1" a="1"/>
  <c r="F1163" i="1"/>
  <c r="Q1162" i="1" a="1"/>
  <c r="Q1162" i="1" s="1"/>
  <c r="O1162" i="1" a="1"/>
  <c r="O1162" i="1"/>
  <c r="N1162" i="1" a="1"/>
  <c r="N1162" i="1" s="1"/>
  <c r="L1156" i="1" a="1"/>
  <c r="L1156" i="1"/>
  <c r="J1154" i="1" a="1"/>
  <c r="J1154" i="1"/>
  <c r="P1153" i="1" a="1"/>
  <c r="P1153" i="1" s="1"/>
  <c r="H1153" i="1" a="1"/>
  <c r="H1153" i="1"/>
  <c r="N1149" i="1" a="1"/>
  <c r="N1149" i="1" s="1"/>
  <c r="L1149" i="1" a="1"/>
  <c r="L1149" i="1"/>
  <c r="N1154" i="1" a="1"/>
  <c r="N1154" i="1" s="1"/>
  <c r="F1154" i="1" a="1"/>
  <c r="F1154" i="1" s="1"/>
  <c r="Q1155" i="1" a="1"/>
  <c r="Q1155" i="1"/>
  <c r="N1155" i="1" a="1"/>
  <c r="N1155" i="1"/>
  <c r="M1149" i="1" a="1"/>
  <c r="M1149" i="1"/>
  <c r="M1154" i="1" a="1"/>
  <c r="M1154" i="1"/>
  <c r="K1149" i="1" a="1"/>
  <c r="K1149" i="1"/>
  <c r="M1155" i="1" a="1"/>
  <c r="M1155" i="1" s="1"/>
  <c r="L1155" i="1" a="1"/>
  <c r="L1155" i="1" s="1"/>
  <c r="J1153" i="1" a="1"/>
  <c r="J1153" i="1" s="1"/>
  <c r="I1155" i="1" a="1"/>
  <c r="I1155" i="1"/>
  <c r="Q1148" i="1" a="1"/>
  <c r="Q1148" i="1" s="1"/>
  <c r="Q1154" i="1" a="1"/>
  <c r="Q1154" i="1" s="1"/>
  <c r="N1150" i="1" a="1"/>
  <c r="N1150" i="1"/>
  <c r="O1153" i="1" a="1"/>
  <c r="O1153" i="1"/>
  <c r="L1154" i="1" a="1"/>
  <c r="L1154" i="1"/>
  <c r="K1154" i="1" a="1"/>
  <c r="K1154" i="1"/>
  <c r="J1150" i="1" a="1"/>
  <c r="J1150" i="1"/>
  <c r="F1150" i="1" a="1"/>
  <c r="F1150" i="1" s="1"/>
  <c r="M1153" i="1" a="1"/>
  <c r="M1153" i="1" s="1"/>
  <c r="L1150" i="1" a="1"/>
  <c r="L1150" i="1" s="1"/>
  <c r="I1150" i="1" a="1"/>
  <c r="I1150" i="1" s="1"/>
  <c r="Q1150" i="1" a="1"/>
  <c r="Q1150" i="1" s="1"/>
  <c r="H1150" i="1" a="1"/>
  <c r="H1150" i="1"/>
  <c r="Q1149" i="1" a="1"/>
  <c r="Q1149" i="1"/>
  <c r="O1149" i="1" a="1"/>
  <c r="O1149" i="1" s="1"/>
  <c r="I1149" i="1" a="1"/>
  <c r="I1149" i="1" s="1"/>
  <c r="P1148" i="1" a="1"/>
  <c r="P1148" i="1" s="1"/>
  <c r="G1149" i="1" a="1"/>
  <c r="G1149" i="1"/>
  <c r="I1154" i="1" a="1"/>
  <c r="I1154" i="1"/>
  <c r="P1155" i="1" a="1"/>
  <c r="P1155" i="1" s="1"/>
  <c r="O1155" i="1" a="1"/>
  <c r="O1155" i="1"/>
  <c r="N1153" i="1" a="1"/>
  <c r="N1153" i="1"/>
  <c r="K1150" i="1" a="1"/>
  <c r="K1150" i="1"/>
  <c r="I1153" i="1" a="1"/>
  <c r="I1153" i="1" s="1"/>
  <c r="P1150" i="1" a="1"/>
  <c r="P1150" i="1" s="1"/>
  <c r="K1155" i="1" a="1"/>
  <c r="K1155" i="1"/>
  <c r="F1155" i="1" a="1"/>
  <c r="F1155" i="1"/>
  <c r="J1149" i="1" a="1"/>
  <c r="J1149" i="1" s="1"/>
  <c r="G1155" i="1" a="1"/>
  <c r="G1155" i="1" s="1"/>
  <c r="G1153" i="1" a="1"/>
  <c r="G1153" i="1"/>
  <c r="G1150" i="1" a="1"/>
  <c r="G1150" i="1"/>
  <c r="K1153" i="1" a="1"/>
  <c r="K1153" i="1" s="1"/>
  <c r="M1150" i="1" a="1"/>
  <c r="M1150" i="1"/>
  <c r="H1149" i="1" a="1"/>
  <c r="H1149" i="1" s="1"/>
  <c r="J1155" i="1" a="1"/>
  <c r="J1155" i="1"/>
  <c r="G1154" i="1" a="1"/>
  <c r="G1154" i="1" s="1"/>
  <c r="P1154" i="1" a="1"/>
  <c r="P1154" i="1" s="1"/>
  <c r="O1150" i="1" a="1"/>
  <c r="O1150" i="1"/>
  <c r="H1154" i="1" a="1"/>
  <c r="H1154" i="1" s="1"/>
  <c r="H1155" i="1" a="1"/>
  <c r="H1155" i="1" s="1"/>
  <c r="O1154" i="1" a="1"/>
  <c r="O1154" i="1" s="1"/>
  <c r="Q1153" i="1" a="1"/>
  <c r="Q1153" i="1"/>
  <c r="L1153" i="1" a="1"/>
  <c r="L1153" i="1"/>
  <c r="F1153" i="1" a="1"/>
  <c r="F1153" i="1"/>
  <c r="P1149" i="1" a="1"/>
  <c r="P1149" i="1" s="1"/>
  <c r="F1149" i="1" a="1"/>
  <c r="F1149" i="1" s="1"/>
  <c r="J1147" i="1" a="1"/>
  <c r="J1147" i="1" s="1"/>
  <c r="J1145" i="1" a="1"/>
  <c r="J1145" i="1"/>
  <c r="O1148" i="1" a="1"/>
  <c r="O1148" i="1"/>
  <c r="F1144" i="1" a="1"/>
  <c r="F1144" i="1" s="1"/>
  <c r="L1148" i="1" a="1"/>
  <c r="L1148" i="1"/>
  <c r="K1146" i="1" a="1"/>
  <c r="K1146" i="1"/>
  <c r="K1145" i="1" a="1"/>
  <c r="K1145" i="1" s="1"/>
  <c r="F1145" i="1" a="1"/>
  <c r="F1145" i="1" s="1"/>
  <c r="H1146" i="1" a="1"/>
  <c r="H1146" i="1"/>
  <c r="O1145" i="1" a="1"/>
  <c r="O1145" i="1" s="1"/>
  <c r="I1146" i="1" a="1"/>
  <c r="I1146" i="1" s="1"/>
  <c r="M1145" i="1" a="1"/>
  <c r="M1145" i="1"/>
  <c r="O1147" i="1" a="1"/>
  <c r="O1147" i="1"/>
  <c r="N1148" i="1" a="1"/>
  <c r="N1148" i="1"/>
  <c r="G1148" i="1" a="1"/>
  <c r="G1148" i="1"/>
  <c r="P1147" i="1" a="1"/>
  <c r="P1147" i="1" s="1"/>
  <c r="I1144" i="1" a="1"/>
  <c r="I1144" i="1"/>
  <c r="N1147" i="1" a="1"/>
  <c r="N1147" i="1" s="1"/>
  <c r="F1147" i="1" a="1"/>
  <c r="F1147" i="1"/>
  <c r="H1145" i="1" a="1"/>
  <c r="H1145" i="1" s="1"/>
  <c r="Q1145" i="1" a="1"/>
  <c r="Q1145" i="1" s="1"/>
  <c r="Q1144" i="1" a="1"/>
  <c r="Q1144" i="1"/>
  <c r="L1144" i="1" a="1"/>
  <c r="L1144" i="1"/>
  <c r="M1144" i="1" a="1"/>
  <c r="M1144" i="1" s="1"/>
  <c r="O1143" i="1" a="1"/>
  <c r="O1143" i="1" s="1"/>
  <c r="M1148" i="1" a="1"/>
  <c r="M1148" i="1"/>
  <c r="I1148" i="1" a="1"/>
  <c r="I1148" i="1" s="1"/>
  <c r="Q1146" i="1" a="1"/>
  <c r="Q1146" i="1"/>
  <c r="P1143" i="1" a="1"/>
  <c r="P1143" i="1" s="1"/>
  <c r="H1148" i="1" a="1"/>
  <c r="H1148" i="1" s="1"/>
  <c r="N1146" i="1" a="1"/>
  <c r="N1146" i="1" s="1"/>
  <c r="I1147" i="1" a="1"/>
  <c r="I1147" i="1" s="1"/>
  <c r="P1146" i="1" a="1"/>
  <c r="P1146" i="1"/>
  <c r="G1144" i="1" a="1"/>
  <c r="G1144" i="1"/>
  <c r="G1145" i="1" a="1"/>
  <c r="G1145" i="1" s="1"/>
  <c r="L1146" i="1" a="1"/>
  <c r="L1146" i="1" s="1"/>
  <c r="F1146" i="1" a="1"/>
  <c r="F1146" i="1" s="1"/>
  <c r="M1146" i="1" a="1"/>
  <c r="M1146" i="1"/>
  <c r="L1145" i="1" a="1"/>
  <c r="L1145" i="1"/>
  <c r="F1148" i="1" a="1"/>
  <c r="F1148" i="1" s="1"/>
  <c r="L1147" i="1" a="1"/>
  <c r="L1147" i="1"/>
  <c r="G1147" i="1" a="1"/>
  <c r="G1147" i="1" s="1"/>
  <c r="P1145" i="1" a="1"/>
  <c r="P1145" i="1" s="1"/>
  <c r="O1146" i="1" a="1"/>
  <c r="O1146" i="1"/>
  <c r="J1146" i="1" a="1"/>
  <c r="J1146" i="1"/>
  <c r="N1145" i="1" a="1"/>
  <c r="N1145" i="1"/>
  <c r="H1144" i="1" a="1"/>
  <c r="H1144" i="1" s="1"/>
  <c r="N1144" i="1" a="1"/>
  <c r="N1144" i="1"/>
  <c r="N1143" i="1" a="1"/>
  <c r="N1143" i="1" s="1"/>
  <c r="Q1147" i="1" a="1"/>
  <c r="Q1147" i="1"/>
  <c r="K1144" i="1" a="1"/>
  <c r="K1144" i="1" s="1"/>
  <c r="M1147" i="1" a="1"/>
  <c r="M1147" i="1"/>
  <c r="O1144" i="1" a="1"/>
  <c r="O1144" i="1"/>
  <c r="K1147" i="1" a="1"/>
  <c r="K1147" i="1"/>
  <c r="I1145" i="1" a="1"/>
  <c r="I1145" i="1"/>
  <c r="Q1143" i="1" a="1"/>
  <c r="Q1143" i="1"/>
  <c r="H1147" i="1" a="1"/>
  <c r="H1147" i="1"/>
  <c r="J1144" i="1" a="1"/>
  <c r="J1144" i="1"/>
  <c r="K1148" i="1" a="1"/>
  <c r="K1148" i="1" s="1"/>
  <c r="P1144" i="1" a="1"/>
  <c r="P1144" i="1" s="1"/>
  <c r="G1146" i="1" a="1"/>
  <c r="G1146" i="1" s="1"/>
  <c r="J1148" i="1" a="1"/>
  <c r="J1148" i="1" s="1"/>
  <c r="P1139" i="1" a="1"/>
  <c r="P1139" i="1" s="1"/>
  <c r="K1143" i="1" a="1"/>
  <c r="K1143" i="1" s="1"/>
  <c r="H1143" i="1" a="1"/>
  <c r="H1143" i="1"/>
  <c r="Q1142" i="1" a="1"/>
  <c r="Q1142" i="1" s="1"/>
  <c r="M1141" i="1" a="1"/>
  <c r="M1141" i="1" s="1"/>
  <c r="H1141" i="1" a="1"/>
  <c r="H1141" i="1"/>
  <c r="K1138" i="1" a="1"/>
  <c r="K1138" i="1" s="1"/>
  <c r="J1142" i="1" a="1"/>
  <c r="J1142" i="1"/>
  <c r="O1141" i="1" a="1"/>
  <c r="O1141" i="1"/>
  <c r="P1140" i="1" a="1"/>
  <c r="P1140" i="1"/>
  <c r="Q1139" i="1" a="1"/>
  <c r="Q1139" i="1"/>
  <c r="M1143" i="1" a="1"/>
  <c r="M1143" i="1" s="1"/>
  <c r="G1143" i="1" a="1"/>
  <c r="G1143" i="1" s="1"/>
  <c r="O1142" i="1" a="1"/>
  <c r="O1142" i="1" s="1"/>
  <c r="M1142" i="1" a="1"/>
  <c r="M1142" i="1" s="1"/>
  <c r="O1140" i="1" a="1"/>
  <c r="O1140" i="1"/>
  <c r="J1139" i="1" a="1"/>
  <c r="J1139" i="1" s="1"/>
  <c r="L1143" i="1" a="1"/>
  <c r="L1143" i="1"/>
  <c r="Q1140" i="1" a="1"/>
  <c r="Q1140" i="1" s="1"/>
  <c r="J1143" i="1" a="1"/>
  <c r="J1143" i="1" s="1"/>
  <c r="F1143" i="1" a="1"/>
  <c r="F1143" i="1"/>
  <c r="N1142" i="1" a="1"/>
  <c r="N1142" i="1"/>
  <c r="K1139" i="1" a="1"/>
  <c r="K1139" i="1"/>
  <c r="H1142" i="1" a="1"/>
  <c r="H1142" i="1" s="1"/>
  <c r="N1138" i="1" a="1"/>
  <c r="N1138" i="1"/>
  <c r="N1141" i="1" a="1"/>
  <c r="N1141" i="1"/>
  <c r="J1141" i="1" a="1"/>
  <c r="J1141" i="1" s="1"/>
  <c r="I1139" i="1" a="1"/>
  <c r="I1139" i="1" s="1"/>
  <c r="G1141" i="1" a="1"/>
  <c r="G1141" i="1" s="1"/>
  <c r="K1140" i="1" a="1"/>
  <c r="K1140" i="1" s="1"/>
  <c r="I1143" i="1" a="1"/>
  <c r="I1143" i="1"/>
  <c r="P1142" i="1" a="1"/>
  <c r="P1142" i="1" s="1"/>
  <c r="L1142" i="1" a="1"/>
  <c r="L1142" i="1"/>
  <c r="K1142" i="1" a="1"/>
  <c r="K1142" i="1" s="1"/>
  <c r="G1142" i="1" a="1"/>
  <c r="G1142" i="1" s="1"/>
  <c r="Q1141" i="1" a="1"/>
  <c r="Q1141" i="1" s="1"/>
  <c r="M1138" i="1" a="1"/>
  <c r="M1138" i="1" s="1"/>
  <c r="P1141" i="1" a="1"/>
  <c r="P1141" i="1"/>
  <c r="K1141" i="1" a="1"/>
  <c r="K1141" i="1" s="1"/>
  <c r="N1140" i="1" a="1"/>
  <c r="N1140" i="1" s="1"/>
  <c r="L1141" i="1" a="1"/>
  <c r="L1141" i="1" s="1"/>
  <c r="L1139" i="1" a="1"/>
  <c r="L1139" i="1"/>
  <c r="F1141" i="1" a="1"/>
  <c r="F1141" i="1" s="1"/>
  <c r="M1140" i="1" a="1"/>
  <c r="M1140" i="1"/>
  <c r="J1140" i="1" a="1"/>
  <c r="J1140" i="1"/>
  <c r="H1140" i="1" a="1"/>
  <c r="H1140" i="1" s="1"/>
  <c r="M1139" i="1" a="1"/>
  <c r="M1139" i="1"/>
  <c r="H1139" i="1" a="1"/>
  <c r="H1139" i="1" s="1"/>
  <c r="O1138" i="1" a="1"/>
  <c r="O1138" i="1"/>
  <c r="L1138" i="1" a="1"/>
  <c r="L1138" i="1" s="1"/>
  <c r="G1140" i="1" a="1"/>
  <c r="G1140" i="1"/>
  <c r="F1140" i="1" a="1"/>
  <c r="F1140" i="1"/>
  <c r="J1138" i="1" a="1"/>
  <c r="J1138" i="1"/>
  <c r="I1140" i="1" a="1"/>
  <c r="I1140" i="1"/>
  <c r="I1141" i="1" a="1"/>
  <c r="I1141" i="1"/>
  <c r="G1139" i="1" a="1"/>
  <c r="G1139" i="1" s="1"/>
  <c r="F1139" i="1" a="1"/>
  <c r="F1139" i="1" s="1"/>
  <c r="N1139" i="1" a="1"/>
  <c r="N1139" i="1" s="1"/>
  <c r="I1142" i="1" a="1"/>
  <c r="I1142" i="1" s="1"/>
  <c r="F1142" i="1" a="1"/>
  <c r="F1142" i="1" s="1"/>
  <c r="O1139" i="1" a="1"/>
  <c r="O1139" i="1" s="1"/>
  <c r="Q1138" i="1" a="1"/>
  <c r="Q1138" i="1"/>
  <c r="P1138" i="1" a="1"/>
  <c r="P1138" i="1"/>
  <c r="L1140" i="1" a="1"/>
  <c r="L1140" i="1"/>
  <c r="I1138" i="1" a="1"/>
  <c r="I1138" i="1" s="1"/>
  <c r="H1138" i="1" a="1"/>
  <c r="H1138" i="1" s="1"/>
  <c r="G1138" i="1" a="1"/>
  <c r="G1138" i="1"/>
  <c r="F1138" i="1" a="1"/>
  <c r="F1138" i="1"/>
  <c r="G1513" i="1" a="1"/>
  <c r="G1513" i="1"/>
  <c r="F1513" i="1" a="1"/>
  <c r="F1513" i="1"/>
  <c r="K1514" i="1" a="1"/>
  <c r="K1514" i="1" s="1"/>
  <c r="L1514" i="1" a="1"/>
  <c r="L1514" i="1"/>
  <c r="P1513" i="1" a="1"/>
  <c r="P1513" i="1" s="1"/>
  <c r="N1513" i="1" a="1"/>
  <c r="N1513" i="1" s="1"/>
  <c r="M1513" i="1" a="1"/>
  <c r="M1513" i="1" s="1"/>
  <c r="K1513" i="1" a="1"/>
  <c r="K1513" i="1" s="1"/>
  <c r="I1513" i="1" a="1"/>
  <c r="I1513" i="1"/>
  <c r="L1515" i="1" a="1"/>
  <c r="L1515" i="1"/>
  <c r="I1514" i="1" a="1"/>
  <c r="I1514" i="1"/>
  <c r="G1514" i="1" a="1"/>
  <c r="G1514" i="1"/>
  <c r="Q1513" i="1" a="1"/>
  <c r="Q1513" i="1" s="1"/>
  <c r="J1515" i="1" a="1"/>
  <c r="J1515" i="1"/>
  <c r="N1514" i="1" a="1"/>
  <c r="N1514" i="1" s="1"/>
  <c r="J1514" i="1" a="1"/>
  <c r="J1514" i="1" s="1"/>
  <c r="O1513" i="1" a="1"/>
  <c r="O1513" i="1" s="1"/>
  <c r="H1513" i="1" a="1"/>
  <c r="H1513" i="1"/>
  <c r="H1515" i="1" a="1"/>
  <c r="H1515" i="1" s="1"/>
  <c r="Q1514" i="1" a="1"/>
  <c r="Q1514" i="1" s="1"/>
  <c r="K1515" i="1" a="1"/>
  <c r="K1515" i="1"/>
  <c r="I1515" i="1" a="1"/>
  <c r="I1515" i="1"/>
  <c r="M1514" i="1" a="1"/>
  <c r="M1514" i="1" s="1"/>
  <c r="J1513" i="1" a="1"/>
  <c r="J1513" i="1"/>
  <c r="G1515" i="1" a="1"/>
  <c r="G1515" i="1" s="1"/>
  <c r="F1514" i="1" a="1"/>
  <c r="F1514" i="1" s="1"/>
  <c r="H1514" i="1" a="1"/>
  <c r="H1514" i="1"/>
  <c r="F1515" i="1" a="1"/>
  <c r="F1515" i="1" s="1"/>
  <c r="P1514" i="1" a="1"/>
  <c r="P1514" i="1"/>
  <c r="O1514" i="1" a="1"/>
  <c r="O1514" i="1" s="1"/>
  <c r="L1513" i="1" a="1"/>
  <c r="L1513" i="1" s="1"/>
  <c r="I1506" i="1" a="1"/>
  <c r="I1506" i="1" s="1"/>
  <c r="K1505" i="1" a="1"/>
  <c r="K1505" i="1"/>
  <c r="P1507" i="1" a="1"/>
  <c r="P1507" i="1"/>
  <c r="O1507" i="1" a="1"/>
  <c r="O1507" i="1" s="1"/>
  <c r="J1506" i="1" a="1"/>
  <c r="J1506" i="1"/>
  <c r="G1506" i="1" a="1"/>
  <c r="G1506" i="1"/>
  <c r="M1507" i="1" a="1"/>
  <c r="M1507" i="1"/>
  <c r="H1506" i="1" a="1"/>
  <c r="H1506" i="1" s="1"/>
  <c r="L1505" i="1" a="1"/>
  <c r="L1505" i="1"/>
  <c r="N1506" i="1" a="1"/>
  <c r="N1506" i="1"/>
  <c r="F1506" i="1" a="1"/>
  <c r="F1506" i="1"/>
  <c r="J1505" i="1" a="1"/>
  <c r="J1505" i="1"/>
  <c r="M1505" i="1" a="1"/>
  <c r="M1505" i="1" s="1"/>
  <c r="I1505" i="1" a="1"/>
  <c r="I1505" i="1" s="1"/>
  <c r="M1504" i="1" a="1"/>
  <c r="M1504" i="1"/>
  <c r="G1505" i="1" a="1"/>
  <c r="G1505" i="1" s="1"/>
  <c r="H1505" i="1" a="1"/>
  <c r="H1505" i="1" s="1"/>
  <c r="N1507" i="1" a="1"/>
  <c r="N1507" i="1" s="1"/>
  <c r="H1507" i="1" a="1"/>
  <c r="H1507" i="1"/>
  <c r="P1504" i="1" a="1"/>
  <c r="P1504" i="1" s="1"/>
  <c r="F1507" i="1" a="1"/>
  <c r="F1507" i="1" s="1"/>
  <c r="P1506" i="1" a="1"/>
  <c r="P1506" i="1" s="1"/>
  <c r="O1505" i="1" a="1"/>
  <c r="O1505" i="1" s="1"/>
  <c r="Q1504" i="1" a="1"/>
  <c r="Q1504" i="1" s="1"/>
  <c r="Q1506" i="1" a="1"/>
  <c r="Q1506" i="1" s="1"/>
  <c r="K1507" i="1" a="1"/>
  <c r="K1507" i="1"/>
  <c r="F1505" i="1" a="1"/>
  <c r="F1505" i="1"/>
  <c r="L1506" i="1" a="1"/>
  <c r="L1506" i="1" s="1"/>
  <c r="O1504" i="1" a="1"/>
  <c r="O1504" i="1" s="1"/>
  <c r="Q1507" i="1" a="1"/>
  <c r="Q1507" i="1"/>
  <c r="G1507" i="1" a="1"/>
  <c r="G1507" i="1"/>
  <c r="Q1505" i="1" a="1"/>
  <c r="Q1505" i="1"/>
  <c r="P1505" i="1" a="1"/>
  <c r="P1505" i="1"/>
  <c r="L1507" i="1" a="1"/>
  <c r="L1507" i="1" s="1"/>
  <c r="J1507" i="1" a="1"/>
  <c r="J1507" i="1"/>
  <c r="I1507" i="1" a="1"/>
  <c r="I1507" i="1"/>
  <c r="O1506" i="1" a="1"/>
  <c r="O1506" i="1"/>
  <c r="N1505" i="1" a="1"/>
  <c r="N1505" i="1" s="1"/>
  <c r="N1504" i="1" a="1"/>
  <c r="N1504" i="1"/>
  <c r="M1506" i="1" a="1"/>
  <c r="M1506" i="1" s="1"/>
  <c r="K1506" i="1" a="1"/>
  <c r="K1506" i="1" s="1"/>
  <c r="P1501" i="1" a="1"/>
  <c r="P1501" i="1" s="1"/>
  <c r="H1499" i="1" a="1"/>
  <c r="H1499" i="1" s="1"/>
  <c r="I1502" i="1" a="1"/>
  <c r="I1502" i="1"/>
  <c r="L1504" i="1" a="1"/>
  <c r="L1504" i="1"/>
  <c r="K1504" i="1" a="1"/>
  <c r="K1504" i="1" s="1"/>
  <c r="J1499" i="1" a="1"/>
  <c r="J1499" i="1"/>
  <c r="J1504" i="1" a="1"/>
  <c r="J1504" i="1"/>
  <c r="J1502" i="1" a="1"/>
  <c r="J1502" i="1" s="1"/>
  <c r="L1500" i="1" a="1"/>
  <c r="L1500" i="1"/>
  <c r="O1500" i="1" a="1"/>
  <c r="O1500" i="1"/>
  <c r="O1499" i="1" a="1"/>
  <c r="O1499" i="1"/>
  <c r="G1499" i="1" a="1"/>
  <c r="G1499" i="1" s="1"/>
  <c r="I1504" i="1" a="1"/>
  <c r="I1504" i="1" s="1"/>
  <c r="G1502" i="1" a="1"/>
  <c r="G1502" i="1"/>
  <c r="F1501" i="1" a="1"/>
  <c r="F1501" i="1" s="1"/>
  <c r="G1504" i="1" a="1"/>
  <c r="G1504" i="1"/>
  <c r="M1499" i="1" a="1"/>
  <c r="M1499" i="1" s="1"/>
  <c r="H1502" i="1" a="1"/>
  <c r="H1502" i="1"/>
  <c r="N1501" i="1" a="1"/>
  <c r="N1501" i="1"/>
  <c r="N1499" i="1" a="1"/>
  <c r="N1499" i="1" s="1"/>
  <c r="F1499" i="1" a="1"/>
  <c r="F1499" i="1"/>
  <c r="P1502" i="1" a="1"/>
  <c r="P1502" i="1"/>
  <c r="N1502" i="1" a="1"/>
  <c r="N1502" i="1" s="1"/>
  <c r="L1502" i="1" a="1"/>
  <c r="L1502" i="1" s="1"/>
  <c r="L1501" i="1" a="1"/>
  <c r="L1501" i="1"/>
  <c r="Q1500" i="1" a="1"/>
  <c r="Q1500" i="1"/>
  <c r="P1500" i="1" a="1"/>
  <c r="P1500" i="1"/>
  <c r="N1500" i="1" a="1"/>
  <c r="N1500" i="1"/>
  <c r="H1500" i="1" a="1"/>
  <c r="H1500" i="1" s="1"/>
  <c r="L1499" i="1" a="1"/>
  <c r="L1499" i="1" s="1"/>
  <c r="F1502" i="1" a="1"/>
  <c r="F1502" i="1"/>
  <c r="Q1501" i="1" a="1"/>
  <c r="Q1501" i="1" s="1"/>
  <c r="K1501" i="1" a="1"/>
  <c r="K1501" i="1"/>
  <c r="O1501" i="1" a="1"/>
  <c r="O1501" i="1"/>
  <c r="O1502" i="1" a="1"/>
  <c r="O1502" i="1" s="1"/>
  <c r="P1499" i="1" a="1"/>
  <c r="P1499" i="1" s="1"/>
  <c r="H1504" i="1" a="1"/>
  <c r="H1504" i="1" s="1"/>
  <c r="F1504" i="1" a="1"/>
  <c r="F1504" i="1"/>
  <c r="J1501" i="1" a="1"/>
  <c r="J1501" i="1"/>
  <c r="J1500" i="1" a="1"/>
  <c r="J1500" i="1" s="1"/>
  <c r="G1501" i="1" a="1"/>
  <c r="G1501" i="1" s="1"/>
  <c r="I1500" i="1" a="1"/>
  <c r="I1500" i="1"/>
  <c r="G1500" i="1" a="1"/>
  <c r="G1500" i="1" s="1"/>
  <c r="Q1502" i="1" a="1"/>
  <c r="Q1502" i="1" s="1"/>
  <c r="M1502" i="1" a="1"/>
  <c r="M1502" i="1" s="1"/>
  <c r="K1502" i="1" a="1"/>
  <c r="K1502" i="1"/>
  <c r="M1501" i="1" a="1"/>
  <c r="M1501" i="1" s="1"/>
  <c r="F1500" i="1" a="1"/>
  <c r="F1500" i="1"/>
  <c r="M1500" i="1" a="1"/>
  <c r="M1500" i="1"/>
  <c r="Q1499" i="1" a="1"/>
  <c r="Q1499" i="1"/>
  <c r="I1499" i="1" a="1"/>
  <c r="I1499" i="1"/>
  <c r="I1501" i="1" a="1"/>
  <c r="I1501" i="1" s="1"/>
  <c r="K1499" i="1" a="1"/>
  <c r="K1499" i="1" s="1"/>
  <c r="K1500" i="1" a="1"/>
  <c r="K1500" i="1" s="1"/>
  <c r="H1501" i="1" a="1"/>
  <c r="H1501" i="1"/>
  <c r="M1494" i="1" a="1"/>
  <c r="M1494" i="1"/>
  <c r="N1485" i="1" a="1"/>
  <c r="N1485" i="1" s="1"/>
  <c r="Q1485" i="1" a="1"/>
  <c r="Q1485" i="1"/>
  <c r="N1492" i="1" a="1"/>
  <c r="N1492" i="1" s="1"/>
  <c r="P1487" i="1" a="1"/>
  <c r="P1487" i="1"/>
  <c r="O1492" i="1" a="1"/>
  <c r="O1492" i="1" s="1"/>
  <c r="F1492" i="1" a="1"/>
  <c r="F1492" i="1"/>
  <c r="H1492" i="1" a="1"/>
  <c r="H1492" i="1" s="1"/>
  <c r="G1492" i="1" a="1"/>
  <c r="G1492" i="1" s="1"/>
  <c r="H1487" i="1" a="1"/>
  <c r="H1487" i="1"/>
  <c r="G1487" i="1" a="1"/>
  <c r="G1487" i="1" s="1"/>
  <c r="I1494" i="1" a="1"/>
  <c r="I1494" i="1"/>
  <c r="M1487" i="1" a="1"/>
  <c r="M1487" i="1"/>
  <c r="O1485" i="1" a="1"/>
  <c r="O1485" i="1" s="1"/>
  <c r="P1485" i="1" a="1"/>
  <c r="P1485" i="1" s="1"/>
  <c r="N1487" i="1" a="1"/>
  <c r="N1487" i="1" s="1"/>
  <c r="P1494" i="1" a="1"/>
  <c r="P1494" i="1"/>
  <c r="L1494" i="1" a="1"/>
  <c r="L1494" i="1"/>
  <c r="N1494" i="1" a="1"/>
  <c r="N1494" i="1" s="1"/>
  <c r="O1487" i="1" a="1"/>
  <c r="O1487" i="1"/>
  <c r="J1487" i="1" a="1"/>
  <c r="J1487" i="1" s="1"/>
  <c r="I1492" i="1" a="1"/>
  <c r="I1492" i="1"/>
  <c r="K1487" i="1" a="1"/>
  <c r="K1487" i="1" s="1"/>
  <c r="F1494" i="1" a="1"/>
  <c r="F1494" i="1" s="1"/>
  <c r="Q1487" i="1" a="1"/>
  <c r="Q1487" i="1"/>
  <c r="L1492" i="1" a="1"/>
  <c r="L1492" i="1"/>
  <c r="L1487" i="1" a="1"/>
  <c r="L1487" i="1"/>
  <c r="K1494" i="1" a="1"/>
  <c r="K1494" i="1"/>
  <c r="J1494" i="1" a="1"/>
  <c r="J1494" i="1" s="1"/>
  <c r="H1494" i="1" a="1"/>
  <c r="H1494" i="1" s="1"/>
  <c r="P1492" i="1" a="1"/>
  <c r="P1492" i="1" s="1"/>
  <c r="K1492" i="1" a="1"/>
  <c r="K1492" i="1" s="1"/>
  <c r="I1487" i="1" a="1"/>
  <c r="I1487" i="1" s="1"/>
  <c r="G1494" i="1" a="1"/>
  <c r="G1494" i="1" s="1"/>
  <c r="M1485" i="1" a="1"/>
  <c r="M1485" i="1"/>
  <c r="Q1492" i="1" a="1"/>
  <c r="Q1492" i="1" s="1"/>
  <c r="L1485" i="1" a="1"/>
  <c r="L1485" i="1"/>
  <c r="M1492" i="1" a="1"/>
  <c r="M1492" i="1"/>
  <c r="F1487" i="1" a="1"/>
  <c r="F1487" i="1"/>
  <c r="Q1494" i="1" a="1"/>
  <c r="Q1494" i="1"/>
  <c r="J1492" i="1" a="1"/>
  <c r="J1492" i="1" s="1"/>
  <c r="O1494" i="1" a="1"/>
  <c r="O1494" i="1" s="1"/>
  <c r="G1551" i="1" a="1"/>
  <c r="G1551" i="1"/>
  <c r="F1551" i="1" a="1"/>
  <c r="F1551" i="1" s="1"/>
  <c r="O1549" i="1" a="1"/>
  <c r="O1549" i="1" s="1"/>
  <c r="N1549" i="1" a="1"/>
  <c r="N1549" i="1"/>
  <c r="M1549" i="1" a="1"/>
  <c r="M1549" i="1"/>
  <c r="L1549" i="1" a="1"/>
  <c r="L1549" i="1"/>
  <c r="J1549" i="1" a="1"/>
  <c r="J1549" i="1"/>
  <c r="Q1548" i="1" a="1"/>
  <c r="Q1548" i="1"/>
  <c r="K1548" i="1" a="1"/>
  <c r="K1548" i="1"/>
  <c r="Q1549" i="1" a="1"/>
  <c r="Q1549" i="1"/>
  <c r="F1548" i="1" a="1"/>
  <c r="F1548" i="1" s="1"/>
  <c r="P1549" i="1" a="1"/>
  <c r="P1549" i="1" s="1"/>
  <c r="I1549" i="1" a="1"/>
  <c r="I1549" i="1"/>
  <c r="H1549" i="1" a="1"/>
  <c r="H1549" i="1" s="1"/>
  <c r="J1548" i="1" a="1"/>
  <c r="J1548" i="1"/>
  <c r="G1549" i="1" a="1"/>
  <c r="G1549" i="1" s="1"/>
  <c r="F1549" i="1" a="1"/>
  <c r="F1549" i="1"/>
  <c r="P1548" i="1" a="1"/>
  <c r="P1548" i="1"/>
  <c r="O1548" i="1" a="1"/>
  <c r="O1548" i="1" s="1"/>
  <c r="L1548" i="1" a="1"/>
  <c r="L1548" i="1" s="1"/>
  <c r="G1548" i="1" a="1"/>
  <c r="G1548" i="1" s="1"/>
  <c r="I1548" i="1" a="1"/>
  <c r="I1548" i="1"/>
  <c r="H1548" i="1" a="1"/>
  <c r="H1548" i="1" s="1"/>
  <c r="O1551" i="1" a="1"/>
  <c r="O1551" i="1"/>
  <c r="N1551" i="1" a="1"/>
  <c r="N1551" i="1"/>
  <c r="M1551" i="1" a="1"/>
  <c r="M1551" i="1"/>
  <c r="K1549" i="1" a="1"/>
  <c r="K1549" i="1"/>
  <c r="N1548" i="1" a="1"/>
  <c r="N1548" i="1"/>
  <c r="L1551" i="1" a="1"/>
  <c r="L1551" i="1"/>
  <c r="K1551" i="1" a="1"/>
  <c r="K1551" i="1" s="1"/>
  <c r="M1548" i="1" a="1"/>
  <c r="M1548" i="1"/>
  <c r="J1551" i="1" a="1"/>
  <c r="J1551" i="1" s="1"/>
  <c r="I1551" i="1" a="1"/>
  <c r="I1551" i="1" s="1"/>
  <c r="H1551" i="1" a="1"/>
  <c r="H1551" i="1" s="1"/>
  <c r="H1530" i="1" a="1"/>
  <c r="H1530" i="1"/>
  <c r="O1529" i="1" a="1"/>
  <c r="O1529" i="1"/>
  <c r="K1528" i="1" a="1"/>
  <c r="K1528" i="1" s="1"/>
  <c r="I1528" i="1" a="1"/>
  <c r="I1528" i="1"/>
  <c r="N1528" i="1" a="1"/>
  <c r="N1528" i="1" s="1"/>
  <c r="Q1530" i="1" a="1"/>
  <c r="Q1530" i="1"/>
  <c r="O1528" i="1" a="1"/>
  <c r="O1528" i="1" s="1"/>
  <c r="I1530" i="1" a="1"/>
  <c r="I1530" i="1" s="1"/>
  <c r="F1530" i="1" a="1"/>
  <c r="F1530" i="1"/>
  <c r="O1527" i="1" a="1"/>
  <c r="O1527" i="1" s="1"/>
  <c r="P1527" i="1" a="1"/>
  <c r="P1527" i="1" s="1"/>
  <c r="P1529" i="1" a="1"/>
  <c r="P1529" i="1" s="1"/>
  <c r="P1530" i="1" a="1"/>
  <c r="P1530" i="1" s="1"/>
  <c r="M1530" i="1" a="1"/>
  <c r="M1530" i="1"/>
  <c r="J1528" i="1" a="1"/>
  <c r="J1528" i="1" s="1"/>
  <c r="K1530" i="1" a="1"/>
  <c r="K1530" i="1" s="1"/>
  <c r="G1527" i="1" a="1"/>
  <c r="G1527" i="1"/>
  <c r="Q1527" i="1" a="1"/>
  <c r="Q1527" i="1" s="1"/>
  <c r="L1527" i="1" a="1"/>
  <c r="L1527" i="1" s="1"/>
  <c r="K1529" i="1" a="1"/>
  <c r="K1529" i="1"/>
  <c r="K1527" i="1" a="1"/>
  <c r="K1527" i="1"/>
  <c r="J1530" i="1" a="1"/>
  <c r="J1530" i="1"/>
  <c r="H1527" i="1" a="1"/>
  <c r="H1527" i="1"/>
  <c r="Q1529" i="1" a="1"/>
  <c r="Q1529" i="1" s="1"/>
  <c r="L1529" i="1" a="1"/>
  <c r="L1529" i="1"/>
  <c r="P1528" i="1" a="1"/>
  <c r="P1528" i="1"/>
  <c r="I1529" i="1" a="1"/>
  <c r="I1529" i="1"/>
  <c r="Q1526" i="1" a="1"/>
  <c r="Q1526" i="1" s="1"/>
  <c r="F1528" i="1" a="1"/>
  <c r="F1528" i="1" s="1"/>
  <c r="G1528" i="1" a="1"/>
  <c r="G1528" i="1" s="1"/>
  <c r="G1529" i="1" a="1"/>
  <c r="G1529" i="1"/>
  <c r="H1529" i="1" a="1"/>
  <c r="H1529" i="1"/>
  <c r="L1528" i="1" a="1"/>
  <c r="L1528" i="1"/>
  <c r="N1530" i="1" a="1"/>
  <c r="N1530" i="1"/>
  <c r="N1529" i="1" a="1"/>
  <c r="N1529" i="1" s="1"/>
  <c r="M1527" i="1" a="1"/>
  <c r="M1527" i="1"/>
  <c r="M1529" i="1" a="1"/>
  <c r="M1529" i="1" s="1"/>
  <c r="I1527" i="1" a="1"/>
  <c r="I1527" i="1" s="1"/>
  <c r="F1531" i="1" a="1"/>
  <c r="F1531" i="1"/>
  <c r="G1530" i="1" a="1"/>
  <c r="G1530" i="1"/>
  <c r="J1529" i="1" a="1"/>
  <c r="J1529" i="1" s="1"/>
  <c r="Q1531" i="1" a="1"/>
  <c r="Q1531" i="1"/>
  <c r="P1531" i="1" a="1"/>
  <c r="P1531" i="1"/>
  <c r="O1530" i="1" a="1"/>
  <c r="O1530" i="1"/>
  <c r="J1527" i="1" a="1"/>
  <c r="J1527" i="1" s="1"/>
  <c r="G1531" i="1" a="1"/>
  <c r="G1531" i="1"/>
  <c r="J1531" i="1" a="1"/>
  <c r="J1531" i="1" s="1"/>
  <c r="F1527" i="1" a="1"/>
  <c r="F1527" i="1" s="1"/>
  <c r="F1529" i="1" a="1"/>
  <c r="F1529" i="1" s="1"/>
  <c r="N1527" i="1" a="1"/>
  <c r="N1527" i="1"/>
  <c r="Q1528" i="1" a="1"/>
  <c r="Q1528" i="1"/>
  <c r="M1528" i="1" a="1"/>
  <c r="M1528" i="1" s="1"/>
  <c r="O1531" i="1" a="1"/>
  <c r="O1531" i="1" s="1"/>
  <c r="N1531" i="1" a="1"/>
  <c r="N1531" i="1" s="1"/>
  <c r="P1526" i="1" a="1"/>
  <c r="P1526" i="1"/>
  <c r="M1531" i="1" a="1"/>
  <c r="M1531" i="1"/>
  <c r="L1531" i="1" a="1"/>
  <c r="L1531" i="1"/>
  <c r="K1531" i="1" a="1"/>
  <c r="K1531" i="1"/>
  <c r="I1531" i="1" a="1"/>
  <c r="I1531" i="1" s="1"/>
  <c r="H1531" i="1" a="1"/>
  <c r="H1531" i="1"/>
  <c r="L1530" i="1" a="1"/>
  <c r="L1530" i="1"/>
  <c r="H1528" i="1" a="1"/>
  <c r="H1528" i="1"/>
  <c r="I1525" i="1" a="1"/>
  <c r="I1525" i="1" s="1"/>
  <c r="M1526" i="1" a="1"/>
  <c r="M1526" i="1"/>
  <c r="N1525" i="1" a="1"/>
  <c r="N1525" i="1" s="1"/>
  <c r="P1523" i="1" a="1"/>
  <c r="P1523" i="1" s="1"/>
  <c r="N1522" i="1" a="1"/>
  <c r="N1522" i="1"/>
  <c r="I1522" i="1" a="1"/>
  <c r="I1522" i="1"/>
  <c r="K1522" i="1" a="1"/>
  <c r="K1522" i="1"/>
  <c r="H1522" i="1" a="1"/>
  <c r="H1522" i="1"/>
  <c r="O1526" i="1" a="1"/>
  <c r="O1526" i="1" s="1"/>
  <c r="N1526" i="1" a="1"/>
  <c r="N1526" i="1"/>
  <c r="L1526" i="1" a="1"/>
  <c r="L1526" i="1" s="1"/>
  <c r="J1523" i="1" a="1"/>
  <c r="J1523" i="1" s="1"/>
  <c r="H1525" i="1" a="1"/>
  <c r="H1525" i="1"/>
  <c r="O1521" i="1" a="1"/>
  <c r="O1521" i="1" s="1"/>
  <c r="K1525" i="1" a="1"/>
  <c r="K1525" i="1" s="1"/>
  <c r="J1525" i="1" a="1"/>
  <c r="J1525" i="1" s="1"/>
  <c r="Q1524" i="1" a="1"/>
  <c r="Q1524" i="1" s="1"/>
  <c r="N1524" i="1" a="1"/>
  <c r="N1524" i="1" s="1"/>
  <c r="Q1522" i="1" a="1"/>
  <c r="Q1522" i="1" s="1"/>
  <c r="M1524" i="1" a="1"/>
  <c r="M1524" i="1" s="1"/>
  <c r="H1524" i="1" a="1"/>
  <c r="H1524" i="1" s="1"/>
  <c r="M1522" i="1" a="1"/>
  <c r="M1522" i="1" s="1"/>
  <c r="F1522" i="1" a="1"/>
  <c r="F1522" i="1"/>
  <c r="Q1521" i="1" a="1"/>
  <c r="Q1521" i="1" s="1"/>
  <c r="I1524" i="1" a="1"/>
  <c r="I1524" i="1"/>
  <c r="F1523" i="1" a="1"/>
  <c r="F1523" i="1" s="1"/>
  <c r="P1521" i="1" a="1"/>
  <c r="P1521" i="1"/>
  <c r="O1522" i="1" a="1"/>
  <c r="O1522" i="1" s="1"/>
  <c r="I1526" i="1" a="1"/>
  <c r="I1526" i="1"/>
  <c r="K1526" i="1" a="1"/>
  <c r="K1526" i="1"/>
  <c r="J1526" i="1" a="1"/>
  <c r="J1526" i="1" s="1"/>
  <c r="H1526" i="1" a="1"/>
  <c r="H1526" i="1" s="1"/>
  <c r="G1526" i="1" a="1"/>
  <c r="G1526" i="1"/>
  <c r="N1523" i="1" a="1"/>
  <c r="N1523" i="1"/>
  <c r="P1522" i="1" a="1"/>
  <c r="P1522" i="1"/>
  <c r="H1523" i="1" a="1"/>
  <c r="H1523" i="1"/>
  <c r="J1522" i="1" a="1"/>
  <c r="J1522" i="1"/>
  <c r="O1525" i="1" a="1"/>
  <c r="O1525" i="1" s="1"/>
  <c r="M1525" i="1" a="1"/>
  <c r="M1525" i="1" s="1"/>
  <c r="J1524" i="1" a="1"/>
  <c r="J1524" i="1"/>
  <c r="F1524" i="1" a="1"/>
  <c r="F1524" i="1" s="1"/>
  <c r="L1521" i="1" a="1"/>
  <c r="L1521" i="1"/>
  <c r="Q1523" i="1" a="1"/>
  <c r="Q1523" i="1" s="1"/>
  <c r="K1523" i="1" a="1"/>
  <c r="K1523" i="1" s="1"/>
  <c r="M1521" i="1" a="1"/>
  <c r="M1521" i="1" s="1"/>
  <c r="P1525" i="1" a="1"/>
  <c r="P1525" i="1" s="1"/>
  <c r="F1525" i="1" a="1"/>
  <c r="F1525" i="1" s="1"/>
  <c r="Q1525" i="1" a="1"/>
  <c r="Q1525" i="1"/>
  <c r="G1525" i="1" a="1"/>
  <c r="G1525" i="1" s="1"/>
  <c r="M1523" i="1" a="1"/>
  <c r="M1523" i="1" s="1"/>
  <c r="P1524" i="1" a="1"/>
  <c r="P1524" i="1" s="1"/>
  <c r="O1524" i="1" a="1"/>
  <c r="O1524" i="1" s="1"/>
  <c r="L1523" i="1" a="1"/>
  <c r="L1523" i="1"/>
  <c r="O1523" i="1" a="1"/>
  <c r="O1523" i="1"/>
  <c r="I1523" i="1" a="1"/>
  <c r="I1523" i="1"/>
  <c r="G1523" i="1" a="1"/>
  <c r="G1523" i="1"/>
  <c r="L1522" i="1" a="1"/>
  <c r="L1522" i="1" s="1"/>
  <c r="G1522" i="1" a="1"/>
  <c r="G1522" i="1"/>
  <c r="K1524" i="1" a="1"/>
  <c r="K1524" i="1"/>
  <c r="L1524" i="1" a="1"/>
  <c r="L1524" i="1" s="1"/>
  <c r="G1524" i="1" a="1"/>
  <c r="G1524" i="1" s="1"/>
  <c r="N1521" i="1" a="1"/>
  <c r="N1521" i="1" s="1"/>
  <c r="L1525" i="1" a="1"/>
  <c r="L1525" i="1"/>
  <c r="F1526" i="1" a="1"/>
  <c r="F1526" i="1"/>
  <c r="J1520" i="1" a="1"/>
  <c r="J1520" i="1"/>
  <c r="M1519" i="1" a="1"/>
  <c r="M1519" i="1"/>
  <c r="P1517" i="1" a="1"/>
  <c r="P1517" i="1"/>
  <c r="L1516" i="1" a="1"/>
  <c r="L1516" i="1"/>
  <c r="J1521" i="1" a="1"/>
  <c r="J1521" i="1"/>
  <c r="I1521" i="1" a="1"/>
  <c r="I1521" i="1" s="1"/>
  <c r="P1519" i="1" a="1"/>
  <c r="P1519" i="1"/>
  <c r="G1517" i="1" a="1"/>
  <c r="G1517" i="1" s="1"/>
  <c r="K1520" i="1" a="1"/>
  <c r="K1520" i="1"/>
  <c r="K1517" i="1" a="1"/>
  <c r="K1517" i="1" s="1"/>
  <c r="J1517" i="1" a="1"/>
  <c r="J1517" i="1"/>
  <c r="O1516" i="1" a="1"/>
  <c r="O1516" i="1"/>
  <c r="O1517" i="1" a="1"/>
  <c r="O1517" i="1" s="1"/>
  <c r="I1520" i="1" a="1"/>
  <c r="I1520" i="1"/>
  <c r="G1520" i="1" a="1"/>
  <c r="G1520" i="1" s="1"/>
  <c r="F1517" i="1" a="1"/>
  <c r="F1517" i="1" s="1"/>
  <c r="N1519" i="1" a="1"/>
  <c r="N1519" i="1" s="1"/>
  <c r="I1519" i="1" a="1"/>
  <c r="I1519" i="1" s="1"/>
  <c r="Q1516" i="1" a="1"/>
  <c r="Q1516" i="1"/>
  <c r="H1519" i="1" a="1"/>
  <c r="H1519" i="1" s="1"/>
  <c r="P1516" i="1" a="1"/>
  <c r="P1516" i="1"/>
  <c r="H1516" i="1" a="1"/>
  <c r="H1516" i="1"/>
  <c r="Q1517" i="1" a="1"/>
  <c r="Q1517" i="1"/>
  <c r="M1517" i="1" a="1"/>
  <c r="M1517" i="1" s="1"/>
  <c r="L1517" i="1" a="1"/>
  <c r="L1517" i="1" s="1"/>
  <c r="J1516" i="1" a="1"/>
  <c r="J1516" i="1" s="1"/>
  <c r="N1516" i="1" a="1"/>
  <c r="N1516" i="1" s="1"/>
  <c r="I1517" i="1" a="1"/>
  <c r="I1517" i="1" s="1"/>
  <c r="M1515" i="1" a="1"/>
  <c r="M1515" i="1"/>
  <c r="I1516" i="1" a="1"/>
  <c r="I1516" i="1"/>
  <c r="K1521" i="1" a="1"/>
  <c r="K1521" i="1"/>
  <c r="H1521" i="1" a="1"/>
  <c r="H1521" i="1"/>
  <c r="F1520" i="1" a="1"/>
  <c r="F1520" i="1"/>
  <c r="P1520" i="1" a="1"/>
  <c r="P1520" i="1"/>
  <c r="O1520" i="1" a="1"/>
  <c r="O1520" i="1" s="1"/>
  <c r="O1515" i="1" a="1"/>
  <c r="O1515" i="1"/>
  <c r="F1516" i="1" a="1"/>
  <c r="F1516" i="1" s="1"/>
  <c r="N1520" i="1" a="1"/>
  <c r="N1520" i="1" s="1"/>
  <c r="O1519" i="1" a="1"/>
  <c r="O1519" i="1" s="1"/>
  <c r="K1519" i="1" a="1"/>
  <c r="K1519" i="1"/>
  <c r="N1517" i="1" a="1"/>
  <c r="N1517" i="1"/>
  <c r="M1516" i="1" a="1"/>
  <c r="M1516" i="1"/>
  <c r="G1516" i="1" a="1"/>
  <c r="G1516" i="1" s="1"/>
  <c r="G1521" i="1" a="1"/>
  <c r="G1521" i="1"/>
  <c r="L1520" i="1" a="1"/>
  <c r="L1520" i="1" s="1"/>
  <c r="K1516" i="1" a="1"/>
  <c r="K1516" i="1" s="1"/>
  <c r="P1515" i="1" a="1"/>
  <c r="P1515" i="1" s="1"/>
  <c r="N1515" i="1" a="1"/>
  <c r="N1515" i="1" s="1"/>
  <c r="F1519" i="1" a="1"/>
  <c r="F1519" i="1"/>
  <c r="F1521" i="1" a="1"/>
  <c r="F1521" i="1"/>
  <c r="Q1520" i="1" a="1"/>
  <c r="Q1520" i="1" s="1"/>
  <c r="L1519" i="1" a="1"/>
  <c r="L1519" i="1" s="1"/>
  <c r="Q1515" i="1" a="1"/>
  <c r="Q1515" i="1"/>
  <c r="H1520" i="1" a="1"/>
  <c r="H1520" i="1"/>
  <c r="G1519" i="1" a="1"/>
  <c r="G1519" i="1" s="1"/>
  <c r="H1517" i="1" a="1"/>
  <c r="H1517" i="1" s="1"/>
  <c r="J1519" i="1" a="1"/>
  <c r="J1519" i="1" s="1"/>
  <c r="Q1519" i="1" a="1"/>
  <c r="Q1519" i="1" s="1"/>
  <c r="M1520" i="1" a="1"/>
  <c r="M1520" i="1"/>
  <c r="G1621" i="1" a="1"/>
  <c r="G1621" i="1"/>
  <c r="Q1619" i="1" a="1"/>
  <c r="Q1619" i="1"/>
  <c r="H1621" i="1" a="1"/>
  <c r="H1621" i="1"/>
  <c r="F1621" i="1" a="1"/>
  <c r="F1621" i="1"/>
  <c r="L1619" i="1" a="1"/>
  <c r="L1619" i="1" s="1"/>
  <c r="K1619" i="1" a="1"/>
  <c r="K1619" i="1"/>
  <c r="I1619" i="1" a="1"/>
  <c r="I1619" i="1" s="1"/>
  <c r="P1619" i="1" a="1"/>
  <c r="P1619" i="1"/>
  <c r="O1619" i="1" a="1"/>
  <c r="O1619" i="1" s="1"/>
  <c r="J1619" i="1" a="1"/>
  <c r="J1619" i="1"/>
  <c r="N1619" i="1" a="1"/>
  <c r="N1619" i="1" s="1"/>
  <c r="M1619" i="1" a="1"/>
  <c r="M1619" i="1" s="1"/>
  <c r="G1619" i="1" a="1"/>
  <c r="G1619" i="1" s="1"/>
  <c r="H1619" i="1" a="1"/>
  <c r="H1619" i="1" s="1"/>
  <c r="F1619" i="1" a="1"/>
  <c r="F1619" i="1"/>
  <c r="P1612" i="1" a="1"/>
  <c r="P1612" i="1"/>
  <c r="N1612" i="1" a="1"/>
  <c r="N1612" i="1"/>
  <c r="O1612" i="1" a="1"/>
  <c r="O1612" i="1"/>
  <c r="F1613" i="1" a="1"/>
  <c r="F1613" i="1"/>
  <c r="G1613" i="1" a="1"/>
  <c r="G1613" i="1"/>
  <c r="H1613" i="1" a="1"/>
  <c r="H1613" i="1" s="1"/>
  <c r="M1612" i="1" a="1"/>
  <c r="M1612" i="1" s="1"/>
  <c r="N1613" i="1" a="1"/>
  <c r="N1613" i="1" s="1"/>
  <c r="O1613" i="1" a="1"/>
  <c r="O1613" i="1"/>
  <c r="N1611" i="1" a="1"/>
  <c r="N1611" i="1" s="1"/>
  <c r="Q1612" i="1" a="1"/>
  <c r="Q1612" i="1" s="1"/>
  <c r="M1613" i="1" a="1"/>
  <c r="M1613" i="1" s="1"/>
  <c r="K1613" i="1" a="1"/>
  <c r="K1613" i="1" s="1"/>
  <c r="L1613" i="1" a="1"/>
  <c r="L1613" i="1" s="1"/>
  <c r="J1613" i="1" a="1"/>
  <c r="J1613" i="1"/>
  <c r="L1612" i="1" a="1"/>
  <c r="L1612" i="1"/>
  <c r="G1612" i="1" a="1"/>
  <c r="G1612" i="1"/>
  <c r="K1612" i="1" a="1"/>
  <c r="K1612" i="1"/>
  <c r="Q1611" i="1" a="1"/>
  <c r="Q1611" i="1" s="1"/>
  <c r="P1611" i="1" a="1"/>
  <c r="P1611" i="1" s="1"/>
  <c r="Q1613" i="1" a="1"/>
  <c r="Q1613" i="1" s="1"/>
  <c r="I1612" i="1" a="1"/>
  <c r="I1612" i="1"/>
  <c r="P1613" i="1" a="1"/>
  <c r="P1613" i="1"/>
  <c r="J1612" i="1" a="1"/>
  <c r="J1612" i="1" s="1"/>
  <c r="I1613" i="1" a="1"/>
  <c r="I1613" i="1" s="1"/>
  <c r="F1612" i="1" a="1"/>
  <c r="F1612" i="1" s="1"/>
  <c r="O1611" i="1" a="1"/>
  <c r="O1611" i="1" s="1"/>
  <c r="H1612" i="1" a="1"/>
  <c r="H1612" i="1" s="1"/>
  <c r="G1611" i="1" a="1"/>
  <c r="G1611" i="1" s="1"/>
  <c r="F1604" i="1" a="1"/>
  <c r="F1604" i="1"/>
  <c r="I1605" i="1" a="1"/>
  <c r="I1605" i="1"/>
  <c r="F1605" i="1" a="1"/>
  <c r="F1605" i="1"/>
  <c r="F1611" i="1" a="1"/>
  <c r="F1611" i="1"/>
  <c r="G1605" i="1" a="1"/>
  <c r="G1605" i="1" s="1"/>
  <c r="H1605" i="1" a="1"/>
  <c r="H1605" i="1"/>
  <c r="Q1604" i="1" a="1"/>
  <c r="Q1604" i="1" s="1"/>
  <c r="G1604" i="1" a="1"/>
  <c r="G1604" i="1"/>
  <c r="I1611" i="1" a="1"/>
  <c r="I1611" i="1" s="1"/>
  <c r="N1604" i="1" a="1"/>
  <c r="N1604" i="1"/>
  <c r="N1605" i="1" a="1"/>
  <c r="N1605" i="1"/>
  <c r="K1605" i="1" a="1"/>
  <c r="K1605" i="1" s="1"/>
  <c r="O1604" i="1" a="1"/>
  <c r="O1604" i="1" s="1"/>
  <c r="Q1605" i="1" a="1"/>
  <c r="Q1605" i="1" s="1"/>
  <c r="M1611" i="1" a="1"/>
  <c r="M1611" i="1" s="1"/>
  <c r="H1604" i="1" a="1"/>
  <c r="H1604" i="1"/>
  <c r="L1611" i="1" a="1"/>
  <c r="L1611" i="1"/>
  <c r="K1611" i="1" a="1"/>
  <c r="K1611" i="1"/>
  <c r="J1605" i="1" a="1"/>
  <c r="J1605" i="1" s="1"/>
  <c r="M1604" i="1" a="1"/>
  <c r="M1604" i="1"/>
  <c r="J1611" i="1" a="1"/>
  <c r="J1611" i="1"/>
  <c r="H1611" i="1" a="1"/>
  <c r="H1611" i="1"/>
  <c r="M1605" i="1" a="1"/>
  <c r="M1605" i="1" s="1"/>
  <c r="O1605" i="1" a="1"/>
  <c r="O1605" i="1" s="1"/>
  <c r="L1605" i="1" a="1"/>
  <c r="L1605" i="1"/>
  <c r="P1605" i="1" a="1"/>
  <c r="P1605" i="1"/>
  <c r="P1604" i="1" a="1"/>
  <c r="P1604" i="1"/>
  <c r="I1604" i="1" a="1"/>
  <c r="I1604" i="1"/>
  <c r="K1604" i="1" a="1"/>
  <c r="K1604" i="1" s="1"/>
  <c r="J1604" i="1" a="1"/>
  <c r="J1604" i="1"/>
  <c r="L1604" i="1" a="1"/>
  <c r="L1604" i="1" s="1"/>
  <c r="L1596" i="1" a="1"/>
  <c r="L1596" i="1" s="1"/>
  <c r="Q1598" i="1" a="1"/>
  <c r="Q1598" i="1" s="1"/>
  <c r="L1598" i="1" a="1"/>
  <c r="L1598" i="1" s="1"/>
  <c r="I1598" i="1" a="1"/>
  <c r="I1598" i="1"/>
  <c r="F1595" i="1" a="1"/>
  <c r="F1595" i="1" s="1"/>
  <c r="M1598" i="1" a="1"/>
  <c r="M1598" i="1"/>
  <c r="Q1596" i="1" a="1"/>
  <c r="Q1596" i="1" s="1"/>
  <c r="O1598" i="1" a="1"/>
  <c r="O1598" i="1"/>
  <c r="K1595" i="1" a="1"/>
  <c r="K1595" i="1" s="1"/>
  <c r="N1595" i="1" a="1"/>
  <c r="N1595" i="1" s="1"/>
  <c r="H1595" i="1" a="1"/>
  <c r="H1595" i="1" s="1"/>
  <c r="K1596" i="1" a="1"/>
  <c r="K1596" i="1" s="1"/>
  <c r="J1598" i="1" a="1"/>
  <c r="J1598" i="1" s="1"/>
  <c r="I1595" i="1" a="1"/>
  <c r="I1595" i="1" s="1"/>
  <c r="F1598" i="1" a="1"/>
  <c r="F1598" i="1"/>
  <c r="N1596" i="1" a="1"/>
  <c r="N1596" i="1" s="1"/>
  <c r="O1596" i="1" a="1"/>
  <c r="O1596" i="1" s="1"/>
  <c r="Q1595" i="1" a="1"/>
  <c r="Q1595" i="1"/>
  <c r="H1596" i="1" a="1"/>
  <c r="H1596" i="1" s="1"/>
  <c r="M1596" i="1" a="1"/>
  <c r="M1596" i="1"/>
  <c r="J1595" i="1" a="1"/>
  <c r="J1595" i="1" s="1"/>
  <c r="P1596" i="1" a="1"/>
  <c r="P1596" i="1" s="1"/>
  <c r="N1598" i="1" a="1"/>
  <c r="N1598" i="1"/>
  <c r="H1598" i="1" a="1"/>
  <c r="H1598" i="1"/>
  <c r="M1595" i="1" a="1"/>
  <c r="M1595" i="1"/>
  <c r="G1598" i="1" a="1"/>
  <c r="G1598" i="1"/>
  <c r="I1596" i="1" a="1"/>
  <c r="I1596" i="1"/>
  <c r="G1596" i="1" a="1"/>
  <c r="G1596" i="1" s="1"/>
  <c r="L1595" i="1" a="1"/>
  <c r="L1595" i="1"/>
  <c r="O1595" i="1" a="1"/>
  <c r="O1595" i="1" s="1"/>
  <c r="G1595" i="1" a="1"/>
  <c r="G1595" i="1"/>
  <c r="P1595" i="1" a="1"/>
  <c r="P1595" i="1" s="1"/>
  <c r="J1596" i="1" a="1"/>
  <c r="J1596" i="1"/>
  <c r="F1596" i="1" a="1"/>
  <c r="F1596" i="1" s="1"/>
  <c r="P1598" i="1" a="1"/>
  <c r="P1598" i="1"/>
  <c r="K1598" i="1" a="1"/>
  <c r="K1598" i="1"/>
  <c r="J1582" i="1" a="1"/>
  <c r="J1582" i="1" s="1"/>
  <c r="K1582" i="1" a="1"/>
  <c r="K1582" i="1" s="1"/>
  <c r="N1582" i="1" a="1"/>
  <c r="N1582" i="1"/>
  <c r="M1582" i="1" a="1"/>
  <c r="M1582" i="1"/>
  <c r="G1582" i="1" a="1"/>
  <c r="G1582" i="1" s="1"/>
  <c r="F1582" i="1" a="1"/>
  <c r="F1582" i="1" s="1"/>
  <c r="Q1581" i="1" a="1"/>
  <c r="Q1581" i="1" s="1"/>
  <c r="P1581" i="1" a="1"/>
  <c r="P1581" i="1" s="1"/>
  <c r="O1582" i="1" a="1"/>
  <c r="O1582" i="1"/>
  <c r="Q1582" i="1" a="1"/>
  <c r="Q1582" i="1" s="1"/>
  <c r="H1582" i="1" a="1"/>
  <c r="H1582" i="1"/>
  <c r="P1582" i="1" a="1"/>
  <c r="P1582" i="1" s="1"/>
  <c r="I1582" i="1" a="1"/>
  <c r="I1582" i="1"/>
  <c r="L1582" i="1" a="1"/>
  <c r="L1582" i="1"/>
  <c r="O1578" i="1" a="1"/>
  <c r="O1578" i="1" s="1"/>
  <c r="M1578" i="1" a="1"/>
  <c r="M1578" i="1" s="1"/>
  <c r="O1577" i="1" a="1"/>
  <c r="O1577" i="1" s="1"/>
  <c r="N1576" i="1" a="1"/>
  <c r="N1576" i="1" s="1"/>
  <c r="H1578" i="1" a="1"/>
  <c r="H1578" i="1" s="1"/>
  <c r="J1581" i="1" a="1"/>
  <c r="J1581" i="1"/>
  <c r="L1580" i="1" a="1"/>
  <c r="L1580" i="1"/>
  <c r="L1579" i="1" a="1"/>
  <c r="L1579" i="1" s="1"/>
  <c r="L1578" i="1" a="1"/>
  <c r="L1578" i="1" s="1"/>
  <c r="M1577" i="1" a="1"/>
  <c r="M1577" i="1"/>
  <c r="O1581" i="1" a="1"/>
  <c r="O1581" i="1" s="1"/>
  <c r="N1579" i="1" a="1"/>
  <c r="N1579" i="1"/>
  <c r="O1576" i="1" a="1"/>
  <c r="O1576" i="1" s="1"/>
  <c r="M1576" i="1" a="1"/>
  <c r="M1576" i="1"/>
  <c r="Q1580" i="1" a="1"/>
  <c r="Q1580" i="1"/>
  <c r="L1576" i="1" a="1"/>
  <c r="L1576" i="1"/>
  <c r="J1580" i="1" a="1"/>
  <c r="J1580" i="1" s="1"/>
  <c r="I1580" i="1" a="1"/>
  <c r="I1580" i="1" s="1"/>
  <c r="I1577" i="1" a="1"/>
  <c r="I1577" i="1" s="1"/>
  <c r="N1580" i="1" a="1"/>
  <c r="N1580" i="1" s="1"/>
  <c r="L1581" i="1" a="1"/>
  <c r="L1581" i="1" s="1"/>
  <c r="J1578" i="1" a="1"/>
  <c r="J1578" i="1" s="1"/>
  <c r="N1581" i="1" a="1"/>
  <c r="N1581" i="1"/>
  <c r="N1577" i="1" a="1"/>
  <c r="N1577" i="1" s="1"/>
  <c r="M1581" i="1" a="1"/>
  <c r="M1581" i="1"/>
  <c r="H1581" i="1" a="1"/>
  <c r="H1581" i="1"/>
  <c r="G1581" i="1" a="1"/>
  <c r="G1581" i="1" s="1"/>
  <c r="J1579" i="1" a="1"/>
  <c r="J1579" i="1"/>
  <c r="J1577" i="1" a="1"/>
  <c r="J1577" i="1" s="1"/>
  <c r="G1580" i="1" a="1"/>
  <c r="G1580" i="1"/>
  <c r="I1579" i="1" a="1"/>
  <c r="I1579" i="1"/>
  <c r="P1580" i="1" a="1"/>
  <c r="P1580" i="1"/>
  <c r="O1580" i="1" a="1"/>
  <c r="O1580" i="1"/>
  <c r="P1576" i="1" a="1"/>
  <c r="P1576" i="1" s="1"/>
  <c r="K1580" i="1" a="1"/>
  <c r="K1580" i="1"/>
  <c r="F1580" i="1" a="1"/>
  <c r="F1580" i="1" s="1"/>
  <c r="G1577" i="1" a="1"/>
  <c r="G1577" i="1" s="1"/>
  <c r="P1579" i="1" a="1"/>
  <c r="P1579" i="1" s="1"/>
  <c r="I1578" i="1" a="1"/>
  <c r="I1578" i="1" s="1"/>
  <c r="O1579" i="1" a="1"/>
  <c r="O1579" i="1" s="1"/>
  <c r="G1578" i="1" a="1"/>
  <c r="G1578" i="1"/>
  <c r="Q1577" i="1" a="1"/>
  <c r="Q1577" i="1" s="1"/>
  <c r="M1580" i="1" a="1"/>
  <c r="M1580" i="1"/>
  <c r="G1579" i="1" a="1"/>
  <c r="G1579" i="1"/>
  <c r="K1581" i="1" a="1"/>
  <c r="K1581" i="1"/>
  <c r="L1577" i="1" a="1"/>
  <c r="L1577" i="1" s="1"/>
  <c r="N1578" i="1" a="1"/>
  <c r="N1578" i="1"/>
  <c r="I1581" i="1" a="1"/>
  <c r="I1581" i="1"/>
  <c r="K1578" i="1" a="1"/>
  <c r="K1578" i="1"/>
  <c r="F1581" i="1" a="1"/>
  <c r="F1581" i="1" s="1"/>
  <c r="F1578" i="1" a="1"/>
  <c r="F1578" i="1" s="1"/>
  <c r="H1580" i="1" a="1"/>
  <c r="H1580" i="1"/>
  <c r="Q1579" i="1" a="1"/>
  <c r="Q1579" i="1"/>
  <c r="M1579" i="1" a="1"/>
  <c r="M1579" i="1" s="1"/>
  <c r="K1577" i="1" a="1"/>
  <c r="K1577" i="1"/>
  <c r="P1577" i="1" a="1"/>
  <c r="P1577" i="1" s="1"/>
  <c r="H1577" i="1" a="1"/>
  <c r="H1577" i="1"/>
  <c r="K1579" i="1" a="1"/>
  <c r="K1579" i="1" s="1"/>
  <c r="H1579" i="1" a="1"/>
  <c r="H1579" i="1" s="1"/>
  <c r="F1579" i="1" a="1"/>
  <c r="F1579" i="1"/>
  <c r="Q1578" i="1" a="1"/>
  <c r="Q1578" i="1"/>
  <c r="F1577" i="1" a="1"/>
  <c r="F1577" i="1"/>
  <c r="Q1576" i="1" a="1"/>
  <c r="Q1576" i="1"/>
  <c r="P1578" i="1" a="1"/>
  <c r="P1578" i="1" s="1"/>
  <c r="Q1574" i="1" a="1"/>
  <c r="Q1574" i="1"/>
  <c r="J1576" i="1" a="1"/>
  <c r="J1576" i="1" s="1"/>
  <c r="I1576" i="1" a="1"/>
  <c r="I1576" i="1" s="1"/>
  <c r="Q1575" i="1" a="1"/>
  <c r="Q1575" i="1" s="1"/>
  <c r="H1575" i="1" a="1"/>
  <c r="H1575" i="1" s="1"/>
  <c r="N1574" i="1" a="1"/>
  <c r="N1574" i="1"/>
  <c r="P1574" i="1" a="1"/>
  <c r="P1574" i="1" s="1"/>
  <c r="K1574" i="1" a="1"/>
  <c r="K1574" i="1"/>
  <c r="Q1572" i="1" a="1"/>
  <c r="Q1572" i="1"/>
  <c r="F1575" i="1" a="1"/>
  <c r="F1575" i="1"/>
  <c r="F1574" i="1" a="1"/>
  <c r="F1574" i="1"/>
  <c r="H1576" i="1" a="1"/>
  <c r="H1576" i="1"/>
  <c r="J1575" i="1" a="1"/>
  <c r="J1575" i="1"/>
  <c r="G1576" i="1" a="1"/>
  <c r="G1576" i="1" s="1"/>
  <c r="F1576" i="1" a="1"/>
  <c r="F1576" i="1" s="1"/>
  <c r="N1575" i="1" a="1"/>
  <c r="N1575" i="1" s="1"/>
  <c r="G1575" i="1" a="1"/>
  <c r="G1575" i="1"/>
  <c r="I1575" i="1" a="1"/>
  <c r="I1575" i="1"/>
  <c r="H1574" i="1" a="1"/>
  <c r="H1574" i="1"/>
  <c r="P1572" i="1" a="1"/>
  <c r="P1572" i="1"/>
  <c r="P1575" i="1" a="1"/>
  <c r="P1575" i="1"/>
  <c r="L1575" i="1" a="1"/>
  <c r="L1575" i="1"/>
  <c r="K1575" i="1" a="1"/>
  <c r="K1575" i="1" s="1"/>
  <c r="J1574" i="1" a="1"/>
  <c r="J1574" i="1" s="1"/>
  <c r="O1574" i="1" a="1"/>
  <c r="O1574" i="1" s="1"/>
  <c r="O1572" i="1" a="1"/>
  <c r="O1572" i="1"/>
  <c r="O1575" i="1" a="1"/>
  <c r="O1575" i="1"/>
  <c r="M1575" i="1" a="1"/>
  <c r="M1575" i="1" s="1"/>
  <c r="M1574" i="1" a="1"/>
  <c r="M1574" i="1" s="1"/>
  <c r="L1574" i="1" a="1"/>
  <c r="L1574" i="1"/>
  <c r="G1574" i="1" a="1"/>
  <c r="G1574" i="1" s="1"/>
  <c r="I1574" i="1" a="1"/>
  <c r="I1574" i="1" s="1"/>
  <c r="K1576" i="1" a="1"/>
  <c r="K1576" i="1" s="1"/>
  <c r="I1572" i="1" a="1"/>
  <c r="I1572" i="1" s="1"/>
  <c r="G1572" i="1" a="1"/>
  <c r="G1572" i="1" s="1"/>
  <c r="H1572" i="1" a="1"/>
  <c r="H1572" i="1"/>
  <c r="N1572" i="1" a="1"/>
  <c r="N1572" i="1" s="1"/>
  <c r="K1572" i="1" a="1"/>
  <c r="K1572" i="1" s="1"/>
  <c r="M1572" i="1" a="1"/>
  <c r="M1572" i="1" s="1"/>
  <c r="L1572" i="1" a="1"/>
  <c r="L1572" i="1" s="1"/>
  <c r="J1572" i="1" a="1"/>
  <c r="J1572" i="1"/>
  <c r="K1566" i="1" a="1"/>
  <c r="K1566" i="1" s="1"/>
  <c r="J1565" i="1" a="1"/>
  <c r="J1565" i="1" s="1"/>
  <c r="M1565" i="1" a="1"/>
  <c r="M1565" i="1" s="1"/>
  <c r="O1564" i="1" a="1"/>
  <c r="O1564" i="1" s="1"/>
  <c r="Q1564" i="1" a="1"/>
  <c r="Q1564" i="1"/>
  <c r="H1566" i="1" a="1"/>
  <c r="H1566" i="1" s="1"/>
  <c r="G1564" i="1" a="1"/>
  <c r="G1564" i="1" s="1"/>
  <c r="F1566" i="1" a="1"/>
  <c r="F1566" i="1"/>
  <c r="F1565" i="1" a="1"/>
  <c r="F1565" i="1" s="1"/>
  <c r="H1565" i="1" a="1"/>
  <c r="H1565" i="1"/>
  <c r="J1564" i="1" a="1"/>
  <c r="J1564" i="1"/>
  <c r="K1564" i="1" a="1"/>
  <c r="K1564" i="1"/>
  <c r="Q1566" i="1" a="1"/>
  <c r="Q1566" i="1"/>
  <c r="O1566" i="1" a="1"/>
  <c r="O1566" i="1"/>
  <c r="G1566" i="1" a="1"/>
  <c r="G1566" i="1" s="1"/>
  <c r="N1565" i="1" a="1"/>
  <c r="N1565" i="1" s="1"/>
  <c r="L1565" i="1" a="1"/>
  <c r="L1565" i="1" s="1"/>
  <c r="F1572" i="1" a="1"/>
  <c r="F1572" i="1" s="1"/>
  <c r="N1566" i="1" a="1"/>
  <c r="N1566" i="1" s="1"/>
  <c r="J1566" i="1" a="1"/>
  <c r="J1566" i="1" s="1"/>
  <c r="H1564" i="1" a="1"/>
  <c r="H1564" i="1"/>
  <c r="Q1565" i="1" a="1"/>
  <c r="Q1565" i="1" s="1"/>
  <c r="F1564" i="1" a="1"/>
  <c r="F1564" i="1" s="1"/>
  <c r="M1564" i="1" a="1"/>
  <c r="M1564" i="1" s="1"/>
  <c r="P1565" i="1" a="1"/>
  <c r="P1565" i="1"/>
  <c r="P1566" i="1" a="1"/>
  <c r="P1566" i="1"/>
  <c r="M1566" i="1" a="1"/>
  <c r="M1566" i="1"/>
  <c r="N1564" i="1" a="1"/>
  <c r="N1564" i="1"/>
  <c r="L1564" i="1" a="1"/>
  <c r="L1564" i="1" s="1"/>
  <c r="L1566" i="1" a="1"/>
  <c r="L1566" i="1"/>
  <c r="I1566" i="1" a="1"/>
  <c r="I1566" i="1"/>
  <c r="O1565" i="1" a="1"/>
  <c r="O1565" i="1" s="1"/>
  <c r="G1565" i="1" a="1"/>
  <c r="G1565" i="1" s="1"/>
  <c r="K1565" i="1" a="1"/>
  <c r="K1565" i="1" s="1"/>
  <c r="I1564" i="1" a="1"/>
  <c r="I1564" i="1" s="1"/>
  <c r="P1564" i="1" a="1"/>
  <c r="P1564" i="1"/>
  <c r="I1565" i="1" a="1"/>
  <c r="I1565" i="1"/>
  <c r="P1558" i="1" a="1"/>
  <c r="P1558" i="1" s="1"/>
  <c r="L1557" i="1" a="1"/>
  <c r="L1557" i="1"/>
  <c r="P1551" i="1" a="1"/>
  <c r="P1551" i="1"/>
  <c r="O1558" i="1" a="1"/>
  <c r="O1558" i="1" s="1"/>
  <c r="N1558" i="1" a="1"/>
  <c r="N1558" i="1" s="1"/>
  <c r="M1558" i="1" a="1"/>
  <c r="M1558" i="1" s="1"/>
  <c r="P1557" i="1" a="1"/>
  <c r="P1557" i="1"/>
  <c r="K1557" i="1" a="1"/>
  <c r="K1557" i="1" s="1"/>
  <c r="H1557" i="1" a="1"/>
  <c r="H1557" i="1"/>
  <c r="Q1557" i="1" a="1"/>
  <c r="Q1557" i="1"/>
  <c r="F1557" i="1" a="1"/>
  <c r="F1557" i="1" s="1"/>
  <c r="L1558" i="1" a="1"/>
  <c r="L1558" i="1" s="1"/>
  <c r="H1558" i="1" a="1"/>
  <c r="H1558" i="1" s="1"/>
  <c r="J1557" i="1" a="1"/>
  <c r="J1557" i="1" s="1"/>
  <c r="G1557" i="1" a="1"/>
  <c r="G1557" i="1"/>
  <c r="I1557" i="1" a="1"/>
  <c r="I1557" i="1" s="1"/>
  <c r="Q1551" i="1" a="1"/>
  <c r="Q1551" i="1"/>
  <c r="O1557" i="1" a="1"/>
  <c r="O1557" i="1"/>
  <c r="K1558" i="1" a="1"/>
  <c r="K1558" i="1" s="1"/>
  <c r="J1558" i="1" a="1"/>
  <c r="J1558" i="1" s="1"/>
  <c r="F1558" i="1" a="1"/>
  <c r="F1558" i="1"/>
  <c r="N1557" i="1" a="1"/>
  <c r="N1557" i="1"/>
  <c r="I1558" i="1" a="1"/>
  <c r="I1558" i="1" s="1"/>
  <c r="G1558" i="1" a="1"/>
  <c r="G1558" i="1"/>
  <c r="M1557" i="1" a="1"/>
  <c r="M1557" i="1"/>
  <c r="Q1558" i="1" a="1"/>
  <c r="Q1558" i="1"/>
  <c r="L1621" i="1" a="1"/>
  <c r="L1621" i="1"/>
  <c r="J1621" i="1" a="1"/>
  <c r="J1621" i="1" s="1"/>
  <c r="P1621" i="1" a="1"/>
  <c r="P1621" i="1"/>
  <c r="O1621" i="1" a="1"/>
  <c r="O1621" i="1" s="1"/>
  <c r="I1621" i="1" a="1"/>
  <c r="I1621" i="1" s="1"/>
  <c r="N1621" i="1" a="1"/>
  <c r="N1621" i="1"/>
  <c r="M1621" i="1" a="1"/>
  <c r="M1621" i="1" s="1"/>
  <c r="K1621" i="1" a="1"/>
  <c r="K1621" i="1" s="1"/>
  <c r="G1622" i="1" a="1"/>
  <c r="G1622" i="1" s="1"/>
  <c r="F1622" i="1" a="1"/>
  <c r="F1622" i="1" s="1"/>
  <c r="Q1621" i="1" a="1"/>
  <c r="Q1621" i="1"/>
  <c r="Q1360" i="1" a="1"/>
  <c r="Q1360" i="1"/>
  <c r="O1360" i="1" a="1"/>
  <c r="O1360" i="1" s="1"/>
  <c r="F1361" i="1" a="1"/>
  <c r="F1361" i="1" s="1"/>
  <c r="N1360" i="1" a="1"/>
  <c r="N1360" i="1"/>
  <c r="H1363" i="1" a="1"/>
  <c r="H1363" i="1"/>
  <c r="G1363" i="1" a="1"/>
  <c r="G1363" i="1" s="1"/>
  <c r="F1363" i="1" a="1"/>
  <c r="F1363" i="1" s="1"/>
  <c r="O1362" i="1" a="1"/>
  <c r="O1362" i="1" s="1"/>
  <c r="Q1359" i="1" a="1"/>
  <c r="Q1359" i="1" s="1"/>
  <c r="I1362" i="1" a="1"/>
  <c r="I1362" i="1"/>
  <c r="O1361" i="1" a="1"/>
  <c r="O1361" i="1" s="1"/>
  <c r="P1359" i="1" a="1"/>
  <c r="P1359" i="1" s="1"/>
  <c r="N1362" i="1" a="1"/>
  <c r="N1362" i="1" s="1"/>
  <c r="K1360" i="1" a="1"/>
  <c r="K1360" i="1" s="1"/>
  <c r="M1362" i="1" a="1"/>
  <c r="M1362" i="1"/>
  <c r="G1362" i="1" a="1"/>
  <c r="G1362" i="1"/>
  <c r="N1363" i="1" a="1"/>
  <c r="N1363" i="1"/>
  <c r="M1363" i="1" a="1"/>
  <c r="M1363" i="1" s="1"/>
  <c r="M1360" i="1" a="1"/>
  <c r="M1360" i="1"/>
  <c r="L1363" i="1" a="1"/>
  <c r="L1363" i="1" s="1"/>
  <c r="Q1361" i="1" a="1"/>
  <c r="Q1361" i="1"/>
  <c r="K1363" i="1" a="1"/>
  <c r="K1363" i="1"/>
  <c r="J1363" i="1" a="1"/>
  <c r="J1363" i="1" s="1"/>
  <c r="K1362" i="1" a="1"/>
  <c r="K1362" i="1"/>
  <c r="I1361" i="1" a="1"/>
  <c r="I1361" i="1" s="1"/>
  <c r="H1360" i="1" a="1"/>
  <c r="H1360" i="1"/>
  <c r="J1360" i="1" a="1"/>
  <c r="J1360" i="1"/>
  <c r="M1361" i="1" a="1"/>
  <c r="M1361" i="1"/>
  <c r="Q1362" i="1" a="1"/>
  <c r="Q1362" i="1"/>
  <c r="J1362" i="1" a="1"/>
  <c r="J1362" i="1"/>
  <c r="P1361" i="1" a="1"/>
  <c r="P1361" i="1" s="1"/>
  <c r="H1361" i="1" a="1"/>
  <c r="H1361" i="1"/>
  <c r="N1361" i="1" a="1"/>
  <c r="N1361" i="1" s="1"/>
  <c r="K1361" i="1" a="1"/>
  <c r="K1361" i="1"/>
  <c r="I1360" i="1" a="1"/>
  <c r="I1360" i="1" s="1"/>
  <c r="I1363" i="1" a="1"/>
  <c r="I1363" i="1"/>
  <c r="P1362" i="1" a="1"/>
  <c r="P1362" i="1"/>
  <c r="H1362" i="1" a="1"/>
  <c r="H1362" i="1" s="1"/>
  <c r="G1360" i="1" a="1"/>
  <c r="G1360" i="1" s="1"/>
  <c r="L1362" i="1" a="1"/>
  <c r="L1362" i="1"/>
  <c r="J1361" i="1" a="1"/>
  <c r="J1361" i="1"/>
  <c r="F1362" i="1" a="1"/>
  <c r="F1362" i="1"/>
  <c r="O1359" i="1" a="1"/>
  <c r="O1359" i="1"/>
  <c r="L1361" i="1" a="1"/>
  <c r="L1361" i="1"/>
  <c r="F1360" i="1" a="1"/>
  <c r="F1360" i="1" s="1"/>
  <c r="P1360" i="1" a="1"/>
  <c r="P1360" i="1" s="1"/>
  <c r="L1360" i="1" a="1"/>
  <c r="L1360" i="1"/>
  <c r="G1361" i="1" a="1"/>
  <c r="G1361" i="1"/>
  <c r="H1358" i="1" a="1"/>
  <c r="H1358" i="1"/>
  <c r="P1357" i="1" a="1"/>
  <c r="P1357" i="1"/>
  <c r="G1358" i="1" a="1"/>
  <c r="G1358" i="1" s="1"/>
  <c r="F1358" i="1" a="1"/>
  <c r="F1358" i="1" s="1"/>
  <c r="M1357" i="1" a="1"/>
  <c r="M1357" i="1" s="1"/>
  <c r="L1357" i="1" a="1"/>
  <c r="L1357" i="1"/>
  <c r="Q1356" i="1" a="1"/>
  <c r="Q1356" i="1" s="1"/>
  <c r="K1359" i="1" a="1"/>
  <c r="K1359" i="1" s="1"/>
  <c r="I1359" i="1" a="1"/>
  <c r="I1359" i="1" s="1"/>
  <c r="N1357" i="1" a="1"/>
  <c r="N1357" i="1" s="1"/>
  <c r="N1359" i="1" a="1"/>
  <c r="N1359" i="1"/>
  <c r="M1359" i="1" a="1"/>
  <c r="M1359" i="1" s="1"/>
  <c r="L1359" i="1" a="1"/>
  <c r="L1359" i="1" s="1"/>
  <c r="L1358" i="1" a="1"/>
  <c r="L1358" i="1" s="1"/>
  <c r="K1357" i="1" a="1"/>
  <c r="K1357" i="1" s="1"/>
  <c r="F1359" i="1" a="1"/>
  <c r="F1359" i="1" s="1"/>
  <c r="F1357" i="1" a="1"/>
  <c r="F1357" i="1" s="1"/>
  <c r="J1359" i="1" a="1"/>
  <c r="J1359" i="1" s="1"/>
  <c r="H1359" i="1" a="1"/>
  <c r="H1359" i="1" s="1"/>
  <c r="G1359" i="1" a="1"/>
  <c r="G1359" i="1" s="1"/>
  <c r="P1358" i="1" a="1"/>
  <c r="P1358" i="1"/>
  <c r="O1358" i="1" a="1"/>
  <c r="O1358" i="1" s="1"/>
  <c r="O1357" i="1" a="1"/>
  <c r="O1357" i="1" s="1"/>
  <c r="N1358" i="1" a="1"/>
  <c r="N1358" i="1" s="1"/>
  <c r="K1358" i="1" a="1"/>
  <c r="K1358" i="1" s="1"/>
  <c r="Q1358" i="1" a="1"/>
  <c r="Q1358" i="1"/>
  <c r="J1358" i="1" a="1"/>
  <c r="J1358" i="1"/>
  <c r="I1358" i="1" a="1"/>
  <c r="I1358" i="1"/>
  <c r="Q1357" i="1" a="1"/>
  <c r="Q1357" i="1" s="1"/>
  <c r="I1357" i="1" a="1"/>
  <c r="I1357" i="1" s="1"/>
  <c r="G1357" i="1" a="1"/>
  <c r="G1357" i="1"/>
  <c r="H1357" i="1" a="1"/>
  <c r="H1357" i="1"/>
  <c r="M1358" i="1" a="1"/>
  <c r="M1358" i="1" s="1"/>
  <c r="J1357" i="1" a="1"/>
  <c r="J1357" i="1" s="1"/>
  <c r="P1356" i="1" a="1"/>
  <c r="P1356" i="1" s="1"/>
  <c r="O1356" i="1" a="1"/>
  <c r="O1356" i="1"/>
  <c r="N1356" i="1" a="1"/>
  <c r="N1356" i="1" s="1"/>
  <c r="N1355" i="1" a="1"/>
  <c r="N1355" i="1"/>
  <c r="P1355" i="1" a="1"/>
  <c r="P1355" i="1"/>
  <c r="O1355" i="1" a="1"/>
  <c r="O1355" i="1"/>
  <c r="K1356" i="1" a="1"/>
  <c r="K1356" i="1"/>
  <c r="M1356" i="1" a="1"/>
  <c r="M1356" i="1" s="1"/>
  <c r="L1356" i="1" a="1"/>
  <c r="L1356" i="1"/>
  <c r="H1356" i="1" a="1"/>
  <c r="H1356" i="1"/>
  <c r="I1356" i="1" a="1"/>
  <c r="I1356" i="1" s="1"/>
  <c r="F1356" i="1" a="1"/>
  <c r="F1356" i="1" s="1"/>
  <c r="G1356" i="1" a="1"/>
  <c r="G1356" i="1" s="1"/>
  <c r="J1356" i="1" a="1"/>
  <c r="J1356" i="1" s="1"/>
  <c r="Q1355" i="1" a="1"/>
  <c r="Q1355" i="1" s="1"/>
  <c r="K1352" i="1" a="1"/>
  <c r="K1352" i="1" s="1"/>
  <c r="P1350" i="1" a="1"/>
  <c r="P1350" i="1"/>
  <c r="H1355" i="1" a="1"/>
  <c r="H1355" i="1"/>
  <c r="F1355" i="1" a="1"/>
  <c r="F1355" i="1"/>
  <c r="Q1350" i="1" a="1"/>
  <c r="Q1350" i="1"/>
  <c r="Q1352" i="1" a="1"/>
  <c r="Q1352" i="1"/>
  <c r="Q1354" i="1" a="1"/>
  <c r="Q1354" i="1"/>
  <c r="P1354" i="1" a="1"/>
  <c r="P1354" i="1" s="1"/>
  <c r="J1353" i="1" a="1"/>
  <c r="J1353" i="1" s="1"/>
  <c r="H1353" i="1" a="1"/>
  <c r="H1353" i="1"/>
  <c r="G1353" i="1" a="1"/>
  <c r="G1353" i="1"/>
  <c r="I1352" i="1" a="1"/>
  <c r="I1352" i="1" s="1"/>
  <c r="I1353" i="1" a="1"/>
  <c r="I1353" i="1"/>
  <c r="L1350" i="1" a="1"/>
  <c r="L1350" i="1"/>
  <c r="H1350" i="1" a="1"/>
  <c r="H1350" i="1" s="1"/>
  <c r="G1354" i="1" a="1"/>
  <c r="G1354" i="1"/>
  <c r="O1352" i="1" a="1"/>
  <c r="O1352" i="1" s="1"/>
  <c r="M1353" i="1" a="1"/>
  <c r="M1353" i="1" s="1"/>
  <c r="F1354" i="1" a="1"/>
  <c r="F1354" i="1" s="1"/>
  <c r="K1353" i="1" a="1"/>
  <c r="K1353" i="1" s="1"/>
  <c r="K1350" i="1" a="1"/>
  <c r="K1350" i="1"/>
  <c r="J1350" i="1" a="1"/>
  <c r="J1350" i="1"/>
  <c r="L1354" i="1" a="1"/>
  <c r="L1354" i="1" s="1"/>
  <c r="L1353" i="1" a="1"/>
  <c r="L1353" i="1"/>
  <c r="Q1349" i="1" a="1"/>
  <c r="Q1349" i="1" s="1"/>
  <c r="M1354" i="1" a="1"/>
  <c r="M1354" i="1" s="1"/>
  <c r="N1350" i="1" a="1"/>
  <c r="N1350" i="1" s="1"/>
  <c r="H1354" i="1" a="1"/>
  <c r="H1354" i="1" s="1"/>
  <c r="O1353" i="1" a="1"/>
  <c r="O1353" i="1" s="1"/>
  <c r="N1352" i="1" a="1"/>
  <c r="N1352" i="1" s="1"/>
  <c r="G1352" i="1" a="1"/>
  <c r="G1352" i="1"/>
  <c r="G1350" i="1" a="1"/>
  <c r="G1350" i="1" s="1"/>
  <c r="F1350" i="1" a="1"/>
  <c r="F1350" i="1"/>
  <c r="M1352" i="1" a="1"/>
  <c r="M1352" i="1"/>
  <c r="O1350" i="1" a="1"/>
  <c r="O1350" i="1"/>
  <c r="H1352" i="1" a="1"/>
  <c r="H1352" i="1"/>
  <c r="I1350" i="1" a="1"/>
  <c r="I1350" i="1"/>
  <c r="M1355" i="1" a="1"/>
  <c r="M1355" i="1"/>
  <c r="F1353" i="1" a="1"/>
  <c r="F1353" i="1" s="1"/>
  <c r="L1355" i="1" a="1"/>
  <c r="L1355" i="1" s="1"/>
  <c r="G1355" i="1" a="1"/>
  <c r="G1355" i="1"/>
  <c r="K1355" i="1" a="1"/>
  <c r="K1355" i="1"/>
  <c r="J1355" i="1" a="1"/>
  <c r="J1355" i="1"/>
  <c r="N1353" i="1" a="1"/>
  <c r="N1353" i="1" s="1"/>
  <c r="J1352" i="1" a="1"/>
  <c r="J1352" i="1"/>
  <c r="M1350" i="1" a="1"/>
  <c r="M1350" i="1" s="1"/>
  <c r="I1355" i="1" a="1"/>
  <c r="I1355" i="1" s="1"/>
  <c r="F1352" i="1" a="1"/>
  <c r="F1352" i="1" s="1"/>
  <c r="O1349" i="1" a="1"/>
  <c r="O1349" i="1" s="1"/>
  <c r="P1352" i="1" a="1"/>
  <c r="P1352" i="1"/>
  <c r="L1352" i="1" a="1"/>
  <c r="L1352" i="1"/>
  <c r="O1354" i="1" a="1"/>
  <c r="O1354" i="1" s="1"/>
  <c r="N1354" i="1" a="1"/>
  <c r="N1354" i="1" s="1"/>
  <c r="K1354" i="1" a="1"/>
  <c r="K1354" i="1"/>
  <c r="J1354" i="1" a="1"/>
  <c r="J1354" i="1"/>
  <c r="I1354" i="1" a="1"/>
  <c r="I1354" i="1" s="1"/>
  <c r="Q1353" i="1" a="1"/>
  <c r="Q1353" i="1" s="1"/>
  <c r="P1353" i="1" a="1"/>
  <c r="P1353" i="1" s="1"/>
  <c r="P1349" i="1" a="1"/>
  <c r="P1349" i="1" s="1"/>
  <c r="L1348" i="1" a="1"/>
  <c r="L1348" i="1"/>
  <c r="F1347" i="1" a="1"/>
  <c r="F1347" i="1" s="1"/>
  <c r="L1346" i="1" a="1"/>
  <c r="L1346" i="1"/>
  <c r="M1348" i="1" a="1"/>
  <c r="M1348" i="1"/>
  <c r="K1348" i="1" a="1"/>
  <c r="K1348" i="1"/>
  <c r="G1348" i="1" a="1"/>
  <c r="G1348" i="1" s="1"/>
  <c r="J1346" i="1" a="1"/>
  <c r="J1346" i="1" s="1"/>
  <c r="Q1340" i="1" a="1"/>
  <c r="Q1340" i="1" s="1"/>
  <c r="F1348" i="1" a="1"/>
  <c r="F1348" i="1"/>
  <c r="M1347" i="1" a="1"/>
  <c r="M1347" i="1" s="1"/>
  <c r="J1347" i="1" a="1"/>
  <c r="J1347" i="1"/>
  <c r="H1347" i="1" a="1"/>
  <c r="H1347" i="1"/>
  <c r="J1349" i="1" a="1"/>
  <c r="J1349" i="1"/>
  <c r="P1348" i="1" a="1"/>
  <c r="P1348" i="1" s="1"/>
  <c r="H1349" i="1" a="1"/>
  <c r="H1349" i="1"/>
  <c r="G1349" i="1" a="1"/>
  <c r="G1349" i="1" s="1"/>
  <c r="N1346" i="1" a="1"/>
  <c r="N1346" i="1" s="1"/>
  <c r="H1346" i="1" a="1"/>
  <c r="H1346" i="1" s="1"/>
  <c r="Q1348" i="1" a="1"/>
  <c r="Q1348" i="1" s="1"/>
  <c r="N1348" i="1" a="1"/>
  <c r="N1348" i="1"/>
  <c r="Q1347" i="1" a="1"/>
  <c r="Q1347" i="1"/>
  <c r="N1347" i="1" a="1"/>
  <c r="N1347" i="1" s="1"/>
  <c r="O1346" i="1" a="1"/>
  <c r="O1346" i="1" s="1"/>
  <c r="I1347" i="1" a="1"/>
  <c r="I1347" i="1" s="1"/>
  <c r="F1346" i="1" a="1"/>
  <c r="F1346" i="1" s="1"/>
  <c r="M1346" i="1" a="1"/>
  <c r="M1346" i="1" s="1"/>
  <c r="K1346" i="1" a="1"/>
  <c r="K1346" i="1" s="1"/>
  <c r="N1349" i="1" a="1"/>
  <c r="N1349" i="1" s="1"/>
  <c r="J1348" i="1" a="1"/>
  <c r="J1348" i="1" s="1"/>
  <c r="I1348" i="1" a="1"/>
  <c r="I1348" i="1"/>
  <c r="G1347" i="1" a="1"/>
  <c r="G1347" i="1"/>
  <c r="H1348" i="1" a="1"/>
  <c r="H1348" i="1"/>
  <c r="P1347" i="1" a="1"/>
  <c r="P1347" i="1"/>
  <c r="G1346" i="1" a="1"/>
  <c r="G1346" i="1"/>
  <c r="O1347" i="1" a="1"/>
  <c r="O1347" i="1" s="1"/>
  <c r="P1346" i="1" a="1"/>
  <c r="P1346" i="1" s="1"/>
  <c r="M1349" i="1" a="1"/>
  <c r="M1349" i="1"/>
  <c r="F1349" i="1" a="1"/>
  <c r="F1349" i="1"/>
  <c r="I1346" i="1" a="1"/>
  <c r="I1346" i="1" s="1"/>
  <c r="L1347" i="1" a="1"/>
  <c r="L1347" i="1"/>
  <c r="Q1346" i="1" a="1"/>
  <c r="Q1346" i="1"/>
  <c r="K1347" i="1" a="1"/>
  <c r="K1347" i="1"/>
  <c r="L1349" i="1" a="1"/>
  <c r="L1349" i="1" s="1"/>
  <c r="K1349" i="1" a="1"/>
  <c r="K1349" i="1"/>
  <c r="I1349" i="1" a="1"/>
  <c r="I1349" i="1"/>
  <c r="O1348" i="1" a="1"/>
  <c r="O1348" i="1" s="1"/>
  <c r="O1338" i="1" a="1"/>
  <c r="O1338" i="1" s="1"/>
  <c r="N1338" i="1" a="1"/>
  <c r="N1338" i="1" s="1"/>
  <c r="I1339" i="1" a="1"/>
  <c r="I1339" i="1"/>
  <c r="Q1338" i="1" a="1"/>
  <c r="Q1338" i="1" s="1"/>
  <c r="P1338" i="1" a="1"/>
  <c r="P1338" i="1" s="1"/>
  <c r="P1340" i="1" a="1"/>
  <c r="P1340" i="1" s="1"/>
  <c r="O1340" i="1" a="1"/>
  <c r="O1340" i="1"/>
  <c r="I1340" i="1" a="1"/>
  <c r="I1340" i="1"/>
  <c r="N1340" i="1" a="1"/>
  <c r="N1340" i="1" s="1"/>
  <c r="M1340" i="1" a="1"/>
  <c r="M1340" i="1" s="1"/>
  <c r="L1340" i="1" a="1"/>
  <c r="L1340" i="1" s="1"/>
  <c r="K1340" i="1" a="1"/>
  <c r="K1340" i="1" s="1"/>
  <c r="P1339" i="1" a="1"/>
  <c r="P1339" i="1"/>
  <c r="J1340" i="1" a="1"/>
  <c r="J1340" i="1" s="1"/>
  <c r="H1340" i="1" a="1"/>
  <c r="H1340" i="1"/>
  <c r="G1340" i="1" a="1"/>
  <c r="G1340" i="1"/>
  <c r="F1340" i="1" a="1"/>
  <c r="F1340" i="1"/>
  <c r="Q1339" i="1" a="1"/>
  <c r="Q1339" i="1" s="1"/>
  <c r="G1339" i="1" a="1"/>
  <c r="G1339" i="1"/>
  <c r="O1339" i="1" a="1"/>
  <c r="O1339" i="1" s="1"/>
  <c r="L1339" i="1" a="1"/>
  <c r="L1339" i="1"/>
  <c r="F1339" i="1" a="1"/>
  <c r="F1339" i="1"/>
  <c r="N1339" i="1" a="1"/>
  <c r="N1339" i="1"/>
  <c r="M1339" i="1" a="1"/>
  <c r="M1339" i="1"/>
  <c r="K1339" i="1" a="1"/>
  <c r="K1339" i="1"/>
  <c r="J1339" i="1" a="1"/>
  <c r="J1339" i="1" s="1"/>
  <c r="H1339" i="1" a="1"/>
  <c r="H1339" i="1"/>
  <c r="O1335" i="1" a="1"/>
  <c r="O1335" i="1" s="1"/>
  <c r="M1335" i="1" a="1"/>
  <c r="M1335" i="1" s="1"/>
  <c r="O1337" i="1" a="1"/>
  <c r="O1337" i="1" s="1"/>
  <c r="J1334" i="1" a="1"/>
  <c r="J1334" i="1" s="1"/>
  <c r="G1335" i="1" a="1"/>
  <c r="G1335" i="1" s="1"/>
  <c r="N1337" i="1" a="1"/>
  <c r="N1337" i="1"/>
  <c r="I1337" i="1" a="1"/>
  <c r="I1337" i="1"/>
  <c r="L1335" i="1" a="1"/>
  <c r="L1335" i="1"/>
  <c r="F1335" i="1" a="1"/>
  <c r="F1335" i="1"/>
  <c r="Q1334" i="1" a="1"/>
  <c r="Q1334" i="1"/>
  <c r="K1334" i="1" a="1"/>
  <c r="K1334" i="1" s="1"/>
  <c r="H1334" i="1" a="1"/>
  <c r="H1334" i="1" s="1"/>
  <c r="O1333" i="1" a="1"/>
  <c r="O1333" i="1" s="1"/>
  <c r="Q1333" i="1" a="1"/>
  <c r="Q1333" i="1" s="1"/>
  <c r="Q1335" i="1" a="1"/>
  <c r="Q1335" i="1"/>
  <c r="O1336" i="1" a="1"/>
  <c r="O1336" i="1"/>
  <c r="P1334" i="1" a="1"/>
  <c r="P1334" i="1"/>
  <c r="L1336" i="1" a="1"/>
  <c r="L1336" i="1"/>
  <c r="K1335" i="1" a="1"/>
  <c r="K1335" i="1" s="1"/>
  <c r="L1334" i="1" a="1"/>
  <c r="L1334" i="1"/>
  <c r="K1333" i="1" a="1"/>
  <c r="K1333" i="1"/>
  <c r="J1333" i="1" a="1"/>
  <c r="J1333" i="1" s="1"/>
  <c r="L1337" i="1" a="1"/>
  <c r="L1337" i="1"/>
  <c r="H1337" i="1" a="1"/>
  <c r="H1337" i="1" s="1"/>
  <c r="P1333" i="1" a="1"/>
  <c r="P1333" i="1"/>
  <c r="P1335" i="1" a="1"/>
  <c r="P1335" i="1"/>
  <c r="P1336" i="1" a="1"/>
  <c r="P1336" i="1"/>
  <c r="H1335" i="1" a="1"/>
  <c r="H1335" i="1" s="1"/>
  <c r="F1334" i="1" a="1"/>
  <c r="F1334" i="1"/>
  <c r="J1335" i="1" a="1"/>
  <c r="J1335" i="1"/>
  <c r="K1336" i="1" a="1"/>
  <c r="K1336" i="1" s="1"/>
  <c r="H1338" i="1" a="1"/>
  <c r="H1338" i="1" s="1"/>
  <c r="M1337" i="1" a="1"/>
  <c r="M1337" i="1" s="1"/>
  <c r="K1337" i="1" a="1"/>
  <c r="K1337" i="1"/>
  <c r="J1337" i="1" a="1"/>
  <c r="J1337" i="1"/>
  <c r="F1337" i="1" a="1"/>
  <c r="F1337" i="1"/>
  <c r="M1334" i="1" a="1"/>
  <c r="M1334" i="1"/>
  <c r="G1337" i="1" a="1"/>
  <c r="G1337" i="1" s="1"/>
  <c r="I1336" i="1" a="1"/>
  <c r="I1336" i="1"/>
  <c r="O1334" i="1" a="1"/>
  <c r="O1334" i="1" s="1"/>
  <c r="M1333" i="1" a="1"/>
  <c r="M1333" i="1" s="1"/>
  <c r="J1336" i="1" a="1"/>
  <c r="J1336" i="1" s="1"/>
  <c r="F1336" i="1" a="1"/>
  <c r="F1336" i="1" s="1"/>
  <c r="N1335" i="1" a="1"/>
  <c r="N1335" i="1"/>
  <c r="L1333" i="1" a="1"/>
  <c r="L1333" i="1"/>
  <c r="I1334" i="1" a="1"/>
  <c r="I1334" i="1"/>
  <c r="I1335" i="1" a="1"/>
  <c r="I1335" i="1" s="1"/>
  <c r="L1338" i="1" a="1"/>
  <c r="L1338" i="1" s="1"/>
  <c r="Q1336" i="1" a="1"/>
  <c r="Q1336" i="1"/>
  <c r="M1338" i="1" a="1"/>
  <c r="M1338" i="1"/>
  <c r="H1336" i="1" a="1"/>
  <c r="H1336" i="1" s="1"/>
  <c r="I1338" i="1" a="1"/>
  <c r="I1338" i="1"/>
  <c r="K1338" i="1" a="1"/>
  <c r="K1338" i="1"/>
  <c r="M1336" i="1" a="1"/>
  <c r="M1336" i="1"/>
  <c r="N1334" i="1" a="1"/>
  <c r="N1334" i="1"/>
  <c r="G1334" i="1" a="1"/>
  <c r="G1334" i="1"/>
  <c r="G1336" i="1" a="1"/>
  <c r="G1336" i="1" s="1"/>
  <c r="N1333" i="1" a="1"/>
  <c r="N1333" i="1"/>
  <c r="J1338" i="1" a="1"/>
  <c r="J1338" i="1"/>
  <c r="G1338" i="1" a="1"/>
  <c r="G1338" i="1" s="1"/>
  <c r="F1338" i="1" a="1"/>
  <c r="F1338" i="1" s="1"/>
  <c r="Q1337" i="1" a="1"/>
  <c r="Q1337" i="1"/>
  <c r="P1337" i="1" a="1"/>
  <c r="P1337" i="1"/>
  <c r="N1336" i="1" a="1"/>
  <c r="N1336" i="1"/>
  <c r="K1485" i="1" a="1"/>
  <c r="K1485" i="1"/>
  <c r="J1485" i="1" a="1"/>
  <c r="J1485" i="1" s="1"/>
  <c r="I1485" i="1" a="1"/>
  <c r="I1485" i="1" s="1"/>
  <c r="H1485" i="1" a="1"/>
  <c r="H1485" i="1" s="1"/>
  <c r="G1485" i="1" a="1"/>
  <c r="G1485" i="1" s="1"/>
  <c r="F1485" i="1" a="1"/>
  <c r="F1485" i="1" s="1"/>
  <c r="J1458" i="1" a="1"/>
  <c r="J1458" i="1" s="1"/>
  <c r="F1458" i="1" a="1"/>
  <c r="F1458" i="1" s="1"/>
  <c r="Q1458" i="1" a="1"/>
  <c r="Q1458" i="1"/>
  <c r="K1458" i="1" a="1"/>
  <c r="K1458" i="1"/>
  <c r="O1458" i="1" a="1"/>
  <c r="O1458" i="1" s="1"/>
  <c r="H1458" i="1" a="1"/>
  <c r="H1458" i="1" s="1"/>
  <c r="L1458" i="1" a="1"/>
  <c r="L1458" i="1" s="1"/>
  <c r="I1458" i="1" a="1"/>
  <c r="I1458" i="1"/>
  <c r="Q1457" i="1" a="1"/>
  <c r="Q1457" i="1"/>
  <c r="O1457" i="1" a="1"/>
  <c r="O1457" i="1"/>
  <c r="P1458" i="1" a="1"/>
  <c r="P1458" i="1"/>
  <c r="N1458" i="1" a="1"/>
  <c r="N1458" i="1"/>
  <c r="M1458" i="1" a="1"/>
  <c r="M1458" i="1"/>
  <c r="G1458" i="1" a="1"/>
  <c r="G1458" i="1"/>
  <c r="P1457" i="1" a="1"/>
  <c r="P1457" i="1"/>
  <c r="P1456" i="1" a="1"/>
  <c r="P1456" i="1" s="1"/>
  <c r="O1456" i="1" a="1"/>
  <c r="O1456" i="1"/>
  <c r="N1456" i="1" a="1"/>
  <c r="N1456" i="1" s="1"/>
  <c r="M1456" i="1" a="1"/>
  <c r="M1456" i="1" s="1"/>
  <c r="P1455" i="1" a="1"/>
  <c r="P1455" i="1"/>
  <c r="M1455" i="1" a="1"/>
  <c r="M1455" i="1"/>
  <c r="G1455" i="1" a="1"/>
  <c r="G1455" i="1"/>
  <c r="O1455" i="1" a="1"/>
  <c r="O1455" i="1" s="1"/>
  <c r="L1456" i="1" a="1"/>
  <c r="L1456" i="1"/>
  <c r="I1456" i="1" a="1"/>
  <c r="I1456" i="1"/>
  <c r="N1457" i="1" a="1"/>
  <c r="N1457" i="1"/>
  <c r="M1457" i="1" a="1"/>
  <c r="M1457" i="1"/>
  <c r="Q1456" i="1" a="1"/>
  <c r="Q1456" i="1" s="1"/>
  <c r="J1456" i="1" a="1"/>
  <c r="J1456" i="1" s="1"/>
  <c r="Q1455" i="1" a="1"/>
  <c r="Q1455" i="1" s="1"/>
  <c r="L1455" i="1" a="1"/>
  <c r="L1455" i="1" s="1"/>
  <c r="F1456" i="1" a="1"/>
  <c r="F1456" i="1"/>
  <c r="J1455" i="1" a="1"/>
  <c r="J1455" i="1" s="1"/>
  <c r="J1457" i="1" a="1"/>
  <c r="J1457" i="1" s="1"/>
  <c r="H1457" i="1" a="1"/>
  <c r="H1457" i="1" s="1"/>
  <c r="L1457" i="1" a="1"/>
  <c r="L1457" i="1" s="1"/>
  <c r="K1457" i="1" a="1"/>
  <c r="K1457" i="1"/>
  <c r="I1455" i="1" a="1"/>
  <c r="I1455" i="1"/>
  <c r="N1455" i="1" a="1"/>
  <c r="N1455" i="1" s="1"/>
  <c r="H1455" i="1" a="1"/>
  <c r="H1455" i="1"/>
  <c r="F1455" i="1" a="1"/>
  <c r="F1455" i="1" s="1"/>
  <c r="I1457" i="1" a="1"/>
  <c r="I1457" i="1"/>
  <c r="G1457" i="1" a="1"/>
  <c r="G1457" i="1"/>
  <c r="F1457" i="1" a="1"/>
  <c r="F1457" i="1"/>
  <c r="K1456" i="1" a="1"/>
  <c r="K1456" i="1" s="1"/>
  <c r="H1456" i="1" a="1"/>
  <c r="H1456" i="1"/>
  <c r="K1455" i="1" a="1"/>
  <c r="K1455" i="1" s="1"/>
  <c r="G1456" i="1" a="1"/>
  <c r="G1456" i="1" s="1"/>
  <c r="K1454" i="1" a="1"/>
  <c r="K1454" i="1"/>
  <c r="J1454" i="1" a="1"/>
  <c r="J1454" i="1"/>
  <c r="G1454" i="1" a="1"/>
  <c r="G1454" i="1"/>
  <c r="N1454" i="1" a="1"/>
  <c r="N1454" i="1" s="1"/>
  <c r="H1454" i="1" a="1"/>
  <c r="H1454" i="1"/>
  <c r="Q1454" i="1" a="1"/>
  <c r="Q1454" i="1" s="1"/>
  <c r="F1454" i="1" a="1"/>
  <c r="F1454" i="1"/>
  <c r="P1454" i="1" a="1"/>
  <c r="P1454" i="1" s="1"/>
  <c r="O1454" i="1" a="1"/>
  <c r="O1454" i="1" s="1"/>
  <c r="M1454" i="1" a="1"/>
  <c r="M1454" i="1" s="1"/>
  <c r="L1454" i="1" a="1"/>
  <c r="L1454" i="1" s="1"/>
  <c r="I1454" i="1" a="1"/>
  <c r="I1454" i="1" s="1"/>
  <c r="Q1453" i="1" a="1"/>
  <c r="Q1453" i="1" s="1"/>
  <c r="N1453" i="1" a="1"/>
  <c r="N1453" i="1"/>
  <c r="P1453" i="1" a="1"/>
  <c r="P1453" i="1" s="1"/>
  <c r="O1453" i="1" a="1"/>
  <c r="O1453" i="1" s="1"/>
  <c r="M1453" i="1" a="1"/>
  <c r="M1453" i="1" s="1"/>
  <c r="L1453" i="1" a="1"/>
  <c r="L1453" i="1"/>
  <c r="K1453" i="1" a="1"/>
  <c r="K1453" i="1"/>
  <c r="F1452" i="1" a="1"/>
  <c r="F1452" i="1"/>
  <c r="N1449" i="1" a="1"/>
  <c r="N1449" i="1"/>
  <c r="P1451" i="1" a="1"/>
  <c r="P1451" i="1" s="1"/>
  <c r="O1451" i="1" a="1"/>
  <c r="O1451" i="1"/>
  <c r="G1451" i="1" a="1"/>
  <c r="G1451" i="1"/>
  <c r="G1450" i="1" a="1"/>
  <c r="G1450" i="1"/>
  <c r="Q1450" i="1" a="1"/>
  <c r="Q1450" i="1" s="1"/>
  <c r="L1450" i="1" a="1"/>
  <c r="L1450" i="1" s="1"/>
  <c r="M1449" i="1" a="1"/>
  <c r="M1449" i="1"/>
  <c r="G1453" i="1" a="1"/>
  <c r="G1453" i="1"/>
  <c r="K1452" i="1" a="1"/>
  <c r="K1452" i="1"/>
  <c r="M1450" i="1" a="1"/>
  <c r="M1450" i="1"/>
  <c r="L1449" i="1" a="1"/>
  <c r="L1449" i="1"/>
  <c r="P1452" i="1" a="1"/>
  <c r="P1452" i="1" s="1"/>
  <c r="N1452" i="1" a="1"/>
  <c r="N1452" i="1"/>
  <c r="M1452" i="1" a="1"/>
  <c r="M1452" i="1"/>
  <c r="Q1449" i="1" a="1"/>
  <c r="Q1449" i="1"/>
  <c r="J1452" i="1" a="1"/>
  <c r="J1452" i="1" s="1"/>
  <c r="O1449" i="1" a="1"/>
  <c r="O1449" i="1" s="1"/>
  <c r="N1451" i="1" a="1"/>
  <c r="N1451" i="1" s="1"/>
  <c r="I1452" i="1" a="1"/>
  <c r="I1452" i="1" s="1"/>
  <c r="L1451" i="1" a="1"/>
  <c r="L1451" i="1" s="1"/>
  <c r="F1451" i="1" a="1"/>
  <c r="F1451" i="1"/>
  <c r="I1450" i="1" a="1"/>
  <c r="I1450" i="1" s="1"/>
  <c r="F1450" i="1" a="1"/>
  <c r="F1450" i="1" s="1"/>
  <c r="J1450" i="1" a="1"/>
  <c r="J1450" i="1" s="1"/>
  <c r="H1450" i="1" a="1"/>
  <c r="H1450" i="1" s="1"/>
  <c r="P1449" i="1" a="1"/>
  <c r="P1449" i="1" s="1"/>
  <c r="H1452" i="1" a="1"/>
  <c r="H1452" i="1"/>
  <c r="M1451" i="1" a="1"/>
  <c r="M1451" i="1"/>
  <c r="G1452" i="1" a="1"/>
  <c r="G1452" i="1" s="1"/>
  <c r="H1451" i="1" a="1"/>
  <c r="H1451" i="1" s="1"/>
  <c r="J1451" i="1" a="1"/>
  <c r="J1451" i="1" s="1"/>
  <c r="I1451" i="1" a="1"/>
  <c r="I1451" i="1"/>
  <c r="K1450" i="1" a="1"/>
  <c r="K1450" i="1"/>
  <c r="O1450" i="1" a="1"/>
  <c r="O1450" i="1" s="1"/>
  <c r="N1450" i="1" a="1"/>
  <c r="N1450" i="1" s="1"/>
  <c r="K1451" i="1" a="1"/>
  <c r="K1451" i="1"/>
  <c r="O1452" i="1" a="1"/>
  <c r="O1452" i="1"/>
  <c r="Q1451" i="1" a="1"/>
  <c r="Q1451" i="1"/>
  <c r="J1453" i="1" a="1"/>
  <c r="J1453" i="1"/>
  <c r="I1453" i="1" a="1"/>
  <c r="I1453" i="1"/>
  <c r="H1453" i="1" a="1"/>
  <c r="H1453" i="1" s="1"/>
  <c r="F1453" i="1" a="1"/>
  <c r="F1453" i="1"/>
  <c r="P1450" i="1" a="1"/>
  <c r="P1450" i="1"/>
  <c r="K1449" i="1" a="1"/>
  <c r="K1449" i="1" s="1"/>
  <c r="Q1452" i="1" a="1"/>
  <c r="Q1452" i="1" s="1"/>
  <c r="L1452" i="1" a="1"/>
  <c r="L1452" i="1" s="1"/>
  <c r="H1446" i="1" a="1"/>
  <c r="H1446" i="1" s="1"/>
  <c r="J1446" i="1" a="1"/>
  <c r="J1446" i="1" s="1"/>
  <c r="J1444" i="1" a="1"/>
  <c r="J1444" i="1" s="1"/>
  <c r="P1447" i="1" a="1"/>
  <c r="P1447" i="1"/>
  <c r="N1447" i="1" a="1"/>
  <c r="N1447" i="1"/>
  <c r="M1447" i="1" a="1"/>
  <c r="M1447" i="1" s="1"/>
  <c r="G1447" i="1" a="1"/>
  <c r="G1447" i="1" s="1"/>
  <c r="G1444" i="1" a="1"/>
  <c r="G1444" i="1" s="1"/>
  <c r="K1444" i="1" a="1"/>
  <c r="K1444" i="1"/>
  <c r="K1447" i="1" a="1"/>
  <c r="K1447" i="1" s="1"/>
  <c r="M1444" i="1" a="1"/>
  <c r="M1444" i="1"/>
  <c r="M1445" i="1" a="1"/>
  <c r="M1445" i="1"/>
  <c r="G1446" i="1" a="1"/>
  <c r="G1446" i="1"/>
  <c r="L1445" i="1" a="1"/>
  <c r="L1445" i="1"/>
  <c r="N1446" i="1" a="1"/>
  <c r="N1446" i="1"/>
  <c r="M1446" i="1" a="1"/>
  <c r="M1446" i="1" s="1"/>
  <c r="F1446" i="1" a="1"/>
  <c r="F1446" i="1" s="1"/>
  <c r="K1446" i="1" a="1"/>
  <c r="K1446" i="1" s="1"/>
  <c r="I1446" i="1" a="1"/>
  <c r="I1446" i="1"/>
  <c r="G1445" i="1" a="1"/>
  <c r="G1445" i="1" s="1"/>
  <c r="Q1445" i="1" a="1"/>
  <c r="Q1445" i="1"/>
  <c r="J1445" i="1" a="1"/>
  <c r="J1445" i="1"/>
  <c r="P1445" i="1" a="1"/>
  <c r="P1445" i="1"/>
  <c r="O1444" i="1" a="1"/>
  <c r="O1444" i="1"/>
  <c r="K1445" i="1" a="1"/>
  <c r="K1445" i="1"/>
  <c r="H1444" i="1" a="1"/>
  <c r="H1444" i="1"/>
  <c r="I1445" i="1" a="1"/>
  <c r="I1445" i="1" s="1"/>
  <c r="Q1444" i="1" a="1"/>
  <c r="Q1444" i="1" s="1"/>
  <c r="N1444" i="1" a="1"/>
  <c r="N1444" i="1" s="1"/>
  <c r="J1449" i="1" a="1"/>
  <c r="J1449" i="1" s="1"/>
  <c r="I1449" i="1" a="1"/>
  <c r="I1449" i="1"/>
  <c r="N1445" i="1" a="1"/>
  <c r="N1445" i="1" s="1"/>
  <c r="H1449" i="1" a="1"/>
  <c r="H1449" i="1"/>
  <c r="I1447" i="1" a="1"/>
  <c r="I1447" i="1"/>
  <c r="H1447" i="1" a="1"/>
  <c r="H1447" i="1" s="1"/>
  <c r="P1448" i="1" a="1"/>
  <c r="P1448" i="1" s="1"/>
  <c r="P1444" i="1" a="1"/>
  <c r="P1444" i="1" s="1"/>
  <c r="G1449" i="1" a="1"/>
  <c r="G1449" i="1" s="1"/>
  <c r="F1449" i="1" a="1"/>
  <c r="F1449" i="1"/>
  <c r="Q1448" i="1" a="1"/>
  <c r="Q1448" i="1"/>
  <c r="J1447" i="1" a="1"/>
  <c r="J1447" i="1"/>
  <c r="O1448" i="1" a="1"/>
  <c r="O1448" i="1"/>
  <c r="N1448" i="1" a="1"/>
  <c r="N1448" i="1"/>
  <c r="L1446" i="1" a="1"/>
  <c r="L1446" i="1" s="1"/>
  <c r="M1448" i="1" a="1"/>
  <c r="M1448" i="1" s="1"/>
  <c r="L1448" i="1" a="1"/>
  <c r="L1448" i="1" s="1"/>
  <c r="K1448" i="1" a="1"/>
  <c r="K1448" i="1" s="1"/>
  <c r="J1448" i="1" a="1"/>
  <c r="J1448" i="1"/>
  <c r="I1448" i="1" a="1"/>
  <c r="I1448" i="1"/>
  <c r="I1444" i="1" a="1"/>
  <c r="I1444" i="1"/>
  <c r="F1448" i="1" a="1"/>
  <c r="F1448" i="1"/>
  <c r="O1446" i="1" a="1"/>
  <c r="O1446" i="1"/>
  <c r="O1445" i="1" a="1"/>
  <c r="O1445" i="1" s="1"/>
  <c r="H1448" i="1" a="1"/>
  <c r="H1448" i="1" s="1"/>
  <c r="G1448" i="1" a="1"/>
  <c r="G1448" i="1"/>
  <c r="Q1447" i="1" a="1"/>
  <c r="Q1447" i="1"/>
  <c r="F1445" i="1" a="1"/>
  <c r="F1445" i="1"/>
  <c r="L1444" i="1" a="1"/>
  <c r="L1444" i="1" s="1"/>
  <c r="Q1446" i="1" a="1"/>
  <c r="Q1446" i="1"/>
  <c r="O1447" i="1" a="1"/>
  <c r="O1447" i="1"/>
  <c r="P1446" i="1" a="1"/>
  <c r="P1446" i="1" s="1"/>
  <c r="H1445" i="1" a="1"/>
  <c r="H1445" i="1"/>
  <c r="L1447" i="1" a="1"/>
  <c r="L1447" i="1"/>
  <c r="F1447" i="1" a="1"/>
  <c r="F1447" i="1" s="1"/>
  <c r="I1441" i="1" a="1"/>
  <c r="I1441" i="1" s="1"/>
  <c r="O1441" i="1" a="1"/>
  <c r="O1441" i="1" s="1"/>
  <c r="F1443" i="1" a="1"/>
  <c r="F1443" i="1" s="1"/>
  <c r="P1442" i="1" a="1"/>
  <c r="P1442" i="1"/>
  <c r="M1442" i="1" a="1"/>
  <c r="M1442" i="1"/>
  <c r="L1442" i="1" a="1"/>
  <c r="L1442" i="1"/>
  <c r="N1441" i="1" a="1"/>
  <c r="N1441" i="1" s="1"/>
  <c r="L1441" i="1" a="1"/>
  <c r="L1441" i="1" s="1"/>
  <c r="G1442" i="1" a="1"/>
  <c r="G1442" i="1" s="1"/>
  <c r="H1441" i="1" a="1"/>
  <c r="H1441" i="1" s="1"/>
  <c r="Q1440" i="1" a="1"/>
  <c r="Q1440" i="1" s="1"/>
  <c r="O1440" i="1" a="1"/>
  <c r="O1440" i="1" s="1"/>
  <c r="O1443" i="1" a="1"/>
  <c r="O1443" i="1"/>
  <c r="N1442" i="1" a="1"/>
  <c r="N1442" i="1"/>
  <c r="I1442" i="1" a="1"/>
  <c r="I1442" i="1"/>
  <c r="P1441" i="1" a="1"/>
  <c r="P1441" i="1"/>
  <c r="M1441" i="1" a="1"/>
  <c r="M1441" i="1"/>
  <c r="N1443" i="1" a="1"/>
  <c r="N1443" i="1" s="1"/>
  <c r="L1443" i="1" a="1"/>
  <c r="L1443" i="1" s="1"/>
  <c r="J1441" i="1" a="1"/>
  <c r="J1441" i="1" s="1"/>
  <c r="H1443" i="1" a="1"/>
  <c r="H1443" i="1" s="1"/>
  <c r="G1443" i="1" a="1"/>
  <c r="G1443" i="1" s="1"/>
  <c r="Q1442" i="1" a="1"/>
  <c r="Q1442" i="1"/>
  <c r="K1442" i="1" a="1"/>
  <c r="K1442" i="1"/>
  <c r="H1442" i="1" a="1"/>
  <c r="H1442" i="1"/>
  <c r="F1444" i="1" a="1"/>
  <c r="F1444" i="1" s="1"/>
  <c r="J1442" i="1" a="1"/>
  <c r="J1442" i="1"/>
  <c r="Q1443" i="1" a="1"/>
  <c r="Q1443" i="1"/>
  <c r="O1442" i="1" a="1"/>
  <c r="O1442" i="1" s="1"/>
  <c r="Q1441" i="1" a="1"/>
  <c r="Q1441" i="1" s="1"/>
  <c r="K1441" i="1" a="1"/>
  <c r="K1441" i="1" s="1"/>
  <c r="F1441" i="1" a="1"/>
  <c r="F1441" i="1"/>
  <c r="I1443" i="1" a="1"/>
  <c r="I1443" i="1"/>
  <c r="P1440" i="1" a="1"/>
  <c r="P1440" i="1"/>
  <c r="F1442" i="1" a="1"/>
  <c r="F1442" i="1"/>
  <c r="P1443" i="1" a="1"/>
  <c r="P1443" i="1" s="1"/>
  <c r="M1443" i="1" a="1"/>
  <c r="M1443" i="1" s="1"/>
  <c r="K1443" i="1" a="1"/>
  <c r="K1443" i="1" s="1"/>
  <c r="J1443" i="1" a="1"/>
  <c r="J1443" i="1" s="1"/>
  <c r="G1441" i="1" a="1"/>
  <c r="G1441" i="1" s="1"/>
  <c r="N1440" i="1" a="1"/>
  <c r="N1440" i="1" s="1"/>
  <c r="M1440" i="1" a="1"/>
  <c r="M1440" i="1"/>
  <c r="L1440" i="1" a="1"/>
  <c r="L1440" i="1"/>
  <c r="K1440" i="1" a="1"/>
  <c r="K1440" i="1"/>
  <c r="F1436" i="1" a="1"/>
  <c r="F1436" i="1"/>
  <c r="O1436" i="1" a="1"/>
  <c r="O1436" i="1"/>
  <c r="J1437" i="1" a="1"/>
  <c r="J1437" i="1"/>
  <c r="P1434" i="1" a="1"/>
  <c r="P1434" i="1" s="1"/>
  <c r="Q1439" i="1" a="1"/>
  <c r="Q1439" i="1" s="1"/>
  <c r="F1439" i="1" a="1"/>
  <c r="F1439" i="1" s="1"/>
  <c r="P1436" i="1" a="1"/>
  <c r="P1436" i="1"/>
  <c r="O1438" i="1" a="1"/>
  <c r="O1438" i="1"/>
  <c r="G1438" i="1" a="1"/>
  <c r="G1438" i="1"/>
  <c r="J1438" i="1" a="1"/>
  <c r="J1438" i="1"/>
  <c r="O1439" i="1" a="1"/>
  <c r="O1439" i="1" s="1"/>
  <c r="J1439" i="1" a="1"/>
  <c r="J1439" i="1"/>
  <c r="P1437" i="1" a="1"/>
  <c r="P1437" i="1" s="1"/>
  <c r="F1438" i="1" a="1"/>
  <c r="F1438" i="1" s="1"/>
  <c r="P1438" i="1" a="1"/>
  <c r="P1438" i="1" s="1"/>
  <c r="I1439" i="1" a="1"/>
  <c r="I1439" i="1" s="1"/>
  <c r="F1437" i="1" a="1"/>
  <c r="F1437" i="1" s="1"/>
  <c r="Q1434" i="1" a="1"/>
  <c r="Q1434" i="1"/>
  <c r="M1436" i="1" a="1"/>
  <c r="M1436" i="1" s="1"/>
  <c r="G1440" i="1" a="1"/>
  <c r="G1440" i="1" s="1"/>
  <c r="P1439" i="1" a="1"/>
  <c r="P1439" i="1" s="1"/>
  <c r="M1439" i="1" a="1"/>
  <c r="M1439" i="1" s="1"/>
  <c r="L1439" i="1" a="1"/>
  <c r="L1439" i="1" s="1"/>
  <c r="H1438" i="1" a="1"/>
  <c r="H1438" i="1" s="1"/>
  <c r="L1437" i="1" a="1"/>
  <c r="L1437" i="1" s="1"/>
  <c r="K1437" i="1" a="1"/>
  <c r="K1437" i="1" s="1"/>
  <c r="N1438" i="1" a="1"/>
  <c r="N1438" i="1"/>
  <c r="I1438" i="1" a="1"/>
  <c r="I1438" i="1" s="1"/>
  <c r="I1437" i="1" a="1"/>
  <c r="I1437" i="1"/>
  <c r="H1436" i="1" a="1"/>
  <c r="H1436" i="1"/>
  <c r="G1437" i="1" a="1"/>
  <c r="G1437" i="1"/>
  <c r="I1436" i="1" a="1"/>
  <c r="I1436" i="1"/>
  <c r="N1436" i="1" a="1"/>
  <c r="N1436" i="1"/>
  <c r="K1436" i="1" a="1"/>
  <c r="K1436" i="1" s="1"/>
  <c r="L1436" i="1" a="1"/>
  <c r="L1436" i="1"/>
  <c r="H1439" i="1" a="1"/>
  <c r="H1439" i="1" s="1"/>
  <c r="G1439" i="1" a="1"/>
  <c r="G1439" i="1"/>
  <c r="Q1437" i="1" a="1"/>
  <c r="Q1437" i="1"/>
  <c r="Q1438" i="1" a="1"/>
  <c r="Q1438" i="1"/>
  <c r="H1437" i="1" a="1"/>
  <c r="H1437" i="1" s="1"/>
  <c r="Q1436" i="1" a="1"/>
  <c r="Q1436" i="1"/>
  <c r="F1440" i="1" a="1"/>
  <c r="F1440" i="1" s="1"/>
  <c r="N1439" i="1" a="1"/>
  <c r="N1439" i="1" s="1"/>
  <c r="N1437" i="1" a="1"/>
  <c r="N1437" i="1" s="1"/>
  <c r="M1437" i="1" a="1"/>
  <c r="M1437" i="1" s="1"/>
  <c r="J1440" i="1" a="1"/>
  <c r="J1440" i="1"/>
  <c r="I1440" i="1" a="1"/>
  <c r="I1440" i="1"/>
  <c r="H1440" i="1" a="1"/>
  <c r="H1440" i="1" s="1"/>
  <c r="K1439" i="1" a="1"/>
  <c r="K1439" i="1"/>
  <c r="M1438" i="1" a="1"/>
  <c r="M1438" i="1"/>
  <c r="J1436" i="1" a="1"/>
  <c r="J1436" i="1"/>
  <c r="G1436" i="1" a="1"/>
  <c r="G1436" i="1" s="1"/>
  <c r="L1438" i="1" a="1"/>
  <c r="L1438" i="1" s="1"/>
  <c r="O1437" i="1" a="1"/>
  <c r="O1437" i="1" s="1"/>
  <c r="K1438" i="1" a="1"/>
  <c r="K1438" i="1" s="1"/>
  <c r="O1432" i="1" a="1"/>
  <c r="O1432" i="1"/>
  <c r="H1432" i="1" a="1"/>
  <c r="H1432" i="1" s="1"/>
  <c r="G1434" i="1" a="1"/>
  <c r="G1434" i="1"/>
  <c r="Q1433" i="1" a="1"/>
  <c r="Q1433" i="1"/>
  <c r="K1431" i="1" a="1"/>
  <c r="K1431" i="1"/>
  <c r="O1430" i="1" a="1"/>
  <c r="O1430" i="1" s="1"/>
  <c r="I1432" i="1" a="1"/>
  <c r="I1432" i="1" s="1"/>
  <c r="O1433" i="1" a="1"/>
  <c r="O1433" i="1"/>
  <c r="N1433" i="1" a="1"/>
  <c r="N1433" i="1"/>
  <c r="F1433" i="1" a="1"/>
  <c r="F1433" i="1" s="1"/>
  <c r="N1432" i="1" a="1"/>
  <c r="N1432" i="1"/>
  <c r="P1431" i="1" a="1"/>
  <c r="P1431" i="1"/>
  <c r="F1431" i="1" a="1"/>
  <c r="F1431" i="1"/>
  <c r="L1432" i="1" a="1"/>
  <c r="L1432" i="1" s="1"/>
  <c r="F1432" i="1" a="1"/>
  <c r="F1432" i="1"/>
  <c r="I1430" i="1" a="1"/>
  <c r="I1430" i="1" s="1"/>
  <c r="Q1431" i="1" a="1"/>
  <c r="Q1431" i="1" s="1"/>
  <c r="K1434" i="1" a="1"/>
  <c r="K1434" i="1" s="1"/>
  <c r="J1432" i="1" a="1"/>
  <c r="J1432" i="1" s="1"/>
  <c r="G1432" i="1" a="1"/>
  <c r="G1432" i="1"/>
  <c r="H1431" i="1" a="1"/>
  <c r="H1431" i="1" s="1"/>
  <c r="G1431" i="1" a="1"/>
  <c r="G1431" i="1" s="1"/>
  <c r="F1434" i="1" a="1"/>
  <c r="F1434" i="1" s="1"/>
  <c r="F1430" i="1" a="1"/>
  <c r="F1430" i="1" s="1"/>
  <c r="I1433" i="1" a="1"/>
  <c r="I1433" i="1" s="1"/>
  <c r="G1433" i="1" a="1"/>
  <c r="G1433" i="1" s="1"/>
  <c r="Q1430" i="1" a="1"/>
  <c r="Q1430" i="1" s="1"/>
  <c r="P1432" i="1" a="1"/>
  <c r="P1432" i="1" s="1"/>
  <c r="M1432" i="1" a="1"/>
  <c r="M1432" i="1" s="1"/>
  <c r="K1430" i="1" a="1"/>
  <c r="K1430" i="1"/>
  <c r="K1432" i="1" a="1"/>
  <c r="K1432" i="1"/>
  <c r="I1431" i="1" a="1"/>
  <c r="I1431" i="1"/>
  <c r="O1431" i="1" a="1"/>
  <c r="O1431" i="1"/>
  <c r="L1430" i="1" a="1"/>
  <c r="L1430" i="1"/>
  <c r="M1431" i="1" a="1"/>
  <c r="M1431" i="1" s="1"/>
  <c r="N1431" i="1" a="1"/>
  <c r="N1431" i="1"/>
  <c r="J1430" i="1" a="1"/>
  <c r="J1430" i="1"/>
  <c r="N1430" i="1" a="1"/>
  <c r="N1430" i="1"/>
  <c r="L1431" i="1" a="1"/>
  <c r="L1431" i="1" s="1"/>
  <c r="P1430" i="1" a="1"/>
  <c r="P1430" i="1"/>
  <c r="H1430" i="1" a="1"/>
  <c r="H1430" i="1"/>
  <c r="O1434" i="1" a="1"/>
  <c r="O1434" i="1"/>
  <c r="J1431" i="1" a="1"/>
  <c r="J1431" i="1" s="1"/>
  <c r="M1430" i="1" a="1"/>
  <c r="M1430" i="1"/>
  <c r="M1434" i="1" a="1"/>
  <c r="M1434" i="1"/>
  <c r="P1433" i="1" a="1"/>
  <c r="P1433" i="1" s="1"/>
  <c r="G1430" i="1" a="1"/>
  <c r="G1430" i="1" s="1"/>
  <c r="N1434" i="1" a="1"/>
  <c r="N1434" i="1" s="1"/>
  <c r="H1433" i="1" a="1"/>
  <c r="H1433" i="1" s="1"/>
  <c r="L1434" i="1" a="1"/>
  <c r="L1434" i="1" s="1"/>
  <c r="K1433" i="1" a="1"/>
  <c r="K1433" i="1" s="1"/>
  <c r="J1434" i="1" a="1"/>
  <c r="J1434" i="1" s="1"/>
  <c r="I1434" i="1" a="1"/>
  <c r="I1434" i="1"/>
  <c r="H1434" i="1" a="1"/>
  <c r="H1434" i="1" s="1"/>
  <c r="M1433" i="1" a="1"/>
  <c r="M1433" i="1" s="1"/>
  <c r="L1433" i="1" a="1"/>
  <c r="L1433" i="1" s="1"/>
  <c r="J1433" i="1" a="1"/>
  <c r="J1433" i="1" s="1"/>
  <c r="Q1432" i="1" a="1"/>
  <c r="Q1432" i="1" s="1"/>
  <c r="N1424" i="1" a="1"/>
  <c r="N1424" i="1"/>
  <c r="L1424" i="1" a="1"/>
  <c r="L1424" i="1" s="1"/>
  <c r="K1424" i="1" a="1"/>
  <c r="K1424" i="1"/>
  <c r="O1424" i="1" a="1"/>
  <c r="O1424" i="1"/>
  <c r="M1424" i="1" a="1"/>
  <c r="M1424" i="1" s="1"/>
  <c r="Q1424" i="1" a="1"/>
  <c r="Q1424" i="1" s="1"/>
  <c r="P1424" i="1" a="1"/>
  <c r="P1424" i="1"/>
  <c r="N1423" i="1" a="1"/>
  <c r="N1423" i="1" s="1"/>
  <c r="H1423" i="1" a="1"/>
  <c r="H1423" i="1"/>
  <c r="Q1422" i="1" a="1"/>
  <c r="Q1422" i="1"/>
  <c r="O1422" i="1" a="1"/>
  <c r="O1422" i="1"/>
  <c r="L1422" i="1" a="1"/>
  <c r="L1422" i="1"/>
  <c r="F1423" i="1" a="1"/>
  <c r="F1423" i="1"/>
  <c r="J1423" i="1" a="1"/>
  <c r="J1423" i="1" s="1"/>
  <c r="N1422" i="1" a="1"/>
  <c r="N1422" i="1"/>
  <c r="K1422" i="1" a="1"/>
  <c r="K1422" i="1" s="1"/>
  <c r="J1424" i="1" a="1"/>
  <c r="J1424" i="1" s="1"/>
  <c r="M1423" i="1" a="1"/>
  <c r="M1423" i="1" s="1"/>
  <c r="I1424" i="1" a="1"/>
  <c r="I1424" i="1" s="1"/>
  <c r="H1424" i="1" a="1"/>
  <c r="H1424" i="1"/>
  <c r="P1422" i="1" a="1"/>
  <c r="P1422" i="1"/>
  <c r="G1423" i="1" a="1"/>
  <c r="G1423" i="1" s="1"/>
  <c r="G1424" i="1" a="1"/>
  <c r="G1424" i="1"/>
  <c r="F1424" i="1" a="1"/>
  <c r="F1424" i="1" s="1"/>
  <c r="Q1423" i="1" a="1"/>
  <c r="Q1423" i="1"/>
  <c r="M1422" i="1" a="1"/>
  <c r="M1422" i="1" s="1"/>
  <c r="P1423" i="1" a="1"/>
  <c r="P1423" i="1" s="1"/>
  <c r="L1423" i="1" a="1"/>
  <c r="L1423" i="1" s="1"/>
  <c r="O1423" i="1" a="1"/>
  <c r="O1423" i="1" s="1"/>
  <c r="K1423" i="1" a="1"/>
  <c r="K1423" i="1"/>
  <c r="I1423" i="1" a="1"/>
  <c r="I1423" i="1"/>
  <c r="K1420" i="1" a="1"/>
  <c r="K1420" i="1"/>
  <c r="G1417" i="1" a="1"/>
  <c r="G1417" i="1" s="1"/>
  <c r="M1417" i="1" a="1"/>
  <c r="M1417" i="1" s="1"/>
  <c r="J1419" i="1" a="1"/>
  <c r="J1419" i="1"/>
  <c r="F1421" i="1" a="1"/>
  <c r="F1421" i="1"/>
  <c r="P1420" i="1" a="1"/>
  <c r="P1420" i="1" s="1"/>
  <c r="P1419" i="1" a="1"/>
  <c r="P1419" i="1"/>
  <c r="O1419" i="1" a="1"/>
  <c r="O1419" i="1" s="1"/>
  <c r="N1418" i="1" a="1"/>
  <c r="N1418" i="1"/>
  <c r="L1418" i="1" a="1"/>
  <c r="L1418" i="1"/>
  <c r="Q1417" i="1" a="1"/>
  <c r="Q1417" i="1"/>
  <c r="H1419" i="1" a="1"/>
  <c r="H1419" i="1" s="1"/>
  <c r="M1418" i="1" a="1"/>
  <c r="M1418" i="1"/>
  <c r="L1419" i="1" a="1"/>
  <c r="L1419" i="1"/>
  <c r="G1418" i="1" a="1"/>
  <c r="G1418" i="1" s="1"/>
  <c r="F1419" i="1" a="1"/>
  <c r="F1419" i="1" s="1"/>
  <c r="O1417" i="1" a="1"/>
  <c r="O1417" i="1"/>
  <c r="K1421" i="1" a="1"/>
  <c r="K1421" i="1"/>
  <c r="K1417" i="1" a="1"/>
  <c r="K1417" i="1" s="1"/>
  <c r="K1418" i="1" a="1"/>
  <c r="K1418" i="1" s="1"/>
  <c r="N1419" i="1" a="1"/>
  <c r="N1419" i="1" s="1"/>
  <c r="M1419" i="1" a="1"/>
  <c r="M1419" i="1"/>
  <c r="O1418" i="1" a="1"/>
  <c r="O1418" i="1"/>
  <c r="J1417" i="1" a="1"/>
  <c r="J1417" i="1" s="1"/>
  <c r="O1420" i="1" a="1"/>
  <c r="O1420" i="1" s="1"/>
  <c r="G1419" i="1" a="1"/>
  <c r="G1419" i="1" s="1"/>
  <c r="P1418" i="1" a="1"/>
  <c r="P1418" i="1" s="1"/>
  <c r="L1417" i="1" a="1"/>
  <c r="L1417" i="1"/>
  <c r="J1422" i="1" a="1"/>
  <c r="J1422" i="1" s="1"/>
  <c r="N1420" i="1" a="1"/>
  <c r="N1420" i="1" s="1"/>
  <c r="F1422" i="1" a="1"/>
  <c r="F1422" i="1" s="1"/>
  <c r="I1421" i="1" a="1"/>
  <c r="I1421" i="1" s="1"/>
  <c r="I1419" i="1" a="1"/>
  <c r="I1419" i="1"/>
  <c r="I1422" i="1" a="1"/>
  <c r="I1422" i="1"/>
  <c r="H1422" i="1" a="1"/>
  <c r="H1422" i="1" s="1"/>
  <c r="G1422" i="1" a="1"/>
  <c r="G1422" i="1"/>
  <c r="J1418" i="1" a="1"/>
  <c r="J1418" i="1"/>
  <c r="Q1421" i="1" a="1"/>
  <c r="Q1421" i="1"/>
  <c r="H1421" i="1" a="1"/>
  <c r="H1421" i="1"/>
  <c r="N1417" i="1" a="1"/>
  <c r="N1417" i="1"/>
  <c r="I1417" i="1" a="1"/>
  <c r="I1417" i="1" s="1"/>
  <c r="O1421" i="1" a="1"/>
  <c r="O1421" i="1"/>
  <c r="F1420" i="1" a="1"/>
  <c r="F1420" i="1"/>
  <c r="F1418" i="1" a="1"/>
  <c r="F1418" i="1" s="1"/>
  <c r="H1417" i="1" a="1"/>
  <c r="H1417" i="1"/>
  <c r="Q1420" i="1" a="1"/>
  <c r="Q1420" i="1"/>
  <c r="L1420" i="1" a="1"/>
  <c r="L1420" i="1"/>
  <c r="J1420" i="1" a="1"/>
  <c r="J1420" i="1"/>
  <c r="H1420" i="1" a="1"/>
  <c r="H1420" i="1"/>
  <c r="Q1418" i="1" a="1"/>
  <c r="Q1418" i="1" s="1"/>
  <c r="P1417" i="1" a="1"/>
  <c r="P1417" i="1"/>
  <c r="I1420" i="1" a="1"/>
  <c r="I1420" i="1"/>
  <c r="N1421" i="1" a="1"/>
  <c r="N1421" i="1" s="1"/>
  <c r="P1421" i="1" a="1"/>
  <c r="P1421" i="1" s="1"/>
  <c r="M1421" i="1" a="1"/>
  <c r="M1421" i="1" s="1"/>
  <c r="J1421" i="1" a="1"/>
  <c r="J1421" i="1" s="1"/>
  <c r="M1420" i="1" a="1"/>
  <c r="M1420" i="1"/>
  <c r="H1418" i="1" a="1"/>
  <c r="H1418" i="1" s="1"/>
  <c r="G1420" i="1" a="1"/>
  <c r="G1420" i="1" s="1"/>
  <c r="K1419" i="1" a="1"/>
  <c r="K1419" i="1" s="1"/>
  <c r="L1421" i="1" a="1"/>
  <c r="L1421" i="1" s="1"/>
  <c r="G1421" i="1" a="1"/>
  <c r="G1421" i="1" s="1"/>
  <c r="Q1419" i="1" a="1"/>
  <c r="Q1419" i="1"/>
  <c r="I1418" i="1" a="1"/>
  <c r="I1418" i="1"/>
  <c r="I1410" i="1" a="1"/>
  <c r="I1410" i="1"/>
  <c r="H1416" i="1" a="1"/>
  <c r="H1416" i="1"/>
  <c r="F1410" i="1" a="1"/>
  <c r="F1410" i="1"/>
  <c r="M1410" i="1" a="1"/>
  <c r="M1410" i="1"/>
  <c r="K1410" i="1" a="1"/>
  <c r="K1410" i="1"/>
  <c r="Q1416" i="1" a="1"/>
  <c r="Q1416" i="1" s="1"/>
  <c r="O1416" i="1" a="1"/>
  <c r="O1416" i="1"/>
  <c r="G1410" i="1" a="1"/>
  <c r="G1410" i="1" s="1"/>
  <c r="F1416" i="1" a="1"/>
  <c r="F1416" i="1" s="1"/>
  <c r="P1410" i="1" a="1"/>
  <c r="P1410" i="1"/>
  <c r="L1410" i="1" a="1"/>
  <c r="L1410" i="1"/>
  <c r="Q1410" i="1" a="1"/>
  <c r="Q1410" i="1"/>
  <c r="N1409" i="1" a="1"/>
  <c r="N1409" i="1" s="1"/>
  <c r="H1410" i="1" a="1"/>
  <c r="H1410" i="1"/>
  <c r="Q1409" i="1" a="1"/>
  <c r="Q1409" i="1"/>
  <c r="P1409" i="1" a="1"/>
  <c r="P1409" i="1"/>
  <c r="I1416" i="1" a="1"/>
  <c r="I1416" i="1"/>
  <c r="K1416" i="1" a="1"/>
  <c r="K1416" i="1" s="1"/>
  <c r="N1416" i="1" a="1"/>
  <c r="N1416" i="1" s="1"/>
  <c r="K1409" i="1" a="1"/>
  <c r="K1409" i="1" s="1"/>
  <c r="N1410" i="1" a="1"/>
  <c r="N1410" i="1" s="1"/>
  <c r="P1416" i="1" a="1"/>
  <c r="P1416" i="1" s="1"/>
  <c r="O1410" i="1" a="1"/>
  <c r="O1410" i="1" s="1"/>
  <c r="M1416" i="1" a="1"/>
  <c r="M1416" i="1" s="1"/>
  <c r="L1416" i="1" a="1"/>
  <c r="L1416" i="1" s="1"/>
  <c r="J1410" i="1" a="1"/>
  <c r="J1410" i="1" s="1"/>
  <c r="O1409" i="1" a="1"/>
  <c r="O1409" i="1" s="1"/>
  <c r="G1416" i="1" a="1"/>
  <c r="G1416" i="1"/>
  <c r="J1409" i="1" a="1"/>
  <c r="J1409" i="1" s="1"/>
  <c r="F1417" i="1" a="1"/>
  <c r="F1417" i="1"/>
  <c r="M1409" i="1" a="1"/>
  <c r="M1409" i="1" s="1"/>
  <c r="J1416" i="1" a="1"/>
  <c r="J1416" i="1"/>
  <c r="L1409" i="1" a="1"/>
  <c r="L1409" i="1"/>
  <c r="M1407" i="1" a="1"/>
  <c r="M1407" i="1"/>
  <c r="I1409" i="1" a="1"/>
  <c r="I1409" i="1" s="1"/>
  <c r="Q1408" i="1" a="1"/>
  <c r="Q1408" i="1" s="1"/>
  <c r="P1407" i="1" a="1"/>
  <c r="P1407" i="1"/>
  <c r="H1409" i="1" a="1"/>
  <c r="H1409" i="1" s="1"/>
  <c r="G1408" i="1" a="1"/>
  <c r="G1408" i="1"/>
  <c r="J1407" i="1" a="1"/>
  <c r="J1407" i="1"/>
  <c r="F1408" i="1" a="1"/>
  <c r="F1408" i="1"/>
  <c r="K1407" i="1" a="1"/>
  <c r="K1407" i="1" s="1"/>
  <c r="G1409" i="1" a="1"/>
  <c r="G1409" i="1"/>
  <c r="P1408" i="1" a="1"/>
  <c r="P1408" i="1" s="1"/>
  <c r="F1409" i="1" a="1"/>
  <c r="F1409" i="1"/>
  <c r="N1408" i="1" a="1"/>
  <c r="N1408" i="1" s="1"/>
  <c r="K1408" i="1" a="1"/>
  <c r="K1408" i="1" s="1"/>
  <c r="O1408" i="1" a="1"/>
  <c r="O1408" i="1" s="1"/>
  <c r="M1408" i="1" a="1"/>
  <c r="M1408" i="1" s="1"/>
  <c r="L1408" i="1" a="1"/>
  <c r="L1408" i="1" s="1"/>
  <c r="J1408" i="1" a="1"/>
  <c r="J1408" i="1"/>
  <c r="O1407" i="1" a="1"/>
  <c r="O1407" i="1"/>
  <c r="L1407" i="1" a="1"/>
  <c r="L1407" i="1" s="1"/>
  <c r="I1407" i="1" a="1"/>
  <c r="I1407" i="1" s="1"/>
  <c r="I1408" i="1" a="1"/>
  <c r="I1408" i="1" s="1"/>
  <c r="H1408" i="1" a="1"/>
  <c r="H1408" i="1" s="1"/>
  <c r="Q1407" i="1" a="1"/>
  <c r="Q1407" i="1" s="1"/>
  <c r="N1407" i="1" a="1"/>
  <c r="N1407" i="1" s="1"/>
  <c r="K1403" i="1" a="1"/>
  <c r="K1403" i="1" s="1"/>
  <c r="L1405" i="1" a="1"/>
  <c r="L1405" i="1"/>
  <c r="G1404" i="1" a="1"/>
  <c r="G1404" i="1"/>
  <c r="I1403" i="1" a="1"/>
  <c r="I1403" i="1"/>
  <c r="K1405" i="1" a="1"/>
  <c r="K1405" i="1"/>
  <c r="I1405" i="1" a="1"/>
  <c r="I1405" i="1" s="1"/>
  <c r="J1405" i="1" a="1"/>
  <c r="J1405" i="1" s="1"/>
  <c r="P1403" i="1" a="1"/>
  <c r="P1403" i="1"/>
  <c r="F1405" i="1" a="1"/>
  <c r="F1405" i="1" s="1"/>
  <c r="P1404" i="1" a="1"/>
  <c r="P1404" i="1"/>
  <c r="I1404" i="1" a="1"/>
  <c r="I1404" i="1"/>
  <c r="Q1403" i="1" a="1"/>
  <c r="Q1403" i="1"/>
  <c r="N1403" i="1" a="1"/>
  <c r="N1403" i="1" s="1"/>
  <c r="N1402" i="1" a="1"/>
  <c r="N1402" i="1" s="1"/>
  <c r="F1403" i="1" a="1"/>
  <c r="F1403" i="1" s="1"/>
  <c r="Q1402" i="1" a="1"/>
  <c r="Q1402" i="1" s="1"/>
  <c r="P1402" i="1" a="1"/>
  <c r="P1402" i="1"/>
  <c r="I1402" i="1" a="1"/>
  <c r="I1402" i="1" s="1"/>
  <c r="J1404" i="1" a="1"/>
  <c r="J1404" i="1" s="1"/>
  <c r="H1407" i="1" a="1"/>
  <c r="H1407" i="1" s="1"/>
  <c r="J1402" i="1" a="1"/>
  <c r="J1402" i="1" s="1"/>
  <c r="G1407" i="1" a="1"/>
  <c r="G1407" i="1"/>
  <c r="F1407" i="1" a="1"/>
  <c r="F1407" i="1" s="1"/>
  <c r="F1404" i="1" a="1"/>
  <c r="F1404" i="1" s="1"/>
  <c r="H1404" i="1" a="1"/>
  <c r="H1404" i="1" s="1"/>
  <c r="M1403" i="1" a="1"/>
  <c r="M1403" i="1" s="1"/>
  <c r="G1405" i="1" a="1"/>
  <c r="G1405" i="1"/>
  <c r="O1404" i="1" a="1"/>
  <c r="O1404" i="1"/>
  <c r="L1404" i="1" a="1"/>
  <c r="L1404" i="1"/>
  <c r="L1403" i="1" a="1"/>
  <c r="L1403" i="1" s="1"/>
  <c r="L1402" i="1" a="1"/>
  <c r="L1402" i="1"/>
  <c r="G1403" i="1" a="1"/>
  <c r="G1403" i="1"/>
  <c r="Q1404" i="1" a="1"/>
  <c r="Q1404" i="1"/>
  <c r="K1404" i="1" a="1"/>
  <c r="K1404" i="1" s="1"/>
  <c r="Q1405" i="1" a="1"/>
  <c r="Q1405" i="1" s="1"/>
  <c r="O1402" i="1" a="1"/>
  <c r="O1402" i="1" s="1"/>
  <c r="P1405" i="1" a="1"/>
  <c r="P1405" i="1"/>
  <c r="N1405" i="1" a="1"/>
  <c r="N1405" i="1"/>
  <c r="H1405" i="1" a="1"/>
  <c r="H1405" i="1"/>
  <c r="N1404" i="1" a="1"/>
  <c r="N1404" i="1"/>
  <c r="J1403" i="1" a="1"/>
  <c r="J1403" i="1"/>
  <c r="O1405" i="1" a="1"/>
  <c r="O1405" i="1" s="1"/>
  <c r="M1404" i="1" a="1"/>
  <c r="M1404" i="1"/>
  <c r="O1403" i="1" a="1"/>
  <c r="O1403" i="1" s="1"/>
  <c r="M1402" i="1" a="1"/>
  <c r="M1402" i="1" s="1"/>
  <c r="K1402" i="1" a="1"/>
  <c r="K1402" i="1" s="1"/>
  <c r="H1403" i="1" a="1"/>
  <c r="H1403" i="1" s="1"/>
  <c r="M1405" i="1" a="1"/>
  <c r="M1405" i="1" s="1"/>
  <c r="Q1401" i="1" a="1"/>
  <c r="Q1401" i="1"/>
  <c r="F1402" i="1" a="1"/>
  <c r="F1402" i="1" s="1"/>
  <c r="O1401" i="1" a="1"/>
  <c r="O1401" i="1"/>
  <c r="L1401" i="1" a="1"/>
  <c r="L1401" i="1"/>
  <c r="I1401" i="1" a="1"/>
  <c r="I1401" i="1" s="1"/>
  <c r="H1401" i="1" a="1"/>
  <c r="H1401" i="1" s="1"/>
  <c r="G1401" i="1" a="1"/>
  <c r="G1401" i="1" s="1"/>
  <c r="G1402" i="1" a="1"/>
  <c r="G1402" i="1"/>
  <c r="P1401" i="1" a="1"/>
  <c r="P1401" i="1" s="1"/>
  <c r="K1401" i="1" a="1"/>
  <c r="K1401" i="1" s="1"/>
  <c r="F1401" i="1" a="1"/>
  <c r="F1401" i="1" s="1"/>
  <c r="M1401" i="1" a="1"/>
  <c r="M1401" i="1"/>
  <c r="N1401" i="1" a="1"/>
  <c r="N1401" i="1" s="1"/>
  <c r="J1401" i="1" a="1"/>
  <c r="J1401" i="1" s="1"/>
  <c r="H1402" i="1" a="1"/>
  <c r="H1402" i="1" s="1"/>
  <c r="P1374" i="1" a="1"/>
  <c r="P1374" i="1" s="1"/>
  <c r="N1373" i="1" a="1"/>
  <c r="N1373" i="1" s="1"/>
  <c r="L1374" i="1" a="1"/>
  <c r="L1374" i="1"/>
  <c r="Q1373" i="1" a="1"/>
  <c r="Q1373" i="1" s="1"/>
  <c r="L1373" i="1" a="1"/>
  <c r="L1373" i="1"/>
  <c r="N1374" i="1" a="1"/>
  <c r="N1374" i="1"/>
  <c r="G1374" i="1" a="1"/>
  <c r="G1374" i="1"/>
  <c r="O1373" i="1" a="1"/>
  <c r="O1373" i="1"/>
  <c r="M1373" i="1" a="1"/>
  <c r="M1373" i="1"/>
  <c r="J1373" i="1" a="1"/>
  <c r="J1373" i="1" s="1"/>
  <c r="P1373" i="1" a="1"/>
  <c r="P1373" i="1" s="1"/>
  <c r="K1373" i="1" a="1"/>
  <c r="K1373" i="1" s="1"/>
  <c r="J1374" i="1" a="1"/>
  <c r="J1374" i="1" s="1"/>
  <c r="K1374" i="1" a="1"/>
  <c r="K1374" i="1"/>
  <c r="F1374" i="1" a="1"/>
  <c r="F1374" i="1"/>
  <c r="Q1374" i="1" a="1"/>
  <c r="Q1374" i="1" s="1"/>
  <c r="O1374" i="1" a="1"/>
  <c r="O1374" i="1"/>
  <c r="M1374" i="1" a="1"/>
  <c r="M1374" i="1" s="1"/>
  <c r="H1374" i="1" a="1"/>
  <c r="H1374" i="1" s="1"/>
  <c r="I1374" i="1" a="1"/>
  <c r="I1374" i="1" s="1"/>
  <c r="K1369" i="1" a="1"/>
  <c r="K1369" i="1" s="1"/>
  <c r="G1370" i="1" a="1"/>
  <c r="G1370" i="1" s="1"/>
  <c r="F1372" i="1" a="1"/>
  <c r="F1372" i="1"/>
  <c r="Q1372" i="1" a="1"/>
  <c r="Q1372" i="1" s="1"/>
  <c r="P1372" i="1" a="1"/>
  <c r="P1372" i="1"/>
  <c r="I1369" i="1" a="1"/>
  <c r="I1369" i="1" s="1"/>
  <c r="G1371" i="1" a="1"/>
  <c r="G1371" i="1" s="1"/>
  <c r="H1370" i="1" a="1"/>
  <c r="H1370" i="1" s="1"/>
  <c r="N1369" i="1" a="1"/>
  <c r="N1369" i="1" s="1"/>
  <c r="K1372" i="1" a="1"/>
  <c r="K1372" i="1" s="1"/>
  <c r="N1370" i="1" a="1"/>
  <c r="N1370" i="1" s="1"/>
  <c r="F1370" i="1" a="1"/>
  <c r="F1370" i="1"/>
  <c r="L1369" i="1" a="1"/>
  <c r="L1369" i="1" s="1"/>
  <c r="K1370" i="1" a="1"/>
  <c r="K1370" i="1"/>
  <c r="O1372" i="1" a="1"/>
  <c r="O1372" i="1"/>
  <c r="O1370" i="1" a="1"/>
  <c r="O1370" i="1"/>
  <c r="M1370" i="1" a="1"/>
  <c r="M1370" i="1" s="1"/>
  <c r="N1371" i="1" a="1"/>
  <c r="N1371" i="1" s="1"/>
  <c r="J1371" i="1" a="1"/>
  <c r="J1371" i="1"/>
  <c r="P1371" i="1" a="1"/>
  <c r="P1371" i="1"/>
  <c r="J1370" i="1" a="1"/>
  <c r="J1370" i="1" s="1"/>
  <c r="L1371" i="1" a="1"/>
  <c r="L1371" i="1"/>
  <c r="L1370" i="1" a="1"/>
  <c r="L1370" i="1"/>
  <c r="P1369" i="1" a="1"/>
  <c r="P1369" i="1"/>
  <c r="O1371" i="1" a="1"/>
  <c r="O1371" i="1" s="1"/>
  <c r="I1370" i="1" a="1"/>
  <c r="I1370" i="1"/>
  <c r="O1369" i="1" a="1"/>
  <c r="O1369" i="1"/>
  <c r="H1369" i="1" a="1"/>
  <c r="H1369" i="1" s="1"/>
  <c r="N1372" i="1" a="1"/>
  <c r="N1372" i="1" s="1"/>
  <c r="M1372" i="1" a="1"/>
  <c r="M1372" i="1" s="1"/>
  <c r="G1372" i="1" a="1"/>
  <c r="G1372" i="1" s="1"/>
  <c r="L1372" i="1" a="1"/>
  <c r="L1372" i="1"/>
  <c r="P1370" i="1" a="1"/>
  <c r="P1370" i="1"/>
  <c r="I1372" i="1" a="1"/>
  <c r="I1372" i="1"/>
  <c r="Q1371" i="1" a="1"/>
  <c r="Q1371" i="1" s="1"/>
  <c r="M1371" i="1" a="1"/>
  <c r="M1371" i="1"/>
  <c r="I1371" i="1" a="1"/>
  <c r="I1371" i="1" s="1"/>
  <c r="M1369" i="1" a="1"/>
  <c r="M1369" i="1" s="1"/>
  <c r="G1369" i="1" a="1"/>
  <c r="G1369" i="1" s="1"/>
  <c r="J1369" i="1" a="1"/>
  <c r="J1369" i="1" s="1"/>
  <c r="J1372" i="1" a="1"/>
  <c r="J1372" i="1"/>
  <c r="H1371" i="1" a="1"/>
  <c r="H1371" i="1" s="1"/>
  <c r="K1371" i="1" a="1"/>
  <c r="K1371" i="1"/>
  <c r="F1371" i="1" a="1"/>
  <c r="F1371" i="1"/>
  <c r="Q1370" i="1" a="1"/>
  <c r="Q1370" i="1"/>
  <c r="H1372" i="1" a="1"/>
  <c r="H1372" i="1" s="1"/>
  <c r="Q1369" i="1" a="1"/>
  <c r="Q1369" i="1" s="1"/>
  <c r="I1373" i="1" a="1"/>
  <c r="I1373" i="1" s="1"/>
  <c r="H1373" i="1" a="1"/>
  <c r="H1373" i="1" s="1"/>
  <c r="G1373" i="1" a="1"/>
  <c r="G1373" i="1"/>
  <c r="F1373" i="1" a="1"/>
  <c r="F1373" i="1"/>
  <c r="F1366" i="1" a="1"/>
  <c r="F1366" i="1"/>
  <c r="J1367" i="1" a="1"/>
  <c r="J1367" i="1"/>
  <c r="P1364" i="1" a="1"/>
  <c r="P1364" i="1" s="1"/>
  <c r="P1366" i="1" a="1"/>
  <c r="P1366" i="1"/>
  <c r="N1366" i="1" a="1"/>
  <c r="N1366" i="1"/>
  <c r="H1366" i="1" a="1"/>
  <c r="H1366" i="1" s="1"/>
  <c r="N1367" i="1" a="1"/>
  <c r="N1367" i="1" s="1"/>
  <c r="I1365" i="1" a="1"/>
  <c r="I1365" i="1" s="1"/>
  <c r="O1363" i="1" a="1"/>
  <c r="O1363" i="1"/>
  <c r="M1367" i="1" a="1"/>
  <c r="M1367" i="1"/>
  <c r="J1365" i="1" a="1"/>
  <c r="J1365" i="1"/>
  <c r="O1364" i="1" a="1"/>
  <c r="O1364" i="1" s="1"/>
  <c r="H1364" i="1" a="1"/>
  <c r="H1364" i="1" s="1"/>
  <c r="K1368" i="1" a="1"/>
  <c r="K1368" i="1" s="1"/>
  <c r="I1368" i="1" a="1"/>
  <c r="I1368" i="1" s="1"/>
  <c r="H1365" i="1" a="1"/>
  <c r="H1365" i="1" s="1"/>
  <c r="Q1364" i="1" a="1"/>
  <c r="Q1364" i="1" s="1"/>
  <c r="G1365" i="1" a="1"/>
  <c r="G1365" i="1" s="1"/>
  <c r="Q1367" i="1" a="1"/>
  <c r="Q1367" i="1"/>
  <c r="P1367" i="1" a="1"/>
  <c r="P1367" i="1"/>
  <c r="I1364" i="1" a="1"/>
  <c r="I1364" i="1"/>
  <c r="N1365" i="1" a="1"/>
  <c r="N1365" i="1"/>
  <c r="L1367" i="1" a="1"/>
  <c r="L1367" i="1"/>
  <c r="K1366" i="1" a="1"/>
  <c r="K1366" i="1" s="1"/>
  <c r="P1365" i="1" a="1"/>
  <c r="P1365" i="1" s="1"/>
  <c r="N1364" i="1" a="1"/>
  <c r="N1364" i="1" s="1"/>
  <c r="J1364" i="1" a="1"/>
  <c r="J1364" i="1"/>
  <c r="F1364" i="1" a="1"/>
  <c r="F1364" i="1"/>
  <c r="O1366" i="1" a="1"/>
  <c r="O1366" i="1"/>
  <c r="G1367" i="1" a="1"/>
  <c r="G1367" i="1"/>
  <c r="M1366" i="1" a="1"/>
  <c r="M1366" i="1"/>
  <c r="P1363" i="1" a="1"/>
  <c r="P1363" i="1" s="1"/>
  <c r="K1365" i="1" a="1"/>
  <c r="K1365" i="1"/>
  <c r="F1365" i="1" a="1"/>
  <c r="F1365" i="1" s="1"/>
  <c r="K1364" i="1" a="1"/>
  <c r="K1364" i="1" s="1"/>
  <c r="F1369" i="1" a="1"/>
  <c r="F1369" i="1" s="1"/>
  <c r="H1368" i="1" a="1"/>
  <c r="H1368" i="1" s="1"/>
  <c r="Q1368" i="1" a="1"/>
  <c r="Q1368" i="1"/>
  <c r="P1368" i="1" a="1"/>
  <c r="P1368" i="1"/>
  <c r="O1368" i="1" a="1"/>
  <c r="O1368" i="1" s="1"/>
  <c r="N1368" i="1" a="1"/>
  <c r="N1368" i="1" s="1"/>
  <c r="M1368" i="1" a="1"/>
  <c r="M1368" i="1" s="1"/>
  <c r="Q1366" i="1" a="1"/>
  <c r="Q1366" i="1" s="1"/>
  <c r="H1367" i="1" a="1"/>
  <c r="H1367" i="1" s="1"/>
  <c r="G1368" i="1" a="1"/>
  <c r="G1368" i="1" s="1"/>
  <c r="I1366" i="1" a="1"/>
  <c r="I1366" i="1" s="1"/>
  <c r="Q1363" i="1" a="1"/>
  <c r="Q1363" i="1" s="1"/>
  <c r="L1365" i="1" a="1"/>
  <c r="L1365" i="1"/>
  <c r="I1367" i="1" a="1"/>
  <c r="I1367" i="1" s="1"/>
  <c r="L1368" i="1" a="1"/>
  <c r="L1368" i="1"/>
  <c r="O1367" i="1" a="1"/>
  <c r="O1367" i="1"/>
  <c r="M1364" i="1" a="1"/>
  <c r="M1364" i="1"/>
  <c r="F1367" i="1" a="1"/>
  <c r="F1367" i="1"/>
  <c r="J1366" i="1" a="1"/>
  <c r="J1366" i="1" s="1"/>
  <c r="L1364" i="1" a="1"/>
  <c r="L1364" i="1"/>
  <c r="O1365" i="1" a="1"/>
  <c r="O1365" i="1"/>
  <c r="L1366" i="1" a="1"/>
  <c r="L1366" i="1" s="1"/>
  <c r="Q1365" i="1" a="1"/>
  <c r="Q1365" i="1"/>
  <c r="M1365" i="1" a="1"/>
  <c r="M1365" i="1"/>
  <c r="J1368" i="1" a="1"/>
  <c r="J1368" i="1"/>
  <c r="G1366" i="1" a="1"/>
  <c r="G1366" i="1" s="1"/>
  <c r="G1364" i="1" a="1"/>
  <c r="G1364" i="1"/>
  <c r="F1368" i="1" a="1"/>
  <c r="F1368" i="1" s="1"/>
  <c r="K1367" i="1" a="1"/>
  <c r="K1367" i="1" s="1"/>
  <c r="F2224" i="1" a="1"/>
  <c r="F2224" i="1" s="1"/>
  <c r="F2221" i="1" a="1"/>
  <c r="F2221" i="1" s="1"/>
  <c r="M2224" i="1" a="1"/>
  <c r="M2224" i="1"/>
  <c r="N2222" i="1" a="1"/>
  <c r="N2222" i="1" s="1"/>
  <c r="Q2221" i="1" a="1"/>
  <c r="Q2221" i="1" s="1"/>
  <c r="O2222" i="1" a="1"/>
  <c r="O2222" i="1" s="1"/>
  <c r="O2224" i="1" a="1"/>
  <c r="O2224" i="1" s="1"/>
  <c r="O2225" i="1" s="1" a="1"/>
  <c r="O2225" i="1" s="1"/>
  <c r="I2224" i="1" a="1"/>
  <c r="I2224" i="1"/>
  <c r="I2225" i="1" s="1" a="1"/>
  <c r="I2225" i="1" s="1"/>
  <c r="N2224" i="1" a="1"/>
  <c r="N2224" i="1" s="1"/>
  <c r="N2225" i="1" s="1" a="1"/>
  <c r="N2225" i="1" s="1"/>
  <c r="G2224" i="1" a="1"/>
  <c r="G2224" i="1"/>
  <c r="G2225" i="1" s="1" a="1"/>
  <c r="G2225" i="1" s="1"/>
  <c r="K2224" i="1" a="1"/>
  <c r="K2224" i="1"/>
  <c r="K2225" i="1" s="1" a="1"/>
  <c r="K2225" i="1" s="1"/>
  <c r="H2224" i="1" a="1"/>
  <c r="H2224" i="1"/>
  <c r="H2225" i="1" s="1" a="1"/>
  <c r="H2225" i="1" s="1"/>
  <c r="G2222" i="1" a="1"/>
  <c r="G2222" i="1" s="1"/>
  <c r="P2222" i="1" a="1"/>
  <c r="P2222" i="1" s="1"/>
  <c r="M2222" i="1" a="1"/>
  <c r="M2222" i="1"/>
  <c r="J2222" i="1" a="1"/>
  <c r="J2222" i="1" s="1"/>
  <c r="G2221" i="1" a="1"/>
  <c r="G2221" i="1"/>
  <c r="P2221" i="1" a="1"/>
  <c r="P2221" i="1"/>
  <c r="L2222" i="1" a="1"/>
  <c r="L2222" i="1"/>
  <c r="H2222" i="1" a="1"/>
  <c r="H2222" i="1" s="1"/>
  <c r="K2222" i="1" a="1"/>
  <c r="K2222" i="1"/>
  <c r="F2222" i="1" a="1"/>
  <c r="F2222" i="1"/>
  <c r="H2221" i="1" a="1"/>
  <c r="H2221" i="1" s="1"/>
  <c r="F2225" i="1" a="1"/>
  <c r="F2225" i="1" s="1"/>
  <c r="Q2224" i="1" a="1"/>
  <c r="Q2224" i="1" s="1"/>
  <c r="Q2225" i="1" s="1" a="1"/>
  <c r="Q2225" i="1" s="1"/>
  <c r="Q2222" i="1" a="1"/>
  <c r="Q2222" i="1"/>
  <c r="I2221" i="1" a="1"/>
  <c r="I2221" i="1"/>
  <c r="O2221" i="1" a="1"/>
  <c r="O2221" i="1"/>
  <c r="L2224" i="1" a="1"/>
  <c r="L2224" i="1" s="1"/>
  <c r="L2225" i="1" s="1" a="1"/>
  <c r="L2225" i="1" s="1"/>
  <c r="N2221" i="1" a="1"/>
  <c r="N2221" i="1"/>
  <c r="P2220" i="1" a="1"/>
  <c r="P2220" i="1" s="1"/>
  <c r="J2221" i="1" a="1"/>
  <c r="J2221" i="1" s="1"/>
  <c r="P2224" i="1" a="1"/>
  <c r="P2224" i="1"/>
  <c r="P2225" i="1" s="1" a="1"/>
  <c r="P2225" i="1" s="1"/>
  <c r="K2221" i="1" a="1"/>
  <c r="K2221" i="1" s="1"/>
  <c r="I2226" i="1" a="1"/>
  <c r="I2226" i="1"/>
  <c r="H2226" i="1" a="1"/>
  <c r="H2226" i="1" s="1"/>
  <c r="G2226" i="1" a="1"/>
  <c r="G2226" i="1" s="1"/>
  <c r="M2221" i="1" a="1"/>
  <c r="M2221" i="1" s="1"/>
  <c r="I2222" i="1" a="1"/>
  <c r="I2222" i="1"/>
  <c r="L2221" i="1" a="1"/>
  <c r="L2221" i="1"/>
  <c r="F2226" i="1" a="1"/>
  <c r="F2226" i="1"/>
  <c r="J2224" i="1" a="1"/>
  <c r="J2224" i="1"/>
  <c r="J2225" i="1" s="1" a="1"/>
  <c r="J2225" i="1" s="1"/>
  <c r="M2225" i="1" a="1"/>
  <c r="M2225" i="1" s="1"/>
  <c r="P2217" i="1" a="1"/>
  <c r="P2217" i="1"/>
  <c r="J2217" i="1" a="1"/>
  <c r="J2217" i="1" s="1"/>
  <c r="Q2216" i="1" a="1"/>
  <c r="Q2216" i="1" s="1"/>
  <c r="F2217" i="1" a="1"/>
  <c r="F2217" i="1"/>
  <c r="F2218" i="1" s="1" a="1"/>
  <c r="F2218" i="1" s="1"/>
  <c r="H2219" i="1" a="1"/>
  <c r="H2219" i="1"/>
  <c r="H2220" i="1" s="1" a="1"/>
  <c r="H2220" i="1" s="1"/>
  <c r="J2218" i="1" a="1"/>
  <c r="J2218" i="1" s="1"/>
  <c r="P2218" i="1" a="1"/>
  <c r="P2218" i="1" s="1"/>
  <c r="M2217" i="1" a="1"/>
  <c r="M2217" i="1" s="1"/>
  <c r="M2218" i="1" s="1" a="1"/>
  <c r="M2218" i="1" s="1"/>
  <c r="Q2217" i="1" a="1"/>
  <c r="Q2217" i="1" s="1"/>
  <c r="O2219" i="1" a="1"/>
  <c r="O2219" i="1"/>
  <c r="O2220" i="1" s="1" a="1"/>
  <c r="O2220" i="1" s="1"/>
  <c r="N2219" i="1" a="1"/>
  <c r="N2219" i="1"/>
  <c r="N2220" i="1" s="1" a="1"/>
  <c r="N2220" i="1" s="1"/>
  <c r="Q2218" i="1" a="1"/>
  <c r="Q2218" i="1" s="1"/>
  <c r="O2217" i="1" a="1"/>
  <c r="O2217" i="1"/>
  <c r="O2218" i="1" s="1" a="1"/>
  <c r="O2218" i="1" s="1"/>
  <c r="H2217" i="1" a="1"/>
  <c r="H2217" i="1" s="1"/>
  <c r="H2218" i="1" s="1" a="1"/>
  <c r="H2218" i="1" s="1"/>
  <c r="N2217" i="1" a="1"/>
  <c r="N2217" i="1"/>
  <c r="N2218" i="1" s="1" a="1"/>
  <c r="N2218" i="1" s="1"/>
  <c r="K2217" i="1" a="1"/>
  <c r="K2217" i="1" s="1"/>
  <c r="K2218" i="1" s="1" a="1"/>
  <c r="K2218" i="1" s="1"/>
  <c r="P2216" i="1" a="1"/>
  <c r="P2216" i="1"/>
  <c r="O2216" i="1" a="1"/>
  <c r="O2216" i="1"/>
  <c r="Q2219" i="1" a="1"/>
  <c r="Q2219" i="1"/>
  <c r="Q2220" i="1" s="1" a="1"/>
  <c r="Q2220" i="1" s="1"/>
  <c r="I2218" i="1" a="1"/>
  <c r="I2218" i="1"/>
  <c r="P2219" i="1" a="1"/>
  <c r="P2219" i="1" s="1"/>
  <c r="M2219" i="1" a="1"/>
  <c r="M2219" i="1"/>
  <c r="M2220" i="1" s="1" a="1"/>
  <c r="M2220" i="1" s="1"/>
  <c r="I2217" i="1" a="1"/>
  <c r="I2217" i="1"/>
  <c r="G2217" i="1" a="1"/>
  <c r="G2217" i="1"/>
  <c r="G2218" i="1" s="1" a="1"/>
  <c r="N2216" i="1" a="1"/>
  <c r="N2216" i="1" s="1"/>
  <c r="L2219" i="1" a="1"/>
  <c r="L2219" i="1" s="1"/>
  <c r="L2220" i="1" s="1" a="1"/>
  <c r="L2220" i="1" s="1"/>
  <c r="K2219" i="1" a="1"/>
  <c r="K2219" i="1"/>
  <c r="K2220" i="1" s="1" a="1"/>
  <c r="K2220" i="1" s="1"/>
  <c r="M2216" i="1" a="1"/>
  <c r="M2216" i="1" s="1"/>
  <c r="J2219" i="1" a="1"/>
  <c r="J2219" i="1" s="1"/>
  <c r="J2220" i="1" s="1" a="1"/>
  <c r="J2220" i="1" s="1"/>
  <c r="I2219" i="1" a="1"/>
  <c r="I2219" i="1" s="1"/>
  <c r="I2220" i="1" s="1" a="1"/>
  <c r="I2220" i="1" s="1"/>
  <c r="L2217" i="1" a="1"/>
  <c r="L2217" i="1"/>
  <c r="L2218" i="1" s="1" a="1"/>
  <c r="L2218" i="1" s="1"/>
  <c r="G2219" i="1" a="1"/>
  <c r="G2219" i="1" s="1"/>
  <c r="G2220" i="1" s="1" a="1"/>
  <c r="G2220" i="1" s="1"/>
  <c r="F2219" i="1" a="1"/>
  <c r="F2219" i="1" s="1"/>
  <c r="F2220" i="1" s="1" a="1"/>
  <c r="F2220" i="1" s="1"/>
  <c r="G2218" i="1"/>
  <c r="N2212" i="1" a="1"/>
  <c r="N2212" i="1" s="1"/>
  <c r="P2214" i="1" a="1"/>
  <c r="P2214" i="1" s="1"/>
  <c r="P2215" i="1" s="1" a="1"/>
  <c r="P2215" i="1" s="1"/>
  <c r="Q2214" i="1" a="1"/>
  <c r="Q2214" i="1"/>
  <c r="Q2215" i="1" s="1" a="1"/>
  <c r="Q2215" i="1" s="1"/>
  <c r="H2214" i="1" a="1"/>
  <c r="H2214" i="1" s="1"/>
  <c r="H2215" i="1" s="1" a="1"/>
  <c r="H2215" i="1" s="1"/>
  <c r="G2212" i="1" a="1"/>
  <c r="G2212" i="1"/>
  <c r="N2211" i="1" a="1"/>
  <c r="N2211" i="1"/>
  <c r="J2211" i="1" a="1"/>
  <c r="J2211" i="1"/>
  <c r="J2212" i="1" a="1"/>
  <c r="J2212" i="1" s="1"/>
  <c r="H2216" i="1" a="1"/>
  <c r="H2216" i="1"/>
  <c r="K2211" i="1" a="1"/>
  <c r="K2211" i="1" s="1"/>
  <c r="P2210" i="1" a="1"/>
  <c r="P2210" i="1" s="1"/>
  <c r="G2216" i="1" a="1"/>
  <c r="G2216" i="1"/>
  <c r="F2216" i="1" a="1"/>
  <c r="F2216" i="1" s="1"/>
  <c r="L2212" i="1" a="1"/>
  <c r="L2212" i="1"/>
  <c r="K2215" i="1" a="1"/>
  <c r="K2215" i="1" s="1"/>
  <c r="M2212" i="1" a="1"/>
  <c r="M2212" i="1"/>
  <c r="Q2212" i="1" a="1"/>
  <c r="Q2212" i="1" s="1"/>
  <c r="P2212" i="1" a="1"/>
  <c r="P2212" i="1" s="1"/>
  <c r="F2212" i="1" a="1"/>
  <c r="F2212" i="1" s="1"/>
  <c r="M2214" i="1" a="1"/>
  <c r="M2214" i="1" s="1"/>
  <c r="M2215" i="1" s="1" a="1"/>
  <c r="M2215" i="1" s="1"/>
  <c r="F2214" i="1" a="1"/>
  <c r="F2214" i="1"/>
  <c r="F2215" i="1" s="1" a="1"/>
  <c r="F2215" i="1" s="1"/>
  <c r="O2214" i="1" a="1"/>
  <c r="O2214" i="1" s="1"/>
  <c r="O2215" i="1" s="1" a="1"/>
  <c r="O2215" i="1" s="1"/>
  <c r="H2212" i="1" a="1"/>
  <c r="H2212" i="1"/>
  <c r="I2212" i="1" a="1"/>
  <c r="I2212" i="1" s="1"/>
  <c r="F2211" i="1" a="1"/>
  <c r="F2211" i="1"/>
  <c r="O2211" i="1" a="1"/>
  <c r="O2211" i="1" s="1"/>
  <c r="K2214" i="1" a="1"/>
  <c r="K2214" i="1"/>
  <c r="H2211" i="1" a="1"/>
  <c r="H2211" i="1" s="1"/>
  <c r="L2216" i="1" a="1"/>
  <c r="L2216" i="1" s="1"/>
  <c r="L2214" i="1" a="1"/>
  <c r="L2214" i="1"/>
  <c r="K2216" i="1" a="1"/>
  <c r="K2216" i="1"/>
  <c r="J2216" i="1" a="1"/>
  <c r="J2216" i="1" s="1"/>
  <c r="K2212" i="1" a="1"/>
  <c r="K2212" i="1"/>
  <c r="P2211" i="1" a="1"/>
  <c r="P2211" i="1" s="1"/>
  <c r="Q2210" i="1" a="1"/>
  <c r="Q2210" i="1"/>
  <c r="M2211" i="1" a="1"/>
  <c r="M2211" i="1"/>
  <c r="I2216" i="1" a="1"/>
  <c r="I2216" i="1" s="1"/>
  <c r="J2214" i="1" a="1"/>
  <c r="J2214" i="1"/>
  <c r="J2215" i="1" s="1" a="1"/>
  <c r="J2215" i="1" s="1"/>
  <c r="Q2211" i="1" a="1"/>
  <c r="Q2211" i="1" s="1"/>
  <c r="G2211" i="1" a="1"/>
  <c r="G2211" i="1"/>
  <c r="O2212" i="1" a="1"/>
  <c r="O2212" i="1" s="1"/>
  <c r="N2215" i="1" a="1"/>
  <c r="N2215" i="1" s="1"/>
  <c r="N2214" i="1" a="1"/>
  <c r="N2214" i="1" s="1"/>
  <c r="G2214" i="1" a="1"/>
  <c r="G2214" i="1" s="1"/>
  <c r="I2211" i="1" a="1"/>
  <c r="I2211" i="1" s="1"/>
  <c r="L2211" i="1" a="1"/>
  <c r="L2211" i="1" s="1"/>
  <c r="G2215" i="1" a="1"/>
  <c r="G2215" i="1" s="1"/>
  <c r="L2215" i="1" a="1"/>
  <c r="L2215" i="1" s="1"/>
  <c r="I2214" i="1" a="1"/>
  <c r="I2214" i="1" s="1"/>
  <c r="I2215" i="1" s="1" a="1"/>
  <c r="I2215" i="1" s="1"/>
  <c r="M2207" i="1" a="1"/>
  <c r="M2207" i="1"/>
  <c r="N2206" i="1" a="1"/>
  <c r="N2206" i="1" s="1"/>
  <c r="F2206" i="1" a="1"/>
  <c r="F2206" i="1"/>
  <c r="P2209" i="1" a="1"/>
  <c r="P2209" i="1"/>
  <c r="L2208" i="1" a="1"/>
  <c r="L2208" i="1"/>
  <c r="Q2206" i="1" a="1"/>
  <c r="Q2206" i="1" s="1"/>
  <c r="M2206" i="1" a="1"/>
  <c r="M2206" i="1"/>
  <c r="K2206" i="1" a="1"/>
  <c r="K2206" i="1"/>
  <c r="O2207" i="1" a="1"/>
  <c r="O2207" i="1" s="1"/>
  <c r="L2206" i="1" a="1"/>
  <c r="L2206" i="1" s="1"/>
  <c r="Q2207" i="1" a="1"/>
  <c r="Q2207" i="1"/>
  <c r="I2209" i="1" a="1"/>
  <c r="I2209" i="1" s="1"/>
  <c r="O2209" i="1" a="1"/>
  <c r="O2209" i="1" s="1"/>
  <c r="N2209" i="1" a="1"/>
  <c r="N2209" i="1"/>
  <c r="M2209" i="1" a="1"/>
  <c r="M2209" i="1" s="1"/>
  <c r="J2209" i="1" a="1"/>
  <c r="J2209" i="1"/>
  <c r="K2208" i="1" a="1"/>
  <c r="K2208" i="1" s="1"/>
  <c r="I2208" i="1" a="1"/>
  <c r="I2208" i="1"/>
  <c r="F2208" i="1" a="1"/>
  <c r="F2208" i="1"/>
  <c r="G2206" i="1" a="1"/>
  <c r="G2206" i="1"/>
  <c r="P2206" i="1" a="1"/>
  <c r="P2206" i="1" s="1"/>
  <c r="O2208" i="1" a="1"/>
  <c r="O2208" i="1" s="1"/>
  <c r="J2208" i="1" a="1"/>
  <c r="J2208" i="1" s="1"/>
  <c r="J2207" i="1" a="1"/>
  <c r="J2207" i="1" s="1"/>
  <c r="N2207" i="1" a="1"/>
  <c r="N2207" i="1"/>
  <c r="Q2205" i="1" a="1"/>
  <c r="Q2205" i="1"/>
  <c r="O2205" i="1" a="1"/>
  <c r="O2205" i="1"/>
  <c r="Q2208" i="1" a="1"/>
  <c r="Q2208" i="1" s="1"/>
  <c r="H2206" i="1" a="1"/>
  <c r="H2206" i="1" s="1"/>
  <c r="K2209" i="1" a="1"/>
  <c r="K2209" i="1"/>
  <c r="P2205" i="1" a="1"/>
  <c r="P2205" i="1" s="1"/>
  <c r="O2206" i="1" a="1"/>
  <c r="O2206" i="1"/>
  <c r="G2208" i="1" a="1"/>
  <c r="G2208" i="1" s="1"/>
  <c r="P2208" i="1" a="1"/>
  <c r="P2208" i="1"/>
  <c r="O2210" i="1" a="1"/>
  <c r="O2210" i="1"/>
  <c r="N2210" i="1" a="1"/>
  <c r="N2210" i="1"/>
  <c r="M2210" i="1" a="1"/>
  <c r="M2210" i="1"/>
  <c r="I2207" i="1" a="1"/>
  <c r="I2207" i="1" s="1"/>
  <c r="L2210" i="1" a="1"/>
  <c r="L2210" i="1" s="1"/>
  <c r="J2206" i="1" a="1"/>
  <c r="J2206" i="1"/>
  <c r="L2209" i="1" a="1"/>
  <c r="L2209" i="1"/>
  <c r="K2210" i="1" a="1"/>
  <c r="K2210" i="1"/>
  <c r="J2210" i="1" a="1"/>
  <c r="J2210" i="1" s="1"/>
  <c r="G2209" i="1" a="1"/>
  <c r="G2209" i="1" s="1"/>
  <c r="P2207" i="1" a="1"/>
  <c r="P2207" i="1"/>
  <c r="H2209" i="1" a="1"/>
  <c r="H2209" i="1" s="1"/>
  <c r="H2208" i="1" a="1"/>
  <c r="H2208" i="1"/>
  <c r="F2207" i="1" a="1"/>
  <c r="F2207" i="1" s="1"/>
  <c r="I2206" i="1" a="1"/>
  <c r="I2206" i="1" s="1"/>
  <c r="N2205" i="1" a="1"/>
  <c r="N2205" i="1" s="1"/>
  <c r="I2210" i="1" a="1"/>
  <c r="I2210" i="1" s="1"/>
  <c r="Q2209" i="1" a="1"/>
  <c r="Q2209" i="1" s="1"/>
  <c r="F2209" i="1" a="1"/>
  <c r="F2209" i="1" s="1"/>
  <c r="M2208" i="1" a="1"/>
  <c r="M2208" i="1"/>
  <c r="K2207" i="1" a="1"/>
  <c r="K2207" i="1"/>
  <c r="H2207" i="1" a="1"/>
  <c r="H2207" i="1"/>
  <c r="N2208" i="1" a="1"/>
  <c r="N2208" i="1"/>
  <c r="L2207" i="1" a="1"/>
  <c r="L2207" i="1"/>
  <c r="H2210" i="1" a="1"/>
  <c r="H2210" i="1" s="1"/>
  <c r="G2210" i="1" a="1"/>
  <c r="G2210" i="1" s="1"/>
  <c r="F2210" i="1" a="1"/>
  <c r="F2210" i="1"/>
  <c r="G2207" i="1" a="1"/>
  <c r="G2207" i="1" s="1"/>
  <c r="H2231" i="1" a="1"/>
  <c r="H2231" i="1"/>
  <c r="F2231" i="1" a="1"/>
  <c r="F2231" i="1" s="1"/>
  <c r="G2231" i="1" a="1"/>
  <c r="G2231" i="1"/>
  <c r="L2230" i="1" a="1"/>
  <c r="L2230" i="1" s="1"/>
  <c r="G2230" i="1" a="1"/>
  <c r="G2230" i="1" s="1"/>
  <c r="Q2230" i="1"/>
  <c r="K2230" i="1" a="1"/>
  <c r="K2230" i="1" s="1"/>
  <c r="Q2229" i="1" a="1"/>
  <c r="Q2229" i="1"/>
  <c r="Q2230" i="1" s="1" a="1"/>
  <c r="P2231" i="1" a="1"/>
  <c r="P2231" i="1" s="1"/>
  <c r="M2231" i="1" a="1"/>
  <c r="M2231" i="1"/>
  <c r="L2231" i="1" a="1"/>
  <c r="L2231" i="1"/>
  <c r="K2232" i="1" a="1"/>
  <c r="K2232" i="1"/>
  <c r="J2232" i="1" a="1"/>
  <c r="J2232" i="1" s="1"/>
  <c r="I2232" i="1" a="1"/>
  <c r="I2232" i="1" s="1"/>
  <c r="H2232" i="1" a="1"/>
  <c r="H2232" i="1"/>
  <c r="G2232" i="1" a="1"/>
  <c r="G2232" i="1"/>
  <c r="J2231" i="1" a="1"/>
  <c r="J2231" i="1" s="1"/>
  <c r="F2230" i="1" a="1"/>
  <c r="F2230" i="1"/>
  <c r="N2231" i="1" a="1"/>
  <c r="N2231" i="1" s="1"/>
  <c r="F2232" i="1" a="1"/>
  <c r="F2232" i="1" s="1"/>
  <c r="Q2231" i="1" a="1"/>
  <c r="Q2231" i="1" s="1"/>
  <c r="O2231" i="1" a="1"/>
  <c r="O2231" i="1"/>
  <c r="K2231" i="1" a="1"/>
  <c r="K2231" i="1" s="1"/>
  <c r="I2231" i="1" a="1"/>
  <c r="I2231" i="1"/>
  <c r="M2230" i="1" a="1"/>
  <c r="M2230" i="1"/>
  <c r="I2229" i="1" a="1"/>
  <c r="I2229" i="1" s="1"/>
  <c r="I2230" i="1" s="1" a="1"/>
  <c r="I2230" i="1" s="1"/>
  <c r="G2229" i="1" a="1"/>
  <c r="G2229" i="1" s="1"/>
  <c r="F2229" i="1" a="1"/>
  <c r="F2229" i="1" s="1"/>
  <c r="K2227" i="1" a="1"/>
  <c r="K2227" i="1"/>
  <c r="H2229" i="1" a="1"/>
  <c r="H2229" i="1" s="1"/>
  <c r="H2230" i="1" s="1" a="1"/>
  <c r="H2230" i="1" s="1"/>
  <c r="H2228" i="1" a="1"/>
  <c r="H2228" i="1"/>
  <c r="Q2227" i="1" a="1"/>
  <c r="Q2227" i="1"/>
  <c r="Q2228" i="1" s="1" a="1"/>
  <c r="Q2228" i="1" s="1"/>
  <c r="O2227" i="1" a="1"/>
  <c r="O2227" i="1" s="1"/>
  <c r="O2228" i="1" s="1" a="1"/>
  <c r="O2228" i="1" s="1"/>
  <c r="J2227" i="1" a="1"/>
  <c r="J2227" i="1"/>
  <c r="J2228" i="1" s="1" a="1"/>
  <c r="J2228" i="1" s="1"/>
  <c r="J2226" i="1" a="1"/>
  <c r="J2226" i="1"/>
  <c r="K2228" i="1" a="1"/>
  <c r="K2228" i="1"/>
  <c r="M2226" i="1" a="1"/>
  <c r="M2226" i="1" s="1"/>
  <c r="L2226" i="1" a="1"/>
  <c r="L2226" i="1"/>
  <c r="P2229" i="1" a="1"/>
  <c r="P2229" i="1"/>
  <c r="P2230" i="1" s="1" a="1"/>
  <c r="P2230" i="1" s="1"/>
  <c r="O2229" i="1" a="1"/>
  <c r="O2229" i="1" s="1"/>
  <c r="O2230" i="1" s="1" a="1"/>
  <c r="O2230" i="1" s="1"/>
  <c r="G2228" i="1"/>
  <c r="N2229" i="1" a="1"/>
  <c r="N2229" i="1"/>
  <c r="N2230" i="1" s="1" a="1"/>
  <c r="N2230" i="1" s="1"/>
  <c r="M2229" i="1" a="1"/>
  <c r="M2229" i="1"/>
  <c r="L2229" i="1" a="1"/>
  <c r="L2229" i="1"/>
  <c r="K2229" i="1" a="1"/>
  <c r="K2229" i="1"/>
  <c r="J2229" i="1" a="1"/>
  <c r="J2229" i="1" s="1"/>
  <c r="J2230" i="1" s="1" a="1"/>
  <c r="J2230" i="1" s="1"/>
  <c r="I2227" i="1" a="1"/>
  <c r="I2227" i="1" s="1"/>
  <c r="I2228" i="1" s="1" a="1"/>
  <c r="I2228" i="1" s="1"/>
  <c r="Q2226" i="1" a="1"/>
  <c r="Q2226" i="1" s="1"/>
  <c r="L2227" i="1" a="1"/>
  <c r="L2227" i="1" s="1"/>
  <c r="L2228" i="1" s="1" a="1"/>
  <c r="L2228" i="1" s="1"/>
  <c r="H2227" i="1" a="1"/>
  <c r="H2227" i="1" s="1"/>
  <c r="O2226" i="1" a="1"/>
  <c r="O2226" i="1" s="1"/>
  <c r="N2226" i="1" a="1"/>
  <c r="N2226" i="1"/>
  <c r="N2227" i="1" a="1"/>
  <c r="N2227" i="1" s="1"/>
  <c r="N2228" i="1" s="1" a="1"/>
  <c r="N2228" i="1" s="1"/>
  <c r="P2227" i="1" a="1"/>
  <c r="P2227" i="1"/>
  <c r="P2228" i="1" s="1" a="1"/>
  <c r="P2228" i="1" s="1"/>
  <c r="G2227" i="1" a="1"/>
  <c r="G2227" i="1" s="1"/>
  <c r="G2228" i="1" s="1" a="1"/>
  <c r="F2227" i="1" a="1"/>
  <c r="F2227" i="1" s="1"/>
  <c r="F2228" i="1" s="1" a="1"/>
  <c r="F2228" i="1" s="1"/>
  <c r="P2226" i="1" a="1"/>
  <c r="P2226" i="1" s="1"/>
  <c r="M2228" i="1" a="1"/>
  <c r="M2228" i="1" s="1"/>
  <c r="K2226" i="1" a="1"/>
  <c r="K2226" i="1" s="1"/>
  <c r="M2227" i="1" a="1"/>
  <c r="M2227" i="1" s="1"/>
  <c r="Q1107" i="1"/>
  <c r="N1107" i="1"/>
  <c r="L1107" i="1"/>
  <c r="K1107" i="1"/>
  <c r="G1107" i="1"/>
  <c r="F1107" i="1"/>
  <c r="Q1106" i="1"/>
  <c r="P1106" i="1"/>
  <c r="M1106" i="1"/>
  <c r="K1106" i="1"/>
  <c r="J1106" i="1"/>
  <c r="I1106" i="1"/>
  <c r="G1106" i="1"/>
  <c r="F1106" i="1"/>
  <c r="Q1104" i="1"/>
  <c r="P1104" i="1"/>
  <c r="O1104" i="1"/>
  <c r="H1104" i="1"/>
  <c r="O1102" i="1"/>
  <c r="N1102" i="1"/>
  <c r="M1102" i="1"/>
  <c r="I1102" i="1"/>
  <c r="H1102" i="1"/>
  <c r="G1102" i="1"/>
  <c r="F1102" i="1"/>
  <c r="Q1100" i="1"/>
  <c r="O1100" i="1"/>
  <c r="M1100" i="1"/>
  <c r="L1100" i="1"/>
  <c r="K1100" i="1"/>
  <c r="I1100" i="1"/>
  <c r="F1100" i="1"/>
  <c r="P1094" i="1"/>
  <c r="O1094" i="1"/>
  <c r="L1094" i="1"/>
  <c r="K1094" i="1"/>
  <c r="J1094" i="1"/>
  <c r="N1090" i="1"/>
  <c r="M1090" i="1"/>
  <c r="K1090" i="1"/>
  <c r="J1090" i="1"/>
  <c r="I1090" i="1"/>
  <c r="H1090" i="1"/>
  <c r="Q1089" i="1"/>
  <c r="P1089" i="1"/>
  <c r="N1089" i="1"/>
  <c r="K1089" i="1"/>
  <c r="J1089" i="1"/>
  <c r="H1089" i="1"/>
  <c r="G1089" i="1"/>
  <c r="P1087" i="1"/>
  <c r="O1087" i="1"/>
  <c r="H1087" i="1"/>
  <c r="F1087" i="1"/>
  <c r="Q1085" i="1"/>
  <c r="P1085" i="1"/>
  <c r="O1085" i="1"/>
  <c r="L1085" i="1"/>
  <c r="K1085" i="1"/>
  <c r="H1085" i="1"/>
  <c r="F1085" i="1"/>
  <c r="P1084" i="1"/>
  <c r="O1084" i="1"/>
  <c r="N1084" i="1"/>
  <c r="K1084" i="1"/>
  <c r="Q1082" i="1"/>
  <c r="P1082" i="1"/>
  <c r="O1082" i="1"/>
  <c r="N1082" i="1"/>
  <c r="M1082" i="1"/>
  <c r="L1082" i="1"/>
  <c r="K1082" i="1"/>
  <c r="J1082" i="1"/>
  <c r="I1082" i="1"/>
  <c r="H1082" i="1"/>
  <c r="G1082" i="1"/>
  <c r="F1082" i="1"/>
  <c r="Q1081" i="1"/>
  <c r="P1081" i="1"/>
  <c r="P1107" i="1" s="1"/>
  <c r="O1081" i="1"/>
  <c r="O1107" i="1" s="1"/>
  <c r="N1081" i="1"/>
  <c r="M1081" i="1"/>
  <c r="M1107" i="1" s="1"/>
  <c r="L1081" i="1"/>
  <c r="K1081" i="1"/>
  <c r="J1081" i="1"/>
  <c r="J1107" i="1" s="1"/>
  <c r="I1081" i="1"/>
  <c r="I1107" i="1" s="1"/>
  <c r="H1081" i="1"/>
  <c r="H1107" i="1" s="1"/>
  <c r="G1081" i="1"/>
  <c r="F1081" i="1"/>
  <c r="Q1080" i="1"/>
  <c r="P1080" i="1"/>
  <c r="O1080" i="1"/>
  <c r="O1106" i="1" s="1"/>
  <c r="N1080" i="1"/>
  <c r="N1106" i="1" s="1"/>
  <c r="M1080" i="1"/>
  <c r="L1080" i="1"/>
  <c r="L1106" i="1" s="1"/>
  <c r="K1080" i="1"/>
  <c r="J1080" i="1"/>
  <c r="I1080" i="1"/>
  <c r="H1080" i="1"/>
  <c r="H1106" i="1" s="1"/>
  <c r="G1080" i="1"/>
  <c r="F1080" i="1"/>
  <c r="Q1078" i="1"/>
  <c r="P1078" i="1"/>
  <c r="O1078" i="1"/>
  <c r="N1078" i="1"/>
  <c r="N1104" i="1" s="1"/>
  <c r="M1078" i="1"/>
  <c r="M1104" i="1" s="1"/>
  <c r="L1078" i="1"/>
  <c r="L1104" i="1" s="1"/>
  <c r="K1078" i="1"/>
  <c r="K1104" i="1" s="1"/>
  <c r="J1078" i="1"/>
  <c r="J1104" i="1" s="1"/>
  <c r="I1078" i="1"/>
  <c r="I1104" i="1" s="1"/>
  <c r="H1078" i="1"/>
  <c r="G1078" i="1"/>
  <c r="G1104" i="1" s="1"/>
  <c r="F1078" i="1"/>
  <c r="F1104" i="1" s="1"/>
  <c r="Q1076" i="1"/>
  <c r="Q1102" i="1" s="1"/>
  <c r="P1076" i="1"/>
  <c r="P1102" i="1" s="1"/>
  <c r="O1076" i="1"/>
  <c r="N1076" i="1"/>
  <c r="M1076" i="1"/>
  <c r="L1076" i="1"/>
  <c r="L1102" i="1" s="1"/>
  <c r="K1076" i="1"/>
  <c r="K1102" i="1" s="1"/>
  <c r="J1076" i="1"/>
  <c r="J1102" i="1" s="1"/>
  <c r="I1076" i="1"/>
  <c r="H1076" i="1"/>
  <c r="G1076" i="1"/>
  <c r="F1076" i="1"/>
  <c r="Q1074" i="1"/>
  <c r="P1074" i="1"/>
  <c r="P1100" i="1" s="1"/>
  <c r="O1074" i="1"/>
  <c r="N1074" i="1"/>
  <c r="N1100" i="1" s="1"/>
  <c r="M1074" i="1"/>
  <c r="L1074" i="1"/>
  <c r="K1074" i="1"/>
  <c r="J1074" i="1"/>
  <c r="J1100" i="1" s="1"/>
  <c r="I1074" i="1"/>
  <c r="H1074" i="1"/>
  <c r="H1100" i="1" s="1"/>
  <c r="G1074" i="1"/>
  <c r="G1100" i="1" s="1"/>
  <c r="F1074" i="1"/>
  <c r="Q1068" i="1"/>
  <c r="Q1094" i="1" s="1"/>
  <c r="P1068" i="1"/>
  <c r="O1068" i="1"/>
  <c r="N1068" i="1"/>
  <c r="N1094" i="1" s="1"/>
  <c r="M1068" i="1"/>
  <c r="M1094" i="1" s="1"/>
  <c r="L1068" i="1"/>
  <c r="K1068" i="1"/>
  <c r="J1068" i="1"/>
  <c r="I1068" i="1"/>
  <c r="I1094" i="1" s="1"/>
  <c r="H1068" i="1"/>
  <c r="H1094" i="1" s="1"/>
  <c r="G1068" i="1"/>
  <c r="G1094" i="1" s="1"/>
  <c r="F1068" i="1"/>
  <c r="F1094" i="1" s="1"/>
  <c r="Q1067" i="1"/>
  <c r="P1067" i="1"/>
  <c r="O1067" i="1"/>
  <c r="N1067" i="1"/>
  <c r="M1067" i="1"/>
  <c r="L1067" i="1"/>
  <c r="K1067" i="1"/>
  <c r="J1067" i="1"/>
  <c r="I1067" i="1"/>
  <c r="H1067" i="1"/>
  <c r="G1067" i="1"/>
  <c r="F1067" i="1"/>
  <c r="Q1066" i="1"/>
  <c r="P1066" i="1"/>
  <c r="O1066" i="1"/>
  <c r="N1066" i="1"/>
  <c r="M1066" i="1"/>
  <c r="L1066" i="1"/>
  <c r="K1066" i="1"/>
  <c r="J1066" i="1"/>
  <c r="I1066" i="1"/>
  <c r="H1066" i="1"/>
  <c r="G1066" i="1"/>
  <c r="F1066" i="1"/>
  <c r="Q1064" i="1"/>
  <c r="Q1090" i="1" s="1"/>
  <c r="P1064" i="1"/>
  <c r="P1090" i="1" s="1"/>
  <c r="O1064" i="1"/>
  <c r="O1090" i="1" s="1"/>
  <c r="N1064" i="1"/>
  <c r="M1064" i="1"/>
  <c r="L1064" i="1"/>
  <c r="L1090" i="1" s="1"/>
  <c r="K1064" i="1"/>
  <c r="J1064" i="1"/>
  <c r="I1064" i="1"/>
  <c r="H1064" i="1"/>
  <c r="G1064" i="1"/>
  <c r="G1090" i="1" s="1"/>
  <c r="F1064" i="1"/>
  <c r="F1090" i="1" s="1"/>
  <c r="Q1063" i="1"/>
  <c r="P1063" i="1"/>
  <c r="O1063" i="1"/>
  <c r="O1089" i="1" s="1"/>
  <c r="N1063" i="1"/>
  <c r="M1063" i="1"/>
  <c r="M1089" i="1" s="1"/>
  <c r="L1063" i="1"/>
  <c r="L1089" i="1" s="1"/>
  <c r="K1063" i="1"/>
  <c r="J1063" i="1"/>
  <c r="I1063" i="1"/>
  <c r="I1089" i="1" s="1"/>
  <c r="H1063" i="1"/>
  <c r="G1063" i="1"/>
  <c r="F1063" i="1"/>
  <c r="F1089" i="1" s="1"/>
  <c r="Q1061" i="1"/>
  <c r="Q1087" i="1" s="1"/>
  <c r="P1061" i="1"/>
  <c r="O1061" i="1"/>
  <c r="N1061" i="1"/>
  <c r="N1087" i="1" s="1"/>
  <c r="M1061" i="1"/>
  <c r="M1087" i="1" s="1"/>
  <c r="L1061" i="1"/>
  <c r="L1087" i="1" s="1"/>
  <c r="K1061" i="1"/>
  <c r="K1087" i="1" s="1"/>
  <c r="J1061" i="1"/>
  <c r="J1087" i="1" s="1"/>
  <c r="I1061" i="1"/>
  <c r="I1087" i="1" s="1"/>
  <c r="H1061" i="1"/>
  <c r="G1061" i="1"/>
  <c r="G1087" i="1" s="1"/>
  <c r="F1061" i="1"/>
  <c r="Q1059" i="1"/>
  <c r="P1059" i="1"/>
  <c r="O1059" i="1"/>
  <c r="N1059" i="1"/>
  <c r="N1085" i="1" s="1"/>
  <c r="M1059" i="1"/>
  <c r="M1085" i="1" s="1"/>
  <c r="L1059" i="1"/>
  <c r="K1059" i="1"/>
  <c r="J1059" i="1"/>
  <c r="J1085" i="1" s="1"/>
  <c r="I1059" i="1"/>
  <c r="I1085" i="1" s="1"/>
  <c r="H1059" i="1"/>
  <c r="G1059" i="1"/>
  <c r="G1085" i="1" s="1"/>
  <c r="F1059" i="1"/>
  <c r="Q1058" i="1"/>
  <c r="Q1084" i="1" s="1"/>
  <c r="P1058" i="1"/>
  <c r="O1058" i="1"/>
  <c r="N1058" i="1"/>
  <c r="M1058" i="1"/>
  <c r="M1084" i="1" s="1"/>
  <c r="L1058" i="1"/>
  <c r="L1084" i="1" s="1"/>
  <c r="K1058" i="1"/>
  <c r="J1058" i="1"/>
  <c r="J1084" i="1" s="1"/>
  <c r="I1058" i="1"/>
  <c r="I1084" i="1" s="1"/>
  <c r="H1058" i="1"/>
  <c r="H1084" i="1" s="1"/>
  <c r="G1058" i="1"/>
  <c r="G1084" i="1" s="1"/>
  <c r="F1058" i="1"/>
  <c r="F1084" i="1" s="1"/>
  <c r="Q1056" i="1"/>
  <c r="P1056" i="1"/>
  <c r="O1056" i="1"/>
  <c r="N1056" i="1"/>
  <c r="M1056" i="1"/>
  <c r="L1056" i="1"/>
  <c r="K1056" i="1"/>
  <c r="J1056" i="1"/>
  <c r="I1056" i="1"/>
  <c r="H1056" i="1"/>
  <c r="G1056" i="1"/>
  <c r="F1056" i="1"/>
  <c r="Q1055" i="1"/>
  <c r="P1055" i="1"/>
  <c r="O1055" i="1"/>
  <c r="N1055" i="1"/>
  <c r="M1055" i="1"/>
  <c r="L1055" i="1"/>
  <c r="K1055" i="1"/>
  <c r="J1055" i="1"/>
  <c r="I1055" i="1"/>
  <c r="H1055" i="1"/>
  <c r="G1055" i="1"/>
  <c r="F1055" i="1"/>
  <c r="Q1048" i="1"/>
  <c r="P1048" i="1"/>
  <c r="O1048" i="1"/>
  <c r="N1048" i="1"/>
  <c r="M1048" i="1"/>
  <c r="L1048" i="1"/>
  <c r="K1048" i="1"/>
  <c r="J1048" i="1"/>
  <c r="I1048" i="1"/>
  <c r="H1048" i="1"/>
  <c r="G1048" i="1"/>
  <c r="F1048" i="1"/>
  <c r="Q1042" i="1"/>
  <c r="P1042" i="1"/>
  <c r="O1042" i="1"/>
  <c r="N1042" i="1"/>
  <c r="M1042" i="1"/>
  <c r="L1042" i="1"/>
  <c r="K1042" i="1"/>
  <c r="J1042" i="1"/>
  <c r="I1042" i="1"/>
  <c r="H1042" i="1"/>
  <c r="G1042" i="1"/>
  <c r="F1042" i="1"/>
  <c r="Q1035" i="1"/>
  <c r="P1035" i="1"/>
  <c r="O1035" i="1"/>
  <c r="N1035" i="1"/>
  <c r="M1035" i="1"/>
  <c r="L1035" i="1"/>
  <c r="K1035" i="1"/>
  <c r="J1035" i="1"/>
  <c r="I1035" i="1"/>
  <c r="H1035" i="1"/>
  <c r="G1035" i="1"/>
  <c r="F1035" i="1"/>
  <c r="Q1030" i="1"/>
  <c r="P1030" i="1"/>
  <c r="O1030" i="1"/>
  <c r="N1030" i="1"/>
  <c r="M1030" i="1"/>
  <c r="L1030" i="1"/>
  <c r="K1030" i="1"/>
  <c r="J1030" i="1"/>
  <c r="I1030" i="1"/>
  <c r="H1030" i="1"/>
  <c r="G1030" i="1"/>
  <c r="F1030" i="1"/>
  <c r="Q1015" i="1"/>
  <c r="P1015" i="1"/>
  <c r="O1015" i="1"/>
  <c r="N1015" i="1"/>
  <c r="M1015" i="1"/>
  <c r="L1015" i="1"/>
  <c r="K1015" i="1"/>
  <c r="J1015" i="1"/>
  <c r="I1015" i="1"/>
  <c r="H1015" i="1"/>
  <c r="G1015" i="1"/>
  <c r="F1015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Q922" i="1"/>
  <c r="P922" i="1"/>
  <c r="O922" i="1"/>
  <c r="N922" i="1"/>
  <c r="M922" i="1"/>
  <c r="L922" i="1"/>
  <c r="K922" i="1"/>
  <c r="J922" i="1"/>
  <c r="I922" i="1"/>
  <c r="H922" i="1"/>
  <c r="G922" i="1"/>
  <c r="F922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Q904" i="1"/>
  <c r="Q901" i="1" s="1"/>
  <c r="P904" i="1"/>
  <c r="P901" i="1" s="1"/>
  <c r="O904" i="1"/>
  <c r="N904" i="1"/>
  <c r="M904" i="1"/>
  <c r="M901" i="1" s="1"/>
  <c r="L904" i="1"/>
  <c r="L901" i="1" s="1"/>
  <c r="K904" i="1"/>
  <c r="K901" i="1" s="1"/>
  <c r="J904" i="1"/>
  <c r="J901" i="1" s="1"/>
  <c r="I904" i="1"/>
  <c r="H904" i="1"/>
  <c r="G904" i="1"/>
  <c r="G901" i="1" s="1"/>
  <c r="F904" i="1"/>
  <c r="F901" i="1" s="1"/>
  <c r="O901" i="1"/>
  <c r="N901" i="1"/>
  <c r="I901" i="1"/>
  <c r="H901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Q895" i="1"/>
  <c r="P895" i="1"/>
  <c r="O895" i="1"/>
  <c r="N895" i="1"/>
  <c r="M895" i="1"/>
  <c r="L895" i="1"/>
  <c r="K895" i="1"/>
  <c r="J895" i="1"/>
  <c r="I895" i="1"/>
  <c r="H895" i="1"/>
  <c r="G895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O2312" i="1" a="1"/>
  <c r="O2312" i="1" s="1"/>
  <c r="M2310" i="1" a="1"/>
  <c r="M2310" i="1"/>
  <c r="J2312" i="1" a="1"/>
  <c r="J2312" i="1" s="1"/>
  <c r="N2310" i="1" a="1"/>
  <c r="N2310" i="1"/>
  <c r="O2310" i="1" a="1"/>
  <c r="O2310" i="1"/>
  <c r="L2312" i="1" a="1"/>
  <c r="L2312" i="1" s="1"/>
  <c r="P2310" i="1" a="1"/>
  <c r="P2310" i="1"/>
  <c r="I2310" i="1" a="1"/>
  <c r="I2310" i="1"/>
  <c r="Q2312" i="1" a="1"/>
  <c r="Q2312" i="1"/>
  <c r="P2312" i="1" a="1"/>
  <c r="P2312" i="1"/>
  <c r="K2312" i="1" a="1"/>
  <c r="K2312" i="1" s="1"/>
  <c r="K2310" i="1" a="1"/>
  <c r="K2310" i="1" s="1"/>
  <c r="I2312" i="1" a="1"/>
  <c r="I2312" i="1" s="1"/>
  <c r="G2312" i="1" a="1"/>
  <c r="G2312" i="1" s="1"/>
  <c r="L2310" i="1" a="1"/>
  <c r="L2310" i="1"/>
  <c r="M2312" i="1" a="1"/>
  <c r="M2312" i="1" s="1"/>
  <c r="N2312" i="1" a="1"/>
  <c r="N2312" i="1" s="1"/>
  <c r="H2312" i="1" a="1"/>
  <c r="H2312" i="1" s="1"/>
  <c r="Q2310" i="1" a="1"/>
  <c r="Q2310" i="1"/>
  <c r="J2310" i="1" a="1"/>
  <c r="J2310" i="1"/>
  <c r="F2312" i="1" a="1"/>
  <c r="F2312" i="1" s="1"/>
  <c r="H2306" i="1" a="1"/>
  <c r="H2306" i="1" s="1"/>
  <c r="J2303" i="1" a="1"/>
  <c r="J2303" i="1" s="1"/>
  <c r="N2304" i="1" a="1"/>
  <c r="N2304" i="1" s="1"/>
  <c r="O2303" i="1" a="1"/>
  <c r="O2303" i="1" s="1"/>
  <c r="L2304" i="1" a="1"/>
  <c r="L2304" i="1" s="1"/>
  <c r="K2304" i="1" a="1"/>
  <c r="K2304" i="1" s="1"/>
  <c r="M2304" i="1" a="1"/>
  <c r="M2304" i="1"/>
  <c r="I2303" i="1" a="1"/>
  <c r="I2303" i="1"/>
  <c r="H2310" i="1" a="1"/>
  <c r="H2310" i="1" s="1"/>
  <c r="F2310" i="1" a="1"/>
  <c r="F2310" i="1" s="1"/>
  <c r="M2303" i="1" a="1"/>
  <c r="M2303" i="1"/>
  <c r="I2308" i="1" a="1"/>
  <c r="I2308" i="1"/>
  <c r="L2306" i="1" a="1"/>
  <c r="L2306" i="1"/>
  <c r="O2304" i="1" a="1"/>
  <c r="O2304" i="1" s="1"/>
  <c r="K2303" i="1" a="1"/>
  <c r="K2303" i="1"/>
  <c r="P2303" i="1" a="1"/>
  <c r="P2303" i="1" s="1"/>
  <c r="G2304" i="1" a="1"/>
  <c r="G2304" i="1" s="1"/>
  <c r="N2303" i="1" a="1"/>
  <c r="N2303" i="1" s="1"/>
  <c r="L2308" i="1" a="1"/>
  <c r="L2308" i="1" s="1"/>
  <c r="P2306" i="1" a="1"/>
  <c r="P2306" i="1"/>
  <c r="N2306" i="1" a="1"/>
  <c r="N2306" i="1" s="1"/>
  <c r="F2306" i="1" a="1"/>
  <c r="F2306" i="1"/>
  <c r="F2304" i="1" a="1"/>
  <c r="F2304" i="1" s="1"/>
  <c r="H2303" i="1" a="1"/>
  <c r="H2303" i="1" s="1"/>
  <c r="P2308" i="1" a="1"/>
  <c r="P2308" i="1" s="1"/>
  <c r="M2308" i="1" a="1"/>
  <c r="M2308" i="1" s="1"/>
  <c r="J2308" i="1" a="1"/>
  <c r="J2308" i="1" s="1"/>
  <c r="P2304" i="1" a="1"/>
  <c r="P2304" i="1" s="1"/>
  <c r="F2308" i="1" a="1"/>
  <c r="F2308" i="1" s="1"/>
  <c r="M2306" i="1" a="1"/>
  <c r="M2306" i="1"/>
  <c r="Q2304" i="1" a="1"/>
  <c r="Q2304" i="1" s="1"/>
  <c r="K2308" i="1" a="1"/>
  <c r="K2308" i="1"/>
  <c r="F2303" i="1" a="1"/>
  <c r="F2303" i="1" s="1"/>
  <c r="G2308" i="1" a="1"/>
  <c r="G2308" i="1" s="1"/>
  <c r="G2306" i="1" a="1"/>
  <c r="G2306" i="1" s="1"/>
  <c r="J2304" i="1" a="1"/>
  <c r="J2304" i="1" s="1"/>
  <c r="I2306" i="1" a="1"/>
  <c r="I2306" i="1" s="1"/>
  <c r="G2310" i="1" a="1"/>
  <c r="G2310" i="1" s="1"/>
  <c r="Q2308" i="1" a="1"/>
  <c r="Q2308" i="1" s="1"/>
  <c r="Q2303" i="1" a="1"/>
  <c r="Q2303" i="1"/>
  <c r="K2306" i="1" a="1"/>
  <c r="K2306" i="1"/>
  <c r="H2308" i="1" a="1"/>
  <c r="H2308" i="1" s="1"/>
  <c r="O2308" i="1" a="1"/>
  <c r="O2308" i="1" s="1"/>
  <c r="N2308" i="1" a="1"/>
  <c r="N2308" i="1"/>
  <c r="H2304" i="1" a="1"/>
  <c r="H2304" i="1"/>
  <c r="Q2306" i="1" a="1"/>
  <c r="Q2306" i="1" s="1"/>
  <c r="L2303" i="1" a="1"/>
  <c r="L2303" i="1" s="1"/>
  <c r="I2304" i="1" a="1"/>
  <c r="I2304" i="1" s="1"/>
  <c r="G2303" i="1" a="1"/>
  <c r="G2303" i="1" s="1"/>
  <c r="O2306" i="1" a="1"/>
  <c r="O2306" i="1" s="1"/>
  <c r="J2306" i="1" a="1"/>
  <c r="J2306" i="1" s="1"/>
  <c r="Q2297" i="1" a="1"/>
  <c r="Q2297" i="1" s="1"/>
  <c r="G2297" i="1" a="1"/>
  <c r="G2297" i="1" s="1"/>
  <c r="K2302" i="1" a="1"/>
  <c r="K2302" i="1" s="1"/>
  <c r="J2302" i="1" a="1"/>
  <c r="J2302" i="1"/>
  <c r="G2302" i="1" a="1"/>
  <c r="G2302" i="1" s="1"/>
  <c r="G2300" i="1" a="1"/>
  <c r="G2300" i="1" s="1"/>
  <c r="O2298" i="1" a="1"/>
  <c r="O2298" i="1" s="1"/>
  <c r="J2298" i="1" a="1"/>
  <c r="J2298" i="1"/>
  <c r="G2298" i="1" a="1"/>
  <c r="G2298" i="1" s="1"/>
  <c r="O2297" i="1" a="1"/>
  <c r="O2297" i="1" s="1"/>
  <c r="N2297" i="1" a="1"/>
  <c r="N2297" i="1" s="1"/>
  <c r="Q2300" i="1" a="1"/>
  <c r="Q2300" i="1" s="1"/>
  <c r="L2297" i="1" a="1"/>
  <c r="L2297" i="1" s="1"/>
  <c r="I2297" i="1" a="1"/>
  <c r="I2297" i="1" s="1"/>
  <c r="I2302" i="1" a="1"/>
  <c r="I2302" i="1"/>
  <c r="L2300" i="1" a="1"/>
  <c r="L2300" i="1" s="1"/>
  <c r="N2298" i="1" a="1"/>
  <c r="N2298" i="1" s="1"/>
  <c r="M2298" i="1" a="1"/>
  <c r="M2298" i="1" s="1"/>
  <c r="F2298" i="1" a="1"/>
  <c r="F2298" i="1"/>
  <c r="P2300" i="1" a="1"/>
  <c r="P2300" i="1" s="1"/>
  <c r="I2300" i="1" a="1"/>
  <c r="I2300" i="1" s="1"/>
  <c r="H2300" i="1" a="1"/>
  <c r="H2300" i="1"/>
  <c r="P2298" i="1" a="1"/>
  <c r="P2298" i="1" s="1"/>
  <c r="Q2294" i="1" a="1"/>
  <c r="Q2294" i="1" s="1"/>
  <c r="H2298" i="1" a="1"/>
  <c r="H2298" i="1"/>
  <c r="J2297" i="1" a="1"/>
  <c r="J2297" i="1" s="1"/>
  <c r="P2294" i="1" a="1"/>
  <c r="P2294" i="1" s="1"/>
  <c r="M2300" i="1" a="1"/>
  <c r="M2300" i="1" s="1"/>
  <c r="I2298" i="1" a="1"/>
  <c r="I2298" i="1" s="1"/>
  <c r="M2297" i="1" a="1"/>
  <c r="M2297" i="1"/>
  <c r="F2297" i="1" a="1"/>
  <c r="F2297" i="1" s="1"/>
  <c r="K2297" i="1" a="1"/>
  <c r="K2297" i="1" s="1"/>
  <c r="F2300" i="1" a="1"/>
  <c r="F2300" i="1" s="1"/>
  <c r="K2298" i="1" a="1"/>
  <c r="K2298" i="1"/>
  <c r="P2297" i="1" a="1"/>
  <c r="P2297" i="1" s="1"/>
  <c r="J2300" i="1" a="1"/>
  <c r="J2300" i="1" s="1"/>
  <c r="K2300" i="1" a="1"/>
  <c r="K2300" i="1" s="1"/>
  <c r="H2297" i="1" a="1"/>
  <c r="H2297" i="1" s="1"/>
  <c r="Q2298" i="1" a="1"/>
  <c r="Q2298" i="1"/>
  <c r="Q2302" i="1" a="1"/>
  <c r="Q2302" i="1"/>
  <c r="P2302" i="1" a="1"/>
  <c r="P2302" i="1" s="1"/>
  <c r="O2302" i="1" a="1"/>
  <c r="O2302" i="1" s="1"/>
  <c r="N2302" i="1" a="1"/>
  <c r="N2302" i="1" s="1"/>
  <c r="M2302" i="1" a="1"/>
  <c r="M2302" i="1" s="1"/>
  <c r="H2302" i="1" a="1"/>
  <c r="H2302" i="1" s="1"/>
  <c r="N2300" i="1" a="1"/>
  <c r="N2300" i="1" s="1"/>
  <c r="L2302" i="1" a="1"/>
  <c r="L2302" i="1" s="1"/>
  <c r="F2302" i="1" a="1"/>
  <c r="F2302" i="1" s="1"/>
  <c r="O2300" i="1" a="1"/>
  <c r="O2300" i="1"/>
  <c r="L2298" i="1" a="1"/>
  <c r="L2298" i="1" s="1"/>
  <c r="F2292" i="1" a="1"/>
  <c r="F2292" i="1"/>
  <c r="Q2290" i="1" a="1"/>
  <c r="Q2290" i="1" s="1"/>
  <c r="O2286" i="1" a="1"/>
  <c r="O2286" i="1" s="1"/>
  <c r="P2290" i="1" a="1"/>
  <c r="P2290" i="1" s="1"/>
  <c r="L2290" i="1" a="1"/>
  <c r="L2290" i="1" s="1"/>
  <c r="M2290" i="1" a="1"/>
  <c r="M2290" i="1"/>
  <c r="I2290" i="1" a="1"/>
  <c r="I2290" i="1"/>
  <c r="G2290" i="1" a="1"/>
  <c r="G2290" i="1"/>
  <c r="F2288" i="1" a="1"/>
  <c r="F2288" i="1"/>
  <c r="Q2288" i="1" a="1"/>
  <c r="Q2288" i="1" s="1"/>
  <c r="G2286" i="1" a="1"/>
  <c r="G2286" i="1"/>
  <c r="Q2292" i="1" a="1"/>
  <c r="Q2292" i="1"/>
  <c r="O2294" i="1" a="1"/>
  <c r="O2294" i="1"/>
  <c r="M2286" i="1" a="1"/>
  <c r="M2286" i="1" s="1"/>
  <c r="O2292" i="1" a="1"/>
  <c r="O2292" i="1"/>
  <c r="I2292" i="1" a="1"/>
  <c r="I2292" i="1" s="1"/>
  <c r="N2290" i="1" a="1"/>
  <c r="N2290" i="1" s="1"/>
  <c r="K2286" i="1" a="1"/>
  <c r="K2286" i="1"/>
  <c r="N2294" i="1" a="1"/>
  <c r="N2294" i="1"/>
  <c r="L2288" i="1" a="1"/>
  <c r="L2288" i="1" s="1"/>
  <c r="N2286" i="1" a="1"/>
  <c r="N2286" i="1" s="1"/>
  <c r="M2294" i="1" a="1"/>
  <c r="M2294" i="1" s="1"/>
  <c r="L2294" i="1" a="1"/>
  <c r="L2294" i="1" s="1"/>
  <c r="K2294" i="1" a="1"/>
  <c r="K2294" i="1" s="1"/>
  <c r="J2294" i="1" a="1"/>
  <c r="J2294" i="1"/>
  <c r="M2288" i="1" a="1"/>
  <c r="M2288" i="1" s="1"/>
  <c r="I2294" i="1" a="1"/>
  <c r="I2294" i="1" s="1"/>
  <c r="H2288" i="1" a="1"/>
  <c r="H2288" i="1"/>
  <c r="H2294" i="1" a="1"/>
  <c r="H2294" i="1" s="1"/>
  <c r="J2288" i="1" a="1"/>
  <c r="J2288" i="1" s="1"/>
  <c r="F2294" i="1" a="1"/>
  <c r="F2294" i="1"/>
  <c r="L2292" i="1" a="1"/>
  <c r="L2292" i="1" s="1"/>
  <c r="O2290" i="1" a="1"/>
  <c r="O2290" i="1" s="1"/>
  <c r="G2294" i="1" a="1"/>
  <c r="G2294" i="1" s="1"/>
  <c r="P2292" i="1" a="1"/>
  <c r="P2292" i="1"/>
  <c r="N2292" i="1" a="1"/>
  <c r="N2292" i="1"/>
  <c r="J2292" i="1" a="1"/>
  <c r="J2292" i="1"/>
  <c r="L2286" i="1" a="1"/>
  <c r="L2286" i="1"/>
  <c r="J2286" i="1" a="1"/>
  <c r="J2286" i="1" s="1"/>
  <c r="H2286" i="1" a="1"/>
  <c r="H2286" i="1" s="1"/>
  <c r="I2286" i="1" a="1"/>
  <c r="I2286" i="1"/>
  <c r="O2288" i="1" a="1"/>
  <c r="O2288" i="1"/>
  <c r="M2292" i="1" a="1"/>
  <c r="M2292" i="1" s="1"/>
  <c r="J2290" i="1" a="1"/>
  <c r="J2290" i="1" s="1"/>
  <c r="G2292" i="1" a="1"/>
  <c r="G2292" i="1" s="1"/>
  <c r="K2292" i="1" a="1"/>
  <c r="K2292" i="1" s="1"/>
  <c r="H2292" i="1" a="1"/>
  <c r="H2292" i="1"/>
  <c r="K2290" i="1" a="1"/>
  <c r="K2290" i="1"/>
  <c r="H2290" i="1" a="1"/>
  <c r="H2290" i="1" s="1"/>
  <c r="P2288" i="1" a="1"/>
  <c r="P2288" i="1" s="1"/>
  <c r="F2290" i="1" a="1"/>
  <c r="F2290" i="1" s="1"/>
  <c r="G2288" i="1" a="1"/>
  <c r="G2288" i="1" s="1"/>
  <c r="Q2286" i="1" a="1"/>
  <c r="Q2286" i="1" s="1"/>
  <c r="K2288" i="1" a="1"/>
  <c r="K2288" i="1"/>
  <c r="P2286" i="1" a="1"/>
  <c r="P2286" i="1" s="1"/>
  <c r="F2286" i="1" a="1"/>
  <c r="F2286" i="1" s="1"/>
  <c r="N2288" i="1" a="1"/>
  <c r="N2288" i="1"/>
  <c r="I2288" i="1" a="1"/>
  <c r="I2288" i="1" s="1"/>
  <c r="P2280" i="1" a="1"/>
  <c r="P2280" i="1"/>
  <c r="J2280" i="1" a="1"/>
  <c r="J2280" i="1" s="1"/>
  <c r="M2284" i="1" a="1"/>
  <c r="M2284" i="1"/>
  <c r="H2284" i="1" a="1"/>
  <c r="H2284" i="1"/>
  <c r="F2282" i="1" a="1"/>
  <c r="F2282" i="1" s="1"/>
  <c r="I2280" i="1" a="1"/>
  <c r="I2280" i="1"/>
  <c r="M2278" i="1" a="1"/>
  <c r="M2278" i="1"/>
  <c r="N2280" i="1" a="1"/>
  <c r="N2280" i="1"/>
  <c r="K2280" i="1" a="1"/>
  <c r="K2280" i="1"/>
  <c r="F2280" i="1" a="1"/>
  <c r="F2280" i="1" s="1"/>
  <c r="I2278" i="1" a="1"/>
  <c r="I2278" i="1" s="1"/>
  <c r="Q2284" i="1" a="1"/>
  <c r="Q2284" i="1"/>
  <c r="G2284" i="1" a="1"/>
  <c r="G2284" i="1"/>
  <c r="M2282" i="1" a="1"/>
  <c r="M2282" i="1" s="1"/>
  <c r="L2282" i="1" a="1"/>
  <c r="L2282" i="1" s="1"/>
  <c r="J2282" i="1" a="1"/>
  <c r="J2282" i="1" s="1"/>
  <c r="H2282" i="1" a="1"/>
  <c r="H2282" i="1" s="1"/>
  <c r="P2281" i="1" a="1"/>
  <c r="P2281" i="1" s="1"/>
  <c r="N2281" i="1" a="1"/>
  <c r="N2281" i="1"/>
  <c r="K2281" i="1" a="1"/>
  <c r="K2281" i="1" s="1"/>
  <c r="J2281" i="1" a="1"/>
  <c r="J2281" i="1" s="1"/>
  <c r="G2280" i="1" a="1"/>
  <c r="G2280" i="1" s="1"/>
  <c r="M2280" i="1" a="1"/>
  <c r="M2280" i="1" s="1"/>
  <c r="N2278" i="1" a="1"/>
  <c r="N2278" i="1" s="1"/>
  <c r="H2281" i="1" a="1"/>
  <c r="H2281" i="1"/>
  <c r="Q2278" i="1" a="1"/>
  <c r="Q2278" i="1" s="1"/>
  <c r="K2278" i="1" a="1"/>
  <c r="K2278" i="1" s="1"/>
  <c r="M2281" i="1" a="1"/>
  <c r="M2281" i="1" s="1"/>
  <c r="L2280" i="1" a="1"/>
  <c r="L2280" i="1"/>
  <c r="N2284" i="1" a="1"/>
  <c r="N2284" i="1"/>
  <c r="N2282" i="1" a="1"/>
  <c r="N2282" i="1" s="1"/>
  <c r="L2278" i="1" a="1"/>
  <c r="L2278" i="1"/>
  <c r="O2284" i="1" a="1"/>
  <c r="O2284" i="1"/>
  <c r="L2284" i="1" a="1"/>
  <c r="L2284" i="1" s="1"/>
  <c r="K2284" i="1" a="1"/>
  <c r="K2284" i="1"/>
  <c r="J2284" i="1" a="1"/>
  <c r="J2284" i="1"/>
  <c r="P2282" i="1" a="1"/>
  <c r="P2282" i="1"/>
  <c r="F2281" i="1" a="1"/>
  <c r="F2281" i="1"/>
  <c r="O2282" i="1" a="1"/>
  <c r="O2282" i="1" s="1"/>
  <c r="G2281" i="1" a="1"/>
  <c r="G2281" i="1" s="1"/>
  <c r="L2281" i="1" a="1"/>
  <c r="L2281" i="1"/>
  <c r="I2281" i="1" a="1"/>
  <c r="I2281" i="1" s="1"/>
  <c r="O2281" i="1" a="1"/>
  <c r="O2281" i="1"/>
  <c r="Q2281" i="1" a="1"/>
  <c r="Q2281" i="1" s="1"/>
  <c r="O2280" i="1" a="1"/>
  <c r="O2280" i="1"/>
  <c r="I2284" i="1" a="1"/>
  <c r="I2284" i="1"/>
  <c r="F2278" i="1" a="1"/>
  <c r="F2278" i="1" s="1"/>
  <c r="G2282" i="1" a="1"/>
  <c r="G2282" i="1" s="1"/>
  <c r="H2278" i="1" a="1"/>
  <c r="H2278" i="1" s="1"/>
  <c r="P2284" i="1" a="1"/>
  <c r="P2284" i="1" s="1"/>
  <c r="F2284" i="1" a="1"/>
  <c r="F2284" i="1" s="1"/>
  <c r="Q2282" i="1" a="1"/>
  <c r="Q2282" i="1" s="1"/>
  <c r="K2282" i="1" a="1"/>
  <c r="K2282" i="1" s="1"/>
  <c r="H2280" i="1" a="1"/>
  <c r="H2280" i="1"/>
  <c r="I2282" i="1" a="1"/>
  <c r="I2282" i="1" s="1"/>
  <c r="P2278" i="1" a="1"/>
  <c r="P2278" i="1" s="1"/>
  <c r="Q2280" i="1" a="1"/>
  <c r="Q2280" i="1"/>
  <c r="O2278" i="1" a="1"/>
  <c r="O2278" i="1" s="1"/>
  <c r="J2278" i="1" a="1"/>
  <c r="J2278" i="1"/>
  <c r="G2278" i="1" a="1"/>
  <c r="G2278" i="1" s="1"/>
  <c r="L2275" i="1" a="1"/>
  <c r="L2275" i="1" s="1"/>
  <c r="P2274" i="1" a="1"/>
  <c r="P2274" i="1"/>
  <c r="K2275" i="1" a="1"/>
  <c r="K2275" i="1"/>
  <c r="O2274" i="1" a="1"/>
  <c r="O2274" i="1"/>
  <c r="K2277" i="1" a="1"/>
  <c r="K2277" i="1"/>
  <c r="J2271" i="1" a="1"/>
  <c r="J2271" i="1"/>
  <c r="J2277" i="1" a="1"/>
  <c r="J2277" i="1"/>
  <c r="I2269" i="1" a="1"/>
  <c r="I2269" i="1" s="1"/>
  <c r="G2271" i="1" a="1"/>
  <c r="G2271" i="1" s="1"/>
  <c r="H2277" i="1" a="1"/>
  <c r="H2277" i="1" s="1"/>
  <c r="G2277" i="1" a="1"/>
  <c r="G2277" i="1" s="1"/>
  <c r="Q2275" i="1" a="1"/>
  <c r="Q2275" i="1"/>
  <c r="M2275" i="1" a="1"/>
  <c r="M2275" i="1" s="1"/>
  <c r="M2274" i="1" a="1"/>
  <c r="M2274" i="1" s="1"/>
  <c r="O2275" i="1" a="1"/>
  <c r="O2275" i="1"/>
  <c r="F2274" i="1" a="1"/>
  <c r="F2274" i="1" s="1"/>
  <c r="N2275" i="1" a="1"/>
  <c r="N2275" i="1" s="1"/>
  <c r="J2275" i="1" a="1"/>
  <c r="J2275" i="1" s="1"/>
  <c r="H2271" i="1" a="1"/>
  <c r="H2271" i="1" s="1"/>
  <c r="I2275" i="1" a="1"/>
  <c r="I2275" i="1" s="1"/>
  <c r="H2274" i="1" a="1"/>
  <c r="H2274" i="1" s="1"/>
  <c r="H2275" i="1" a="1"/>
  <c r="H2275" i="1" s="1"/>
  <c r="G2275" i="1" a="1"/>
  <c r="G2275" i="1"/>
  <c r="F2275" i="1" a="1"/>
  <c r="F2275" i="1" s="1"/>
  <c r="N2269" i="1" a="1"/>
  <c r="N2269" i="1"/>
  <c r="Q2274" i="1" a="1"/>
  <c r="Q2274" i="1"/>
  <c r="J2274" i="1" a="1"/>
  <c r="J2274" i="1" s="1"/>
  <c r="O2271" i="1" a="1"/>
  <c r="O2271" i="1"/>
  <c r="Q2269" i="1" a="1"/>
  <c r="Q2269" i="1"/>
  <c r="K2269" i="1" a="1"/>
  <c r="K2269" i="1"/>
  <c r="J2269" i="1" a="1"/>
  <c r="J2269" i="1"/>
  <c r="N2274" i="1" a="1"/>
  <c r="N2274" i="1"/>
  <c r="P2271" i="1" a="1"/>
  <c r="P2271" i="1"/>
  <c r="L2274" i="1" a="1"/>
  <c r="L2274" i="1"/>
  <c r="G2274" i="1" a="1"/>
  <c r="G2274" i="1"/>
  <c r="F2271" i="1" a="1"/>
  <c r="F2271" i="1"/>
  <c r="P2269" i="1" a="1"/>
  <c r="P2269" i="1" s="1"/>
  <c r="L2271" i="1" a="1"/>
  <c r="L2271" i="1" s="1"/>
  <c r="M2269" i="1" a="1"/>
  <c r="M2269" i="1"/>
  <c r="K2271" i="1" a="1"/>
  <c r="K2271" i="1" s="1"/>
  <c r="F2277" i="1" a="1"/>
  <c r="F2277" i="1"/>
  <c r="Q2271" i="1" a="1"/>
  <c r="Q2271" i="1" s="1"/>
  <c r="L2269" i="1" a="1"/>
  <c r="L2269" i="1"/>
  <c r="P2275" i="1" a="1"/>
  <c r="P2275" i="1"/>
  <c r="O2269" i="1" a="1"/>
  <c r="O2269" i="1"/>
  <c r="Q2277" i="1" a="1"/>
  <c r="Q2277" i="1" s="1"/>
  <c r="I2274" i="1" a="1"/>
  <c r="I2274" i="1" s="1"/>
  <c r="I2271" i="1" a="1"/>
  <c r="I2271" i="1" s="1"/>
  <c r="P2277" i="1" a="1"/>
  <c r="P2277" i="1" s="1"/>
  <c r="O2277" i="1" a="1"/>
  <c r="O2277" i="1" s="1"/>
  <c r="K2274" i="1" a="1"/>
  <c r="K2274" i="1" s="1"/>
  <c r="N2277" i="1" a="1"/>
  <c r="N2277" i="1" s="1"/>
  <c r="M2277" i="1" a="1"/>
  <c r="M2277" i="1"/>
  <c r="L2277" i="1" a="1"/>
  <c r="L2277" i="1" s="1"/>
  <c r="N2271" i="1" a="1"/>
  <c r="N2271" i="1" s="1"/>
  <c r="I2277" i="1" a="1"/>
  <c r="I2277" i="1" s="1"/>
  <c r="M2271" i="1" a="1"/>
  <c r="M2271" i="1" s="1"/>
  <c r="K2265" i="1" a="1"/>
  <c r="K2265" i="1" s="1"/>
  <c r="F2267" i="1" a="1"/>
  <c r="F2267" i="1" s="1"/>
  <c r="N2265" i="1" a="1"/>
  <c r="N2265" i="1"/>
  <c r="M2267" i="1" a="1"/>
  <c r="M2267" i="1" s="1"/>
  <c r="H2267" i="1" a="1"/>
  <c r="H2267" i="1"/>
  <c r="Q2261" i="1" a="1"/>
  <c r="Q2261" i="1"/>
  <c r="M2265" i="1" a="1"/>
  <c r="M2265" i="1"/>
  <c r="I2265" i="1" a="1"/>
  <c r="I2265" i="1"/>
  <c r="H2265" i="1" a="1"/>
  <c r="H2265" i="1" s="1"/>
  <c r="Q2263" i="1" a="1"/>
  <c r="Q2263" i="1"/>
  <c r="F2261" i="1" a="1"/>
  <c r="F2261" i="1"/>
  <c r="L2260" i="1" a="1"/>
  <c r="L2260" i="1"/>
  <c r="F2263" i="1" a="1"/>
  <c r="F2263" i="1"/>
  <c r="P2261" i="1" a="1"/>
  <c r="P2261" i="1" s="1"/>
  <c r="G2265" i="1" a="1"/>
  <c r="G2265" i="1" s="1"/>
  <c r="H2269" i="1" a="1"/>
  <c r="H2269" i="1" s="1"/>
  <c r="J2261" i="1" a="1"/>
  <c r="J2261" i="1"/>
  <c r="G2269" i="1" a="1"/>
  <c r="G2269" i="1"/>
  <c r="F2269" i="1" a="1"/>
  <c r="F2269" i="1" s="1"/>
  <c r="I2263" i="1" a="1"/>
  <c r="I2263" i="1" s="1"/>
  <c r="I2261" i="1" a="1"/>
  <c r="I2261" i="1" s="1"/>
  <c r="M2263" i="1" a="1"/>
  <c r="M2263" i="1" s="1"/>
  <c r="J2265" i="1" a="1"/>
  <c r="J2265" i="1" s="1"/>
  <c r="P2265" i="1" a="1"/>
  <c r="P2265" i="1" s="1"/>
  <c r="P2267" i="1" a="1"/>
  <c r="P2267" i="1" s="1"/>
  <c r="L2267" i="1" a="1"/>
  <c r="L2267" i="1"/>
  <c r="G2267" i="1" a="1"/>
  <c r="G2267" i="1" s="1"/>
  <c r="Q2265" i="1" a="1"/>
  <c r="Q2265" i="1" s="1"/>
  <c r="K2261" i="1" a="1"/>
  <c r="K2261" i="1" s="1"/>
  <c r="L2265" i="1" a="1"/>
  <c r="L2265" i="1" s="1"/>
  <c r="O2261" i="1" a="1"/>
  <c r="O2261" i="1"/>
  <c r="O2263" i="1" a="1"/>
  <c r="O2263" i="1" s="1"/>
  <c r="N2263" i="1" a="1"/>
  <c r="N2263" i="1" s="1"/>
  <c r="J2263" i="1" a="1"/>
  <c r="J2263" i="1"/>
  <c r="G2263" i="1" a="1"/>
  <c r="G2263" i="1"/>
  <c r="Q2260" i="1" a="1"/>
  <c r="Q2260" i="1"/>
  <c r="O2260" i="1" a="1"/>
  <c r="O2260" i="1" s="1"/>
  <c r="F2265" i="1" a="1"/>
  <c r="F2265" i="1" s="1"/>
  <c r="P2263" i="1" a="1"/>
  <c r="P2263" i="1"/>
  <c r="L2263" i="1" a="1"/>
  <c r="L2263" i="1" s="1"/>
  <c r="K2263" i="1" a="1"/>
  <c r="K2263" i="1" s="1"/>
  <c r="H2261" i="1" a="1"/>
  <c r="H2261" i="1"/>
  <c r="M2261" i="1" a="1"/>
  <c r="M2261" i="1"/>
  <c r="H2263" i="1" a="1"/>
  <c r="H2263" i="1"/>
  <c r="P2260" i="1" a="1"/>
  <c r="P2260" i="1" s="1"/>
  <c r="Q2267" i="1" a="1"/>
  <c r="Q2267" i="1" s="1"/>
  <c r="G2261" i="1" a="1"/>
  <c r="G2261" i="1" s="1"/>
  <c r="N2261" i="1" a="1"/>
  <c r="N2261" i="1" s="1"/>
  <c r="L2261" i="1" a="1"/>
  <c r="L2261" i="1" s="1"/>
  <c r="O2267" i="1" a="1"/>
  <c r="O2267" i="1" s="1"/>
  <c r="N2267" i="1" a="1"/>
  <c r="N2267" i="1" s="1"/>
  <c r="K2267" i="1" a="1"/>
  <c r="K2267" i="1"/>
  <c r="J2267" i="1" a="1"/>
  <c r="J2267" i="1" s="1"/>
  <c r="M2260" i="1" a="1"/>
  <c r="M2260" i="1" s="1"/>
  <c r="N2260" i="1" a="1"/>
  <c r="N2260" i="1"/>
  <c r="O2265" i="1" a="1"/>
  <c r="O2265" i="1" s="1"/>
  <c r="I2267" i="1" a="1"/>
  <c r="I2267" i="1" s="1"/>
  <c r="Q2258" i="1" a="1"/>
  <c r="Q2258" i="1"/>
  <c r="O2258" i="1" a="1"/>
  <c r="O2258" i="1"/>
  <c r="M2258" i="1" a="1"/>
  <c r="M2258" i="1"/>
  <c r="K2256" i="1" a="1"/>
  <c r="K2256" i="1" s="1"/>
  <c r="P2256" i="1" a="1"/>
  <c r="P2256" i="1" s="1"/>
  <c r="F2255" i="1" a="1"/>
  <c r="F2255" i="1"/>
  <c r="F2256" i="1" a="1"/>
  <c r="F2256" i="1"/>
  <c r="J2258" i="1" a="1"/>
  <c r="J2258" i="1" s="1"/>
  <c r="H2258" i="1" a="1"/>
  <c r="H2258" i="1" s="1"/>
  <c r="Q2256" i="1" a="1"/>
  <c r="Q2256" i="1"/>
  <c r="P2252" i="1" a="1"/>
  <c r="P2252" i="1" s="1"/>
  <c r="I2256" i="1" a="1"/>
  <c r="I2256" i="1" s="1"/>
  <c r="M2255" i="1" a="1"/>
  <c r="M2255" i="1"/>
  <c r="L2255" i="1" a="1"/>
  <c r="L2255" i="1" s="1"/>
  <c r="J2252" i="1" a="1"/>
  <c r="J2252" i="1"/>
  <c r="J2255" i="1" a="1"/>
  <c r="J2255" i="1" s="1"/>
  <c r="F2258" i="1" a="1"/>
  <c r="F2258" i="1"/>
  <c r="N2256" i="1" a="1"/>
  <c r="N2256" i="1"/>
  <c r="O2255" i="1" a="1"/>
  <c r="O2255" i="1" s="1"/>
  <c r="I2255" i="1" a="1"/>
  <c r="I2255" i="1" s="1"/>
  <c r="L2256" i="1" a="1"/>
  <c r="L2256" i="1" s="1"/>
  <c r="M2252" i="1" a="1"/>
  <c r="M2252" i="1" s="1"/>
  <c r="K2255" i="1" a="1"/>
  <c r="K2255" i="1"/>
  <c r="G2255" i="1" a="1"/>
  <c r="G2255" i="1"/>
  <c r="O2252" i="1" a="1"/>
  <c r="O2252" i="1" s="1"/>
  <c r="L2252" i="1" a="1"/>
  <c r="L2252" i="1"/>
  <c r="K2258" i="1" a="1"/>
  <c r="K2258" i="1"/>
  <c r="L2258" i="1" a="1"/>
  <c r="L2258" i="1"/>
  <c r="H2256" i="1" a="1"/>
  <c r="H2256" i="1" s="1"/>
  <c r="P2255" i="1" a="1"/>
  <c r="P2255" i="1"/>
  <c r="G2258" i="1" a="1"/>
  <c r="G2258" i="1" s="1"/>
  <c r="M2256" i="1" a="1"/>
  <c r="M2256" i="1" s="1"/>
  <c r="H2255" i="1" a="1"/>
  <c r="H2255" i="1" s="1"/>
  <c r="Q2255" i="1" a="1"/>
  <c r="Q2255" i="1" s="1"/>
  <c r="Q2250" i="1" a="1"/>
  <c r="Q2250" i="1"/>
  <c r="I2258" i="1" a="1"/>
  <c r="I2258" i="1" s="1"/>
  <c r="H2252" i="1" a="1"/>
  <c r="H2252" i="1" s="1"/>
  <c r="I2260" i="1" a="1"/>
  <c r="I2260" i="1" s="1"/>
  <c r="N2255" i="1" a="1"/>
  <c r="N2255" i="1"/>
  <c r="G2260" i="1" a="1"/>
  <c r="G2260" i="1"/>
  <c r="F2252" i="1" a="1"/>
  <c r="F2252" i="1"/>
  <c r="Q2252" i="1" a="1"/>
  <c r="Q2252" i="1" s="1"/>
  <c r="P2258" i="1" a="1"/>
  <c r="P2258" i="1" s="1"/>
  <c r="K2252" i="1" a="1"/>
  <c r="K2252" i="1"/>
  <c r="K2260" i="1" a="1"/>
  <c r="K2260" i="1" s="1"/>
  <c r="N2258" i="1" a="1"/>
  <c r="N2258" i="1" s="1"/>
  <c r="O2256" i="1" a="1"/>
  <c r="O2256" i="1" s="1"/>
  <c r="G2256" i="1" a="1"/>
  <c r="G2256" i="1"/>
  <c r="P2250" i="1" a="1"/>
  <c r="P2250" i="1" s="1"/>
  <c r="J2256" i="1" a="1"/>
  <c r="J2256" i="1" s="1"/>
  <c r="N2252" i="1" a="1"/>
  <c r="N2252" i="1"/>
  <c r="G2252" i="1" a="1"/>
  <c r="G2252" i="1"/>
  <c r="I2252" i="1" a="1"/>
  <c r="I2252" i="1"/>
  <c r="J2260" i="1" a="1"/>
  <c r="J2260" i="1"/>
  <c r="H2260" i="1" a="1"/>
  <c r="H2260" i="1"/>
  <c r="F2260" i="1" a="1"/>
  <c r="F2260" i="1" s="1"/>
  <c r="K2244" i="1" a="1"/>
  <c r="K2244" i="1" s="1"/>
  <c r="N2244" i="1" a="1"/>
  <c r="N2244" i="1" s="1"/>
  <c r="P2246" i="1" a="1"/>
  <c r="P2246" i="1"/>
  <c r="I2246" i="1" a="1"/>
  <c r="I2246" i="1" s="1"/>
  <c r="P2242" i="1" a="1"/>
  <c r="P2242" i="1" s="1"/>
  <c r="H2246" i="1" a="1"/>
  <c r="H2246" i="1" s="1"/>
  <c r="G2244" i="1" a="1"/>
  <c r="G2244" i="1"/>
  <c r="M2248" i="1" a="1"/>
  <c r="M2248" i="1" s="1"/>
  <c r="F2242" i="1" a="1"/>
  <c r="F2242" i="1" s="1"/>
  <c r="O2250" i="1" a="1"/>
  <c r="O2250" i="1" s="1"/>
  <c r="P2248" i="1" a="1"/>
  <c r="P2248" i="1" s="1"/>
  <c r="N2250" i="1" a="1"/>
  <c r="N2250" i="1" s="1"/>
  <c r="M2250" i="1" a="1"/>
  <c r="M2250" i="1" s="1"/>
  <c r="I2248" i="1" a="1"/>
  <c r="I2248" i="1"/>
  <c r="L2250" i="1" a="1"/>
  <c r="L2250" i="1"/>
  <c r="K2250" i="1" a="1"/>
  <c r="K2250" i="1" s="1"/>
  <c r="P2244" i="1" a="1"/>
  <c r="P2244" i="1" s="1"/>
  <c r="N2246" i="1" a="1"/>
  <c r="N2246" i="1" s="1"/>
  <c r="J2250" i="1" a="1"/>
  <c r="J2250" i="1"/>
  <c r="K2248" i="1" a="1"/>
  <c r="K2248" i="1" s="1"/>
  <c r="L2242" i="1" a="1"/>
  <c r="L2242" i="1" s="1"/>
  <c r="I2250" i="1" a="1"/>
  <c r="I2250" i="1" s="1"/>
  <c r="H2250" i="1" a="1"/>
  <c r="H2250" i="1"/>
  <c r="K2242" i="1" a="1"/>
  <c r="K2242" i="1"/>
  <c r="G2250" i="1" a="1"/>
  <c r="G2250" i="1"/>
  <c r="F2250" i="1" a="1"/>
  <c r="F2250" i="1"/>
  <c r="Q2242" i="1" a="1"/>
  <c r="Q2242" i="1" s="1"/>
  <c r="Q2248" i="1" a="1"/>
  <c r="Q2248" i="1" s="1"/>
  <c r="N2248" i="1" a="1"/>
  <c r="N2248" i="1"/>
  <c r="G2248" i="1" a="1"/>
  <c r="G2248" i="1" s="1"/>
  <c r="M2246" i="1" a="1"/>
  <c r="M2246" i="1"/>
  <c r="F2244" i="1" a="1"/>
  <c r="F2244" i="1"/>
  <c r="K2246" i="1" a="1"/>
  <c r="K2246" i="1"/>
  <c r="Q2244" i="1" a="1"/>
  <c r="Q2244" i="1" s="1"/>
  <c r="I2242" i="1" a="1"/>
  <c r="I2242" i="1"/>
  <c r="H2244" i="1" a="1"/>
  <c r="H2244" i="1" s="1"/>
  <c r="J2248" i="1" a="1"/>
  <c r="J2248" i="1" s="1"/>
  <c r="O2244" i="1" a="1"/>
  <c r="O2244" i="1" s="1"/>
  <c r="J2244" i="1" a="1"/>
  <c r="J2244" i="1" s="1"/>
  <c r="Q2246" i="1" a="1"/>
  <c r="Q2246" i="1" s="1"/>
  <c r="O2242" i="1" a="1"/>
  <c r="O2242" i="1"/>
  <c r="M2242" i="1" a="1"/>
  <c r="M2242" i="1" s="1"/>
  <c r="G2242" i="1" a="1"/>
  <c r="G2242" i="1" s="1"/>
  <c r="P2241" i="1" a="1"/>
  <c r="P2241" i="1" s="1"/>
  <c r="M2244" i="1" a="1"/>
  <c r="M2244" i="1" s="1"/>
  <c r="I2244" i="1" a="1"/>
  <c r="I2244" i="1"/>
  <c r="L2244" i="1" a="1"/>
  <c r="L2244" i="1" s="1"/>
  <c r="H2242" i="1" a="1"/>
  <c r="H2242" i="1" s="1"/>
  <c r="H2248" i="1" a="1"/>
  <c r="H2248" i="1" s="1"/>
  <c r="J2242" i="1" a="1"/>
  <c r="J2242" i="1" s="1"/>
  <c r="O2246" i="1" a="1"/>
  <c r="O2246" i="1" s="1"/>
  <c r="G2246" i="1" a="1"/>
  <c r="G2246" i="1"/>
  <c r="O2248" i="1" a="1"/>
  <c r="O2248" i="1"/>
  <c r="Q2241" i="1" a="1"/>
  <c r="Q2241" i="1"/>
  <c r="L2246" i="1" a="1"/>
  <c r="L2246" i="1"/>
  <c r="F2246" i="1" a="1"/>
  <c r="F2246" i="1" s="1"/>
  <c r="N2242" i="1" a="1"/>
  <c r="N2242" i="1"/>
  <c r="L2248" i="1" a="1"/>
  <c r="L2248" i="1" s="1"/>
  <c r="J2246" i="1" a="1"/>
  <c r="J2246" i="1"/>
  <c r="F2248" i="1" a="1"/>
  <c r="F2248" i="1"/>
  <c r="P2236" i="1" a="1"/>
  <c r="P2236" i="1" s="1"/>
  <c r="N2236" i="1" a="1"/>
  <c r="N2236" i="1"/>
  <c r="O2239" i="1" a="1"/>
  <c r="O2239" i="1"/>
  <c r="M2239" i="1" a="1"/>
  <c r="M2239" i="1" s="1"/>
  <c r="N2237" i="1" a="1"/>
  <c r="N2237" i="1"/>
  <c r="L2237" i="1" a="1"/>
  <c r="L2237" i="1" s="1"/>
  <c r="G2236" i="1" a="1"/>
  <c r="G2236" i="1" s="1"/>
  <c r="Q2237" i="1" a="1"/>
  <c r="Q2237" i="1" s="1"/>
  <c r="L2236" i="1" a="1"/>
  <c r="L2236" i="1" s="1"/>
  <c r="K2236" i="1" a="1"/>
  <c r="K2236" i="1" s="1"/>
  <c r="H2236" i="1" a="1"/>
  <c r="H2236" i="1"/>
  <c r="F2236" i="1" a="1"/>
  <c r="F2236" i="1"/>
  <c r="M2236" i="1" a="1"/>
  <c r="M2236" i="1" s="1"/>
  <c r="O2241" i="1" a="1"/>
  <c r="O2241" i="1" s="1"/>
  <c r="L2241" i="1" a="1"/>
  <c r="L2241" i="1" s="1"/>
  <c r="N2241" i="1" a="1"/>
  <c r="N2241" i="1" s="1"/>
  <c r="K2239" i="1" a="1"/>
  <c r="K2239" i="1" s="1"/>
  <c r="M2241" i="1" a="1"/>
  <c r="M2241" i="1" s="1"/>
  <c r="K2241" i="1" a="1"/>
  <c r="K2241" i="1"/>
  <c r="I2239" i="1" a="1"/>
  <c r="I2239" i="1"/>
  <c r="M2237" i="1" a="1"/>
  <c r="M2237" i="1"/>
  <c r="H2237" i="1" a="1"/>
  <c r="H2237" i="1"/>
  <c r="O2237" i="1" a="1"/>
  <c r="O2237" i="1"/>
  <c r="J2241" i="1" a="1"/>
  <c r="J2241" i="1"/>
  <c r="G2237" i="1" a="1"/>
  <c r="G2237" i="1" s="1"/>
  <c r="F2237" i="1" a="1"/>
  <c r="F2237" i="1" s="1"/>
  <c r="K2237" i="1" a="1"/>
  <c r="K2237" i="1" s="1"/>
  <c r="I2241" i="1" a="1"/>
  <c r="I2241" i="1"/>
  <c r="H2239" i="1" a="1"/>
  <c r="H2239" i="1" s="1"/>
  <c r="H2241" i="1" a="1"/>
  <c r="H2241" i="1"/>
  <c r="G2241" i="1" a="1"/>
  <c r="G2241" i="1"/>
  <c r="P2237" i="1" a="1"/>
  <c r="P2237" i="1" s="1"/>
  <c r="G2239" i="1" a="1"/>
  <c r="G2239" i="1" s="1"/>
  <c r="O2236" i="1" a="1"/>
  <c r="O2236" i="1" s="1"/>
  <c r="F2241" i="1" a="1"/>
  <c r="F2241" i="1" s="1"/>
  <c r="P2239" i="1" a="1"/>
  <c r="P2239" i="1" s="1"/>
  <c r="Q2239" i="1" a="1"/>
  <c r="Q2239" i="1" s="1"/>
  <c r="N2239" i="1" a="1"/>
  <c r="N2239" i="1" s="1"/>
  <c r="L2239" i="1" a="1"/>
  <c r="L2239" i="1" s="1"/>
  <c r="Q2236" i="1" a="1"/>
  <c r="Q2236" i="1" s="1"/>
  <c r="J2239" i="1" a="1"/>
  <c r="J2239" i="1" s="1"/>
  <c r="F2239" i="1" a="1"/>
  <c r="F2239" i="1"/>
  <c r="J2237" i="1" a="1"/>
  <c r="J2237" i="1"/>
  <c r="I2237" i="1" a="1"/>
  <c r="I2237" i="1" s="1"/>
  <c r="J2236" i="1" a="1"/>
  <c r="J2236" i="1" s="1"/>
  <c r="I2236" i="1" a="1"/>
  <c r="I2236" i="1" s="1"/>
  <c r="L1898" i="1" a="1"/>
  <c r="L1898" i="1"/>
  <c r="G1900" i="1" a="1"/>
  <c r="G1900" i="1"/>
  <c r="F1902" i="1" a="1"/>
  <c r="F1902" i="1" s="1"/>
  <c r="H1900" i="1" a="1"/>
  <c r="H1900" i="1"/>
  <c r="J1898" i="1" a="1"/>
  <c r="J1898" i="1"/>
  <c r="N1902" i="1" a="1"/>
  <c r="N1902" i="1"/>
  <c r="K1900" i="1" a="1"/>
  <c r="K1900" i="1"/>
  <c r="L1902" i="1" a="1"/>
  <c r="L1902" i="1"/>
  <c r="I1900" i="1" a="1"/>
  <c r="I1900" i="1" s="1"/>
  <c r="P1902" i="1" a="1"/>
  <c r="P1902" i="1" s="1"/>
  <c r="O1902" i="1" a="1"/>
  <c r="O1902" i="1" s="1"/>
  <c r="G1902" i="1" a="1"/>
  <c r="G1902" i="1" s="1"/>
  <c r="H1902" i="1" a="1"/>
  <c r="H1902" i="1"/>
  <c r="I1898" i="1" a="1"/>
  <c r="I1898" i="1" s="1"/>
  <c r="Q1902" i="1" a="1"/>
  <c r="Q1902" i="1" s="1"/>
  <c r="M1898" i="1" a="1"/>
  <c r="M1898" i="1" s="1"/>
  <c r="H1898" i="1" a="1"/>
  <c r="H1898" i="1"/>
  <c r="J1900" i="1" a="1"/>
  <c r="J1900" i="1" s="1"/>
  <c r="K1902" i="1" a="1"/>
  <c r="K1902" i="1" s="1"/>
  <c r="P1900" i="1" a="1"/>
  <c r="P1900" i="1" s="1"/>
  <c r="L1900" i="1" a="1"/>
  <c r="L1900" i="1" s="1"/>
  <c r="K1898" i="1" a="1"/>
  <c r="K1898" i="1" s="1"/>
  <c r="O1898" i="1" a="1"/>
  <c r="O1898" i="1"/>
  <c r="M1902" i="1" a="1"/>
  <c r="M1902" i="1" s="1"/>
  <c r="F1900" i="1" a="1"/>
  <c r="F1900" i="1" s="1"/>
  <c r="P1898" i="1" a="1"/>
  <c r="P1898" i="1" s="1"/>
  <c r="N1898" i="1" a="1"/>
  <c r="N1898" i="1"/>
  <c r="G1898" i="1" a="1"/>
  <c r="G1898" i="1" s="1"/>
  <c r="J1902" i="1" a="1"/>
  <c r="J1902" i="1" s="1"/>
  <c r="I1902" i="1" a="1"/>
  <c r="I1902" i="1"/>
  <c r="Q1900" i="1" a="1"/>
  <c r="Q1900" i="1"/>
  <c r="Q1898" i="1" a="1"/>
  <c r="Q1898" i="1"/>
  <c r="N1900" i="1" a="1"/>
  <c r="N1900" i="1"/>
  <c r="O1900" i="1" a="1"/>
  <c r="O1900" i="1"/>
  <c r="F1898" i="1" a="1"/>
  <c r="F1898" i="1"/>
  <c r="M1900" i="1" a="1"/>
  <c r="M1900" i="1"/>
  <c r="Q1892" i="1" a="1"/>
  <c r="Q1892" i="1"/>
  <c r="H1892" i="1" a="1"/>
  <c r="H1892" i="1" s="1"/>
  <c r="M1892" i="1" a="1"/>
  <c r="M1892" i="1"/>
  <c r="J1894" i="1" a="1"/>
  <c r="J1894" i="1"/>
  <c r="L1890" i="1" a="1"/>
  <c r="L1890" i="1" s="1"/>
  <c r="Q1893" i="1" a="1"/>
  <c r="Q1893" i="1" s="1"/>
  <c r="Q1890" i="1" a="1"/>
  <c r="Q1890" i="1"/>
  <c r="H1896" i="1" a="1"/>
  <c r="H1896" i="1" s="1"/>
  <c r="F1896" i="1" a="1"/>
  <c r="F1896" i="1" s="1"/>
  <c r="L1892" i="1" a="1"/>
  <c r="L1892" i="1" s="1"/>
  <c r="K1894" i="1" a="1"/>
  <c r="K1894" i="1" s="1"/>
  <c r="I1892" i="1" a="1"/>
  <c r="I1892" i="1" s="1"/>
  <c r="H1894" i="1" a="1"/>
  <c r="H1894" i="1" s="1"/>
  <c r="F1892" i="1" a="1"/>
  <c r="F1892" i="1" s="1"/>
  <c r="N1892" i="1" a="1"/>
  <c r="N1892" i="1" s="1"/>
  <c r="P1896" i="1" a="1"/>
  <c r="P1896" i="1" s="1"/>
  <c r="J1896" i="1" a="1"/>
  <c r="J1896" i="1" s="1"/>
  <c r="F1893" i="1" a="1"/>
  <c r="F1893" i="1"/>
  <c r="J1892" i="1" a="1"/>
  <c r="J1892" i="1" s="1"/>
  <c r="M1890" i="1" a="1"/>
  <c r="M1890" i="1" s="1"/>
  <c r="O1890" i="1" a="1"/>
  <c r="O1890" i="1" s="1"/>
  <c r="Q1896" i="1" a="1"/>
  <c r="Q1896" i="1" s="1"/>
  <c r="O1893" i="1" a="1"/>
  <c r="O1893" i="1" s="1"/>
  <c r="O1896" i="1" a="1"/>
  <c r="O1896" i="1" s="1"/>
  <c r="N1896" i="1" a="1"/>
  <c r="N1896" i="1"/>
  <c r="M1896" i="1" a="1"/>
  <c r="M1896" i="1"/>
  <c r="M1893" i="1" a="1"/>
  <c r="M1893" i="1"/>
  <c r="L1896" i="1" a="1"/>
  <c r="L1896" i="1"/>
  <c r="I1896" i="1" a="1"/>
  <c r="I1896" i="1"/>
  <c r="K1892" i="1" a="1"/>
  <c r="K1892" i="1"/>
  <c r="K1896" i="1" a="1"/>
  <c r="K1896" i="1"/>
  <c r="G1896" i="1" a="1"/>
  <c r="G1896" i="1" s="1"/>
  <c r="K1893" i="1" a="1"/>
  <c r="K1893" i="1" s="1"/>
  <c r="Q1894" i="1" a="1"/>
  <c r="Q1894" i="1" s="1"/>
  <c r="P1894" i="1" a="1"/>
  <c r="P1894" i="1" s="1"/>
  <c r="I1893" i="1" a="1"/>
  <c r="I1893" i="1"/>
  <c r="P1890" i="1" a="1"/>
  <c r="P1890" i="1"/>
  <c r="O1894" i="1" a="1"/>
  <c r="O1894" i="1"/>
  <c r="G1892" i="1" a="1"/>
  <c r="G1892" i="1" s="1"/>
  <c r="N1890" i="1" a="1"/>
  <c r="N1890" i="1" s="1"/>
  <c r="N1894" i="1" a="1"/>
  <c r="N1894" i="1" s="1"/>
  <c r="J1893" i="1" a="1"/>
  <c r="J1893" i="1" s="1"/>
  <c r="O1892" i="1" a="1"/>
  <c r="O1892" i="1" s="1"/>
  <c r="M1894" i="1" a="1"/>
  <c r="M1894" i="1" s="1"/>
  <c r="L1894" i="1" a="1"/>
  <c r="L1894" i="1"/>
  <c r="F1894" i="1" a="1"/>
  <c r="F1894" i="1" s="1"/>
  <c r="L1893" i="1" a="1"/>
  <c r="L1893" i="1" s="1"/>
  <c r="N1893" i="1" a="1"/>
  <c r="N1893" i="1" s="1"/>
  <c r="P1892" i="1" a="1"/>
  <c r="P1892" i="1" s="1"/>
  <c r="I1894" i="1" a="1"/>
  <c r="I1894" i="1" s="1"/>
  <c r="G1894" i="1" a="1"/>
  <c r="G1894" i="1"/>
  <c r="P1893" i="1" a="1"/>
  <c r="P1893" i="1"/>
  <c r="G1893" i="1" a="1"/>
  <c r="G1893" i="1" s="1"/>
  <c r="H1893" i="1" a="1"/>
  <c r="H1893" i="1" s="1"/>
  <c r="M1882" i="1" a="1"/>
  <c r="M1882" i="1"/>
  <c r="N1884" i="1" a="1"/>
  <c r="N1884" i="1"/>
  <c r="I1890" i="1" a="1"/>
  <c r="I1890" i="1"/>
  <c r="M1888" i="1" a="1"/>
  <c r="M1888" i="1"/>
  <c r="O1888" i="1" a="1"/>
  <c r="O1888" i="1"/>
  <c r="J1887" i="1" a="1"/>
  <c r="J1887" i="1" s="1"/>
  <c r="I1888" i="1" a="1"/>
  <c r="I1888" i="1"/>
  <c r="Q1882" i="1" a="1"/>
  <c r="Q1882" i="1" s="1"/>
  <c r="H1890" i="1" a="1"/>
  <c r="H1890" i="1" s="1"/>
  <c r="N1888" i="1" a="1"/>
  <c r="N1888" i="1"/>
  <c r="H1888" i="1" a="1"/>
  <c r="H1888" i="1" s="1"/>
  <c r="G1888" i="1" a="1"/>
  <c r="G1888" i="1" s="1"/>
  <c r="Q1887" i="1" a="1"/>
  <c r="Q1887" i="1" s="1"/>
  <c r="I1887" i="1" a="1"/>
  <c r="I1887" i="1"/>
  <c r="M1884" i="1" a="1"/>
  <c r="M1884" i="1" s="1"/>
  <c r="O1887" i="1" a="1"/>
  <c r="O1887" i="1" s="1"/>
  <c r="G1884" i="1" a="1"/>
  <c r="G1884" i="1" s="1"/>
  <c r="N1887" i="1" a="1"/>
  <c r="N1887" i="1" s="1"/>
  <c r="K1887" i="1" a="1"/>
  <c r="K1887" i="1" s="1"/>
  <c r="F1887" i="1" a="1"/>
  <c r="F1887" i="1" s="1"/>
  <c r="L1882" i="1" a="1"/>
  <c r="L1882" i="1" s="1"/>
  <c r="F1884" i="1" a="1"/>
  <c r="F1884" i="1" s="1"/>
  <c r="Q1888" i="1" a="1"/>
  <c r="Q1888" i="1" s="1"/>
  <c r="P1888" i="1" a="1"/>
  <c r="P1888" i="1"/>
  <c r="P1887" i="1" a="1"/>
  <c r="P1887" i="1"/>
  <c r="K1882" i="1" a="1"/>
  <c r="K1882" i="1" s="1"/>
  <c r="P1884" i="1" a="1"/>
  <c r="P1884" i="1" s="1"/>
  <c r="Q1884" i="1" a="1"/>
  <c r="Q1884" i="1"/>
  <c r="J1888" i="1" a="1"/>
  <c r="J1888" i="1" s="1"/>
  <c r="J1884" i="1" a="1"/>
  <c r="J1884" i="1"/>
  <c r="N1882" i="1" a="1"/>
  <c r="N1882" i="1"/>
  <c r="L1887" i="1" a="1"/>
  <c r="L1887" i="1"/>
  <c r="G1887" i="1" a="1"/>
  <c r="G1887" i="1"/>
  <c r="L1884" i="1" a="1"/>
  <c r="L1884" i="1"/>
  <c r="K1890" i="1" a="1"/>
  <c r="K1890" i="1"/>
  <c r="J1890" i="1" a="1"/>
  <c r="J1890" i="1" s="1"/>
  <c r="G1890" i="1" a="1"/>
  <c r="G1890" i="1"/>
  <c r="F1890" i="1" a="1"/>
  <c r="F1890" i="1" s="1"/>
  <c r="L1888" i="1" a="1"/>
  <c r="L1888" i="1" s="1"/>
  <c r="H1887" i="1" a="1"/>
  <c r="H1887" i="1" s="1"/>
  <c r="M1887" i="1" a="1"/>
  <c r="M1887" i="1"/>
  <c r="I1884" i="1" a="1"/>
  <c r="I1884" i="1" s="1"/>
  <c r="K1884" i="1" a="1"/>
  <c r="K1884" i="1" s="1"/>
  <c r="P1882" i="1" a="1"/>
  <c r="P1882" i="1" s="1"/>
  <c r="K1888" i="1" a="1"/>
  <c r="K1888" i="1" s="1"/>
  <c r="O1882" i="1" a="1"/>
  <c r="O1882" i="1" s="1"/>
  <c r="F1888" i="1" a="1"/>
  <c r="F1888" i="1" s="1"/>
  <c r="O1884" i="1" a="1"/>
  <c r="O1884" i="1"/>
  <c r="H1884" i="1" a="1"/>
  <c r="H1884" i="1" s="1"/>
  <c r="F1876" i="1" a="1"/>
  <c r="F1876" i="1" s="1"/>
  <c r="L1874" i="1" a="1"/>
  <c r="L1874" i="1"/>
  <c r="L1872" i="1" a="1"/>
  <c r="L1872" i="1"/>
  <c r="O1878" i="1" a="1"/>
  <c r="O1878" i="1"/>
  <c r="O1876" i="1" a="1"/>
  <c r="O1876" i="1" s="1"/>
  <c r="Q1876" i="1" a="1"/>
  <c r="Q1876" i="1"/>
  <c r="J1882" i="1" a="1"/>
  <c r="J1882" i="1"/>
  <c r="H1880" i="1" a="1"/>
  <c r="H1880" i="1" s="1"/>
  <c r="I1882" i="1" a="1"/>
  <c r="I1882" i="1"/>
  <c r="L1880" i="1" a="1"/>
  <c r="L1880" i="1"/>
  <c r="Q1880" i="1" a="1"/>
  <c r="Q1880" i="1"/>
  <c r="I1880" i="1" a="1"/>
  <c r="I1880" i="1"/>
  <c r="H1882" i="1" a="1"/>
  <c r="H1882" i="1"/>
  <c r="G1882" i="1" a="1"/>
  <c r="G1882" i="1" s="1"/>
  <c r="F1882" i="1" a="1"/>
  <c r="F1882" i="1" s="1"/>
  <c r="H1876" i="1" a="1"/>
  <c r="H1876" i="1" s="1"/>
  <c r="M1876" i="1" a="1"/>
  <c r="M1876" i="1" s="1"/>
  <c r="N1878" i="1" a="1"/>
  <c r="N1878" i="1" s="1"/>
  <c r="F1878" i="1" a="1"/>
  <c r="F1878" i="1"/>
  <c r="K1880" i="1" a="1"/>
  <c r="K1880" i="1" s="1"/>
  <c r="L1878" i="1" a="1"/>
  <c r="L1878" i="1" s="1"/>
  <c r="P1874" i="1" a="1"/>
  <c r="P1874" i="1" s="1"/>
  <c r="P1872" i="1" a="1"/>
  <c r="P1872" i="1"/>
  <c r="L1876" i="1" a="1"/>
  <c r="L1876" i="1" s="1"/>
  <c r="J1874" i="1" a="1"/>
  <c r="J1874" i="1" s="1"/>
  <c r="I1874" i="1" a="1"/>
  <c r="I1874" i="1" s="1"/>
  <c r="N1872" i="1" a="1"/>
  <c r="N1872" i="1" s="1"/>
  <c r="M1880" i="1" a="1"/>
  <c r="M1880" i="1" s="1"/>
  <c r="G1880" i="1" a="1"/>
  <c r="G1880" i="1" s="1"/>
  <c r="M1874" i="1" a="1"/>
  <c r="M1874" i="1" s="1"/>
  <c r="J1878" i="1" a="1"/>
  <c r="J1878" i="1" s="1"/>
  <c r="M1872" i="1" a="1"/>
  <c r="M1872" i="1"/>
  <c r="I1876" i="1" a="1"/>
  <c r="I1876" i="1"/>
  <c r="Q1872" i="1" a="1"/>
  <c r="Q1872" i="1"/>
  <c r="G1878" i="1" a="1"/>
  <c r="G1878" i="1"/>
  <c r="P1880" i="1" a="1"/>
  <c r="P1880" i="1" s="1"/>
  <c r="Q1874" i="1" a="1"/>
  <c r="Q1874" i="1"/>
  <c r="F1874" i="1" a="1"/>
  <c r="F1874" i="1"/>
  <c r="O1880" i="1" a="1"/>
  <c r="O1880" i="1"/>
  <c r="N1880" i="1" a="1"/>
  <c r="N1880" i="1"/>
  <c r="O1872" i="1" a="1"/>
  <c r="O1872" i="1"/>
  <c r="J1880" i="1" a="1"/>
  <c r="J1880" i="1"/>
  <c r="F1880" i="1" a="1"/>
  <c r="F1880" i="1" s="1"/>
  <c r="Q1878" i="1" a="1"/>
  <c r="Q1878" i="1"/>
  <c r="O1874" i="1" a="1"/>
  <c r="O1874" i="1"/>
  <c r="N1876" i="1" a="1"/>
  <c r="N1876" i="1"/>
  <c r="P1878" i="1" a="1"/>
  <c r="P1878" i="1" s="1"/>
  <c r="M1878" i="1" a="1"/>
  <c r="M1878" i="1" s="1"/>
  <c r="G1876" i="1" a="1"/>
  <c r="G1876" i="1" s="1"/>
  <c r="P1876" i="1" a="1"/>
  <c r="P1876" i="1"/>
  <c r="G1874" i="1" a="1"/>
  <c r="G1874" i="1" s="1"/>
  <c r="H1874" i="1" a="1"/>
  <c r="H1874" i="1" s="1"/>
  <c r="K1878" i="1" a="1"/>
  <c r="K1878" i="1" s="1"/>
  <c r="I1878" i="1" a="1"/>
  <c r="I1878" i="1" s="1"/>
  <c r="N1874" i="1" a="1"/>
  <c r="N1874" i="1" s="1"/>
  <c r="K1874" i="1" a="1"/>
  <c r="K1874" i="1" s="1"/>
  <c r="K1876" i="1" a="1"/>
  <c r="K1876" i="1" s="1"/>
  <c r="H1878" i="1" a="1"/>
  <c r="H1878" i="1"/>
  <c r="J1876" i="1" a="1"/>
  <c r="J1876" i="1" s="1"/>
  <c r="G1867" i="1" a="1"/>
  <c r="G1867" i="1" s="1"/>
  <c r="N1865" i="1" a="1"/>
  <c r="N1865" i="1" s="1"/>
  <c r="K1867" i="1" a="1"/>
  <c r="K1867" i="1" s="1"/>
  <c r="O1871" i="1" a="1"/>
  <c r="O1871" i="1"/>
  <c r="J1870" i="1" a="1"/>
  <c r="J1870" i="1"/>
  <c r="N1871" i="1" a="1"/>
  <c r="N1871" i="1"/>
  <c r="I1871" i="1" a="1"/>
  <c r="I1871" i="1"/>
  <c r="O1867" i="1" a="1"/>
  <c r="O1867" i="1" s="1"/>
  <c r="F1870" i="1" a="1"/>
  <c r="F1870" i="1"/>
  <c r="P1868" i="1" a="1"/>
  <c r="P1868" i="1"/>
  <c r="F1867" i="1" a="1"/>
  <c r="F1867" i="1"/>
  <c r="K1872" i="1" a="1"/>
  <c r="K1872" i="1" s="1"/>
  <c r="Q1870" i="1" a="1"/>
  <c r="Q1870" i="1" s="1"/>
  <c r="P1865" i="1" a="1"/>
  <c r="P1865" i="1" s="1"/>
  <c r="J1872" i="1" a="1"/>
  <c r="J1872" i="1" s="1"/>
  <c r="I1872" i="1" a="1"/>
  <c r="I1872" i="1"/>
  <c r="L1871" i="1" a="1"/>
  <c r="L1871" i="1"/>
  <c r="H1872" i="1" a="1"/>
  <c r="H1872" i="1"/>
  <c r="H1871" i="1" a="1"/>
  <c r="H1871" i="1" s="1"/>
  <c r="Q1868" i="1" a="1"/>
  <c r="Q1868" i="1" s="1"/>
  <c r="N1868" i="1" a="1"/>
  <c r="N1868" i="1" s="1"/>
  <c r="Q1865" i="1" a="1"/>
  <c r="Q1865" i="1" s="1"/>
  <c r="M1868" i="1" a="1"/>
  <c r="M1868" i="1" s="1"/>
  <c r="L1870" i="1" a="1"/>
  <c r="L1870" i="1" s="1"/>
  <c r="N1870" i="1" a="1"/>
  <c r="N1870" i="1" s="1"/>
  <c r="G1872" i="1" a="1"/>
  <c r="G1872" i="1" s="1"/>
  <c r="H1868" i="1" a="1"/>
  <c r="H1868" i="1"/>
  <c r="F1872" i="1" a="1"/>
  <c r="F1872" i="1" s="1"/>
  <c r="I1868" i="1" a="1"/>
  <c r="I1868" i="1" s="1"/>
  <c r="Q1871" i="1" a="1"/>
  <c r="Q1871" i="1" s="1"/>
  <c r="O1865" i="1" a="1"/>
  <c r="O1865" i="1" s="1"/>
  <c r="L1868" i="1" a="1"/>
  <c r="L1868" i="1"/>
  <c r="P1870" i="1" a="1"/>
  <c r="P1870" i="1"/>
  <c r="I1867" i="1" a="1"/>
  <c r="I1867" i="1" s="1"/>
  <c r="P1871" i="1" a="1"/>
  <c r="P1871" i="1" s="1"/>
  <c r="M1871" i="1" a="1"/>
  <c r="M1871" i="1" s="1"/>
  <c r="L1867" i="1" a="1"/>
  <c r="L1867" i="1" s="1"/>
  <c r="K1871" i="1" a="1"/>
  <c r="K1871" i="1"/>
  <c r="O1870" i="1" a="1"/>
  <c r="O1870" i="1"/>
  <c r="J1871" i="1" a="1"/>
  <c r="J1871" i="1" s="1"/>
  <c r="G1871" i="1" a="1"/>
  <c r="G1871" i="1" s="1"/>
  <c r="F1871" i="1" a="1"/>
  <c r="F1871" i="1" s="1"/>
  <c r="M1870" i="1" a="1"/>
  <c r="M1870" i="1" s="1"/>
  <c r="N1867" i="1" a="1"/>
  <c r="N1867" i="1" s="1"/>
  <c r="K1870" i="1" a="1"/>
  <c r="K1870" i="1"/>
  <c r="I1870" i="1" a="1"/>
  <c r="I1870" i="1" s="1"/>
  <c r="J1868" i="1" a="1"/>
  <c r="J1868" i="1"/>
  <c r="O1868" i="1" a="1"/>
  <c r="O1868" i="1" s="1"/>
  <c r="P1867" i="1" a="1"/>
  <c r="P1867" i="1" s="1"/>
  <c r="H1867" i="1" a="1"/>
  <c r="H1867" i="1" s="1"/>
  <c r="F1868" i="1" a="1"/>
  <c r="F1868" i="1" s="1"/>
  <c r="Q1867" i="1" a="1"/>
  <c r="Q1867" i="1" s="1"/>
  <c r="J1867" i="1" a="1"/>
  <c r="J1867" i="1" s="1"/>
  <c r="H1870" i="1" a="1"/>
  <c r="H1870" i="1" s="1"/>
  <c r="G1870" i="1" a="1"/>
  <c r="G1870" i="1"/>
  <c r="K1868" i="1" a="1"/>
  <c r="K1868" i="1"/>
  <c r="G1868" i="1" a="1"/>
  <c r="G1868" i="1"/>
  <c r="M1867" i="1" a="1"/>
  <c r="M1867" i="1"/>
  <c r="I1865" i="1" a="1"/>
  <c r="I1865" i="1" s="1"/>
  <c r="G1865" i="1" a="1"/>
  <c r="G1865" i="1"/>
  <c r="Q1864" i="1" a="1"/>
  <c r="Q1864" i="1" s="1"/>
  <c r="F1859" i="1" a="1"/>
  <c r="F1859" i="1" s="1"/>
  <c r="P1864" i="1" a="1"/>
  <c r="P1864" i="1"/>
  <c r="L1864" i="1" a="1"/>
  <c r="L1864" i="1" s="1"/>
  <c r="J1864" i="1" a="1"/>
  <c r="J1864" i="1"/>
  <c r="I1864" i="1" a="1"/>
  <c r="I1864" i="1"/>
  <c r="G1861" i="1" a="1"/>
  <c r="G1861" i="1"/>
  <c r="L1861" i="1" a="1"/>
  <c r="L1861" i="1" s="1"/>
  <c r="K1864" i="1" a="1"/>
  <c r="K1864" i="1" s="1"/>
  <c r="P1861" i="1" a="1"/>
  <c r="P1861" i="1" s="1"/>
  <c r="K1859" i="1" a="1"/>
  <c r="K1859" i="1" s="1"/>
  <c r="O1859" i="1" a="1"/>
  <c r="O1859" i="1" s="1"/>
  <c r="O1864" i="1" a="1"/>
  <c r="O1864" i="1" s="1"/>
  <c r="M1865" i="1" a="1"/>
  <c r="M1865" i="1"/>
  <c r="L1865" i="1" a="1"/>
  <c r="L1865" i="1" s="1"/>
  <c r="H1865" i="1" a="1"/>
  <c r="H1865" i="1" s="1"/>
  <c r="M1864" i="1" a="1"/>
  <c r="M1864" i="1"/>
  <c r="J1859" i="1" a="1"/>
  <c r="J1859" i="1"/>
  <c r="G1864" i="1" a="1"/>
  <c r="G1864" i="1" s="1"/>
  <c r="G1859" i="1" a="1"/>
  <c r="G1859" i="1" s="1"/>
  <c r="Q1859" i="1" a="1"/>
  <c r="Q1859" i="1" s="1"/>
  <c r="H1861" i="1" a="1"/>
  <c r="H1861" i="1" s="1"/>
  <c r="F1861" i="1" a="1"/>
  <c r="F1861" i="1"/>
  <c r="N1861" i="1" a="1"/>
  <c r="N1861" i="1"/>
  <c r="P1859" i="1" a="1"/>
  <c r="P1859" i="1"/>
  <c r="L1859" i="1" a="1"/>
  <c r="L1859" i="1" s="1"/>
  <c r="M1859" i="1" a="1"/>
  <c r="M1859" i="1" s="1"/>
  <c r="I1859" i="1" a="1"/>
  <c r="I1859" i="1" s="1"/>
  <c r="O1861" i="1" a="1"/>
  <c r="O1861" i="1" s="1"/>
  <c r="I1861" i="1" a="1"/>
  <c r="I1861" i="1" s="1"/>
  <c r="K1861" i="1" a="1"/>
  <c r="K1861" i="1"/>
  <c r="N1864" i="1" a="1"/>
  <c r="N1864" i="1"/>
  <c r="F1865" i="1" a="1"/>
  <c r="F1865" i="1"/>
  <c r="H1864" i="1" a="1"/>
  <c r="H1864" i="1"/>
  <c r="Q1857" i="1" a="1"/>
  <c r="Q1857" i="1" s="1"/>
  <c r="J1861" i="1" a="1"/>
  <c r="J1861" i="1" s="1"/>
  <c r="Q1861" i="1" a="1"/>
  <c r="Q1861" i="1" s="1"/>
  <c r="M1861" i="1" a="1"/>
  <c r="M1861" i="1" s="1"/>
  <c r="H1859" i="1" a="1"/>
  <c r="H1859" i="1" s="1"/>
  <c r="K1865" i="1" a="1"/>
  <c r="K1865" i="1" s="1"/>
  <c r="F1864" i="1" a="1"/>
  <c r="F1864" i="1" s="1"/>
  <c r="N1859" i="1" a="1"/>
  <c r="N1859" i="1" s="1"/>
  <c r="J1865" i="1" a="1"/>
  <c r="J1865" i="1" s="1"/>
  <c r="I1857" i="1" a="1"/>
  <c r="I1857" i="1" s="1"/>
  <c r="Q1853" i="1" a="1"/>
  <c r="Q1853" i="1"/>
  <c r="M1853" i="1" a="1"/>
  <c r="M1853" i="1" s="1"/>
  <c r="Q1855" i="1" a="1"/>
  <c r="Q1855" i="1"/>
  <c r="K1855" i="1" a="1"/>
  <c r="K1855" i="1"/>
  <c r="O1855" i="1" a="1"/>
  <c r="O1855" i="1" s="1"/>
  <c r="N1855" i="1" a="1"/>
  <c r="N1855" i="1" s="1"/>
  <c r="H1853" i="1" a="1"/>
  <c r="H1853" i="1"/>
  <c r="O1851" i="1" a="1"/>
  <c r="O1851" i="1"/>
  <c r="P1853" i="1" a="1"/>
  <c r="P1853" i="1"/>
  <c r="N1853" i="1" a="1"/>
  <c r="N1853" i="1"/>
  <c r="M1855" i="1" a="1"/>
  <c r="M1855" i="1"/>
  <c r="F1855" i="1" a="1"/>
  <c r="F1855" i="1"/>
  <c r="O1853" i="1" a="1"/>
  <c r="O1853" i="1"/>
  <c r="K1853" i="1" a="1"/>
  <c r="K1853" i="1"/>
  <c r="K1851" i="1" a="1"/>
  <c r="K1851" i="1"/>
  <c r="P1857" i="1" a="1"/>
  <c r="P1857" i="1"/>
  <c r="O1857" i="1" a="1"/>
  <c r="O1857" i="1"/>
  <c r="N1857" i="1" a="1"/>
  <c r="N1857" i="1" s="1"/>
  <c r="F1857" i="1" a="1"/>
  <c r="F1857" i="1" s="1"/>
  <c r="M1857" i="1" a="1"/>
  <c r="M1857" i="1" s="1"/>
  <c r="L1857" i="1" a="1"/>
  <c r="L1857" i="1" s="1"/>
  <c r="K1857" i="1" a="1"/>
  <c r="K1857" i="1" s="1"/>
  <c r="M1851" i="1" a="1"/>
  <c r="M1851" i="1" s="1"/>
  <c r="J1857" i="1" a="1"/>
  <c r="J1857" i="1" s="1"/>
  <c r="H1857" i="1" a="1"/>
  <c r="H1857" i="1" s="1"/>
  <c r="Q1851" i="1" a="1"/>
  <c r="Q1851" i="1" s="1"/>
  <c r="G1857" i="1" a="1"/>
  <c r="G1857" i="1" s="1"/>
  <c r="H1855" i="1" a="1"/>
  <c r="H1855" i="1" s="1"/>
  <c r="F1853" i="1" a="1"/>
  <c r="F1853" i="1" s="1"/>
  <c r="G1855" i="1" a="1"/>
  <c r="G1855" i="1" s="1"/>
  <c r="P1851" i="1" a="1"/>
  <c r="P1851" i="1" s="1"/>
  <c r="J1851" i="1" a="1"/>
  <c r="J1851" i="1" s="1"/>
  <c r="P1855" i="1" a="1"/>
  <c r="P1855" i="1" s="1"/>
  <c r="J1853" i="1" a="1"/>
  <c r="J1853" i="1" s="1"/>
  <c r="J1855" i="1" a="1"/>
  <c r="J1855" i="1"/>
  <c r="I1855" i="1" a="1"/>
  <c r="I1855" i="1"/>
  <c r="L1853" i="1" a="1"/>
  <c r="L1853" i="1"/>
  <c r="I1853" i="1" a="1"/>
  <c r="I1853" i="1"/>
  <c r="G1853" i="1" a="1"/>
  <c r="G1853" i="1"/>
  <c r="L1851" i="1" a="1"/>
  <c r="L1851" i="1"/>
  <c r="N1851" i="1" a="1"/>
  <c r="N1851" i="1"/>
  <c r="L1855" i="1" a="1"/>
  <c r="L1855" i="1"/>
  <c r="M1850" i="1" a="1"/>
  <c r="M1850" i="1"/>
  <c r="F1846" i="1" a="1"/>
  <c r="F1846" i="1"/>
  <c r="P1845" i="1" a="1"/>
  <c r="P1845" i="1"/>
  <c r="I1848" i="1" a="1"/>
  <c r="I1848" i="1"/>
  <c r="H1851" i="1" a="1"/>
  <c r="H1851" i="1" s="1"/>
  <c r="F1851" i="1" a="1"/>
  <c r="F1851" i="1" s="1"/>
  <c r="P1850" i="1" a="1"/>
  <c r="P1850" i="1"/>
  <c r="I1846" i="1" a="1"/>
  <c r="I1846" i="1" s="1"/>
  <c r="O1850" i="1" a="1"/>
  <c r="O1850" i="1" s="1"/>
  <c r="J1850" i="1" a="1"/>
  <c r="J1850" i="1" s="1"/>
  <c r="K1848" i="1" a="1"/>
  <c r="K1848" i="1" s="1"/>
  <c r="L1845" i="1" a="1"/>
  <c r="L1845" i="1" s="1"/>
  <c r="M1846" i="1" a="1"/>
  <c r="M1846" i="1" s="1"/>
  <c r="Q1850" i="1" a="1"/>
  <c r="Q1850" i="1" s="1"/>
  <c r="K1845" i="1" a="1"/>
  <c r="K1845" i="1" s="1"/>
  <c r="M1848" i="1" a="1"/>
  <c r="M1848" i="1" s="1"/>
  <c r="F1850" i="1" a="1"/>
  <c r="F1850" i="1" s="1"/>
  <c r="J1846" i="1" a="1"/>
  <c r="J1846" i="1" s="1"/>
  <c r="G1850" i="1" a="1"/>
  <c r="G1850" i="1" s="1"/>
  <c r="L1846" i="1" a="1"/>
  <c r="L1846" i="1" s="1"/>
  <c r="O1848" i="1" a="1"/>
  <c r="O1848" i="1"/>
  <c r="O1845" i="1" a="1"/>
  <c r="O1845" i="1" s="1"/>
  <c r="Q1846" i="1" a="1"/>
  <c r="Q1846" i="1"/>
  <c r="M1845" i="1" a="1"/>
  <c r="M1845" i="1"/>
  <c r="J1848" i="1" a="1"/>
  <c r="J1848" i="1"/>
  <c r="N1850" i="1" a="1"/>
  <c r="N1850" i="1"/>
  <c r="H1848" i="1" a="1"/>
  <c r="H1848" i="1"/>
  <c r="F1848" i="1" a="1"/>
  <c r="F1848" i="1"/>
  <c r="G1846" i="1" a="1"/>
  <c r="G1846" i="1"/>
  <c r="O1846" i="1" a="1"/>
  <c r="O1846" i="1"/>
  <c r="I1850" i="1" a="1"/>
  <c r="I1850" i="1"/>
  <c r="H1850" i="1" a="1"/>
  <c r="H1850" i="1"/>
  <c r="G1848" i="1" a="1"/>
  <c r="G1848" i="1"/>
  <c r="Q1845" i="1" a="1"/>
  <c r="Q1845" i="1" s="1"/>
  <c r="K1846" i="1" a="1"/>
  <c r="K1846" i="1" s="1"/>
  <c r="H1846" i="1" a="1"/>
  <c r="H1846" i="1" s="1"/>
  <c r="G1851" i="1" a="1"/>
  <c r="G1851" i="1" s="1"/>
  <c r="K1850" i="1" a="1"/>
  <c r="K1850" i="1" s="1"/>
  <c r="Q1848" i="1" a="1"/>
  <c r="Q1848" i="1" s="1"/>
  <c r="P1846" i="1" a="1"/>
  <c r="P1846" i="1" s="1"/>
  <c r="N1845" i="1" a="1"/>
  <c r="N1845" i="1"/>
  <c r="P1848" i="1" a="1"/>
  <c r="P1848" i="1" s="1"/>
  <c r="N1848" i="1" a="1"/>
  <c r="N1848" i="1" s="1"/>
  <c r="L1848" i="1" a="1"/>
  <c r="L1848" i="1" s="1"/>
  <c r="I1851" i="1" a="1"/>
  <c r="I1851" i="1" s="1"/>
  <c r="L1850" i="1" a="1"/>
  <c r="L1850" i="1" s="1"/>
  <c r="N1846" i="1" a="1"/>
  <c r="N1846" i="1" s="1"/>
  <c r="H1842" i="1" a="1"/>
  <c r="H1842" i="1" s="1"/>
  <c r="M1842" i="1" a="1"/>
  <c r="M1842" i="1"/>
  <c r="J1845" i="1" a="1"/>
  <c r="J1845" i="1"/>
  <c r="I1845" i="1" a="1"/>
  <c r="I1845" i="1"/>
  <c r="I1842" i="1" a="1"/>
  <c r="I1842" i="1"/>
  <c r="H1845" i="1" a="1"/>
  <c r="H1845" i="1"/>
  <c r="G1845" i="1" a="1"/>
  <c r="G1845" i="1"/>
  <c r="M1838" i="1" a="1"/>
  <c r="M1838" i="1"/>
  <c r="F1845" i="1" a="1"/>
  <c r="F1845" i="1"/>
  <c r="I1840" i="1" a="1"/>
  <c r="I1840" i="1"/>
  <c r="Q1838" i="1" a="1"/>
  <c r="Q1838" i="1" s="1"/>
  <c r="K1840" i="1" a="1"/>
  <c r="K1840" i="1"/>
  <c r="K1838" i="1" a="1"/>
  <c r="K1838" i="1"/>
  <c r="Q1842" i="1" a="1"/>
  <c r="Q1842" i="1"/>
  <c r="J1840" i="1" a="1"/>
  <c r="J1840" i="1" s="1"/>
  <c r="P1842" i="1" a="1"/>
  <c r="P1842" i="1" s="1"/>
  <c r="N1842" i="1" a="1"/>
  <c r="N1842" i="1" s="1"/>
  <c r="J1842" i="1" a="1"/>
  <c r="J1842" i="1" s="1"/>
  <c r="G1842" i="1" a="1"/>
  <c r="G1842" i="1" s="1"/>
  <c r="G1840" i="1" a="1"/>
  <c r="G1840" i="1" s="1"/>
  <c r="Q1840" i="1" a="1"/>
  <c r="Q1840" i="1" s="1"/>
  <c r="H1840" i="1" a="1"/>
  <c r="H1840" i="1" s="1"/>
  <c r="J1838" i="1" a="1"/>
  <c r="J1838" i="1" s="1"/>
  <c r="P1838" i="1" a="1"/>
  <c r="P1838" i="1" s="1"/>
  <c r="H1838" i="1" a="1"/>
  <c r="H1838" i="1" s="1"/>
  <c r="I1838" i="1" a="1"/>
  <c r="I1838" i="1" s="1"/>
  <c r="F1838" i="1" a="1"/>
  <c r="F1838" i="1" s="1"/>
  <c r="N1838" i="1" a="1"/>
  <c r="N1838" i="1" s="1"/>
  <c r="P1840" i="1" a="1"/>
  <c r="P1840" i="1" s="1"/>
  <c r="O1842" i="1" a="1"/>
  <c r="O1842" i="1"/>
  <c r="L1838" i="1" a="1"/>
  <c r="L1838" i="1"/>
  <c r="O1838" i="1" a="1"/>
  <c r="O1838" i="1"/>
  <c r="M1840" i="1" a="1"/>
  <c r="M1840" i="1"/>
  <c r="N1840" i="1" a="1"/>
  <c r="N1840" i="1"/>
  <c r="G1838" i="1" a="1"/>
  <c r="G1838" i="1"/>
  <c r="K1842" i="1" a="1"/>
  <c r="K1842" i="1"/>
  <c r="O1840" i="1" a="1"/>
  <c r="O1840" i="1"/>
  <c r="F1840" i="1" a="1"/>
  <c r="F1840" i="1"/>
  <c r="L1842" i="1" a="1"/>
  <c r="L1842" i="1" s="1"/>
  <c r="F1842" i="1" a="1"/>
  <c r="F1842" i="1" s="1"/>
  <c r="L1840" i="1" a="1"/>
  <c r="L1840" i="1" s="1"/>
  <c r="F1832" i="1" a="1"/>
  <c r="F1832" i="1" s="1"/>
  <c r="J1831" i="1" a="1"/>
  <c r="J1831" i="1" s="1"/>
  <c r="F1831" i="1" a="1"/>
  <c r="F1831" i="1" s="1"/>
  <c r="K1836" i="1" a="1"/>
  <c r="K1836" i="1" s="1"/>
  <c r="F1836" i="1" a="1"/>
  <c r="F1836" i="1" s="1"/>
  <c r="J1832" i="1" a="1"/>
  <c r="J1832" i="1" s="1"/>
  <c r="G1831" i="1" a="1"/>
  <c r="G1831" i="1" s="1"/>
  <c r="Q1834" i="1" a="1"/>
  <c r="Q1834" i="1" s="1"/>
  <c r="P1829" i="1" a="1"/>
  <c r="P1829" i="1" s="1"/>
  <c r="P1832" i="1" a="1"/>
  <c r="P1832" i="1" s="1"/>
  <c r="N1829" i="1" a="1"/>
  <c r="N1829" i="1" s="1"/>
  <c r="N1832" i="1" a="1"/>
  <c r="N1832" i="1"/>
  <c r="O1832" i="1" a="1"/>
  <c r="O1832" i="1" s="1"/>
  <c r="I1836" i="1" a="1"/>
  <c r="I1836" i="1"/>
  <c r="L1831" i="1" a="1"/>
  <c r="L1831" i="1" s="1"/>
  <c r="Q1836" i="1" a="1"/>
  <c r="Q1836" i="1" s="1"/>
  <c r="H1836" i="1" a="1"/>
  <c r="H1836" i="1"/>
  <c r="G1834" i="1" a="1"/>
  <c r="G1834" i="1" s="1"/>
  <c r="P1836" i="1" a="1"/>
  <c r="P1836" i="1"/>
  <c r="N1836" i="1" a="1"/>
  <c r="N1836" i="1"/>
  <c r="M1836" i="1" a="1"/>
  <c r="M1836" i="1"/>
  <c r="P1834" i="1" a="1"/>
  <c r="P1834" i="1"/>
  <c r="M1832" i="1" a="1"/>
  <c r="M1832" i="1"/>
  <c r="L1836" i="1" a="1"/>
  <c r="L1836" i="1"/>
  <c r="J1836" i="1" a="1"/>
  <c r="J1836" i="1"/>
  <c r="I1832" i="1" a="1"/>
  <c r="I1832" i="1"/>
  <c r="O1834" i="1" a="1"/>
  <c r="O1834" i="1"/>
  <c r="O1831" i="1" a="1"/>
  <c r="O1831" i="1"/>
  <c r="N1834" i="1" a="1"/>
  <c r="N1834" i="1" s="1"/>
  <c r="M1834" i="1" a="1"/>
  <c r="M1834" i="1" s="1"/>
  <c r="G1832" i="1" a="1"/>
  <c r="G1832" i="1" s="1"/>
  <c r="I1831" i="1" a="1"/>
  <c r="I1831" i="1" s="1"/>
  <c r="H1834" i="1" a="1"/>
  <c r="H1834" i="1" s="1"/>
  <c r="K1832" i="1" a="1"/>
  <c r="K1832" i="1" s="1"/>
  <c r="I1834" i="1" a="1"/>
  <c r="I1834" i="1" s="1"/>
  <c r="Q1831" i="1" a="1"/>
  <c r="Q1831" i="1" s="1"/>
  <c r="J1834" i="1" a="1"/>
  <c r="J1834" i="1" s="1"/>
  <c r="H1832" i="1" a="1"/>
  <c r="H1832" i="1" s="1"/>
  <c r="P1831" i="1" a="1"/>
  <c r="P1831" i="1" s="1"/>
  <c r="N1831" i="1" a="1"/>
  <c r="N1831" i="1" s="1"/>
  <c r="M1831" i="1" a="1"/>
  <c r="M1831" i="1" s="1"/>
  <c r="H1831" i="1" a="1"/>
  <c r="H1831" i="1"/>
  <c r="O1829" i="1" a="1"/>
  <c r="O1829" i="1" s="1"/>
  <c r="Q1832" i="1" a="1"/>
  <c r="Q1832" i="1" s="1"/>
  <c r="K1831" i="1" a="1"/>
  <c r="K1831" i="1"/>
  <c r="O1836" i="1" a="1"/>
  <c r="O1836" i="1" s="1"/>
  <c r="G1836" i="1" a="1"/>
  <c r="G1836" i="1" s="1"/>
  <c r="F1834" i="1" a="1"/>
  <c r="F1834" i="1"/>
  <c r="K1834" i="1" a="1"/>
  <c r="K1834" i="1" s="1"/>
  <c r="M1829" i="1" a="1"/>
  <c r="M1829" i="1"/>
  <c r="Q1829" i="1" a="1"/>
  <c r="Q1829" i="1"/>
  <c r="L1834" i="1" a="1"/>
  <c r="L1834" i="1"/>
  <c r="L1832" i="1" a="1"/>
  <c r="L1832" i="1"/>
  <c r="I1829" i="1" a="1"/>
  <c r="I1829" i="1"/>
  <c r="L1827" i="1" a="1"/>
  <c r="L1827" i="1"/>
  <c r="G1827" i="1" a="1"/>
  <c r="G1827" i="1"/>
  <c r="M1826" i="1" a="1"/>
  <c r="M1826" i="1" s="1"/>
  <c r="L1826" i="1" a="1"/>
  <c r="L1826" i="1" s="1"/>
  <c r="H1827" i="1" a="1"/>
  <c r="H1827" i="1" s="1"/>
  <c r="L1829" i="1" a="1"/>
  <c r="L1829" i="1"/>
  <c r="K1829" i="1" a="1"/>
  <c r="K1829" i="1"/>
  <c r="J1829" i="1" a="1"/>
  <c r="J1829" i="1" s="1"/>
  <c r="P1826" i="1" a="1"/>
  <c r="P1826" i="1" s="1"/>
  <c r="H1829" i="1" a="1"/>
  <c r="H1829" i="1" s="1"/>
  <c r="G1829" i="1" a="1"/>
  <c r="G1829" i="1" s="1"/>
  <c r="F1829" i="1" a="1"/>
  <c r="F1829" i="1" s="1"/>
  <c r="Q1827" i="1" a="1"/>
  <c r="Q1827" i="1" s="1"/>
  <c r="M1827" i="1" a="1"/>
  <c r="M1827" i="1" s="1"/>
  <c r="O1827" i="1" a="1"/>
  <c r="O1827" i="1" s="1"/>
  <c r="N1826" i="1" a="1"/>
  <c r="N1826" i="1" s="1"/>
  <c r="O1826" i="1" a="1"/>
  <c r="O1826" i="1" s="1"/>
  <c r="P1827" i="1" a="1"/>
  <c r="P1827" i="1" s="1"/>
  <c r="H1826" i="1" a="1"/>
  <c r="H1826" i="1"/>
  <c r="I1827" i="1" a="1"/>
  <c r="I1827" i="1"/>
  <c r="Q1826" i="1" a="1"/>
  <c r="Q1826" i="1" s="1"/>
  <c r="N1827" i="1" a="1"/>
  <c r="N1827" i="1" s="1"/>
  <c r="K1827" i="1" a="1"/>
  <c r="K1827" i="1"/>
  <c r="G1826" i="1" a="1"/>
  <c r="G1826" i="1"/>
  <c r="J1827" i="1" a="1"/>
  <c r="J1827" i="1" s="1"/>
  <c r="F1827" i="1" a="1"/>
  <c r="F1827" i="1"/>
  <c r="K1826" i="1" a="1"/>
  <c r="K1826" i="1"/>
  <c r="J1826" i="1" a="1"/>
  <c r="J1826" i="1"/>
  <c r="I1826" i="1" a="1"/>
  <c r="I1826" i="1"/>
  <c r="F1826" i="1" a="1"/>
  <c r="F1826" i="1"/>
  <c r="P1051" i="1" a="1"/>
  <c r="P1051" i="1"/>
  <c r="K1054" i="1" a="1"/>
  <c r="K1054" i="1" s="1"/>
  <c r="Q1051" i="1" a="1"/>
  <c r="Q1051" i="1"/>
  <c r="H1054" i="1" a="1"/>
  <c r="H1054" i="1"/>
  <c r="F1054" i="1" a="1"/>
  <c r="F1054" i="1" s="1"/>
  <c r="N1054" i="1" a="1"/>
  <c r="N1054" i="1"/>
  <c r="Q1054" i="1" a="1"/>
  <c r="Q1054" i="1" s="1"/>
  <c r="G1053" i="1" a="1"/>
  <c r="G1053" i="1"/>
  <c r="N1051" i="1" a="1"/>
  <c r="N1051" i="1" s="1"/>
  <c r="M1054" i="1" a="1"/>
  <c r="M1054" i="1" s="1"/>
  <c r="L1054" i="1"/>
  <c r="N1041" i="1" a="1"/>
  <c r="N1041" i="1" s="1"/>
  <c r="K1032" i="1" a="1"/>
  <c r="K1032" i="1" s="1"/>
  <c r="I1041" i="1" a="1"/>
  <c r="I1041" i="1" s="1"/>
  <c r="J1039" i="1" a="1"/>
  <c r="J1039" i="1"/>
  <c r="F1039" i="1" a="1"/>
  <c r="F1039" i="1"/>
  <c r="J1041" i="1" a="1"/>
  <c r="J1041" i="1" s="1"/>
  <c r="P1032" i="1" a="1"/>
  <c r="P1032" i="1" s="1"/>
  <c r="H1041" i="1" a="1"/>
  <c r="H1041" i="1" s="1"/>
  <c r="O1039" i="1" a="1"/>
  <c r="O1039" i="1" s="1"/>
  <c r="M1032" i="1" a="1"/>
  <c r="M1032" i="1" s="1"/>
  <c r="M1039" i="1" a="1"/>
  <c r="M1039" i="1" s="1"/>
  <c r="L1039" i="1" a="1"/>
  <c r="L1039" i="1" s="1"/>
  <c r="Q1032" i="1" a="1"/>
  <c r="Q1032" i="1"/>
  <c r="J1032" i="1" a="1"/>
  <c r="J1032" i="1" s="1"/>
  <c r="L1032" i="1" a="1"/>
  <c r="L1032" i="1" s="1"/>
  <c r="N1032" i="1" a="1"/>
  <c r="N1032" i="1"/>
  <c r="K1039" i="1" a="1"/>
  <c r="K1039" i="1"/>
  <c r="H1039" i="1" a="1"/>
  <c r="H1039" i="1"/>
  <c r="G1039" i="1" a="1"/>
  <c r="G1039" i="1"/>
  <c r="I1032" i="1" a="1"/>
  <c r="I1032" i="1"/>
  <c r="P1039" i="1" a="1"/>
  <c r="P1039" i="1"/>
  <c r="P1041" i="1" a="1"/>
  <c r="P1041" i="1"/>
  <c r="Q1041" i="1" a="1"/>
  <c r="Q1041" i="1" s="1"/>
  <c r="L1041" i="1" a="1"/>
  <c r="L1041" i="1" s="1"/>
  <c r="G1041" i="1" a="1"/>
  <c r="G1041" i="1"/>
  <c r="O1041" i="1" a="1"/>
  <c r="O1041" i="1" s="1"/>
  <c r="F1041" i="1" a="1"/>
  <c r="F1041" i="1" s="1"/>
  <c r="N1039" i="1" a="1"/>
  <c r="N1039" i="1" s="1"/>
  <c r="Q1039" i="1" a="1"/>
  <c r="Q1039" i="1"/>
  <c r="M1041" i="1" a="1"/>
  <c r="M1041" i="1" s="1"/>
  <c r="O1032" i="1" a="1"/>
  <c r="O1032" i="1" s="1"/>
  <c r="H1032" i="1" a="1"/>
  <c r="H1032" i="1" s="1"/>
  <c r="K1041" i="1" a="1"/>
  <c r="K1041" i="1" s="1"/>
  <c r="I1039" i="1" a="1"/>
  <c r="I1039" i="1" s="1"/>
  <c r="F1032" i="1" a="1"/>
  <c r="F1032" i="1" s="1"/>
  <c r="O1029" i="1" a="1"/>
  <c r="O1029" i="1" s="1"/>
  <c r="Q1027" i="1" a="1"/>
  <c r="Q1027" i="1"/>
  <c r="O1024" i="1" a="1"/>
  <c r="O1024" i="1"/>
  <c r="I1024" i="1" a="1"/>
  <c r="I1024" i="1" s="1"/>
  <c r="Q1029" i="1" a="1"/>
  <c r="Q1029" i="1" s="1"/>
  <c r="P1029" i="1" a="1"/>
  <c r="P1029" i="1"/>
  <c r="M1029" i="1" a="1"/>
  <c r="M1029" i="1" s="1"/>
  <c r="N1027" i="1" a="1"/>
  <c r="N1027" i="1" s="1"/>
  <c r="H1024" i="1" a="1"/>
  <c r="H1024" i="1" s="1"/>
  <c r="J1027" i="1" a="1"/>
  <c r="J1027" i="1" s="1"/>
  <c r="K1027" i="1" a="1"/>
  <c r="K1027" i="1"/>
  <c r="L1029" i="1" a="1"/>
  <c r="L1029" i="1"/>
  <c r="H1029" i="1" a="1"/>
  <c r="H1029" i="1"/>
  <c r="G1029" i="1" a="1"/>
  <c r="G1029" i="1"/>
  <c r="P1027" i="1" a="1"/>
  <c r="P1027" i="1" s="1"/>
  <c r="P1024" i="1" a="1"/>
  <c r="P1024" i="1" s="1"/>
  <c r="M1024" i="1" a="1"/>
  <c r="M1024" i="1"/>
  <c r="F1029" i="1" a="1"/>
  <c r="F1029" i="1"/>
  <c r="O1027" i="1" a="1"/>
  <c r="O1027" i="1" s="1"/>
  <c r="M1027" i="1" a="1"/>
  <c r="M1027" i="1"/>
  <c r="L1027" i="1" a="1"/>
  <c r="L1027" i="1" s="1"/>
  <c r="G1027" i="1" a="1"/>
  <c r="G1027" i="1" s="1"/>
  <c r="H1027" i="1" a="1"/>
  <c r="H1027" i="1" s="1"/>
  <c r="L1024" i="1" a="1"/>
  <c r="L1024" i="1" s="1"/>
  <c r="J1024" i="1" a="1"/>
  <c r="J1024" i="1" s="1"/>
  <c r="Q1024" i="1" a="1"/>
  <c r="Q1024" i="1" s="1"/>
  <c r="G1032" i="1" a="1"/>
  <c r="G1032" i="1" s="1"/>
  <c r="N1024" i="1" a="1"/>
  <c r="N1024" i="1" s="1"/>
  <c r="N1029" i="1" a="1"/>
  <c r="N1029" i="1" s="1"/>
  <c r="F1027" i="1" a="1"/>
  <c r="F1027" i="1"/>
  <c r="K1029" i="1" a="1"/>
  <c r="K1029" i="1" s="1"/>
  <c r="J1029" i="1" a="1"/>
  <c r="J1029" i="1" s="1"/>
  <c r="F1024" i="1" a="1"/>
  <c r="F1024" i="1" s="1"/>
  <c r="G1024" i="1" a="1"/>
  <c r="G1024" i="1"/>
  <c r="K1024" i="1" a="1"/>
  <c r="K1024" i="1"/>
  <c r="I1029" i="1" a="1"/>
  <c r="I1029" i="1" s="1"/>
  <c r="I1027" i="1" a="1"/>
  <c r="I1027" i="1"/>
  <c r="L999" i="1" a="1"/>
  <c r="L999" i="1"/>
  <c r="L1051" i="1" s="1" a="1"/>
  <c r="L1051" i="1" s="1"/>
  <c r="P998" i="1" a="1"/>
  <c r="P998" i="1" s="1"/>
  <c r="L998" i="1" a="1"/>
  <c r="L998" i="1" s="1"/>
  <c r="Q1008" i="1" a="1"/>
  <c r="Q1008" i="1"/>
  <c r="N1008" i="1" a="1"/>
  <c r="N1008" i="1"/>
  <c r="L1008" i="1" a="1"/>
  <c r="L1008" i="1" s="1"/>
  <c r="L1054" i="1" s="1" a="1"/>
  <c r="K1008" i="1" a="1"/>
  <c r="K1008" i="1" s="1"/>
  <c r="F1008" i="1" a="1"/>
  <c r="F1008" i="1" s="1"/>
  <c r="N999" i="1" a="1"/>
  <c r="N999" i="1" s="1"/>
  <c r="F999" i="1" a="1"/>
  <c r="F999" i="1" s="1"/>
  <c r="F1051" i="1" s="1" a="1"/>
  <c r="F1051" i="1" s="1"/>
  <c r="Q999" i="1" a="1"/>
  <c r="Q999" i="1"/>
  <c r="K998" i="1" a="1"/>
  <c r="K998" i="1"/>
  <c r="O999" i="1" a="1"/>
  <c r="O999" i="1"/>
  <c r="O1051" i="1" s="1" a="1"/>
  <c r="O1051" i="1" s="1"/>
  <c r="M999" i="1" a="1"/>
  <c r="M999" i="1" s="1"/>
  <c r="M1051" i="1" s="1" a="1"/>
  <c r="M1051" i="1" s="1"/>
  <c r="H999" i="1" a="1"/>
  <c r="H999" i="1" s="1"/>
  <c r="H1051" i="1" s="1" a="1"/>
  <c r="H1051" i="1" s="1"/>
  <c r="J1008" i="1" a="1"/>
  <c r="J1008" i="1"/>
  <c r="J1054" i="1" s="1" a="1"/>
  <c r="J1054" i="1" s="1"/>
  <c r="J999" i="1" a="1"/>
  <c r="J999" i="1"/>
  <c r="J1051" i="1" s="1" a="1"/>
  <c r="J1051" i="1" s="1"/>
  <c r="P1008" i="1" a="1"/>
  <c r="P1008" i="1" s="1"/>
  <c r="P1054" i="1" s="1" a="1"/>
  <c r="P1054" i="1" s="1"/>
  <c r="G1008" i="1" a="1"/>
  <c r="G1008" i="1" s="1"/>
  <c r="G1054" i="1" s="1" a="1"/>
  <c r="G1054" i="1" s="1"/>
  <c r="I998" i="1" a="1"/>
  <c r="I998" i="1" s="1"/>
  <c r="J998" i="1" a="1"/>
  <c r="J998" i="1"/>
  <c r="P999" i="1" a="1"/>
  <c r="P999" i="1"/>
  <c r="M1008" i="1" a="1"/>
  <c r="M1008" i="1"/>
  <c r="H1008" i="1" a="1"/>
  <c r="H1008" i="1"/>
  <c r="K999" i="1" a="1"/>
  <c r="K999" i="1"/>
  <c r="K1051" i="1" s="1" a="1"/>
  <c r="K1051" i="1" s="1"/>
  <c r="O998" i="1" a="1"/>
  <c r="O998" i="1"/>
  <c r="M998" i="1" a="1"/>
  <c r="M998" i="1" s="1"/>
  <c r="I1008" i="1" a="1"/>
  <c r="I1008" i="1" s="1"/>
  <c r="I1054" i="1" s="1" a="1"/>
  <c r="I1054" i="1" s="1"/>
  <c r="N998" i="1" a="1"/>
  <c r="N998" i="1"/>
  <c r="O1008" i="1" a="1"/>
  <c r="O1008" i="1"/>
  <c r="O1054" i="1" s="1" a="1"/>
  <c r="O1054" i="1" s="1"/>
  <c r="G999" i="1" a="1"/>
  <c r="G999" i="1"/>
  <c r="G1051" i="1" s="1" a="1"/>
  <c r="G1051" i="1" s="1"/>
  <c r="H998" i="1" a="1"/>
  <c r="H998" i="1"/>
  <c r="Q998" i="1" a="1"/>
  <c r="Q998" i="1"/>
  <c r="G998" i="1" a="1"/>
  <c r="G998" i="1" s="1"/>
  <c r="F998" i="1" a="1"/>
  <c r="F998" i="1" s="1"/>
  <c r="I999" i="1" a="1"/>
  <c r="I999" i="1" s="1"/>
  <c r="I1051" i="1" s="1" a="1"/>
  <c r="I1051" i="1" s="1"/>
  <c r="N985" i="1" a="1"/>
  <c r="N985" i="1" s="1"/>
  <c r="J985" i="1" a="1"/>
  <c r="J985" i="1" s="1"/>
  <c r="F979" i="1" a="1"/>
  <c r="F979" i="1" s="1"/>
  <c r="F1053" i="1" s="1" a="1"/>
  <c r="F1053" i="1" s="1"/>
  <c r="L978" i="1" a="1"/>
  <c r="L978" i="1" s="1"/>
  <c r="H978" i="1" a="1"/>
  <c r="H978" i="1" s="1"/>
  <c r="G978" i="1" a="1"/>
  <c r="G978" i="1" s="1"/>
  <c r="J978" i="1" a="1"/>
  <c r="J978" i="1"/>
  <c r="P979" i="1" a="1"/>
  <c r="P979" i="1" s="1"/>
  <c r="P1053" i="1" s="1" a="1"/>
  <c r="P1053" i="1" s="1"/>
  <c r="L985" i="1" a="1"/>
  <c r="L985" i="1" s="1"/>
  <c r="H979" i="1" a="1"/>
  <c r="H979" i="1" s="1"/>
  <c r="H1053" i="1" s="1" a="1"/>
  <c r="H1053" i="1" s="1"/>
  <c r="P978" i="1" a="1"/>
  <c r="P978" i="1" s="1"/>
  <c r="Q991" i="1" a="1"/>
  <c r="Q991" i="1" s="1"/>
  <c r="M991" i="1" a="1"/>
  <c r="M991" i="1"/>
  <c r="M985" i="1" a="1"/>
  <c r="M985" i="1"/>
  <c r="H985" i="1" a="1"/>
  <c r="H985" i="1"/>
  <c r="G991" i="1" a="1"/>
  <c r="G991" i="1" s="1"/>
  <c r="K991" i="1" a="1"/>
  <c r="K991" i="1" s="1"/>
  <c r="I978" i="1" a="1"/>
  <c r="I978" i="1" s="1"/>
  <c r="O985" i="1" a="1"/>
  <c r="O985" i="1" s="1"/>
  <c r="I985" i="1" a="1"/>
  <c r="I985" i="1" s="1"/>
  <c r="K978" i="1" a="1"/>
  <c r="K978" i="1"/>
  <c r="H991" i="1" a="1"/>
  <c r="H991" i="1"/>
  <c r="G985" i="1" a="1"/>
  <c r="G985" i="1" s="1"/>
  <c r="O979" i="1" a="1"/>
  <c r="O979" i="1"/>
  <c r="O1053" i="1" s="1" a="1"/>
  <c r="O1053" i="1" s="1"/>
  <c r="P991" i="1" a="1"/>
  <c r="P991" i="1" s="1"/>
  <c r="F978" i="1" a="1"/>
  <c r="F978" i="1" s="1"/>
  <c r="M978" i="1" a="1"/>
  <c r="M978" i="1" s="1"/>
  <c r="J991" i="1" a="1"/>
  <c r="J991" i="1" s="1"/>
  <c r="O991" i="1" a="1"/>
  <c r="O991" i="1" s="1"/>
  <c r="Q979" i="1" a="1"/>
  <c r="Q979" i="1"/>
  <c r="Q1053" i="1" s="1" a="1"/>
  <c r="Q1053" i="1" s="1"/>
  <c r="J979" i="1" a="1"/>
  <c r="J979" i="1" s="1"/>
  <c r="J1053" i="1" s="1" a="1"/>
  <c r="J1053" i="1" s="1"/>
  <c r="K979" i="1" a="1"/>
  <c r="K979" i="1" s="1"/>
  <c r="K1053" i="1" s="1" a="1"/>
  <c r="K1053" i="1" s="1"/>
  <c r="P985" i="1" a="1"/>
  <c r="P985" i="1" s="1"/>
  <c r="N991" i="1" a="1"/>
  <c r="N991" i="1" s="1"/>
  <c r="I991" i="1" a="1"/>
  <c r="I991" i="1" s="1"/>
  <c r="M979" i="1" a="1"/>
  <c r="M979" i="1" s="1"/>
  <c r="M1053" i="1" s="1" a="1"/>
  <c r="M1053" i="1" s="1"/>
  <c r="K985" i="1" a="1"/>
  <c r="K985" i="1"/>
  <c r="N979" i="1" a="1"/>
  <c r="N979" i="1" s="1"/>
  <c r="N1053" i="1" s="1" a="1"/>
  <c r="N1053" i="1" s="1"/>
  <c r="Q985" i="1" a="1"/>
  <c r="Q985" i="1"/>
  <c r="F985" i="1" a="1"/>
  <c r="F985" i="1" s="1"/>
  <c r="L991" i="1" a="1"/>
  <c r="L991" i="1"/>
  <c r="F991" i="1" a="1"/>
  <c r="F991" i="1"/>
  <c r="Q978" i="1" a="1"/>
  <c r="Q978" i="1"/>
  <c r="L979" i="1" a="1"/>
  <c r="L979" i="1"/>
  <c r="L1053" i="1" s="1" a="1"/>
  <c r="L1053" i="1" s="1"/>
  <c r="N978" i="1" a="1"/>
  <c r="N978" i="1"/>
  <c r="I979" i="1" a="1"/>
  <c r="I979" i="1"/>
  <c r="I1053" i="1" s="1" a="1"/>
  <c r="I1053" i="1" s="1"/>
  <c r="G979" i="1" a="1"/>
  <c r="G979" i="1"/>
  <c r="O978" i="1" a="1"/>
  <c r="O978" i="1"/>
  <c r="I975" i="1" a="1"/>
  <c r="I975" i="1"/>
  <c r="H975" i="1" a="1"/>
  <c r="H975" i="1"/>
  <c r="I976" i="1" a="1"/>
  <c r="I976" i="1"/>
  <c r="K975" i="1" a="1"/>
  <c r="K975" i="1" s="1"/>
  <c r="J975" i="1" a="1"/>
  <c r="J975" i="1" s="1"/>
  <c r="F976" i="1" a="1"/>
  <c r="F976" i="1" s="1"/>
  <c r="M975" i="1" a="1"/>
  <c r="M975" i="1" s="1"/>
  <c r="G975" i="1" a="1"/>
  <c r="G975" i="1" s="1"/>
  <c r="P976" i="1" a="1"/>
  <c r="P976" i="1" s="1"/>
  <c r="Q976" i="1" a="1"/>
  <c r="Q976" i="1" s="1"/>
  <c r="O976" i="1" a="1"/>
  <c r="O976" i="1" s="1"/>
  <c r="M976" i="1" a="1"/>
  <c r="M976" i="1"/>
  <c r="J976" i="1" a="1"/>
  <c r="J976" i="1" s="1"/>
  <c r="H976" i="1" a="1"/>
  <c r="H976" i="1"/>
  <c r="G976" i="1" a="1"/>
  <c r="G976" i="1" s="1"/>
  <c r="Q975" i="1" a="1"/>
  <c r="Q975" i="1" s="1"/>
  <c r="N975" i="1" a="1"/>
  <c r="N975" i="1" s="1"/>
  <c r="F975" i="1" a="1"/>
  <c r="F975" i="1" s="1"/>
  <c r="L976" i="1" a="1"/>
  <c r="L976" i="1" s="1"/>
  <c r="O975" i="1" a="1"/>
  <c r="O975" i="1" s="1"/>
  <c r="K976" i="1" a="1"/>
  <c r="K976" i="1"/>
  <c r="L975" i="1" a="1"/>
  <c r="L975" i="1"/>
  <c r="N976" i="1" a="1"/>
  <c r="N976" i="1"/>
  <c r="P975" i="1" a="1"/>
  <c r="P975" i="1"/>
  <c r="J928" i="1" a="1"/>
  <c r="J928" i="1"/>
  <c r="O916" i="1" a="1"/>
  <c r="O916" i="1"/>
  <c r="J916" i="1" a="1"/>
  <c r="J916" i="1"/>
  <c r="H914" i="1" a="1"/>
  <c r="H914" i="1" s="1"/>
  <c r="G928" i="1" a="1"/>
  <c r="G928" i="1" s="1"/>
  <c r="Q916" i="1" a="1"/>
  <c r="Q916" i="1"/>
  <c r="L928" i="1" a="1"/>
  <c r="L928" i="1"/>
  <c r="M916" i="1" a="1"/>
  <c r="M916" i="1"/>
  <c r="F928" i="1" a="1"/>
  <c r="F928" i="1"/>
  <c r="K914" i="1" a="1"/>
  <c r="K914" i="1" s="1"/>
  <c r="L916" i="1" a="1"/>
  <c r="L916" i="1" s="1"/>
  <c r="N916" i="1" a="1"/>
  <c r="N916" i="1" s="1"/>
  <c r="I914" i="1" a="1"/>
  <c r="I914" i="1" s="1"/>
  <c r="P928" i="1" a="1"/>
  <c r="P928" i="1" s="1"/>
  <c r="H928" i="1" a="1"/>
  <c r="H928" i="1" s="1"/>
  <c r="M928" i="1" a="1"/>
  <c r="M928" i="1"/>
  <c r="N914" i="1" a="1"/>
  <c r="N914" i="1"/>
  <c r="K916" i="1" a="1"/>
  <c r="K916" i="1" s="1"/>
  <c r="O928" i="1" a="1"/>
  <c r="O928" i="1" s="1"/>
  <c r="F916" i="1" a="1"/>
  <c r="F916" i="1" s="1"/>
  <c r="Q928" i="1" a="1"/>
  <c r="Q928" i="1" s="1"/>
  <c r="N928" i="1" a="1"/>
  <c r="N928" i="1"/>
  <c r="G916" i="1" a="1"/>
  <c r="G916" i="1"/>
  <c r="Q914" i="1" a="1"/>
  <c r="Q914" i="1" s="1"/>
  <c r="M914" i="1" a="1"/>
  <c r="M914" i="1" s="1"/>
  <c r="L914" i="1" a="1"/>
  <c r="L914" i="1"/>
  <c r="I928" i="1" a="1"/>
  <c r="I928" i="1"/>
  <c r="J914" i="1" a="1"/>
  <c r="J914" i="1"/>
  <c r="P914" i="1" a="1"/>
  <c r="P914" i="1"/>
  <c r="I916" i="1" a="1"/>
  <c r="I916" i="1"/>
  <c r="H916" i="1" a="1"/>
  <c r="H916" i="1" s="1"/>
  <c r="K928" i="1" a="1"/>
  <c r="K928" i="1"/>
  <c r="P916" i="1" a="1"/>
  <c r="P916" i="1" s="1"/>
  <c r="O914" i="1" a="1"/>
  <c r="O914" i="1" s="1"/>
  <c r="K885" i="1" a="1"/>
  <c r="K885" i="1" s="1"/>
  <c r="G896" i="1" a="1"/>
  <c r="G896" i="1" s="1"/>
  <c r="P885" i="1" a="1"/>
  <c r="P885" i="1" s="1"/>
  <c r="K896" i="1" a="1"/>
  <c r="K896" i="1" s="1"/>
  <c r="K925" i="1" s="1"/>
  <c r="K924" i="1" s="1"/>
  <c r="H885" i="1" a="1"/>
  <c r="H885" i="1"/>
  <c r="J896" i="1" a="1"/>
  <c r="J896" i="1"/>
  <c r="M896" i="1" a="1"/>
  <c r="M896" i="1"/>
  <c r="L885" i="1" a="1"/>
  <c r="L885" i="1" s="1"/>
  <c r="N885" i="1" a="1"/>
  <c r="N885" i="1" s="1"/>
  <c r="P896" i="1" a="1"/>
  <c r="P896" i="1"/>
  <c r="I885" i="1" a="1"/>
  <c r="I885" i="1"/>
  <c r="O896" i="1" a="1"/>
  <c r="O896" i="1"/>
  <c r="N896" i="1" a="1"/>
  <c r="N896" i="1"/>
  <c r="M885" i="1" a="1"/>
  <c r="M885" i="1" s="1"/>
  <c r="F914" i="1" a="1"/>
  <c r="F914" i="1" s="1"/>
  <c r="Q896" i="1" a="1"/>
  <c r="Q896" i="1" s="1"/>
  <c r="L896" i="1" a="1"/>
  <c r="L896" i="1" s="1"/>
  <c r="H896" i="1" a="1"/>
  <c r="H896" i="1" s="1"/>
  <c r="H925" i="1" s="1"/>
  <c r="H924" i="1" s="1"/>
  <c r="J885" i="1" a="1"/>
  <c r="J885" i="1" s="1"/>
  <c r="I896" i="1" a="1"/>
  <c r="I896" i="1" s="1"/>
  <c r="Q885" i="1" a="1"/>
  <c r="Q885" i="1" s="1"/>
  <c r="O885" i="1" a="1"/>
  <c r="O885" i="1"/>
  <c r="F896" i="1" a="1"/>
  <c r="F896" i="1"/>
  <c r="G914" i="1" a="1"/>
  <c r="G914" i="1"/>
  <c r="P884" i="1" a="1"/>
  <c r="P884" i="1" s="1"/>
  <c r="H884" i="1" a="1"/>
  <c r="H884" i="1" s="1"/>
  <c r="O884" i="1" a="1"/>
  <c r="O884" i="1" s="1"/>
  <c r="Q884" i="1" a="1"/>
  <c r="Q884" i="1" s="1"/>
  <c r="K884" i="1" a="1"/>
  <c r="K884" i="1" s="1"/>
  <c r="G884" i="1" a="1"/>
  <c r="G884" i="1"/>
  <c r="G885" i="1" a="1"/>
  <c r="G885" i="1"/>
  <c r="F885" i="1" a="1"/>
  <c r="F885" i="1" s="1"/>
  <c r="J884" i="1" a="1"/>
  <c r="J884" i="1"/>
  <c r="F884" i="1" a="1"/>
  <c r="F884" i="1"/>
  <c r="N884" i="1" a="1"/>
  <c r="N884" i="1"/>
  <c r="M884" i="1" a="1"/>
  <c r="M884" i="1"/>
  <c r="L884" i="1" a="1"/>
  <c r="L884" i="1"/>
  <c r="I884" i="1" a="1"/>
  <c r="I884" i="1" s="1"/>
  <c r="Q806" i="1" a="1"/>
  <c r="Q806" i="1"/>
  <c r="P806" i="1" a="1"/>
  <c r="P806" i="1" s="1"/>
  <c r="I816" i="1" a="1"/>
  <c r="I816" i="1" s="1"/>
  <c r="F816" i="1" a="1"/>
  <c r="F816" i="1" s="1"/>
  <c r="N806" i="1" a="1"/>
  <c r="N806" i="1" s="1"/>
  <c r="O816" i="1" a="1"/>
  <c r="O816" i="1" s="1"/>
  <c r="K816" i="1" a="1"/>
  <c r="K816" i="1" s="1"/>
  <c r="P816" i="1" a="1"/>
  <c r="P816" i="1" s="1"/>
  <c r="L806" i="1" a="1"/>
  <c r="L806" i="1"/>
  <c r="L816" i="1" a="1"/>
  <c r="L816" i="1" s="1"/>
  <c r="O806" i="1" a="1"/>
  <c r="O806" i="1"/>
  <c r="M806" i="1" a="1"/>
  <c r="M806" i="1" s="1"/>
  <c r="H804" i="1" a="1"/>
  <c r="H804" i="1"/>
  <c r="F802" i="1" a="1"/>
  <c r="F802" i="1" s="1"/>
  <c r="L802" i="1" a="1"/>
  <c r="L802" i="1"/>
  <c r="H806" i="1" a="1"/>
  <c r="H806" i="1" s="1"/>
  <c r="G806" i="1" a="1"/>
  <c r="G806" i="1"/>
  <c r="N802" i="1" a="1"/>
  <c r="N802" i="1"/>
  <c r="F806" i="1" a="1"/>
  <c r="F806" i="1"/>
  <c r="F804" i="1" a="1"/>
  <c r="F804" i="1"/>
  <c r="P804" i="1" a="1"/>
  <c r="P804" i="1"/>
  <c r="K802" i="1" a="1"/>
  <c r="K802" i="1"/>
  <c r="J802" i="1" a="1"/>
  <c r="J802" i="1"/>
  <c r="O802" i="1" a="1"/>
  <c r="O802" i="1"/>
  <c r="G804" i="1" a="1"/>
  <c r="G804" i="1"/>
  <c r="Q802" i="1" a="1"/>
  <c r="Q802" i="1"/>
  <c r="P802" i="1" a="1"/>
  <c r="P802" i="1"/>
  <c r="O804" i="1" a="1"/>
  <c r="O804" i="1"/>
  <c r="J804" i="1" a="1"/>
  <c r="J804" i="1" s="1"/>
  <c r="I802" i="1" a="1"/>
  <c r="I802" i="1" s="1"/>
  <c r="I804" i="1" a="1"/>
  <c r="I804" i="1"/>
  <c r="N804" i="1" a="1"/>
  <c r="N804" i="1" s="1"/>
  <c r="K804" i="1" a="1"/>
  <c r="K804" i="1" s="1"/>
  <c r="K806" i="1" a="1"/>
  <c r="K806" i="1" s="1"/>
  <c r="Q804" i="1" a="1"/>
  <c r="Q804" i="1" s="1"/>
  <c r="H802" i="1" a="1"/>
  <c r="H802" i="1"/>
  <c r="G802" i="1" a="1"/>
  <c r="G802" i="1" s="1"/>
  <c r="J806" i="1" a="1"/>
  <c r="J806" i="1" s="1"/>
  <c r="I806" i="1" a="1"/>
  <c r="I806" i="1" s="1"/>
  <c r="M804" i="1" a="1"/>
  <c r="M804" i="1" s="1"/>
  <c r="L804" i="1" a="1"/>
  <c r="L804" i="1" s="1"/>
  <c r="M802" i="1" a="1"/>
  <c r="M802" i="1"/>
  <c r="P780" i="1" a="1"/>
  <c r="P780" i="1" s="1"/>
  <c r="P779" i="1" s="1"/>
  <c r="K766" i="1" a="1"/>
  <c r="K766" i="1" s="1"/>
  <c r="M766" i="1" a="1"/>
  <c r="M766" i="1" s="1"/>
  <c r="M816" i="1" s="1" a="1"/>
  <c r="M816" i="1" s="1"/>
  <c r="G766" i="1" a="1"/>
  <c r="G766" i="1" s="1"/>
  <c r="G816" i="1" s="1" a="1"/>
  <c r="G816" i="1" s="1"/>
  <c r="O766" i="1" a="1"/>
  <c r="O766" i="1"/>
  <c r="H780" i="1" a="1"/>
  <c r="H780" i="1"/>
  <c r="L780" i="1" a="1"/>
  <c r="L780" i="1"/>
  <c r="N780" i="1" a="1"/>
  <c r="N780" i="1"/>
  <c r="F766" i="1" a="1"/>
  <c r="F766" i="1"/>
  <c r="Q780" i="1" a="1"/>
  <c r="Q780" i="1"/>
  <c r="Q779" i="1" s="1"/>
  <c r="Q766" i="1" a="1"/>
  <c r="Q766" i="1"/>
  <c r="Q816" i="1" s="1" a="1"/>
  <c r="Q816" i="1" s="1"/>
  <c r="K780" i="1" a="1"/>
  <c r="K780" i="1"/>
  <c r="I780" i="1" a="1"/>
  <c r="I780" i="1"/>
  <c r="L766" i="1" a="1"/>
  <c r="L766" i="1"/>
  <c r="G780" i="1" a="1"/>
  <c r="G780" i="1"/>
  <c r="I766" i="1" a="1"/>
  <c r="I766" i="1" s="1"/>
  <c r="H766" i="1" a="1"/>
  <c r="H766" i="1" s="1"/>
  <c r="H816" i="1" s="1" a="1"/>
  <c r="H816" i="1" s="1"/>
  <c r="P766" i="1" a="1"/>
  <c r="P766" i="1"/>
  <c r="F780" i="1" a="1"/>
  <c r="F780" i="1" s="1"/>
  <c r="F779" i="1" s="1"/>
  <c r="J766" i="1" a="1"/>
  <c r="J766" i="1" s="1"/>
  <c r="J816" i="1" s="1" a="1"/>
  <c r="J816" i="1" s="1"/>
  <c r="O780" i="1" a="1"/>
  <c r="O780" i="1" s="1"/>
  <c r="O779" i="1" s="1"/>
  <c r="M780" i="1" a="1"/>
  <c r="M780" i="1" s="1"/>
  <c r="M779" i="1" s="1"/>
  <c r="M786" i="1" s="1"/>
  <c r="J780" i="1" a="1"/>
  <c r="J780" i="1"/>
  <c r="N766" i="1" a="1"/>
  <c r="N766" i="1" s="1"/>
  <c r="N816" i="1" s="1" a="1"/>
  <c r="N816" i="1" s="1"/>
  <c r="Q856" i="1"/>
  <c r="Q855" i="1" s="1"/>
  <c r="P856" i="1"/>
  <c r="P855" i="1" s="1"/>
  <c r="O856" i="1"/>
  <c r="O855" i="1" s="1"/>
  <c r="N856" i="1"/>
  <c r="N855" i="1" s="1"/>
  <c r="M856" i="1"/>
  <c r="L856" i="1"/>
  <c r="L855" i="1" s="1"/>
  <c r="K856" i="1"/>
  <c r="K855" i="1" s="1"/>
  <c r="J856" i="1"/>
  <c r="J855" i="1" s="1"/>
  <c r="I856" i="1"/>
  <c r="I855" i="1" s="1"/>
  <c r="H856" i="1"/>
  <c r="H855" i="1" s="1"/>
  <c r="G856" i="1"/>
  <c r="G855" i="1" s="1"/>
  <c r="F856" i="1"/>
  <c r="M855" i="1"/>
  <c r="F855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N787" i="1"/>
  <c r="M787" i="1"/>
  <c r="L787" i="1"/>
  <c r="K787" i="1"/>
  <c r="I787" i="1"/>
  <c r="H787" i="1"/>
  <c r="N783" i="1"/>
  <c r="M783" i="1"/>
  <c r="L783" i="1"/>
  <c r="K783" i="1"/>
  <c r="J783" i="1"/>
  <c r="I783" i="1"/>
  <c r="H783" i="1"/>
  <c r="G783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N779" i="1"/>
  <c r="N786" i="1" s="1"/>
  <c r="L779" i="1"/>
  <c r="L786" i="1" s="1"/>
  <c r="K779" i="1"/>
  <c r="K786" i="1" s="1"/>
  <c r="J779" i="1"/>
  <c r="J786" i="1" s="1"/>
  <c r="J787" i="1" s="1"/>
  <c r="I779" i="1"/>
  <c r="I786" i="1" s="1"/>
  <c r="H779" i="1"/>
  <c r="H786" i="1" s="1"/>
  <c r="G779" i="1"/>
  <c r="G786" i="1" s="1"/>
  <c r="G787" i="1" s="1"/>
  <c r="Q778" i="1"/>
  <c r="P778" i="1"/>
  <c r="O778" i="1"/>
  <c r="N778" i="1"/>
  <c r="M778" i="1"/>
  <c r="L778" i="1"/>
  <c r="K778" i="1"/>
  <c r="J778" i="1"/>
  <c r="I778" i="1"/>
  <c r="H778" i="1"/>
  <c r="G778" i="1"/>
  <c r="F778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Q675" i="1"/>
  <c r="P675" i="1"/>
  <c r="O675" i="1"/>
  <c r="M675" i="1"/>
  <c r="L675" i="1"/>
  <c r="N674" i="1"/>
  <c r="F674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Q669" i="1"/>
  <c r="P669" i="1"/>
  <c r="O669" i="1"/>
  <c r="N669" i="1"/>
  <c r="N675" i="1" s="1"/>
  <c r="M669" i="1"/>
  <c r="L669" i="1"/>
  <c r="K669" i="1"/>
  <c r="K675" i="1" s="1"/>
  <c r="J669" i="1"/>
  <c r="J675" i="1" s="1"/>
  <c r="I669" i="1"/>
  <c r="I675" i="1" s="1"/>
  <c r="H669" i="1"/>
  <c r="H675" i="1" s="1"/>
  <c r="G669" i="1"/>
  <c r="G675" i="1" s="1"/>
  <c r="F669" i="1"/>
  <c r="F675" i="1" s="1"/>
  <c r="Q668" i="1"/>
  <c r="Q674" i="1" s="1"/>
  <c r="P668" i="1"/>
  <c r="P674" i="1" s="1"/>
  <c r="O668" i="1"/>
  <c r="O674" i="1" s="1"/>
  <c r="N668" i="1"/>
  <c r="M668" i="1"/>
  <c r="M674" i="1" s="1"/>
  <c r="L668" i="1"/>
  <c r="L674" i="1" s="1"/>
  <c r="K668" i="1"/>
  <c r="K674" i="1" s="1"/>
  <c r="J668" i="1"/>
  <c r="J674" i="1" s="1"/>
  <c r="I668" i="1"/>
  <c r="I674" i="1" s="1"/>
  <c r="H668" i="1"/>
  <c r="H674" i="1" s="1"/>
  <c r="G668" i="1"/>
  <c r="G674" i="1" s="1"/>
  <c r="F668" i="1"/>
  <c r="Q667" i="1"/>
  <c r="P667" i="1"/>
  <c r="O667" i="1"/>
  <c r="N667" i="1"/>
  <c r="M667" i="1"/>
  <c r="L667" i="1"/>
  <c r="K667" i="1"/>
  <c r="J667" i="1"/>
  <c r="I667" i="1"/>
  <c r="H667" i="1"/>
  <c r="G667" i="1"/>
  <c r="F667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Q520" i="1"/>
  <c r="F519" i="1"/>
  <c r="Q517" i="1"/>
  <c r="P517" i="1"/>
  <c r="O517" i="1"/>
  <c r="N517" i="1"/>
  <c r="M517" i="1"/>
  <c r="L517" i="1"/>
  <c r="N516" i="1"/>
  <c r="H514" i="1"/>
  <c r="O513" i="1"/>
  <c r="M513" i="1"/>
  <c r="K513" i="1"/>
  <c r="I513" i="1"/>
  <c r="H513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L480" i="1"/>
  <c r="K480" i="1"/>
  <c r="J480" i="1"/>
  <c r="I480" i="1"/>
  <c r="K479" i="1"/>
  <c r="P477" i="1"/>
  <c r="M474" i="1"/>
  <c r="K474" i="1"/>
  <c r="J473" i="1"/>
  <c r="I473" i="1"/>
  <c r="H473" i="1"/>
  <c r="G473" i="1"/>
  <c r="F473" i="1"/>
  <c r="N465" i="1"/>
  <c r="M465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I437" i="1"/>
  <c r="H437" i="1"/>
  <c r="G437" i="1"/>
  <c r="F437" i="1"/>
  <c r="Q429" i="1"/>
  <c r="P429" i="1"/>
  <c r="N429" i="1"/>
  <c r="K420" i="1"/>
  <c r="I420" i="1"/>
  <c r="H420" i="1"/>
  <c r="G420" i="1"/>
  <c r="F420" i="1"/>
  <c r="N419" i="1"/>
  <c r="L413" i="1"/>
  <c r="J413" i="1"/>
  <c r="I413" i="1"/>
  <c r="H413" i="1"/>
  <c r="G413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L400" i="1"/>
  <c r="L520" i="1" s="1"/>
  <c r="K400" i="1"/>
  <c r="K520" i="1" s="1"/>
  <c r="J400" i="1"/>
  <c r="J520" i="1" s="1"/>
  <c r="I400" i="1"/>
  <c r="I520" i="1" s="1"/>
  <c r="H400" i="1"/>
  <c r="H520" i="1" s="1"/>
  <c r="G400" i="1"/>
  <c r="G520" i="1" s="1"/>
  <c r="F399" i="1"/>
  <c r="Q398" i="1"/>
  <c r="Q439" i="1" s="1"/>
  <c r="P398" i="1"/>
  <c r="P439" i="1" s="1"/>
  <c r="O398" i="1"/>
  <c r="O439" i="1" s="1"/>
  <c r="N398" i="1"/>
  <c r="N439" i="1" s="1"/>
  <c r="M398" i="1"/>
  <c r="M439" i="1" s="1"/>
  <c r="L398" i="1"/>
  <c r="L439" i="1" s="1"/>
  <c r="J398" i="1"/>
  <c r="J439" i="1" s="1"/>
  <c r="I398" i="1"/>
  <c r="I439" i="1" s="1"/>
  <c r="Q396" i="1"/>
  <c r="P396" i="1"/>
  <c r="O396" i="1"/>
  <c r="N396" i="1"/>
  <c r="M396" i="1"/>
  <c r="L396" i="1"/>
  <c r="K396" i="1"/>
  <c r="J396" i="1"/>
  <c r="I396" i="1"/>
  <c r="H396" i="1"/>
  <c r="G396" i="1"/>
  <c r="F396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Q386" i="1"/>
  <c r="O386" i="1"/>
  <c r="G385" i="1"/>
  <c r="G516" i="1" s="1"/>
  <c r="Q384" i="1"/>
  <c r="Q515" i="1" s="1"/>
  <c r="N384" i="1"/>
  <c r="N515" i="1" s="1"/>
  <c r="M384" i="1"/>
  <c r="M515" i="1" s="1"/>
  <c r="L384" i="1"/>
  <c r="L515" i="1" s="1"/>
  <c r="K384" i="1"/>
  <c r="K515" i="1" s="1"/>
  <c r="I384" i="1"/>
  <c r="I515" i="1" s="1"/>
  <c r="I383" i="1"/>
  <c r="I514" i="1" s="1"/>
  <c r="H383" i="1"/>
  <c r="G383" i="1"/>
  <c r="G514" i="1" s="1"/>
  <c r="F383" i="1"/>
  <c r="F514" i="1" s="1"/>
  <c r="H382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Q380" i="1"/>
  <c r="Q437" i="1" s="1"/>
  <c r="P380" i="1"/>
  <c r="P437" i="1" s="1"/>
  <c r="M380" i="1"/>
  <c r="M437" i="1" s="1"/>
  <c r="J380" i="1"/>
  <c r="J437" i="1" s="1"/>
  <c r="I380" i="1"/>
  <c r="H380" i="1"/>
  <c r="G380" i="1"/>
  <c r="F380" i="1"/>
  <c r="O364" i="1"/>
  <c r="N364" i="1"/>
  <c r="L364" i="1"/>
  <c r="K364" i="1"/>
  <c r="Q362" i="1"/>
  <c r="P362" i="1"/>
  <c r="N362" i="1"/>
  <c r="K362" i="1"/>
  <c r="K429" i="1" s="1"/>
  <c r="Q360" i="1"/>
  <c r="P360" i="1"/>
  <c r="O360" i="1"/>
  <c r="N360" i="1"/>
  <c r="M360" i="1"/>
  <c r="L360" i="1"/>
  <c r="K360" i="1"/>
  <c r="J360" i="1"/>
  <c r="I360" i="1"/>
  <c r="H360" i="1"/>
  <c r="G360" i="1"/>
  <c r="F360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J325" i="1"/>
  <c r="I325" i="1"/>
  <c r="H325" i="1"/>
  <c r="H480" i="1" s="1"/>
  <c r="G325" i="1"/>
  <c r="G480" i="1" s="1"/>
  <c r="F325" i="1"/>
  <c r="F480" i="1" s="1"/>
  <c r="Q324" i="1"/>
  <c r="Q479" i="1" s="1"/>
  <c r="P324" i="1"/>
  <c r="P479" i="1" s="1"/>
  <c r="O324" i="1"/>
  <c r="O479" i="1" s="1"/>
  <c r="M324" i="1"/>
  <c r="M479" i="1" s="1"/>
  <c r="K324" i="1"/>
  <c r="I324" i="1"/>
  <c r="I479" i="1" s="1"/>
  <c r="J323" i="1"/>
  <c r="J478" i="1" s="1"/>
  <c r="I323" i="1"/>
  <c r="I478" i="1" s="1"/>
  <c r="H323" i="1"/>
  <c r="H478" i="1" s="1"/>
  <c r="F323" i="1"/>
  <c r="F478" i="1" s="1"/>
  <c r="Q322" i="1"/>
  <c r="Q477" i="1" s="1"/>
  <c r="P322" i="1"/>
  <c r="O322" i="1"/>
  <c r="O477" i="1" s="1"/>
  <c r="N322" i="1"/>
  <c r="N477" i="1" s="1"/>
  <c r="M322" i="1"/>
  <c r="M477" i="1" s="1"/>
  <c r="L322" i="1"/>
  <c r="L477" i="1" s="1"/>
  <c r="K322" i="1"/>
  <c r="K477" i="1" s="1"/>
  <c r="P320" i="1"/>
  <c r="P475" i="1" s="1"/>
  <c r="O320" i="1"/>
  <c r="O475" i="1" s="1"/>
  <c r="N320" i="1"/>
  <c r="N475" i="1" s="1"/>
  <c r="M320" i="1"/>
  <c r="M475" i="1" s="1"/>
  <c r="L320" i="1"/>
  <c r="L475" i="1" s="1"/>
  <c r="K320" i="1"/>
  <c r="K475" i="1" s="1"/>
  <c r="J320" i="1"/>
  <c r="J475" i="1" s="1"/>
  <c r="I320" i="1"/>
  <c r="I475" i="1" s="1"/>
  <c r="H320" i="1"/>
  <c r="H475" i="1" s="1"/>
  <c r="G320" i="1"/>
  <c r="G475" i="1" s="1"/>
  <c r="F320" i="1"/>
  <c r="F475" i="1" s="1"/>
  <c r="Q319" i="1"/>
  <c r="Q474" i="1" s="1"/>
  <c r="P319" i="1"/>
  <c r="P474" i="1" s="1"/>
  <c r="O319" i="1"/>
  <c r="O474" i="1" s="1"/>
  <c r="J318" i="1"/>
  <c r="I318" i="1"/>
  <c r="H318" i="1"/>
  <c r="G318" i="1"/>
  <c r="F318" i="1"/>
  <c r="Q317" i="1"/>
  <c r="Q472" i="1" s="1"/>
  <c r="O317" i="1"/>
  <c r="O472" i="1" s="1"/>
  <c r="J317" i="1"/>
  <c r="J472" i="1" s="1"/>
  <c r="G317" i="1"/>
  <c r="G472" i="1" s="1"/>
  <c r="Q316" i="1"/>
  <c r="Q471" i="1" s="1"/>
  <c r="Q315" i="1"/>
  <c r="Q420" i="1" s="1"/>
  <c r="P315" i="1"/>
  <c r="P420" i="1" s="1"/>
  <c r="F315" i="1"/>
  <c r="Q314" i="1"/>
  <c r="Q419" i="1" s="1"/>
  <c r="P314" i="1"/>
  <c r="P419" i="1" s="1"/>
  <c r="O314" i="1"/>
  <c r="O419" i="1" s="1"/>
  <c r="M314" i="1"/>
  <c r="M419" i="1" s="1"/>
  <c r="L314" i="1"/>
  <c r="L419" i="1" s="1"/>
  <c r="Q313" i="1"/>
  <c r="P313" i="1"/>
  <c r="O313" i="1"/>
  <c r="N313" i="1"/>
  <c r="M313" i="1"/>
  <c r="L313" i="1"/>
  <c r="K313" i="1"/>
  <c r="J313" i="1"/>
  <c r="I313" i="1"/>
  <c r="H313" i="1"/>
  <c r="G313" i="1"/>
  <c r="F313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N301" i="1"/>
  <c r="M301" i="1"/>
  <c r="L301" i="1"/>
  <c r="L465" i="1" s="1"/>
  <c r="Q300" i="1"/>
  <c r="Q413" i="1" s="1"/>
  <c r="P300" i="1"/>
  <c r="P413" i="1" s="1"/>
  <c r="O300" i="1"/>
  <c r="O413" i="1" s="1"/>
  <c r="N300" i="1"/>
  <c r="N413" i="1" s="1"/>
  <c r="Q299" i="1"/>
  <c r="P299" i="1"/>
  <c r="O299" i="1"/>
  <c r="N299" i="1"/>
  <c r="M299" i="1"/>
  <c r="L299" i="1"/>
  <c r="K299" i="1"/>
  <c r="J299" i="1"/>
  <c r="I299" i="1"/>
  <c r="H299" i="1"/>
  <c r="G299" i="1"/>
  <c r="F299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G241" i="1"/>
  <c r="G316" i="1" s="1"/>
  <c r="G471" i="1" s="1"/>
  <c r="Q129" i="1"/>
  <c r="P129" i="1"/>
  <c r="N129" i="1"/>
  <c r="M129" i="1"/>
  <c r="L129" i="1"/>
  <c r="I129" i="1"/>
  <c r="H129" i="1"/>
  <c r="G129" i="1"/>
  <c r="F129" i="1"/>
  <c r="P128" i="1"/>
  <c r="G128" i="1"/>
  <c r="F128" i="1"/>
  <c r="Q126" i="1"/>
  <c r="P126" i="1"/>
  <c r="O126" i="1"/>
  <c r="N126" i="1"/>
  <c r="M126" i="1"/>
  <c r="L126" i="1"/>
  <c r="K126" i="1"/>
  <c r="I126" i="1"/>
  <c r="G126" i="1"/>
  <c r="Q125" i="1"/>
  <c r="P125" i="1"/>
  <c r="O125" i="1"/>
  <c r="N125" i="1"/>
  <c r="M125" i="1"/>
  <c r="N124" i="1"/>
  <c r="M124" i="1"/>
  <c r="L124" i="1"/>
  <c r="K124" i="1"/>
  <c r="J124" i="1"/>
  <c r="I124" i="1"/>
  <c r="H124" i="1"/>
  <c r="G124" i="1"/>
  <c r="M123" i="1"/>
  <c r="L123" i="1"/>
  <c r="K123" i="1"/>
  <c r="J123" i="1"/>
  <c r="I123" i="1"/>
  <c r="H123" i="1"/>
  <c r="J122" i="1"/>
  <c r="I122" i="1"/>
  <c r="H122" i="1"/>
  <c r="G122" i="1"/>
  <c r="F122" i="1"/>
  <c r="Q121" i="1"/>
  <c r="P121" i="1"/>
  <c r="O121" i="1"/>
  <c r="M121" i="1"/>
  <c r="L121" i="1"/>
  <c r="K121" i="1"/>
  <c r="I121" i="1"/>
  <c r="H121" i="1"/>
  <c r="G121" i="1"/>
  <c r="F121" i="1"/>
  <c r="Q120" i="1"/>
  <c r="F120" i="1"/>
  <c r="Q119" i="1"/>
  <c r="P119" i="1"/>
  <c r="O119" i="1"/>
  <c r="N119" i="1"/>
  <c r="M119" i="1"/>
  <c r="L119" i="1"/>
  <c r="K119" i="1"/>
  <c r="J119" i="1"/>
  <c r="I119" i="1"/>
  <c r="G119" i="1"/>
  <c r="Q118" i="1"/>
  <c r="P118" i="1"/>
  <c r="O118" i="1"/>
  <c r="N118" i="1"/>
  <c r="M118" i="1"/>
  <c r="L118" i="1"/>
  <c r="J118" i="1"/>
  <c r="N117" i="1"/>
  <c r="M117" i="1"/>
  <c r="L117" i="1"/>
  <c r="K117" i="1"/>
  <c r="J117" i="1"/>
  <c r="I117" i="1"/>
  <c r="H117" i="1"/>
  <c r="G117" i="1"/>
  <c r="O116" i="1"/>
  <c r="M116" i="1"/>
  <c r="L116" i="1"/>
  <c r="K116" i="1"/>
  <c r="J116" i="1"/>
  <c r="I116" i="1"/>
  <c r="H116" i="1"/>
  <c r="F116" i="1"/>
  <c r="Q115" i="1"/>
  <c r="J115" i="1"/>
  <c r="I115" i="1"/>
  <c r="H115" i="1"/>
  <c r="G115" i="1"/>
  <c r="F11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Q290" i="1"/>
  <c r="P290" i="1"/>
  <c r="O290" i="1"/>
  <c r="N290" i="1"/>
  <c r="N400" i="1" s="1"/>
  <c r="N520" i="1" s="1"/>
  <c r="M290" i="1"/>
  <c r="M400" i="1" s="1"/>
  <c r="M520" i="1" s="1"/>
  <c r="L290" i="1"/>
  <c r="K290" i="1"/>
  <c r="J290" i="1"/>
  <c r="I290" i="1"/>
  <c r="H290" i="1"/>
  <c r="G290" i="1"/>
  <c r="F290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Q287" i="1"/>
  <c r="P287" i="1"/>
  <c r="P386" i="1" s="1"/>
  <c r="O287" i="1"/>
  <c r="N287" i="1"/>
  <c r="M287" i="1"/>
  <c r="L287" i="1"/>
  <c r="K287" i="1"/>
  <c r="J287" i="1"/>
  <c r="I287" i="1"/>
  <c r="H287" i="1"/>
  <c r="G287" i="1"/>
  <c r="F287" i="1"/>
  <c r="Q286" i="1"/>
  <c r="P286" i="1"/>
  <c r="O286" i="1"/>
  <c r="N286" i="1"/>
  <c r="M286" i="1"/>
  <c r="L286" i="1"/>
  <c r="K286" i="1"/>
  <c r="J286" i="1"/>
  <c r="I286" i="1"/>
  <c r="I385" i="1" s="1"/>
  <c r="I516" i="1" s="1"/>
  <c r="H286" i="1"/>
  <c r="H385" i="1" s="1"/>
  <c r="H516" i="1" s="1"/>
  <c r="G286" i="1"/>
  <c r="F286" i="1"/>
  <c r="F385" i="1" s="1"/>
  <c r="F516" i="1" s="1"/>
  <c r="Q285" i="1"/>
  <c r="P285" i="1"/>
  <c r="P384" i="1" s="1"/>
  <c r="P515" i="1" s="1"/>
  <c r="O285" i="1"/>
  <c r="O384" i="1" s="1"/>
  <c r="O515" i="1" s="1"/>
  <c r="N285" i="1"/>
  <c r="M285" i="1"/>
  <c r="L285" i="1"/>
  <c r="K285" i="1"/>
  <c r="J285" i="1"/>
  <c r="I285" i="1"/>
  <c r="H285" i="1"/>
  <c r="G285" i="1"/>
  <c r="F285" i="1"/>
  <c r="H283" i="1"/>
  <c r="G283" i="1"/>
  <c r="G382" i="1" s="1"/>
  <c r="G513" i="1" s="1"/>
  <c r="P274" i="1"/>
  <c r="O274" i="1"/>
  <c r="N274" i="1"/>
  <c r="K274" i="1"/>
  <c r="K363" i="1" s="1"/>
  <c r="K504" i="1" s="1"/>
  <c r="H274" i="1"/>
  <c r="G274" i="1"/>
  <c r="F274" i="1"/>
  <c r="F363" i="1" s="1"/>
  <c r="F504" i="1" s="1"/>
  <c r="Q250" i="1"/>
  <c r="P250" i="1"/>
  <c r="O250" i="1"/>
  <c r="N250" i="1"/>
  <c r="M250" i="1"/>
  <c r="L250" i="1"/>
  <c r="K250" i="1"/>
  <c r="J250" i="1"/>
  <c r="I250" i="1"/>
  <c r="H250" i="1"/>
  <c r="G250" i="1"/>
  <c r="F250" i="1"/>
  <c r="Q249" i="1"/>
  <c r="P249" i="1"/>
  <c r="O249" i="1"/>
  <c r="N249" i="1"/>
  <c r="M249" i="1"/>
  <c r="L249" i="1"/>
  <c r="K249" i="1"/>
  <c r="J249" i="1"/>
  <c r="J324" i="1" s="1"/>
  <c r="J479" i="1" s="1"/>
  <c r="I249" i="1"/>
  <c r="H249" i="1"/>
  <c r="G249" i="1"/>
  <c r="F249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Q247" i="1"/>
  <c r="P247" i="1"/>
  <c r="O247" i="1"/>
  <c r="N247" i="1"/>
  <c r="M247" i="1"/>
  <c r="L247" i="1"/>
  <c r="K247" i="1"/>
  <c r="J247" i="1"/>
  <c r="I247" i="1"/>
  <c r="H247" i="1"/>
  <c r="G247" i="1"/>
  <c r="G322" i="1" s="1"/>
  <c r="G477" i="1" s="1"/>
  <c r="F247" i="1"/>
  <c r="F322" i="1" s="1"/>
  <c r="F477" i="1" s="1"/>
  <c r="Q246" i="1"/>
  <c r="Q321" i="1" s="1"/>
  <c r="Q476" i="1" s="1"/>
  <c r="P246" i="1"/>
  <c r="P321" i="1" s="1"/>
  <c r="P476" i="1" s="1"/>
  <c r="O246" i="1"/>
  <c r="N246" i="1"/>
  <c r="M246" i="1"/>
  <c r="L246" i="1"/>
  <c r="K246" i="1"/>
  <c r="J246" i="1"/>
  <c r="I246" i="1"/>
  <c r="H246" i="1"/>
  <c r="G246" i="1"/>
  <c r="F246" i="1"/>
  <c r="Q245" i="1"/>
  <c r="Q320" i="1" s="1"/>
  <c r="Q475" i="1" s="1"/>
  <c r="P245" i="1"/>
  <c r="O245" i="1"/>
  <c r="N245" i="1"/>
  <c r="M245" i="1"/>
  <c r="L245" i="1"/>
  <c r="K245" i="1"/>
  <c r="J245" i="1"/>
  <c r="I245" i="1"/>
  <c r="H245" i="1"/>
  <c r="G245" i="1"/>
  <c r="F245" i="1"/>
  <c r="Q244" i="1"/>
  <c r="P244" i="1"/>
  <c r="O244" i="1"/>
  <c r="N244" i="1"/>
  <c r="M244" i="1"/>
  <c r="M319" i="1" s="1"/>
  <c r="L244" i="1"/>
  <c r="K244" i="1"/>
  <c r="K319" i="1" s="1"/>
  <c r="J244" i="1"/>
  <c r="I244" i="1"/>
  <c r="H244" i="1"/>
  <c r="G244" i="1"/>
  <c r="F244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O241" i="1"/>
  <c r="N241" i="1"/>
  <c r="J241" i="1"/>
  <c r="Q235" i="1"/>
  <c r="Q301" i="1" s="1"/>
  <c r="Q465" i="1" s="1"/>
  <c r="P235" i="1"/>
  <c r="P301" i="1" s="1"/>
  <c r="P465" i="1" s="1"/>
  <c r="O235" i="1"/>
  <c r="O301" i="1" s="1"/>
  <c r="O465" i="1" s="1"/>
  <c r="N235" i="1"/>
  <c r="M235" i="1"/>
  <c r="L235" i="1"/>
  <c r="K235" i="1"/>
  <c r="K301" i="1" s="1"/>
  <c r="K465" i="1" s="1"/>
  <c r="J235" i="1"/>
  <c r="I235" i="1"/>
  <c r="H235" i="1"/>
  <c r="G235" i="1"/>
  <c r="F235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Q220" i="1"/>
  <c r="P220" i="1"/>
  <c r="O220" i="1"/>
  <c r="N220" i="1"/>
  <c r="M220" i="1"/>
  <c r="L220" i="1"/>
  <c r="L222" i="1" s="1"/>
  <c r="L221" i="1" s="1"/>
  <c r="K220" i="1"/>
  <c r="J220" i="1"/>
  <c r="I220" i="1"/>
  <c r="H220" i="1"/>
  <c r="G220" i="1"/>
  <c r="F220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Q216" i="1"/>
  <c r="Q212" i="1" s="1"/>
  <c r="P216" i="1"/>
  <c r="O216" i="1"/>
  <c r="O212" i="1" s="1"/>
  <c r="N216" i="1"/>
  <c r="M216" i="1"/>
  <c r="M212" i="1" s="1"/>
  <c r="L216" i="1"/>
  <c r="L212" i="1" s="1"/>
  <c r="K216" i="1"/>
  <c r="K212" i="1" s="1"/>
  <c r="J216" i="1"/>
  <c r="J212" i="1" s="1"/>
  <c r="I216" i="1"/>
  <c r="I212" i="1" s="1"/>
  <c r="H216" i="1"/>
  <c r="H212" i="1" s="1"/>
  <c r="G216" i="1"/>
  <c r="G212" i="1" s="1"/>
  <c r="F216" i="1"/>
  <c r="F212" i="1" s="1"/>
  <c r="P212" i="1"/>
  <c r="N212" i="1"/>
  <c r="Q209" i="1"/>
  <c r="P209" i="1"/>
  <c r="O209" i="1"/>
  <c r="N209" i="1"/>
  <c r="M209" i="1"/>
  <c r="L209" i="1"/>
  <c r="K209" i="1"/>
  <c r="J209" i="1"/>
  <c r="I209" i="1"/>
  <c r="H209" i="1"/>
  <c r="H398" i="1" s="1"/>
  <c r="H439" i="1" s="1"/>
  <c r="G209" i="1"/>
  <c r="G398" i="1" s="1"/>
  <c r="G439" i="1" s="1"/>
  <c r="F209" i="1"/>
  <c r="F398" i="1" s="1"/>
  <c r="F439" i="1" s="1"/>
  <c r="Q207" i="1"/>
  <c r="P207" i="1"/>
  <c r="O207" i="1"/>
  <c r="O380" i="1" s="1"/>
  <c r="O437" i="1" s="1"/>
  <c r="N207" i="1"/>
  <c r="N380" i="1" s="1"/>
  <c r="N437" i="1" s="1"/>
  <c r="M207" i="1"/>
  <c r="L207" i="1"/>
  <c r="K207" i="1"/>
  <c r="J207" i="1"/>
  <c r="I207" i="1"/>
  <c r="H207" i="1"/>
  <c r="G207" i="1"/>
  <c r="F207" i="1"/>
  <c r="O198" i="1"/>
  <c r="N198" i="1"/>
  <c r="Q190" i="1"/>
  <c r="P190" i="1"/>
  <c r="O190" i="1"/>
  <c r="O315" i="1" s="1"/>
  <c r="O420" i="1" s="1"/>
  <c r="N190" i="1"/>
  <c r="N315" i="1" s="1"/>
  <c r="N420" i="1" s="1"/>
  <c r="M190" i="1"/>
  <c r="M315" i="1" s="1"/>
  <c r="M420" i="1" s="1"/>
  <c r="L190" i="1"/>
  <c r="L315" i="1" s="1"/>
  <c r="L420" i="1" s="1"/>
  <c r="K190" i="1"/>
  <c r="K315" i="1" s="1"/>
  <c r="J190" i="1"/>
  <c r="I190" i="1"/>
  <c r="H190" i="1"/>
  <c r="G190" i="1"/>
  <c r="G315" i="1" s="1"/>
  <c r="F190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Q172" i="1"/>
  <c r="Q400" i="1" s="1"/>
  <c r="P172" i="1"/>
  <c r="P400" i="1" s="1"/>
  <c r="P520" i="1" s="1"/>
  <c r="O172" i="1"/>
  <c r="O400" i="1" s="1"/>
  <c r="O520" i="1" s="1"/>
  <c r="N172" i="1"/>
  <c r="M172" i="1"/>
  <c r="L172" i="1"/>
  <c r="K172" i="1"/>
  <c r="J172" i="1"/>
  <c r="I172" i="1"/>
  <c r="H172" i="1"/>
  <c r="G172" i="1"/>
  <c r="F172" i="1"/>
  <c r="F400" i="1" s="1"/>
  <c r="F520" i="1" s="1"/>
  <c r="Q171" i="1"/>
  <c r="Q399" i="1" s="1"/>
  <c r="Q519" i="1" s="1"/>
  <c r="P171" i="1"/>
  <c r="P399" i="1" s="1"/>
  <c r="P519" i="1" s="1"/>
  <c r="O171" i="1"/>
  <c r="N171" i="1"/>
  <c r="M171" i="1"/>
  <c r="L171" i="1"/>
  <c r="K171" i="1"/>
  <c r="J171" i="1"/>
  <c r="I171" i="1"/>
  <c r="H171" i="1"/>
  <c r="G171" i="1"/>
  <c r="G399" i="1" s="1"/>
  <c r="G519" i="1" s="1"/>
  <c r="F171" i="1"/>
  <c r="Q170" i="1"/>
  <c r="P170" i="1"/>
  <c r="O170" i="1"/>
  <c r="N170" i="1"/>
  <c r="M170" i="1"/>
  <c r="L170" i="1"/>
  <c r="K170" i="1"/>
  <c r="K398" i="1" s="1"/>
  <c r="K439" i="1" s="1"/>
  <c r="J170" i="1"/>
  <c r="I170" i="1"/>
  <c r="H170" i="1"/>
  <c r="G170" i="1"/>
  <c r="F170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Q158" i="1"/>
  <c r="P158" i="1"/>
  <c r="O158" i="1"/>
  <c r="N158" i="1"/>
  <c r="N386" i="1" s="1"/>
  <c r="M158" i="1"/>
  <c r="M386" i="1" s="1"/>
  <c r="L158" i="1"/>
  <c r="L386" i="1" s="1"/>
  <c r="K158" i="1"/>
  <c r="J158" i="1"/>
  <c r="I158" i="1"/>
  <c r="H158" i="1"/>
  <c r="H386" i="1" s="1"/>
  <c r="H517" i="1" s="1"/>
  <c r="G158" i="1"/>
  <c r="G386" i="1" s="1"/>
  <c r="G517" i="1" s="1"/>
  <c r="F158" i="1"/>
  <c r="F386" i="1" s="1"/>
  <c r="F517" i="1" s="1"/>
  <c r="Q157" i="1"/>
  <c r="Q385" i="1" s="1"/>
  <c r="Q516" i="1" s="1"/>
  <c r="P157" i="1"/>
  <c r="P385" i="1" s="1"/>
  <c r="P516" i="1" s="1"/>
  <c r="O157" i="1"/>
  <c r="O385" i="1" s="1"/>
  <c r="O516" i="1" s="1"/>
  <c r="N157" i="1"/>
  <c r="N385" i="1" s="1"/>
  <c r="M157" i="1"/>
  <c r="M385" i="1" s="1"/>
  <c r="M516" i="1" s="1"/>
  <c r="L157" i="1"/>
  <c r="L385" i="1" s="1"/>
  <c r="L516" i="1" s="1"/>
  <c r="K157" i="1"/>
  <c r="J157" i="1"/>
  <c r="I157" i="1"/>
  <c r="H157" i="1"/>
  <c r="G157" i="1"/>
  <c r="F157" i="1"/>
  <c r="Q156" i="1"/>
  <c r="P156" i="1"/>
  <c r="O156" i="1"/>
  <c r="N156" i="1"/>
  <c r="M156" i="1"/>
  <c r="L156" i="1"/>
  <c r="K156" i="1"/>
  <c r="J156" i="1"/>
  <c r="J384" i="1" s="1"/>
  <c r="J515" i="1" s="1"/>
  <c r="I156" i="1"/>
  <c r="H156" i="1"/>
  <c r="H384" i="1" s="1"/>
  <c r="H515" i="1" s="1"/>
  <c r="G156" i="1"/>
  <c r="F156" i="1"/>
  <c r="Q155" i="1"/>
  <c r="P155" i="1"/>
  <c r="P383" i="1" s="1"/>
  <c r="P514" i="1" s="1"/>
  <c r="O155" i="1"/>
  <c r="O383" i="1" s="1"/>
  <c r="O514" i="1" s="1"/>
  <c r="N155" i="1"/>
  <c r="M155" i="1"/>
  <c r="L155" i="1"/>
  <c r="K155" i="1"/>
  <c r="K383" i="1" s="1"/>
  <c r="K514" i="1" s="1"/>
  <c r="J155" i="1"/>
  <c r="I155" i="1"/>
  <c r="H155" i="1"/>
  <c r="G155" i="1"/>
  <c r="F155" i="1"/>
  <c r="Q154" i="1"/>
  <c r="P154" i="1"/>
  <c r="O154" i="1"/>
  <c r="O382" i="1" s="1"/>
  <c r="N154" i="1"/>
  <c r="M154" i="1"/>
  <c r="L154" i="1"/>
  <c r="K154" i="1"/>
  <c r="J154" i="1"/>
  <c r="I154" i="1"/>
  <c r="H154" i="1"/>
  <c r="G154" i="1"/>
  <c r="F154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Q152" i="1"/>
  <c r="P152" i="1"/>
  <c r="O152" i="1"/>
  <c r="N152" i="1"/>
  <c r="M152" i="1"/>
  <c r="L152" i="1"/>
  <c r="K152" i="1"/>
  <c r="K380" i="1" s="1"/>
  <c r="K437" i="1" s="1"/>
  <c r="J152" i="1"/>
  <c r="I152" i="1"/>
  <c r="H152" i="1"/>
  <c r="G152" i="1"/>
  <c r="F152" i="1"/>
  <c r="Q136" i="1"/>
  <c r="P136" i="1"/>
  <c r="O136" i="1"/>
  <c r="N136" i="1"/>
  <c r="M136" i="1"/>
  <c r="L136" i="1"/>
  <c r="L130" i="1" s="1"/>
  <c r="K136" i="1"/>
  <c r="J136" i="1"/>
  <c r="I136" i="1"/>
  <c r="H136" i="1"/>
  <c r="G136" i="1"/>
  <c r="G364" i="1" s="1"/>
  <c r="F136" i="1"/>
  <c r="Q135" i="1"/>
  <c r="P135" i="1"/>
  <c r="O135" i="1"/>
  <c r="O363" i="1" s="1"/>
  <c r="O504" i="1" s="1"/>
  <c r="N135" i="1"/>
  <c r="M135" i="1"/>
  <c r="L135" i="1"/>
  <c r="L363" i="1" s="1"/>
  <c r="L504" i="1" s="1"/>
  <c r="K135" i="1"/>
  <c r="J135" i="1"/>
  <c r="I135" i="1"/>
  <c r="I363" i="1" s="1"/>
  <c r="I504" i="1" s="1"/>
  <c r="H135" i="1"/>
  <c r="H363" i="1" s="1"/>
  <c r="H504" i="1" s="1"/>
  <c r="G135" i="1"/>
  <c r="G363" i="1" s="1"/>
  <c r="G504" i="1" s="1"/>
  <c r="F135" i="1"/>
  <c r="Q134" i="1"/>
  <c r="P134" i="1"/>
  <c r="O134" i="1"/>
  <c r="N134" i="1"/>
  <c r="M134" i="1"/>
  <c r="L134" i="1"/>
  <c r="K134" i="1"/>
  <c r="J134" i="1"/>
  <c r="I134" i="1"/>
  <c r="I362" i="1" s="1"/>
  <c r="I429" i="1" s="1"/>
  <c r="H134" i="1"/>
  <c r="G134" i="1"/>
  <c r="G141" i="1" s="1" a="1"/>
  <c r="G141" i="1" s="1"/>
  <c r="F134" i="1"/>
  <c r="F362" i="1" s="1"/>
  <c r="F429" i="1" s="1"/>
  <c r="Q133" i="1"/>
  <c r="P133" i="1"/>
  <c r="O133" i="1"/>
  <c r="N133" i="1"/>
  <c r="M133" i="1"/>
  <c r="L133" i="1"/>
  <c r="K133" i="1"/>
  <c r="K361" i="1" s="1"/>
  <c r="K428" i="1" s="1"/>
  <c r="J133" i="1"/>
  <c r="I133" i="1"/>
  <c r="H133" i="1"/>
  <c r="G133" i="1"/>
  <c r="F133" i="1"/>
  <c r="F361" i="1" s="1"/>
  <c r="F428" i="1" s="1"/>
  <c r="Q132" i="1"/>
  <c r="P132" i="1"/>
  <c r="P139" i="1" s="1" a="1"/>
  <c r="P139" i="1" s="1"/>
  <c r="O132" i="1"/>
  <c r="N132" i="1"/>
  <c r="M132" i="1"/>
  <c r="L132" i="1"/>
  <c r="K132" i="1"/>
  <c r="J132" i="1"/>
  <c r="I132" i="1"/>
  <c r="H132" i="1"/>
  <c r="G132" i="1"/>
  <c r="F132" i="1"/>
  <c r="Q131" i="1"/>
  <c r="Q130" i="1" s="1"/>
  <c r="P131" i="1"/>
  <c r="O131" i="1"/>
  <c r="N131" i="1"/>
  <c r="M131" i="1"/>
  <c r="M138" i="1" s="1" a="1"/>
  <c r="M138" i="1" s="1"/>
  <c r="L131" i="1"/>
  <c r="K131" i="1"/>
  <c r="J131" i="1"/>
  <c r="I131" i="1"/>
  <c r="I138" i="1" s="1" a="1"/>
  <c r="I138" i="1" s="1"/>
  <c r="H131" i="1"/>
  <c r="G131" i="1"/>
  <c r="G130" i="1" s="1"/>
  <c r="F131" i="1"/>
  <c r="Q97" i="1"/>
  <c r="P97" i="1"/>
  <c r="O97" i="1"/>
  <c r="N97" i="1"/>
  <c r="M97" i="1"/>
  <c r="L97" i="1"/>
  <c r="L325" i="1" s="1"/>
  <c r="K97" i="1"/>
  <c r="K325" i="1" s="1"/>
  <c r="J97" i="1"/>
  <c r="J129" i="1" s="1"/>
  <c r="I97" i="1"/>
  <c r="H97" i="1"/>
  <c r="G97" i="1"/>
  <c r="F97" i="1"/>
  <c r="Q96" i="1"/>
  <c r="Q128" i="1" s="1"/>
  <c r="P96" i="1"/>
  <c r="O96" i="1"/>
  <c r="O128" i="1" s="1"/>
  <c r="N96" i="1"/>
  <c r="N128" i="1" s="1"/>
  <c r="M96" i="1"/>
  <c r="M128" i="1" s="1"/>
  <c r="L96" i="1"/>
  <c r="L128" i="1" s="1"/>
  <c r="K96" i="1"/>
  <c r="K128" i="1" s="1"/>
  <c r="J96" i="1"/>
  <c r="J128" i="1" s="1"/>
  <c r="I96" i="1"/>
  <c r="I128" i="1" s="1"/>
  <c r="H96" i="1"/>
  <c r="G96" i="1"/>
  <c r="F96" i="1"/>
  <c r="F324" i="1" s="1"/>
  <c r="F479" i="1" s="1"/>
  <c r="Q95" i="1"/>
  <c r="P95" i="1"/>
  <c r="O95" i="1"/>
  <c r="N95" i="1"/>
  <c r="M95" i="1"/>
  <c r="L95" i="1"/>
  <c r="K95" i="1"/>
  <c r="J95" i="1"/>
  <c r="I95" i="1"/>
  <c r="H95" i="1"/>
  <c r="G95" i="1"/>
  <c r="G323" i="1" s="1"/>
  <c r="G478" i="1" s="1"/>
  <c r="F95" i="1"/>
  <c r="Q94" i="1"/>
  <c r="P94" i="1"/>
  <c r="O94" i="1"/>
  <c r="N94" i="1"/>
  <c r="M94" i="1"/>
  <c r="L94" i="1"/>
  <c r="K94" i="1"/>
  <c r="J94" i="1"/>
  <c r="J322" i="1" s="1"/>
  <c r="J477" i="1" s="1"/>
  <c r="I94" i="1"/>
  <c r="I322" i="1" s="1"/>
  <c r="I477" i="1" s="1"/>
  <c r="H94" i="1"/>
  <c r="H322" i="1" s="1"/>
  <c r="H477" i="1" s="1"/>
  <c r="G94" i="1"/>
  <c r="F94" i="1"/>
  <c r="F126" i="1" s="1"/>
  <c r="Q93" i="1"/>
  <c r="P93" i="1"/>
  <c r="O93" i="1"/>
  <c r="N93" i="1"/>
  <c r="N321" i="1" s="1"/>
  <c r="N476" i="1" s="1"/>
  <c r="M93" i="1"/>
  <c r="L93" i="1"/>
  <c r="K93" i="1"/>
  <c r="J93" i="1"/>
  <c r="I93" i="1"/>
  <c r="H93" i="1"/>
  <c r="G93" i="1"/>
  <c r="F93" i="1"/>
  <c r="Q92" i="1"/>
  <c r="Q124" i="1" s="1"/>
  <c r="P92" i="1"/>
  <c r="P124" i="1" s="1"/>
  <c r="O92" i="1"/>
  <c r="O124" i="1" s="1"/>
  <c r="N92" i="1"/>
  <c r="M92" i="1"/>
  <c r="L92" i="1"/>
  <c r="K92" i="1"/>
  <c r="J92" i="1"/>
  <c r="I92" i="1"/>
  <c r="H92" i="1"/>
  <c r="G92" i="1"/>
  <c r="F92" i="1"/>
  <c r="F124" i="1" s="1"/>
  <c r="Q91" i="1"/>
  <c r="Q123" i="1" s="1"/>
  <c r="P91" i="1"/>
  <c r="P123" i="1" s="1"/>
  <c r="O91" i="1"/>
  <c r="O123" i="1" s="1"/>
  <c r="N91" i="1"/>
  <c r="N123" i="1" s="1"/>
  <c r="M91" i="1"/>
  <c r="L91" i="1"/>
  <c r="L319" i="1" s="1"/>
  <c r="L474" i="1" s="1"/>
  <c r="K91" i="1"/>
  <c r="J91" i="1"/>
  <c r="J319" i="1" s="1"/>
  <c r="J474" i="1" s="1"/>
  <c r="I91" i="1"/>
  <c r="H91" i="1"/>
  <c r="G91" i="1"/>
  <c r="F91" i="1"/>
  <c r="Q90" i="1"/>
  <c r="P90" i="1"/>
  <c r="O90" i="1"/>
  <c r="N90" i="1"/>
  <c r="M90" i="1"/>
  <c r="L90" i="1"/>
  <c r="K90" i="1"/>
  <c r="J90" i="1"/>
  <c r="I90" i="1"/>
  <c r="H90" i="1"/>
  <c r="G90" i="1"/>
  <c r="F90" i="1"/>
  <c r="Q89" i="1"/>
  <c r="P89" i="1"/>
  <c r="O89" i="1"/>
  <c r="N89" i="1"/>
  <c r="N317" i="1" s="1"/>
  <c r="N472" i="1" s="1"/>
  <c r="M89" i="1"/>
  <c r="L89" i="1"/>
  <c r="L317" i="1" s="1"/>
  <c r="L472" i="1" s="1"/>
  <c r="K89" i="1"/>
  <c r="J89" i="1"/>
  <c r="J121" i="1" s="1"/>
  <c r="I89" i="1"/>
  <c r="H89" i="1"/>
  <c r="G89" i="1"/>
  <c r="F89" i="1"/>
  <c r="Q88" i="1"/>
  <c r="P88" i="1"/>
  <c r="O88" i="1"/>
  <c r="N88" i="1"/>
  <c r="M88" i="1"/>
  <c r="L88" i="1"/>
  <c r="K88" i="1"/>
  <c r="J88" i="1"/>
  <c r="I88" i="1"/>
  <c r="H88" i="1"/>
  <c r="G88" i="1"/>
  <c r="G120" i="1" s="1"/>
  <c r="F88" i="1"/>
  <c r="Q87" i="1"/>
  <c r="P87" i="1"/>
  <c r="O87" i="1"/>
  <c r="N87" i="1"/>
  <c r="M87" i="1"/>
  <c r="L87" i="1"/>
  <c r="K87" i="1"/>
  <c r="J87" i="1"/>
  <c r="J315" i="1" s="1"/>
  <c r="J420" i="1" s="1"/>
  <c r="I87" i="1"/>
  <c r="I315" i="1" s="1"/>
  <c r="H87" i="1"/>
  <c r="H315" i="1" s="1"/>
  <c r="G87" i="1"/>
  <c r="F87" i="1"/>
  <c r="F119" i="1" s="1"/>
  <c r="Q86" i="1"/>
  <c r="P86" i="1"/>
  <c r="O86" i="1"/>
  <c r="N86" i="1"/>
  <c r="N314" i="1" s="1"/>
  <c r="M86" i="1"/>
  <c r="L86" i="1"/>
  <c r="K86" i="1"/>
  <c r="K314" i="1" s="1"/>
  <c r="K419" i="1" s="1"/>
  <c r="J86" i="1"/>
  <c r="I86" i="1"/>
  <c r="H86" i="1"/>
  <c r="G86" i="1"/>
  <c r="F86" i="1"/>
  <c r="Q85" i="1"/>
  <c r="Q117" i="1" s="1"/>
  <c r="P85" i="1"/>
  <c r="P117" i="1" s="1"/>
  <c r="O85" i="1"/>
  <c r="O117" i="1" s="1"/>
  <c r="N85" i="1"/>
  <c r="M85" i="1"/>
  <c r="L85" i="1"/>
  <c r="K85" i="1"/>
  <c r="J85" i="1"/>
  <c r="I85" i="1"/>
  <c r="H85" i="1"/>
  <c r="G85" i="1"/>
  <c r="F85" i="1"/>
  <c r="F117" i="1" s="1"/>
  <c r="Q84" i="1"/>
  <c r="Q116" i="1" s="1"/>
  <c r="P84" i="1"/>
  <c r="P116" i="1" s="1"/>
  <c r="O84" i="1"/>
  <c r="N84" i="1"/>
  <c r="N116" i="1" s="1"/>
  <c r="M84" i="1"/>
  <c r="L84" i="1"/>
  <c r="K84" i="1"/>
  <c r="J84" i="1"/>
  <c r="I84" i="1"/>
  <c r="H84" i="1"/>
  <c r="G84" i="1"/>
  <c r="G116" i="1" s="1"/>
  <c r="F84" i="1"/>
  <c r="Q83" i="1"/>
  <c r="P83" i="1"/>
  <c r="P115" i="1" s="1"/>
  <c r="O83" i="1"/>
  <c r="O115" i="1" s="1"/>
  <c r="N83" i="1"/>
  <c r="N115" i="1" s="1"/>
  <c r="M83" i="1"/>
  <c r="M115" i="1" s="1"/>
  <c r="L83" i="1"/>
  <c r="L115" i="1" s="1"/>
  <c r="K83" i="1"/>
  <c r="K115" i="1" s="1"/>
  <c r="J83" i="1"/>
  <c r="I83" i="1"/>
  <c r="H83" i="1"/>
  <c r="G83" i="1"/>
  <c r="F83" i="1"/>
  <c r="Q77" i="1"/>
  <c r="P77" i="1"/>
  <c r="O77" i="1"/>
  <c r="N77" i="1"/>
  <c r="M77" i="1"/>
  <c r="L77" i="1"/>
  <c r="K77" i="1"/>
  <c r="J77" i="1"/>
  <c r="I77" i="1"/>
  <c r="H77" i="1"/>
  <c r="G77" i="1"/>
  <c r="F77" i="1"/>
  <c r="Q76" i="1"/>
  <c r="P76" i="1"/>
  <c r="O76" i="1"/>
  <c r="N76" i="1"/>
  <c r="M76" i="1"/>
  <c r="L76" i="1"/>
  <c r="K76" i="1"/>
  <c r="J76" i="1"/>
  <c r="I76" i="1"/>
  <c r="H76" i="1"/>
  <c r="G76" i="1"/>
  <c r="F76" i="1"/>
  <c r="Q73" i="1"/>
  <c r="P73" i="1"/>
  <c r="O73" i="1"/>
  <c r="N73" i="1"/>
  <c r="M73" i="1"/>
  <c r="L73" i="1"/>
  <c r="K73" i="1"/>
  <c r="J73" i="1"/>
  <c r="I73" i="1"/>
  <c r="I301" i="1" s="1"/>
  <c r="I465" i="1" s="1"/>
  <c r="H73" i="1"/>
  <c r="G73" i="1"/>
  <c r="G301" i="1" s="1"/>
  <c r="G465" i="1" s="1"/>
  <c r="F73" i="1"/>
  <c r="Q72" i="1"/>
  <c r="P72" i="1"/>
  <c r="O72" i="1"/>
  <c r="N72" i="1"/>
  <c r="M72" i="1"/>
  <c r="M300" i="1" s="1"/>
  <c r="M413" i="1" s="1"/>
  <c r="L72" i="1"/>
  <c r="L300" i="1" s="1"/>
  <c r="K72" i="1"/>
  <c r="K300" i="1" s="1"/>
  <c r="K413" i="1" s="1"/>
  <c r="J72" i="1"/>
  <c r="J300" i="1" s="1"/>
  <c r="I72" i="1"/>
  <c r="I300" i="1" s="1"/>
  <c r="H72" i="1"/>
  <c r="H300" i="1" s="1"/>
  <c r="G72" i="1"/>
  <c r="G300" i="1" s="1"/>
  <c r="F72" i="1"/>
  <c r="F300" i="1" s="1"/>
  <c r="F413" i="1" s="1"/>
  <c r="Q71" i="1"/>
  <c r="P71" i="1"/>
  <c r="O71" i="1"/>
  <c r="N71" i="1"/>
  <c r="M71" i="1"/>
  <c r="L71" i="1"/>
  <c r="K71" i="1"/>
  <c r="J71" i="1"/>
  <c r="I71" i="1"/>
  <c r="H71" i="1"/>
  <c r="G71" i="1"/>
  <c r="F71" i="1"/>
  <c r="Q69" i="1"/>
  <c r="P69" i="1"/>
  <c r="O69" i="1"/>
  <c r="N69" i="1"/>
  <c r="M69" i="1"/>
  <c r="L69" i="1"/>
  <c r="K69" i="1"/>
  <c r="J69" i="1"/>
  <c r="I69" i="1"/>
  <c r="H69" i="1"/>
  <c r="G69" i="1"/>
  <c r="F69" i="1"/>
  <c r="Q68" i="1"/>
  <c r="P68" i="1"/>
  <c r="O68" i="1"/>
  <c r="N68" i="1"/>
  <c r="M68" i="1"/>
  <c r="L68" i="1"/>
  <c r="K68" i="1"/>
  <c r="J68" i="1"/>
  <c r="I68" i="1"/>
  <c r="H68" i="1"/>
  <c r="G68" i="1"/>
  <c r="F68" i="1"/>
  <c r="Q67" i="1"/>
  <c r="P67" i="1"/>
  <c r="O67" i="1"/>
  <c r="N67" i="1"/>
  <c r="M67" i="1"/>
  <c r="L67" i="1"/>
  <c r="K67" i="1"/>
  <c r="J67" i="1"/>
  <c r="I67" i="1"/>
  <c r="H67" i="1"/>
  <c r="G67" i="1"/>
  <c r="F67" i="1"/>
  <c r="Q65" i="1"/>
  <c r="P65" i="1"/>
  <c r="O65" i="1"/>
  <c r="N65" i="1"/>
  <c r="M65" i="1"/>
  <c r="L65" i="1"/>
  <c r="K65" i="1"/>
  <c r="J65" i="1"/>
  <c r="I65" i="1"/>
  <c r="H65" i="1"/>
  <c r="G65" i="1"/>
  <c r="F65" i="1"/>
  <c r="Q1618" i="1"/>
  <c r="P1618" i="1"/>
  <c r="O1618" i="1"/>
  <c r="N1618" i="1"/>
  <c r="Q1617" i="1"/>
  <c r="P1617" i="1"/>
  <c r="O1617" i="1"/>
  <c r="N1617" i="1"/>
  <c r="Q1571" i="1"/>
  <c r="P1571" i="1"/>
  <c r="O1571" i="1"/>
  <c r="N1571" i="1"/>
  <c r="Q1570" i="1"/>
  <c r="P1570" i="1"/>
  <c r="O1570" i="1"/>
  <c r="N1570" i="1"/>
  <c r="Q1429" i="1"/>
  <c r="P1429" i="1"/>
  <c r="O1429" i="1"/>
  <c r="N1429" i="1"/>
  <c r="Q1428" i="1"/>
  <c r="P1428" i="1"/>
  <c r="O1428" i="1"/>
  <c r="N1428" i="1"/>
  <c r="Q1345" i="1"/>
  <c r="P1345" i="1"/>
  <c r="O1345" i="1"/>
  <c r="N1345" i="1"/>
  <c r="Q1344" i="1"/>
  <c r="P1344" i="1"/>
  <c r="O1344" i="1"/>
  <c r="N1344" i="1"/>
  <c r="Q1207" i="1"/>
  <c r="P1207" i="1"/>
  <c r="O1207" i="1"/>
  <c r="N1207" i="1"/>
  <c r="Q1206" i="1"/>
  <c r="P1206" i="1"/>
  <c r="O1206" i="1"/>
  <c r="N1206" i="1"/>
  <c r="Q1151" i="1"/>
  <c r="P1151" i="1"/>
  <c r="O1151" i="1"/>
  <c r="N1151" i="1"/>
  <c r="M1151" i="1"/>
  <c r="L1151" i="1"/>
  <c r="K1151" i="1"/>
  <c r="J1151" i="1"/>
  <c r="I1151" i="1"/>
  <c r="H1151" i="1"/>
  <c r="G1151" i="1"/>
  <c r="F1151" i="1"/>
  <c r="N1648" i="1" a="1"/>
  <c r="N1648" i="1"/>
  <c r="P1648" i="1" a="1"/>
  <c r="P1648" i="1"/>
  <c r="O1648" i="1" a="1"/>
  <c r="O1648" i="1"/>
  <c r="Q1648" i="1" a="1"/>
  <c r="Q1648" i="1"/>
  <c r="I1648" i="1" a="1"/>
  <c r="I1648" i="1"/>
  <c r="I1644" i="1" a="1"/>
  <c r="I1644" i="1" s="1"/>
  <c r="L1648" i="1" a="1"/>
  <c r="L1648" i="1" s="1"/>
  <c r="L1644" i="1" a="1"/>
  <c r="L1644" i="1" s="1"/>
  <c r="K1648" i="1" a="1"/>
  <c r="K1648" i="1"/>
  <c r="H1648" i="1" a="1"/>
  <c r="H1648" i="1" s="1"/>
  <c r="G1648" i="1" a="1"/>
  <c r="G1648" i="1" s="1"/>
  <c r="F1648" i="1" a="1"/>
  <c r="F1648" i="1"/>
  <c r="F1644" i="1" a="1"/>
  <c r="F1644" i="1" s="1"/>
  <c r="J1644" i="1" a="1"/>
  <c r="J1644" i="1"/>
  <c r="P1644" i="1" a="1"/>
  <c r="P1644" i="1" s="1"/>
  <c r="K1644" i="1" a="1"/>
  <c r="K1644" i="1"/>
  <c r="Q1644" i="1" a="1"/>
  <c r="Q1644" i="1"/>
  <c r="N1644" i="1" a="1"/>
  <c r="N1644" i="1" s="1"/>
  <c r="J1648" i="1" a="1"/>
  <c r="J1648" i="1" s="1"/>
  <c r="H1644" i="1" a="1"/>
  <c r="H1644" i="1" s="1"/>
  <c r="O1644" i="1" a="1"/>
  <c r="O1644" i="1"/>
  <c r="M1644" i="1" a="1"/>
  <c r="M1644" i="1"/>
  <c r="G1644" i="1" a="1"/>
  <c r="G1644" i="1"/>
  <c r="M1648" i="1" a="1"/>
  <c r="M1648" i="1"/>
  <c r="Q1663" i="1"/>
  <c r="P1663" i="1"/>
  <c r="O1663" i="1"/>
  <c r="N1663" i="1"/>
  <c r="M1663" i="1"/>
  <c r="L1663" i="1"/>
  <c r="K1663" i="1"/>
  <c r="J1663" i="1"/>
  <c r="I1663" i="1"/>
  <c r="H1663" i="1"/>
  <c r="G1663" i="1"/>
  <c r="F1663" i="1"/>
  <c r="I36" i="1"/>
  <c r="H36" i="1"/>
  <c r="G36" i="1"/>
  <c r="F36" i="1"/>
  <c r="Q32" i="1"/>
  <c r="Q30" i="1" s="1" a="1"/>
  <c r="Q30" i="1" s="1"/>
  <c r="P32" i="1"/>
  <c r="O32" i="1"/>
  <c r="N32" i="1"/>
  <c r="M32" i="1"/>
  <c r="L32" i="1"/>
  <c r="K32" i="1"/>
  <c r="J32" i="1"/>
  <c r="I32" i="1"/>
  <c r="H32" i="1"/>
  <c r="G32" i="1"/>
  <c r="G30" i="1" s="1" a="1"/>
  <c r="G30" i="1" s="1"/>
  <c r="F32" i="1"/>
  <c r="F30" i="1" s="1" a="1"/>
  <c r="F30" i="1" s="1"/>
  <c r="L2049" i="1" a="1"/>
  <c r="L2049" i="1"/>
  <c r="Q2048" i="1" a="1"/>
  <c r="Q2048" i="1"/>
  <c r="H2048" i="1" a="1"/>
  <c r="H2048" i="1"/>
  <c r="J2046" i="1" a="1"/>
  <c r="J2046" i="1"/>
  <c r="I2047" i="1" a="1"/>
  <c r="I2047" i="1" s="1"/>
  <c r="F2047" i="1" a="1"/>
  <c r="F2047" i="1"/>
  <c r="P2046" i="1" a="1"/>
  <c r="P2046" i="1" s="1"/>
  <c r="K2049" i="1" a="1"/>
  <c r="K2049" i="1"/>
  <c r="H2049" i="1" a="1"/>
  <c r="H2049" i="1" s="1"/>
  <c r="L2047" i="1" a="1"/>
  <c r="L2047" i="1" s="1"/>
  <c r="O2046" i="1" a="1"/>
  <c r="O2046" i="1" s="1"/>
  <c r="N2046" i="1" a="1"/>
  <c r="N2046" i="1" s="1"/>
  <c r="F2048" i="1" a="1"/>
  <c r="F2048" i="1" s="1"/>
  <c r="I2049" i="1" a="1"/>
  <c r="I2049" i="1"/>
  <c r="O2049" i="1" a="1"/>
  <c r="O2049" i="1"/>
  <c r="P2049" i="1" a="1"/>
  <c r="P2049" i="1" s="1"/>
  <c r="F2049" i="1" a="1"/>
  <c r="F2049" i="1" s="1"/>
  <c r="P2047" i="1" a="1"/>
  <c r="P2047" i="1" s="1"/>
  <c r="N2047" i="1" a="1"/>
  <c r="N2047" i="1" s="1"/>
  <c r="J2047" i="1" a="1"/>
  <c r="J2047" i="1"/>
  <c r="P2048" i="1" a="1"/>
  <c r="P2048" i="1"/>
  <c r="J2048" i="1" a="1"/>
  <c r="J2048" i="1"/>
  <c r="M2047" i="1" a="1"/>
  <c r="M2047" i="1" s="1"/>
  <c r="H2047" i="1" a="1"/>
  <c r="H2047" i="1" s="1"/>
  <c r="N2048" i="1" a="1"/>
  <c r="N2048" i="1"/>
  <c r="K2048" i="1" a="1"/>
  <c r="K2048" i="1"/>
  <c r="K2047" i="1" a="1"/>
  <c r="K2047" i="1"/>
  <c r="M2049" i="1" a="1"/>
  <c r="M2049" i="1"/>
  <c r="G2048" i="1" a="1"/>
  <c r="G2048" i="1"/>
  <c r="O2048" i="1" a="1"/>
  <c r="O2048" i="1" s="1"/>
  <c r="N2049" i="1" a="1"/>
  <c r="N2049" i="1"/>
  <c r="M2048" i="1" a="1"/>
  <c r="M2048" i="1"/>
  <c r="K2046" i="1" a="1"/>
  <c r="K2046" i="1"/>
  <c r="L2048" i="1" a="1"/>
  <c r="L2048" i="1"/>
  <c r="I2048" i="1" a="1"/>
  <c r="I2048" i="1"/>
  <c r="Q2046" i="1" a="1"/>
  <c r="Q2046" i="1" s="1"/>
  <c r="G2049" i="1" a="1"/>
  <c r="G2049" i="1"/>
  <c r="Q2047" i="1" a="1"/>
  <c r="Q2047" i="1" s="1"/>
  <c r="M2046" i="1" a="1"/>
  <c r="M2046" i="1" s="1"/>
  <c r="J2049" i="1" a="1"/>
  <c r="J2049" i="1" s="1"/>
  <c r="O2047" i="1" a="1"/>
  <c r="O2047" i="1" s="1"/>
  <c r="G2047" i="1" a="1"/>
  <c r="G2047" i="1" s="1"/>
  <c r="Q2049" i="1" a="1"/>
  <c r="Q2049" i="1"/>
  <c r="L2046" i="1" a="1"/>
  <c r="L2046" i="1" s="1"/>
  <c r="O2042" i="1" a="1"/>
  <c r="O2042" i="1"/>
  <c r="Q2041" i="1" a="1"/>
  <c r="Q2041" i="1"/>
  <c r="J2042" i="1" a="1"/>
  <c r="J2042" i="1" s="1"/>
  <c r="I2045" i="1" a="1"/>
  <c r="I2045" i="1"/>
  <c r="P2044" i="1" a="1"/>
  <c r="P2044" i="1"/>
  <c r="M2044" i="1" a="1"/>
  <c r="M2044" i="1"/>
  <c r="J2044" i="1" a="1"/>
  <c r="J2044" i="1"/>
  <c r="L2043" i="1" a="1"/>
  <c r="L2043" i="1" s="1"/>
  <c r="K2042" i="1" a="1"/>
  <c r="K2042" i="1"/>
  <c r="H2041" i="1" a="1"/>
  <c r="H2041" i="1"/>
  <c r="G2045" i="1" a="1"/>
  <c r="G2045" i="1"/>
  <c r="F2045" i="1" a="1"/>
  <c r="F2045" i="1"/>
  <c r="Q2043" i="1" a="1"/>
  <c r="Q2043" i="1"/>
  <c r="O2044" i="1" a="1"/>
  <c r="O2044" i="1"/>
  <c r="M2042" i="1" a="1"/>
  <c r="M2042" i="1"/>
  <c r="P2043" i="1" a="1"/>
  <c r="P2043" i="1"/>
  <c r="J2043" i="1" a="1"/>
  <c r="J2043" i="1" s="1"/>
  <c r="H2043" i="1" a="1"/>
  <c r="H2043" i="1" s="1"/>
  <c r="P2042" i="1" a="1"/>
  <c r="P2042" i="1" s="1"/>
  <c r="I2042" i="1" a="1"/>
  <c r="I2042" i="1" s="1"/>
  <c r="O2041" i="1" a="1"/>
  <c r="O2041" i="1" s="1"/>
  <c r="M2043" i="1" a="1"/>
  <c r="M2043" i="1" s="1"/>
  <c r="G2042" i="1" a="1"/>
  <c r="G2042" i="1"/>
  <c r="F2042" i="1" a="1"/>
  <c r="F2042" i="1" s="1"/>
  <c r="H2044" i="1" a="1"/>
  <c r="H2044" i="1" s="1"/>
  <c r="Q2042" i="1" a="1"/>
  <c r="Q2042" i="1" s="1"/>
  <c r="N2041" i="1" a="1"/>
  <c r="N2041" i="1" s="1"/>
  <c r="J2041" i="1" a="1"/>
  <c r="J2041" i="1"/>
  <c r="G2041" i="1" a="1"/>
  <c r="G2041" i="1" s="1"/>
  <c r="H2042" i="1" a="1"/>
  <c r="H2042" i="1" s="1"/>
  <c r="O2043" i="1" a="1"/>
  <c r="O2043" i="1" s="1"/>
  <c r="K2044" i="1" a="1"/>
  <c r="K2044" i="1"/>
  <c r="I2044" i="1" a="1"/>
  <c r="I2044" i="1"/>
  <c r="I2046" i="1" a="1"/>
  <c r="I2046" i="1"/>
  <c r="H2046" i="1" a="1"/>
  <c r="H2046" i="1" s="1"/>
  <c r="N2044" i="1" a="1"/>
  <c r="N2044" i="1" s="1"/>
  <c r="G2044" i="1" a="1"/>
  <c r="G2044" i="1"/>
  <c r="K2043" i="1" a="1"/>
  <c r="K2043" i="1"/>
  <c r="F2043" i="1" a="1"/>
  <c r="F2043" i="1"/>
  <c r="G2046" i="1" a="1"/>
  <c r="G2046" i="1"/>
  <c r="F2046" i="1" a="1"/>
  <c r="F2046" i="1"/>
  <c r="M2045" i="1" a="1"/>
  <c r="M2045" i="1"/>
  <c r="F2044" i="1" a="1"/>
  <c r="F2044" i="1"/>
  <c r="I2041" i="1" a="1"/>
  <c r="I2041" i="1"/>
  <c r="M2041" i="1" a="1"/>
  <c r="M2041" i="1"/>
  <c r="H2045" i="1" a="1"/>
  <c r="H2045" i="1"/>
  <c r="K2041" i="1" a="1"/>
  <c r="K2041" i="1"/>
  <c r="Q2045" i="1" a="1"/>
  <c r="Q2045" i="1"/>
  <c r="P2045" i="1" a="1"/>
  <c r="P2045" i="1"/>
  <c r="O2045" i="1" a="1"/>
  <c r="O2045" i="1" s="1"/>
  <c r="N2042" i="1" a="1"/>
  <c r="N2042" i="1" s="1"/>
  <c r="Q2044" i="1" a="1"/>
  <c r="Q2044" i="1" s="1"/>
  <c r="P2041" i="1" a="1"/>
  <c r="P2041" i="1" s="1"/>
  <c r="L2042" i="1" a="1"/>
  <c r="L2042" i="1" s="1"/>
  <c r="F2041" i="1" a="1"/>
  <c r="F2041" i="1" s="1"/>
  <c r="N2045" i="1" a="1"/>
  <c r="N2045" i="1" s="1"/>
  <c r="L2045" i="1" a="1"/>
  <c r="L2045" i="1"/>
  <c r="L2044" i="1" a="1"/>
  <c r="L2044" i="1"/>
  <c r="K2045" i="1" a="1"/>
  <c r="K2045" i="1"/>
  <c r="I2043" i="1" a="1"/>
  <c r="I2043" i="1" s="1"/>
  <c r="L2041" i="1" a="1"/>
  <c r="L2041" i="1" s="1"/>
  <c r="G2043" i="1" a="1"/>
  <c r="G2043" i="1" s="1"/>
  <c r="J2045" i="1" a="1"/>
  <c r="J2045" i="1"/>
  <c r="N2043" i="1" a="1"/>
  <c r="N2043" i="1" s="1"/>
  <c r="F2038" i="1" a="1"/>
  <c r="F2038" i="1"/>
  <c r="P2035" i="1" a="1"/>
  <c r="P2035" i="1"/>
  <c r="F2036" i="1" a="1"/>
  <c r="F2036" i="1"/>
  <c r="K2037" i="1" a="1"/>
  <c r="K2037" i="1"/>
  <c r="F2037" i="1" a="1"/>
  <c r="F2037" i="1"/>
  <c r="O2037" i="1" a="1"/>
  <c r="O2037" i="1"/>
  <c r="G2037" i="1" a="1"/>
  <c r="G2037" i="1"/>
  <c r="J2036" i="1" a="1"/>
  <c r="J2036" i="1" s="1"/>
  <c r="M2038" i="1" a="1"/>
  <c r="M2038" i="1"/>
  <c r="N2037" i="1" a="1"/>
  <c r="N2037" i="1"/>
  <c r="M2037" i="1" a="1"/>
  <c r="M2037" i="1"/>
  <c r="I2036" i="1" a="1"/>
  <c r="I2036" i="1"/>
  <c r="G2036" i="1" a="1"/>
  <c r="G2036" i="1"/>
  <c r="P2038" i="1" a="1"/>
  <c r="P2038" i="1" s="1"/>
  <c r="H2038" i="1" a="1"/>
  <c r="H2038" i="1"/>
  <c r="H2037" i="1" a="1"/>
  <c r="H2037" i="1"/>
  <c r="O2036" i="1" a="1"/>
  <c r="O2036" i="1"/>
  <c r="L2036" i="1" a="1"/>
  <c r="L2036" i="1" s="1"/>
  <c r="M2036" i="1" a="1"/>
  <c r="M2036" i="1" s="1"/>
  <c r="P2037" i="1" a="1"/>
  <c r="P2037" i="1" s="1"/>
  <c r="Q2037" i="1" a="1"/>
  <c r="Q2037" i="1" s="1"/>
  <c r="L2037" i="1" a="1"/>
  <c r="L2037" i="1"/>
  <c r="H2040" i="1" a="1"/>
  <c r="H2040" i="1"/>
  <c r="Q2040" i="1" a="1"/>
  <c r="Q2040" i="1"/>
  <c r="P2040" i="1" a="1"/>
  <c r="P2040" i="1"/>
  <c r="F2040" i="1" a="1"/>
  <c r="F2040" i="1"/>
  <c r="K2040" i="1" a="1"/>
  <c r="K2040" i="1" s="1"/>
  <c r="M2039" i="1" a="1"/>
  <c r="M2039" i="1" s="1"/>
  <c r="Q2035" i="1" a="1"/>
  <c r="Q2035" i="1"/>
  <c r="K2036" i="1" a="1"/>
  <c r="K2036" i="1"/>
  <c r="G2040" i="1" a="1"/>
  <c r="G2040" i="1"/>
  <c r="N2036" i="1" a="1"/>
  <c r="N2036" i="1"/>
  <c r="O2040" i="1" a="1"/>
  <c r="O2040" i="1"/>
  <c r="I2037" i="1" a="1"/>
  <c r="I2037" i="1"/>
  <c r="O2039" i="1" a="1"/>
  <c r="O2039" i="1"/>
  <c r="N2040" i="1" a="1"/>
  <c r="N2040" i="1"/>
  <c r="J2039" i="1" a="1"/>
  <c r="J2039" i="1"/>
  <c r="Q2036" i="1" a="1"/>
  <c r="Q2036" i="1"/>
  <c r="J2038" i="1" a="1"/>
  <c r="J2038" i="1"/>
  <c r="I2038" i="1" a="1"/>
  <c r="I2038" i="1"/>
  <c r="M2040" i="1" a="1"/>
  <c r="M2040" i="1"/>
  <c r="L2040" i="1" a="1"/>
  <c r="L2040" i="1" s="1"/>
  <c r="J2040" i="1" a="1"/>
  <c r="J2040" i="1" s="1"/>
  <c r="I2040" i="1" a="1"/>
  <c r="I2040" i="1" s="1"/>
  <c r="Q2039" i="1" a="1"/>
  <c r="Q2039" i="1"/>
  <c r="H2036" i="1" a="1"/>
  <c r="H2036" i="1"/>
  <c r="P2039" i="1" a="1"/>
  <c r="P2039" i="1" s="1"/>
  <c r="N2039" i="1" a="1"/>
  <c r="N2039" i="1" s="1"/>
  <c r="K2039" i="1" a="1"/>
  <c r="K2039" i="1" s="1"/>
  <c r="F2039" i="1" a="1"/>
  <c r="F2039" i="1" s="1"/>
  <c r="Q2038" i="1" a="1"/>
  <c r="Q2038" i="1"/>
  <c r="L2038" i="1" a="1"/>
  <c r="L2038" i="1"/>
  <c r="J2037" i="1" a="1"/>
  <c r="J2037" i="1" s="1"/>
  <c r="L2039" i="1" a="1"/>
  <c r="L2039" i="1" s="1"/>
  <c r="H2039" i="1" a="1"/>
  <c r="H2039" i="1" s="1"/>
  <c r="N2035" i="1" a="1"/>
  <c r="N2035" i="1" s="1"/>
  <c r="P2036" i="1" a="1"/>
  <c r="P2036" i="1"/>
  <c r="I2039" i="1" a="1"/>
  <c r="I2039" i="1"/>
  <c r="O2035" i="1" a="1"/>
  <c r="O2035" i="1"/>
  <c r="G2039" i="1" a="1"/>
  <c r="G2039" i="1"/>
  <c r="O2038" i="1" a="1"/>
  <c r="O2038" i="1"/>
  <c r="K2038" i="1" a="1"/>
  <c r="K2038" i="1"/>
  <c r="N2038" i="1" a="1"/>
  <c r="N2038" i="1"/>
  <c r="G2038" i="1" a="1"/>
  <c r="G2038" i="1"/>
  <c r="K2029" i="1" a="1"/>
  <c r="K2029" i="1"/>
  <c r="K2028" i="1" s="1" a="1"/>
  <c r="K2028" i="1" s="1"/>
  <c r="J2035" i="1" a="1"/>
  <c r="J2035" i="1"/>
  <c r="I2035" i="1" a="1"/>
  <c r="I2035" i="1"/>
  <c r="H2035" i="1" a="1"/>
  <c r="H2035" i="1" s="1"/>
  <c r="G2035" i="1" a="1"/>
  <c r="G2035" i="1" s="1"/>
  <c r="M2034" i="1" a="1"/>
  <c r="M2034" i="1" s="1"/>
  <c r="K2031" i="1" a="1"/>
  <c r="K2031" i="1" s="1"/>
  <c r="G2031" i="1" a="1"/>
  <c r="G2031" i="1" s="1"/>
  <c r="P2034" i="1" a="1"/>
  <c r="P2034" i="1" s="1"/>
  <c r="J2032" i="1" a="1"/>
  <c r="J2032" i="1" s="1"/>
  <c r="J2031" i="1" s="1" a="1"/>
  <c r="J2031" i="1" s="1"/>
  <c r="F2035" i="1" a="1"/>
  <c r="F2035" i="1" s="1"/>
  <c r="M2029" i="1" a="1"/>
  <c r="M2029" i="1" s="1"/>
  <c r="Q2034" i="1" a="1"/>
  <c r="Q2034" i="1" s="1"/>
  <c r="L2034" i="1" a="1"/>
  <c r="L2034" i="1"/>
  <c r="H2034" i="1" a="1"/>
  <c r="H2034" i="1" s="1"/>
  <c r="G2032" i="1" a="1"/>
  <c r="G2032" i="1"/>
  <c r="F2034" i="1" a="1"/>
  <c r="F2034" i="1"/>
  <c r="P2032" i="1" a="1"/>
  <c r="P2032" i="1" s="1"/>
  <c r="P2031" i="1" s="1" a="1"/>
  <c r="P2031" i="1" s="1"/>
  <c r="M2032" i="1" a="1"/>
  <c r="M2032" i="1"/>
  <c r="M2031" i="1" s="1" a="1"/>
  <c r="M2031" i="1" s="1"/>
  <c r="K2032" i="1" a="1"/>
  <c r="K2032" i="1"/>
  <c r="N2031" i="1" a="1"/>
  <c r="N2031" i="1" s="1"/>
  <c r="P2029" i="1" a="1"/>
  <c r="P2029" i="1" s="1"/>
  <c r="P2028" i="1" s="1" a="1"/>
  <c r="P2028" i="1" s="1"/>
  <c r="N2029" i="1" a="1"/>
  <c r="N2029" i="1" s="1"/>
  <c r="N2028" i="1" s="1" a="1"/>
  <c r="N2028" i="1" s="1"/>
  <c r="O2031" i="1" a="1"/>
  <c r="O2031" i="1" s="1"/>
  <c r="I2029" i="1" a="1"/>
  <c r="I2029" i="1"/>
  <c r="I2032" i="1" a="1"/>
  <c r="I2032" i="1"/>
  <c r="I2031" i="1" s="1" a="1"/>
  <c r="I2031" i="1" s="1"/>
  <c r="I2034" i="1" a="1"/>
  <c r="I2034" i="1" s="1"/>
  <c r="G2034" i="1" a="1"/>
  <c r="G2034" i="1"/>
  <c r="J2034" i="1" a="1"/>
  <c r="J2034" i="1"/>
  <c r="L2032" i="1" a="1"/>
  <c r="L2032" i="1" s="1"/>
  <c r="H2032" i="1" a="1"/>
  <c r="H2032" i="1"/>
  <c r="H2031" i="1" s="1" a="1"/>
  <c r="H2031" i="1" s="1"/>
  <c r="J2029" i="1" a="1"/>
  <c r="J2029" i="1"/>
  <c r="J2028" i="1" s="1" a="1"/>
  <c r="J2028" i="1" s="1"/>
  <c r="N2032" i="1" a="1"/>
  <c r="N2032" i="1"/>
  <c r="L2029" i="1" a="1"/>
  <c r="L2029" i="1"/>
  <c r="L2028" i="1" s="1" a="1"/>
  <c r="L2028" i="1" s="1"/>
  <c r="G2029" i="1" a="1"/>
  <c r="G2029" i="1"/>
  <c r="G2028" i="1" s="1" a="1"/>
  <c r="G2028" i="1" s="1"/>
  <c r="L2031" i="1" a="1"/>
  <c r="L2031" i="1" s="1"/>
  <c r="Q2029" i="1" a="1"/>
  <c r="Q2029" i="1" s="1"/>
  <c r="Q2028" i="1" s="1" a="1"/>
  <c r="Q2028" i="1" s="1"/>
  <c r="O2032" i="1" a="1"/>
  <c r="O2032" i="1" s="1"/>
  <c r="O2029" i="1" a="1"/>
  <c r="O2029" i="1" s="1"/>
  <c r="O2028" i="1" s="1" a="1"/>
  <c r="O2028" i="1" s="1"/>
  <c r="M2035" i="1" a="1"/>
  <c r="M2035" i="1" s="1"/>
  <c r="F2032" i="1" a="1"/>
  <c r="F2032" i="1"/>
  <c r="L2035" i="1" a="1"/>
  <c r="L2035" i="1"/>
  <c r="K2035" i="1" a="1"/>
  <c r="K2035" i="1" s="1"/>
  <c r="O2034" i="1" a="1"/>
  <c r="O2034" i="1"/>
  <c r="N2034" i="1" a="1"/>
  <c r="N2034" i="1"/>
  <c r="K2034" i="1" a="1"/>
  <c r="K2034" i="1"/>
  <c r="Q2032" i="1" a="1"/>
  <c r="Q2032" i="1" s="1"/>
  <c r="Q2031" i="1" s="1" a="1"/>
  <c r="Q2031" i="1" s="1"/>
  <c r="H2029" i="1" a="1"/>
  <c r="H2029" i="1"/>
  <c r="F2031" i="1" a="1"/>
  <c r="F2031" i="1"/>
  <c r="I2023" i="1" a="1"/>
  <c r="I2023" i="1"/>
  <c r="I2025" i="1" a="1"/>
  <c r="I2025" i="1"/>
  <c r="N2023" i="1" a="1"/>
  <c r="N2023" i="1"/>
  <c r="J2023" i="1" a="1"/>
  <c r="J2023" i="1"/>
  <c r="P2025" i="1" a="1"/>
  <c r="P2025" i="1" s="1"/>
  <c r="M2025" i="1" a="1"/>
  <c r="M2025" i="1" s="1"/>
  <c r="Q2023" i="1" a="1"/>
  <c r="Q2023" i="1" s="1"/>
  <c r="H2023" i="1" a="1"/>
  <c r="H2023" i="1"/>
  <c r="O2023" i="1" a="1"/>
  <c r="O2023" i="1"/>
  <c r="H2025" i="1" a="1"/>
  <c r="H2025" i="1"/>
  <c r="K2023" i="1" a="1"/>
  <c r="K2023" i="1"/>
  <c r="F2029" i="1" a="1"/>
  <c r="F2029" i="1"/>
  <c r="F2028" i="1" s="1" a="1"/>
  <c r="F2028" i="1" s="1"/>
  <c r="O2025" i="1" a="1"/>
  <c r="O2025" i="1"/>
  <c r="P2023" i="1" a="1"/>
  <c r="P2023" i="1" s="1"/>
  <c r="I2028" i="1" a="1"/>
  <c r="I2028" i="1" s="1"/>
  <c r="F2025" i="1" a="1"/>
  <c r="F2025" i="1" s="1"/>
  <c r="I2026" i="1" a="1"/>
  <c r="I2026" i="1"/>
  <c r="K2026" i="1" a="1"/>
  <c r="K2026" i="1" s="1"/>
  <c r="F2023" i="1" a="1"/>
  <c r="F2023" i="1" s="1"/>
  <c r="K2025" i="1" a="1"/>
  <c r="K2025" i="1" s="1"/>
  <c r="P2026" i="1" a="1"/>
  <c r="P2026" i="1" s="1"/>
  <c r="N2025" i="1" a="1"/>
  <c r="N2025" i="1"/>
  <c r="M2028" i="1" a="1"/>
  <c r="M2028" i="1" s="1"/>
  <c r="J2026" i="1" a="1"/>
  <c r="J2026" i="1"/>
  <c r="L2023" i="1" a="1"/>
  <c r="L2023" i="1"/>
  <c r="M2023" i="1" a="1"/>
  <c r="M2023" i="1" s="1"/>
  <c r="O2026" i="1" a="1"/>
  <c r="O2026" i="1" s="1"/>
  <c r="G2025" i="1" a="1"/>
  <c r="G2025" i="1"/>
  <c r="F2026" i="1" a="1"/>
  <c r="F2026" i="1"/>
  <c r="H2028" i="1" a="1"/>
  <c r="H2028" i="1"/>
  <c r="G2023" i="1" a="1"/>
  <c r="G2023" i="1"/>
  <c r="Q2026" i="1" a="1"/>
  <c r="Q2026" i="1"/>
  <c r="L2026" i="1" a="1"/>
  <c r="L2026" i="1"/>
  <c r="G2026" i="1" a="1"/>
  <c r="G2026" i="1"/>
  <c r="N2026" i="1" a="1"/>
  <c r="N2026" i="1" s="1"/>
  <c r="J2025" i="1" a="1"/>
  <c r="J2025" i="1" s="1"/>
  <c r="M2026" i="1" a="1"/>
  <c r="M2026" i="1" s="1"/>
  <c r="H2026" i="1" a="1"/>
  <c r="H2026" i="1" s="1"/>
  <c r="Q2025" i="1" a="1"/>
  <c r="Q2025" i="1"/>
  <c r="L2025" i="1" a="1"/>
  <c r="L2025" i="1" s="1"/>
  <c r="Q31" i="1" a="1"/>
  <c r="Q31" i="1"/>
  <c r="P31" i="1" a="1"/>
  <c r="P31" i="1"/>
  <c r="L30" i="1" a="1"/>
  <c r="L30" i="1"/>
  <c r="K30" i="1" a="1"/>
  <c r="K30" i="1"/>
  <c r="H30" i="1" a="1"/>
  <c r="H30" i="1"/>
  <c r="O31" i="1" a="1"/>
  <c r="O31" i="1"/>
  <c r="N31" i="1" a="1"/>
  <c r="N31" i="1"/>
  <c r="M31" i="1" a="1"/>
  <c r="M31" i="1" s="1"/>
  <c r="L31" i="1" a="1"/>
  <c r="L31" i="1" s="1"/>
  <c r="K31" i="1" a="1"/>
  <c r="K31" i="1"/>
  <c r="H31" i="1" a="1"/>
  <c r="H31" i="1"/>
  <c r="F31" i="1" a="1"/>
  <c r="F31" i="1"/>
  <c r="M30" i="1" a="1"/>
  <c r="M30" i="1" s="1"/>
  <c r="J31" i="1" a="1"/>
  <c r="J31" i="1"/>
  <c r="I31" i="1" a="1"/>
  <c r="I31" i="1"/>
  <c r="G31" i="1" a="1"/>
  <c r="G31" i="1"/>
  <c r="P30" i="1" a="1"/>
  <c r="P30" i="1" s="1"/>
  <c r="O30" i="1" a="1"/>
  <c r="O30" i="1"/>
  <c r="N30" i="1" a="1"/>
  <c r="N30" i="1"/>
  <c r="J30" i="1" a="1"/>
  <c r="J30" i="1"/>
  <c r="I30" i="1" a="1"/>
  <c r="I30" i="1"/>
  <c r="Q2340" i="1" a="1"/>
  <c r="Q2340" i="1" s="1"/>
  <c r="O2340" i="1" a="1"/>
  <c r="O2340" i="1" s="1"/>
  <c r="L2340" i="1" a="1"/>
  <c r="L2340" i="1" s="1"/>
  <c r="J2339" i="1" a="1"/>
  <c r="J2339" i="1" s="1"/>
  <c r="N2337" i="1" a="1"/>
  <c r="N2337" i="1"/>
  <c r="N2339" i="1" a="1"/>
  <c r="N2339" i="1"/>
  <c r="I2340" i="1" a="1"/>
  <c r="I2340" i="1"/>
  <c r="G2340" i="1" a="1"/>
  <c r="G2340" i="1" s="1"/>
  <c r="F2340" i="1" a="1"/>
  <c r="F2340" i="1"/>
  <c r="K2339" i="1" a="1"/>
  <c r="K2339" i="1"/>
  <c r="I2338" i="1" a="1"/>
  <c r="I2338" i="1" s="1"/>
  <c r="I2337" i="1" a="1"/>
  <c r="I2337" i="1"/>
  <c r="Q2335" i="1" a="1"/>
  <c r="Q2335" i="1" s="1"/>
  <c r="N2340" i="1" a="1"/>
  <c r="N2340" i="1"/>
  <c r="P2337" i="1" a="1"/>
  <c r="P2337" i="1"/>
  <c r="L2337" i="1" a="1"/>
  <c r="L2337" i="1"/>
  <c r="K2336" i="1" a="1"/>
  <c r="K2336" i="1"/>
  <c r="N2338" i="1" a="1"/>
  <c r="N2338" i="1" s="1"/>
  <c r="M2340" i="1" a="1"/>
  <c r="M2340" i="1"/>
  <c r="K2340" i="1" a="1"/>
  <c r="K2340" i="1"/>
  <c r="J2337" i="1" a="1"/>
  <c r="J2337" i="1" s="1"/>
  <c r="H2336" i="1" a="1"/>
  <c r="H2336" i="1"/>
  <c r="J2340" i="1" a="1"/>
  <c r="J2340" i="1" s="1"/>
  <c r="H2340" i="1" a="1"/>
  <c r="H2340" i="1"/>
  <c r="G2339" i="1" a="1"/>
  <c r="G2339" i="1"/>
  <c r="Q2339" i="1" a="1"/>
  <c r="Q2339" i="1"/>
  <c r="O2339" i="1" a="1"/>
  <c r="O2339" i="1"/>
  <c r="L2339" i="1" a="1"/>
  <c r="L2339" i="1"/>
  <c r="Q2336" i="1" a="1"/>
  <c r="Q2336" i="1" s="1"/>
  <c r="H2338" i="1" a="1"/>
  <c r="H2338" i="1" s="1"/>
  <c r="P2336" i="1" a="1"/>
  <c r="P2336" i="1" s="1"/>
  <c r="Q2338" i="1" a="1"/>
  <c r="Q2338" i="1" s="1"/>
  <c r="O2338" i="1" a="1"/>
  <c r="O2338" i="1"/>
  <c r="J2336" i="1" a="1"/>
  <c r="J2336" i="1"/>
  <c r="P2338" i="1" a="1"/>
  <c r="P2338" i="1"/>
  <c r="M2338" i="1" a="1"/>
  <c r="M2338" i="1"/>
  <c r="O2337" i="1" a="1"/>
  <c r="O2337" i="1" s="1"/>
  <c r="G2336" i="1" a="1"/>
  <c r="G2336" i="1"/>
  <c r="M2337" i="1" a="1"/>
  <c r="M2337" i="1" s="1"/>
  <c r="H2337" i="1" a="1"/>
  <c r="H2337" i="1"/>
  <c r="O2336" i="1" a="1"/>
  <c r="O2336" i="1"/>
  <c r="N2336" i="1" a="1"/>
  <c r="N2336" i="1"/>
  <c r="P2339" i="1" a="1"/>
  <c r="P2339" i="1"/>
  <c r="M2339" i="1" a="1"/>
  <c r="M2339" i="1"/>
  <c r="G2337" i="1" a="1"/>
  <c r="G2337" i="1"/>
  <c r="L2336" i="1" a="1"/>
  <c r="L2336" i="1" s="1"/>
  <c r="K2338" i="1" a="1"/>
  <c r="K2338" i="1" s="1"/>
  <c r="I2339" i="1" a="1"/>
  <c r="I2339" i="1"/>
  <c r="M2336" i="1" a="1"/>
  <c r="M2336" i="1"/>
  <c r="I2336" i="1" a="1"/>
  <c r="I2336" i="1"/>
  <c r="F2339" i="1" a="1"/>
  <c r="F2339" i="1"/>
  <c r="L2338" i="1" a="1"/>
  <c r="L2338" i="1" s="1"/>
  <c r="F2338" i="1" a="1"/>
  <c r="F2338" i="1"/>
  <c r="F2336" i="1" a="1"/>
  <c r="F2336" i="1" s="1"/>
  <c r="P2340" i="1" a="1"/>
  <c r="P2340" i="1"/>
  <c r="H2339" i="1" a="1"/>
  <c r="H2339" i="1"/>
  <c r="J2338" i="1" a="1"/>
  <c r="J2338" i="1"/>
  <c r="G2338" i="1" a="1"/>
  <c r="G2338" i="1" s="1"/>
  <c r="Q2337" i="1" a="1"/>
  <c r="Q2337" i="1" s="1"/>
  <c r="K2337" i="1" a="1"/>
  <c r="K2337" i="1" s="1"/>
  <c r="F2337" i="1" a="1"/>
  <c r="F2337" i="1"/>
  <c r="N2335" i="1" a="1"/>
  <c r="N2335" i="1"/>
  <c r="G2335" i="1" a="1"/>
  <c r="G2335" i="1" s="1"/>
  <c r="P2333" i="1" a="1"/>
  <c r="P2333" i="1" s="1"/>
  <c r="H2333" i="1" a="1"/>
  <c r="H2333" i="1" s="1"/>
  <c r="Q2332" i="1" a="1"/>
  <c r="Q2332" i="1"/>
  <c r="Q2331" i="1" a="1"/>
  <c r="Q2331" i="1"/>
  <c r="K2332" i="1" a="1"/>
  <c r="K2332" i="1" s="1"/>
  <c r="F2332" i="1" a="1"/>
  <c r="F2332" i="1" s="1"/>
  <c r="M2332" i="1" a="1"/>
  <c r="M2332" i="1"/>
  <c r="I2335" i="1" a="1"/>
  <c r="I2335" i="1" s="1"/>
  <c r="F2335" i="1" a="1"/>
  <c r="F2335" i="1"/>
  <c r="Q2334" i="1" a="1"/>
  <c r="Q2334" i="1"/>
  <c r="P2334" i="1" a="1"/>
  <c r="P2334" i="1" s="1"/>
  <c r="G2333" i="1" a="1"/>
  <c r="G2333" i="1" s="1"/>
  <c r="M2335" i="1" a="1"/>
  <c r="M2335" i="1" s="1"/>
  <c r="L2335" i="1" a="1"/>
  <c r="L2335" i="1"/>
  <c r="J2334" i="1" a="1"/>
  <c r="J2334" i="1"/>
  <c r="G2334" i="1" a="1"/>
  <c r="G2334" i="1"/>
  <c r="F2334" i="1" a="1"/>
  <c r="F2334" i="1"/>
  <c r="G2332" i="1" a="1"/>
  <c r="G2332" i="1"/>
  <c r="J2331" i="1" a="1"/>
  <c r="J2331" i="1"/>
  <c r="M2331" i="1" a="1"/>
  <c r="M2331" i="1" s="1"/>
  <c r="K2335" i="1" a="1"/>
  <c r="K2335" i="1"/>
  <c r="I2332" i="1" a="1"/>
  <c r="I2332" i="1"/>
  <c r="J2335" i="1" a="1"/>
  <c r="J2335" i="1"/>
  <c r="O2334" i="1" a="1"/>
  <c r="O2334" i="1" s="1"/>
  <c r="L2334" i="1" a="1"/>
  <c r="L2334" i="1" s="1"/>
  <c r="L2331" i="1" a="1"/>
  <c r="L2331" i="1"/>
  <c r="I2334" i="1" a="1"/>
  <c r="I2334" i="1"/>
  <c r="Q2333" i="1" a="1"/>
  <c r="Q2333" i="1"/>
  <c r="M2333" i="1" a="1"/>
  <c r="M2333" i="1" s="1"/>
  <c r="K2333" i="1" a="1"/>
  <c r="K2333" i="1"/>
  <c r="O2331" i="1" a="1"/>
  <c r="O2331" i="1"/>
  <c r="J2333" i="1" a="1"/>
  <c r="J2333" i="1"/>
  <c r="L2332" i="1" a="1"/>
  <c r="L2332" i="1"/>
  <c r="H2332" i="1" a="1"/>
  <c r="H2332" i="1"/>
  <c r="J2332" i="1" a="1"/>
  <c r="J2332" i="1" s="1"/>
  <c r="P2331" i="1" a="1"/>
  <c r="P2331" i="1"/>
  <c r="K2331" i="1" a="1"/>
  <c r="K2331" i="1"/>
  <c r="L2333" i="1" a="1"/>
  <c r="L2333" i="1"/>
  <c r="O2332" i="1" a="1"/>
  <c r="O2332" i="1" s="1"/>
  <c r="H2335" i="1" a="1"/>
  <c r="H2335" i="1" s="1"/>
  <c r="I2333" i="1" a="1"/>
  <c r="I2333" i="1" s="1"/>
  <c r="N2334" i="1" a="1"/>
  <c r="N2334" i="1" s="1"/>
  <c r="M2334" i="1" a="1"/>
  <c r="M2334" i="1"/>
  <c r="K2334" i="1" a="1"/>
  <c r="K2334" i="1"/>
  <c r="H2334" i="1" a="1"/>
  <c r="H2334" i="1" s="1"/>
  <c r="O2333" i="1" a="1"/>
  <c r="O2333" i="1"/>
  <c r="N2333" i="1" a="1"/>
  <c r="N2333" i="1"/>
  <c r="N2332" i="1" a="1"/>
  <c r="N2332" i="1"/>
  <c r="F2333" i="1" a="1"/>
  <c r="F2333" i="1"/>
  <c r="P2332" i="1" a="1"/>
  <c r="P2332" i="1"/>
  <c r="N2331" i="1" a="1"/>
  <c r="N2331" i="1" s="1"/>
  <c r="P2335" i="1" a="1"/>
  <c r="P2335" i="1"/>
  <c r="O2335" i="1" a="1"/>
  <c r="O2335" i="1" s="1"/>
  <c r="M2330" i="1" a="1"/>
  <c r="M2330" i="1"/>
  <c r="J2329" i="1" a="1"/>
  <c r="J2329" i="1"/>
  <c r="I2327" i="1" a="1"/>
  <c r="I2327" i="1"/>
  <c r="L2330" i="1" a="1"/>
  <c r="L2330" i="1"/>
  <c r="L2327" i="1" a="1"/>
  <c r="L2327" i="1"/>
  <c r="J2330" i="1" a="1"/>
  <c r="J2330" i="1"/>
  <c r="H2329" i="1" a="1"/>
  <c r="H2329" i="1"/>
  <c r="K2326" i="1" a="1"/>
  <c r="K2326" i="1" s="1"/>
  <c r="N2327" i="1" a="1"/>
  <c r="N2327" i="1" s="1"/>
  <c r="J2327" i="1" a="1"/>
  <c r="J2327" i="1" s="1"/>
  <c r="H2330" i="1" a="1"/>
  <c r="H2330" i="1"/>
  <c r="H2328" i="1" a="1"/>
  <c r="H2328" i="1"/>
  <c r="M2326" i="1" a="1"/>
  <c r="M2326" i="1"/>
  <c r="I2330" i="1" a="1"/>
  <c r="I2330" i="1" s="1"/>
  <c r="Q2326" i="1" a="1"/>
  <c r="Q2326" i="1" s="1"/>
  <c r="N2326" i="1" a="1"/>
  <c r="N2326" i="1" s="1"/>
  <c r="G2330" i="1" a="1"/>
  <c r="G2330" i="1" s="1"/>
  <c r="F2330" i="1" a="1"/>
  <c r="F2330" i="1" s="1"/>
  <c r="F2328" i="1" a="1"/>
  <c r="F2328" i="1"/>
  <c r="Q2329" i="1" a="1"/>
  <c r="Q2329" i="1" s="1"/>
  <c r="L2329" i="1" a="1"/>
  <c r="L2329" i="1"/>
  <c r="I2329" i="1" a="1"/>
  <c r="I2329" i="1"/>
  <c r="M2328" i="1" a="1"/>
  <c r="M2328" i="1"/>
  <c r="M2327" i="1" a="1"/>
  <c r="M2327" i="1"/>
  <c r="J2326" i="1" a="1"/>
  <c r="J2326" i="1"/>
  <c r="O2326" i="1" a="1"/>
  <c r="O2326" i="1"/>
  <c r="L2326" i="1" a="1"/>
  <c r="L2326" i="1"/>
  <c r="N2329" i="1" a="1"/>
  <c r="N2329" i="1" s="1"/>
  <c r="O2328" i="1" a="1"/>
  <c r="O2328" i="1"/>
  <c r="Q2327" i="1" a="1"/>
  <c r="Q2327" i="1"/>
  <c r="O2327" i="1" a="1"/>
  <c r="O2327" i="1"/>
  <c r="O2329" i="1" a="1"/>
  <c r="O2329" i="1"/>
  <c r="K2327" i="1" a="1"/>
  <c r="K2327" i="1"/>
  <c r="G2326" i="1" a="1"/>
  <c r="G2326" i="1"/>
  <c r="F2326" i="1" a="1"/>
  <c r="F2326" i="1"/>
  <c r="M2329" i="1" a="1"/>
  <c r="M2329" i="1"/>
  <c r="L2328" i="1" a="1"/>
  <c r="L2328" i="1" s="1"/>
  <c r="K2328" i="1" a="1"/>
  <c r="K2328" i="1"/>
  <c r="H2326" i="1" a="1"/>
  <c r="H2326" i="1" s="1"/>
  <c r="K2330" i="1" a="1"/>
  <c r="K2330" i="1" s="1"/>
  <c r="P2329" i="1" a="1"/>
  <c r="P2329" i="1" s="1"/>
  <c r="N2328" i="1" a="1"/>
  <c r="N2328" i="1" s="1"/>
  <c r="G2328" i="1" a="1"/>
  <c r="G2328" i="1"/>
  <c r="G2327" i="1" a="1"/>
  <c r="G2327" i="1" s="1"/>
  <c r="I2326" i="1" a="1"/>
  <c r="I2326" i="1" s="1"/>
  <c r="Q2328" i="1" a="1"/>
  <c r="Q2328" i="1" s="1"/>
  <c r="F2327" i="1" a="1"/>
  <c r="F2327" i="1" s="1"/>
  <c r="P2326" i="1" a="1"/>
  <c r="P2326" i="1"/>
  <c r="I2328" i="1" a="1"/>
  <c r="I2328" i="1" s="1"/>
  <c r="I2331" i="1" a="1"/>
  <c r="I2331" i="1"/>
  <c r="H2331" i="1" a="1"/>
  <c r="H2331" i="1"/>
  <c r="H2327" i="1" a="1"/>
  <c r="H2327" i="1"/>
  <c r="J2328" i="1" a="1"/>
  <c r="J2328" i="1"/>
  <c r="G2329" i="1" a="1"/>
  <c r="G2329" i="1"/>
  <c r="P2327" i="1" a="1"/>
  <c r="P2327" i="1" s="1"/>
  <c r="F2329" i="1" a="1"/>
  <c r="F2329" i="1" s="1"/>
  <c r="G2331" i="1" a="1"/>
  <c r="G2331" i="1" s="1"/>
  <c r="K2329" i="1" a="1"/>
  <c r="K2329" i="1" s="1"/>
  <c r="P2330" i="1" a="1"/>
  <c r="P2330" i="1"/>
  <c r="F2331" i="1" a="1"/>
  <c r="F2331" i="1"/>
  <c r="Q2330" i="1" a="1"/>
  <c r="Q2330" i="1"/>
  <c r="O2330" i="1" a="1"/>
  <c r="O2330" i="1"/>
  <c r="N2330" i="1" a="1"/>
  <c r="N2330" i="1"/>
  <c r="P2328" i="1" a="1"/>
  <c r="P2328" i="1" s="1"/>
  <c r="F2323" i="1" a="1"/>
  <c r="F2323" i="1" s="1"/>
  <c r="F2322" i="1" s="1" a="1"/>
  <c r="F2322" i="1" s="1"/>
  <c r="I2322" i="1" a="1"/>
  <c r="I2322" i="1" s="1"/>
  <c r="J2323" i="1" a="1"/>
  <c r="J2323" i="1"/>
  <c r="J2322" i="1" s="1" a="1"/>
  <c r="J2322" i="1" s="1"/>
  <c r="N2323" i="1" a="1"/>
  <c r="N2323" i="1" s="1"/>
  <c r="N2322" i="1" s="1" a="1"/>
  <c r="N2322" i="1" s="1"/>
  <c r="M2323" i="1" a="1"/>
  <c r="M2323" i="1"/>
  <c r="L2323" i="1" a="1"/>
  <c r="L2323" i="1" s="1"/>
  <c r="K2323" i="1" a="1"/>
  <c r="K2323" i="1" s="1"/>
  <c r="K2322" i="1" s="1" a="1"/>
  <c r="K2322" i="1" s="1"/>
  <c r="K2320" i="1" a="1"/>
  <c r="K2320" i="1" s="1"/>
  <c r="K2319" i="1" s="1" a="1"/>
  <c r="K2319" i="1" s="1"/>
  <c r="P2320" i="1" a="1"/>
  <c r="P2320" i="1"/>
  <c r="G2320" i="1" a="1"/>
  <c r="G2320" i="1"/>
  <c r="G2319" i="1" s="1" a="1"/>
  <c r="G2319" i="1" s="1"/>
  <c r="M2325" i="1" a="1"/>
  <c r="M2325" i="1"/>
  <c r="O2320" i="1" a="1"/>
  <c r="O2320" i="1"/>
  <c r="O2319" i="1" s="1" a="1"/>
  <c r="O2319" i="1" s="1"/>
  <c r="H2325" i="1" a="1"/>
  <c r="H2325" i="1" s="1"/>
  <c r="N2325" i="1" a="1"/>
  <c r="N2325" i="1" s="1"/>
  <c r="J2325" i="1" a="1"/>
  <c r="J2325" i="1" s="1"/>
  <c r="I2325" i="1" a="1"/>
  <c r="I2325" i="1"/>
  <c r="M2320" i="1" a="1"/>
  <c r="M2320" i="1"/>
  <c r="M2319" i="1" s="1" a="1"/>
  <c r="M2319" i="1" s="1"/>
  <c r="G2325" i="1" a="1"/>
  <c r="G2325" i="1"/>
  <c r="K2325" i="1" a="1"/>
  <c r="K2325" i="1"/>
  <c r="P2323" i="1" a="1"/>
  <c r="P2323" i="1"/>
  <c r="O2323" i="1" a="1"/>
  <c r="O2323" i="1"/>
  <c r="I2323" i="1" a="1"/>
  <c r="I2323" i="1"/>
  <c r="P2322" i="1" a="1"/>
  <c r="P2322" i="1"/>
  <c r="O2322" i="1" a="1"/>
  <c r="O2322" i="1"/>
  <c r="L2320" i="1" a="1"/>
  <c r="L2320" i="1"/>
  <c r="L2319" i="1" s="1" a="1"/>
  <c r="L2319" i="1" s="1"/>
  <c r="H2320" i="1" a="1"/>
  <c r="H2320" i="1"/>
  <c r="H2319" i="1" s="1" a="1"/>
  <c r="H2319" i="1" s="1"/>
  <c r="M2322" i="1" a="1"/>
  <c r="M2322" i="1" s="1"/>
  <c r="J2320" i="1" a="1"/>
  <c r="J2320" i="1" s="1"/>
  <c r="J2319" i="1" s="1" a="1"/>
  <c r="J2319" i="1" s="1"/>
  <c r="Q2320" i="1" a="1"/>
  <c r="Q2320" i="1"/>
  <c r="Q2319" i="1" s="1" a="1"/>
  <c r="Q2319" i="1" s="1"/>
  <c r="I2319" i="1" a="1"/>
  <c r="I2319" i="1" s="1"/>
  <c r="P2319" i="1" a="1"/>
  <c r="P2319" i="1" s="1"/>
  <c r="I2320" i="1" a="1"/>
  <c r="I2320" i="1" s="1"/>
  <c r="L2322" i="1" a="1"/>
  <c r="L2322" i="1"/>
  <c r="Q2325" i="1" a="1"/>
  <c r="Q2325" i="1"/>
  <c r="P2325" i="1" a="1"/>
  <c r="P2325" i="1"/>
  <c r="O2325" i="1" a="1"/>
  <c r="O2325" i="1" s="1"/>
  <c r="L2325" i="1" a="1"/>
  <c r="L2325" i="1"/>
  <c r="F2320" i="1" a="1"/>
  <c r="F2320" i="1"/>
  <c r="F2319" i="1" s="1" a="1"/>
  <c r="F2319" i="1" s="1"/>
  <c r="F2325" i="1" a="1"/>
  <c r="F2325" i="1"/>
  <c r="H2323" i="1" a="1"/>
  <c r="H2323" i="1"/>
  <c r="H2322" i="1" s="1" a="1"/>
  <c r="H2322" i="1" s="1"/>
  <c r="N2320" i="1" a="1"/>
  <c r="N2320" i="1"/>
  <c r="N2319" i="1" a="1"/>
  <c r="N2319" i="1" s="1"/>
  <c r="Q2323" i="1" a="1"/>
  <c r="Q2323" i="1" s="1"/>
  <c r="Q2322" i="1" s="1" a="1"/>
  <c r="Q2322" i="1" s="1"/>
  <c r="G2323" i="1" a="1"/>
  <c r="G2323" i="1"/>
  <c r="G2322" i="1" s="1" a="1"/>
  <c r="G2322" i="1" s="1"/>
  <c r="O2314" i="1" a="1"/>
  <c r="O2314" i="1"/>
  <c r="G2317" i="1" a="1"/>
  <c r="G2317" i="1" s="1"/>
  <c r="N2316" i="1" a="1"/>
  <c r="N2316" i="1"/>
  <c r="F2316" i="1" a="1"/>
  <c r="F2316" i="1"/>
  <c r="H2314" i="1" a="1"/>
  <c r="H2314" i="1"/>
  <c r="G2316" i="1" a="1"/>
  <c r="G2316" i="1"/>
  <c r="N2317" i="1" a="1"/>
  <c r="N2317" i="1" s="1"/>
  <c r="M2316" i="1" a="1"/>
  <c r="M2316" i="1" s="1"/>
  <c r="M2317" i="1" a="1"/>
  <c r="M2317" i="1" s="1"/>
  <c r="I2317" i="1" a="1"/>
  <c r="I2317" i="1" s="1"/>
  <c r="Q2314" i="1" a="1"/>
  <c r="Q2314" i="1"/>
  <c r="O2316" i="1" a="1"/>
  <c r="O2316" i="1" s="1"/>
  <c r="M2314" i="1" a="1"/>
  <c r="M2314" i="1" s="1"/>
  <c r="I2314" i="1" a="1"/>
  <c r="I2314" i="1"/>
  <c r="K2314" i="1" a="1"/>
  <c r="K2314" i="1"/>
  <c r="F2314" i="1" a="1"/>
  <c r="F2314" i="1" s="1"/>
  <c r="Q2317" i="1" a="1"/>
  <c r="Q2317" i="1"/>
  <c r="L2316" i="1" a="1"/>
  <c r="L2316" i="1"/>
  <c r="N2314" i="1" a="1"/>
  <c r="N2314" i="1" s="1"/>
  <c r="O2317" i="1" a="1"/>
  <c r="O2317" i="1"/>
  <c r="L2317" i="1" a="1"/>
  <c r="L2317" i="1" s="1"/>
  <c r="Q2316" i="1" a="1"/>
  <c r="Q2316" i="1"/>
  <c r="P2316" i="1" a="1"/>
  <c r="P2316" i="1"/>
  <c r="K2316" i="1" a="1"/>
  <c r="K2316" i="1"/>
  <c r="J2317" i="1" a="1"/>
  <c r="J2317" i="1"/>
  <c r="L2314" i="1" a="1"/>
  <c r="L2314" i="1"/>
  <c r="J2314" i="1" a="1"/>
  <c r="J2314" i="1" s="1"/>
  <c r="P2317" i="1" a="1"/>
  <c r="P2317" i="1" s="1"/>
  <c r="P2314" i="1" a="1"/>
  <c r="P2314" i="1" s="1"/>
  <c r="H2316" i="1" a="1"/>
  <c r="H2316" i="1" s="1"/>
  <c r="G2314" i="1" a="1"/>
  <c r="G2314" i="1"/>
  <c r="K2317" i="1" a="1"/>
  <c r="K2317" i="1"/>
  <c r="H2317" i="1" a="1"/>
  <c r="H2317" i="1"/>
  <c r="F2317" i="1" a="1"/>
  <c r="F2317" i="1"/>
  <c r="J2316" i="1" a="1"/>
  <c r="J2316" i="1"/>
  <c r="I2316" i="1" a="1"/>
  <c r="I2316" i="1" s="1"/>
  <c r="H1708" i="1" a="1"/>
  <c r="H1708" i="1" s="1"/>
  <c r="H1709" i="1" a="1"/>
  <c r="H1709" i="1" s="1"/>
  <c r="F1709" i="1" a="1"/>
  <c r="F1709" i="1" s="1"/>
  <c r="M1709" i="1" a="1"/>
  <c r="M1709" i="1"/>
  <c r="O1708" i="1" a="1"/>
  <c r="O1708" i="1"/>
  <c r="M1708" i="1" a="1"/>
  <c r="M1708" i="1"/>
  <c r="O1709" i="1" a="1"/>
  <c r="O1709" i="1"/>
  <c r="Q1709" i="1" a="1"/>
  <c r="Q1709" i="1" s="1"/>
  <c r="J1709" i="1" a="1"/>
  <c r="J1709" i="1" s="1"/>
  <c r="J1708" i="1" a="1"/>
  <c r="J1708" i="1" s="1"/>
  <c r="L1709" i="1" a="1"/>
  <c r="L1709" i="1" s="1"/>
  <c r="G1708" i="1" a="1"/>
  <c r="G1708" i="1"/>
  <c r="P1708" i="1" a="1"/>
  <c r="P1708" i="1"/>
  <c r="G1709" i="1" a="1"/>
  <c r="G1709" i="1" s="1"/>
  <c r="L1708" i="1" a="1"/>
  <c r="L1708" i="1"/>
  <c r="K1709" i="1" a="1"/>
  <c r="K1709" i="1"/>
  <c r="N1708" i="1" a="1"/>
  <c r="N1708" i="1"/>
  <c r="I1708" i="1" a="1"/>
  <c r="I1708" i="1"/>
  <c r="Q1708" i="1" a="1"/>
  <c r="Q1708" i="1"/>
  <c r="F1708" i="1" a="1"/>
  <c r="F1708" i="1"/>
  <c r="N1709" i="1" a="1"/>
  <c r="N1709" i="1"/>
  <c r="K1708" i="1" a="1"/>
  <c r="K1708" i="1" s="1"/>
  <c r="P1709" i="1" a="1"/>
  <c r="P1709" i="1"/>
  <c r="I1709" i="1" a="1"/>
  <c r="I1709" i="1"/>
  <c r="J743" i="1" a="1"/>
  <c r="J743" i="1"/>
  <c r="F743" i="1" a="1"/>
  <c r="F743" i="1"/>
  <c r="I743" i="1" a="1"/>
  <c r="I743" i="1" s="1"/>
  <c r="L743" i="1" a="1"/>
  <c r="L743" i="1" s="1"/>
  <c r="H743" i="1" a="1"/>
  <c r="H743" i="1"/>
  <c r="Q742" i="1" a="1"/>
  <c r="Q742" i="1"/>
  <c r="Q744" i="1" s="1" a="1"/>
  <c r="Q744" i="1" s="1"/>
  <c r="Q743" i="1" a="1"/>
  <c r="Q743" i="1" s="1"/>
  <c r="O743" i="1" a="1"/>
  <c r="O743" i="1"/>
  <c r="N743" i="1" a="1"/>
  <c r="N743" i="1"/>
  <c r="K743" i="1" a="1"/>
  <c r="K743" i="1" s="1"/>
  <c r="P743" i="1" a="1"/>
  <c r="P743" i="1"/>
  <c r="G743" i="1" a="1"/>
  <c r="G743" i="1"/>
  <c r="M743" i="1" a="1"/>
  <c r="M743" i="1" s="1"/>
  <c r="Q740" i="1" a="1"/>
  <c r="Q740" i="1" s="1"/>
  <c r="K740" i="1" a="1"/>
  <c r="K740" i="1" s="1"/>
  <c r="G740" i="1" a="1"/>
  <c r="G740" i="1"/>
  <c r="H740" i="1" a="1"/>
  <c r="H740" i="1" s="1"/>
  <c r="F740" i="1" a="1"/>
  <c r="F740" i="1"/>
  <c r="H742" i="1" a="1"/>
  <c r="H742" i="1"/>
  <c r="H744" i="1" s="1" a="1"/>
  <c r="H744" i="1" s="1"/>
  <c r="N740" i="1" a="1"/>
  <c r="N740" i="1" s="1"/>
  <c r="M740" i="1" a="1"/>
  <c r="M740" i="1"/>
  <c r="I740" i="1" a="1"/>
  <c r="I740" i="1"/>
  <c r="L740" i="1" a="1"/>
  <c r="L740" i="1"/>
  <c r="O740" i="1" a="1"/>
  <c r="O740" i="1"/>
  <c r="P740" i="1" a="1"/>
  <c r="P740" i="1" s="1"/>
  <c r="J740" i="1" a="1"/>
  <c r="J740" i="1"/>
  <c r="M727" i="1" a="1"/>
  <c r="M727" i="1"/>
  <c r="L727" i="1" a="1"/>
  <c r="L727" i="1"/>
  <c r="L724" i="1" a="1"/>
  <c r="L724" i="1"/>
  <c r="Q726" i="1" a="1"/>
  <c r="Q726" i="1" s="1"/>
  <c r="Q728" i="1" s="1" a="1"/>
  <c r="Q728" i="1" s="1"/>
  <c r="H724" i="1" a="1"/>
  <c r="H724" i="1" s="1"/>
  <c r="Q727" i="1" a="1"/>
  <c r="Q727" i="1" s="1"/>
  <c r="O727" i="1" a="1"/>
  <c r="O727" i="1"/>
  <c r="J727" i="1" a="1"/>
  <c r="J727" i="1" s="1"/>
  <c r="K727" i="1" a="1"/>
  <c r="K727" i="1" s="1"/>
  <c r="G724" i="1" a="1"/>
  <c r="G724" i="1" s="1"/>
  <c r="P724" i="1" a="1"/>
  <c r="P724" i="1"/>
  <c r="I724" i="1" a="1"/>
  <c r="I724" i="1" s="1"/>
  <c r="N724" i="1" a="1"/>
  <c r="N724" i="1"/>
  <c r="I727" i="1" a="1"/>
  <c r="I727" i="1"/>
  <c r="K724" i="1" a="1"/>
  <c r="K724" i="1" s="1"/>
  <c r="J724" i="1" a="1"/>
  <c r="J724" i="1"/>
  <c r="F727" i="1" a="1"/>
  <c r="F727" i="1"/>
  <c r="O724" i="1" a="1"/>
  <c r="O724" i="1"/>
  <c r="N727" i="1" a="1"/>
  <c r="N727" i="1"/>
  <c r="H726" i="1" a="1"/>
  <c r="H726" i="1"/>
  <c r="H728" i="1" s="1" a="1"/>
  <c r="H728" i="1" s="1"/>
  <c r="P726" i="1" a="1"/>
  <c r="P726" i="1"/>
  <c r="P728" i="1" s="1" a="1"/>
  <c r="P728" i="1" s="1"/>
  <c r="M724" i="1" a="1"/>
  <c r="M724" i="1"/>
  <c r="G727" i="1" a="1"/>
  <c r="G727" i="1"/>
  <c r="Q724" i="1" a="1"/>
  <c r="Q724" i="1"/>
  <c r="P727" i="1" a="1"/>
  <c r="P727" i="1" s="1"/>
  <c r="H727" i="1" a="1"/>
  <c r="H727" i="1" s="1"/>
  <c r="N716" i="1" a="1"/>
  <c r="N716" i="1" s="1"/>
  <c r="F716" i="1" a="1"/>
  <c r="F716" i="1"/>
  <c r="G718" i="1" a="1"/>
  <c r="G718" i="1"/>
  <c r="G726" i="1" s="1" a="1"/>
  <c r="G726" i="1" s="1"/>
  <c r="G728" i="1" s="1" a="1"/>
  <c r="G728" i="1" s="1"/>
  <c r="N719" i="1" a="1"/>
  <c r="N719" i="1" s="1"/>
  <c r="J719" i="1" a="1"/>
  <c r="J719" i="1"/>
  <c r="F718" i="1" a="1"/>
  <c r="F718" i="1" s="1"/>
  <c r="G719" i="1" a="1"/>
  <c r="G719" i="1"/>
  <c r="M716" i="1" a="1"/>
  <c r="M716" i="1"/>
  <c r="F724" i="1" a="1"/>
  <c r="F724" i="1"/>
  <c r="N720" i="1" a="1"/>
  <c r="N720" i="1"/>
  <c r="G720" i="1" a="1"/>
  <c r="G720" i="1"/>
  <c r="H720" i="1" a="1"/>
  <c r="H720" i="1"/>
  <c r="H719" i="1" a="1"/>
  <c r="H719" i="1"/>
  <c r="H718" i="1" a="1"/>
  <c r="H718" i="1"/>
  <c r="F720" i="1" a="1"/>
  <c r="F720" i="1" s="1"/>
  <c r="N718" i="1" a="1"/>
  <c r="N718" i="1"/>
  <c r="N742" i="1" s="1" a="1"/>
  <c r="N742" i="1" s="1"/>
  <c r="N744" i="1" s="1" a="1"/>
  <c r="N744" i="1" s="1"/>
  <c r="P719" i="1" a="1"/>
  <c r="P719" i="1"/>
  <c r="L719" i="1" a="1"/>
  <c r="L719" i="1"/>
  <c r="K719" i="1" a="1"/>
  <c r="K719" i="1"/>
  <c r="Q718" i="1" a="1"/>
  <c r="Q718" i="1"/>
  <c r="K718" i="1" a="1"/>
  <c r="K718" i="1"/>
  <c r="J716" i="1" a="1"/>
  <c r="J716" i="1"/>
  <c r="Q716" i="1" a="1"/>
  <c r="Q716" i="1"/>
  <c r="K716" i="1" a="1"/>
  <c r="K716" i="1"/>
  <c r="P716" i="1" a="1"/>
  <c r="P716" i="1"/>
  <c r="M720" i="1" a="1"/>
  <c r="M720" i="1" s="1"/>
  <c r="K720" i="1" a="1"/>
  <c r="K720" i="1" s="1"/>
  <c r="K742" i="1" s="1" a="1"/>
  <c r="K742" i="1" s="1"/>
  <c r="K744" i="1" s="1" a="1"/>
  <c r="K744" i="1" s="1"/>
  <c r="P718" i="1" a="1"/>
  <c r="P718" i="1" s="1"/>
  <c r="L718" i="1" a="1"/>
  <c r="L718" i="1" s="1"/>
  <c r="G716" i="1" a="1"/>
  <c r="G716" i="1"/>
  <c r="Q720" i="1" a="1"/>
  <c r="Q720" i="1"/>
  <c r="P720" i="1" a="1"/>
  <c r="P720" i="1"/>
  <c r="P742" i="1" s="1" a="1"/>
  <c r="P742" i="1" s="1"/>
  <c r="P744" i="1" s="1" a="1"/>
  <c r="P744" i="1" s="1"/>
  <c r="O720" i="1" a="1"/>
  <c r="O720" i="1"/>
  <c r="O726" i="1" s="1" a="1"/>
  <c r="O726" i="1" s="1"/>
  <c r="O728" i="1" s="1" a="1"/>
  <c r="O728" i="1" s="1"/>
  <c r="L720" i="1" a="1"/>
  <c r="L720" i="1"/>
  <c r="L742" i="1" s="1" a="1"/>
  <c r="L742" i="1" s="1"/>
  <c r="L744" i="1" s="1" a="1"/>
  <c r="L744" i="1" s="1"/>
  <c r="Q719" i="1" a="1"/>
  <c r="Q719" i="1"/>
  <c r="F719" i="1" a="1"/>
  <c r="F719" i="1"/>
  <c r="L716" i="1" a="1"/>
  <c r="L716" i="1"/>
  <c r="O718" i="1" a="1"/>
  <c r="O718" i="1"/>
  <c r="I718" i="1" a="1"/>
  <c r="I718" i="1"/>
  <c r="J720" i="1" a="1"/>
  <c r="J720" i="1"/>
  <c r="J742" i="1" s="1" a="1"/>
  <c r="J742" i="1" s="1"/>
  <c r="J744" i="1" s="1" a="1"/>
  <c r="J744" i="1" s="1"/>
  <c r="I720" i="1" a="1"/>
  <c r="I720" i="1"/>
  <c r="O719" i="1" a="1"/>
  <c r="O719" i="1"/>
  <c r="M719" i="1" a="1"/>
  <c r="M719" i="1" s="1"/>
  <c r="I719" i="1" a="1"/>
  <c r="I719" i="1" s="1"/>
  <c r="J718" i="1" a="1"/>
  <c r="J718" i="1"/>
  <c r="O716" i="1" a="1"/>
  <c r="O716" i="1"/>
  <c r="M718" i="1" a="1"/>
  <c r="M718" i="1"/>
  <c r="H716" i="1" a="1"/>
  <c r="H716" i="1"/>
  <c r="I716" i="1" a="1"/>
  <c r="I716" i="1"/>
  <c r="M697" i="1" a="1"/>
  <c r="M697" i="1"/>
  <c r="J711" i="1" a="1"/>
  <c r="J711" i="1"/>
  <c r="F711" i="1" a="1"/>
  <c r="F711" i="1"/>
  <c r="Q696" i="1" a="1"/>
  <c r="Q696" i="1"/>
  <c r="I709" i="1" a="1"/>
  <c r="I709" i="1"/>
  <c r="J697" i="1" a="1"/>
  <c r="J697" i="1" s="1"/>
  <c r="K697" i="1" a="1"/>
  <c r="K697" i="1" s="1"/>
  <c r="O697" i="1" a="1"/>
  <c r="O697" i="1" s="1"/>
  <c r="L697" i="1" a="1"/>
  <c r="L697" i="1"/>
  <c r="I697" i="1" a="1"/>
  <c r="I697" i="1"/>
  <c r="H697" i="1" a="1"/>
  <c r="H697" i="1" s="1"/>
  <c r="O696" i="1" a="1"/>
  <c r="O696" i="1" s="1"/>
  <c r="N697" i="1" a="1"/>
  <c r="N697" i="1"/>
  <c r="P696" i="1" a="1"/>
  <c r="P696" i="1"/>
  <c r="G711" i="1" a="1"/>
  <c r="G711" i="1"/>
  <c r="Q697" i="1" a="1"/>
  <c r="Q697" i="1"/>
  <c r="G709" i="1" a="1"/>
  <c r="G709" i="1" s="1"/>
  <c r="Q711" i="1" a="1"/>
  <c r="Q711" i="1"/>
  <c r="M711" i="1" a="1"/>
  <c r="M711" i="1" s="1"/>
  <c r="J709" i="1" a="1"/>
  <c r="J709" i="1"/>
  <c r="N711" i="1" a="1"/>
  <c r="N711" i="1"/>
  <c r="L711" i="1" a="1"/>
  <c r="L711" i="1" s="1"/>
  <c r="F697" i="1" a="1"/>
  <c r="F697" i="1" s="1"/>
  <c r="H711" i="1" a="1"/>
  <c r="H711" i="1" s="1"/>
  <c r="P709" i="1" a="1"/>
  <c r="P709" i="1"/>
  <c r="K709" i="1" a="1"/>
  <c r="K709" i="1"/>
  <c r="N709" i="1" a="1"/>
  <c r="N709" i="1"/>
  <c r="L709" i="1" a="1"/>
  <c r="L709" i="1"/>
  <c r="H709" i="1" a="1"/>
  <c r="H709" i="1"/>
  <c r="P697" i="1" a="1"/>
  <c r="P697" i="1"/>
  <c r="P711" i="1" a="1"/>
  <c r="P711" i="1"/>
  <c r="I711" i="1" a="1"/>
  <c r="I711" i="1"/>
  <c r="O711" i="1" a="1"/>
  <c r="O711" i="1"/>
  <c r="O709" i="1" a="1"/>
  <c r="O709" i="1"/>
  <c r="K711" i="1" a="1"/>
  <c r="K711" i="1" s="1"/>
  <c r="M709" i="1" a="1"/>
  <c r="M709" i="1" s="1"/>
  <c r="Q709" i="1" a="1"/>
  <c r="Q709" i="1"/>
  <c r="F709" i="1" a="1"/>
  <c r="F709" i="1"/>
  <c r="G697" i="1" a="1"/>
  <c r="G697" i="1"/>
  <c r="P687" i="1" a="1"/>
  <c r="P687" i="1"/>
  <c r="Q688" i="1" a="1"/>
  <c r="Q688" i="1"/>
  <c r="O688" i="1" a="1"/>
  <c r="O688" i="1"/>
  <c r="I688" i="1" a="1"/>
  <c r="I688" i="1"/>
  <c r="F688" i="1" a="1"/>
  <c r="F688" i="1"/>
  <c r="P688" i="1" a="1"/>
  <c r="P688" i="1" s="1"/>
  <c r="L687" i="1" a="1"/>
  <c r="L687" i="1"/>
  <c r="M688" i="1" a="1"/>
  <c r="M688" i="1"/>
  <c r="K688" i="1" a="1"/>
  <c r="K688" i="1"/>
  <c r="G688" i="1" a="1"/>
  <c r="G688" i="1"/>
  <c r="K687" i="1" a="1"/>
  <c r="K687" i="1" s="1"/>
  <c r="F696" i="1" a="1"/>
  <c r="F696" i="1" s="1"/>
  <c r="N696" i="1" a="1"/>
  <c r="N696" i="1" s="1"/>
  <c r="M696" i="1" a="1"/>
  <c r="M696" i="1" s="1"/>
  <c r="I696" i="1" a="1"/>
  <c r="I696" i="1"/>
  <c r="L696" i="1" a="1"/>
  <c r="L696" i="1"/>
  <c r="K696" i="1" a="1"/>
  <c r="K696" i="1"/>
  <c r="O687" i="1" a="1"/>
  <c r="O687" i="1"/>
  <c r="H696" i="1" a="1"/>
  <c r="H696" i="1"/>
  <c r="J688" i="1" a="1"/>
  <c r="J688" i="1"/>
  <c r="G696" i="1" a="1"/>
  <c r="G696" i="1"/>
  <c r="N688" i="1" a="1"/>
  <c r="N688" i="1" s="1"/>
  <c r="H688" i="1" a="1"/>
  <c r="H688" i="1"/>
  <c r="N687" i="1" a="1"/>
  <c r="N687" i="1"/>
  <c r="J696" i="1" a="1"/>
  <c r="J696" i="1" s="1"/>
  <c r="Q687" i="1" a="1"/>
  <c r="Q687" i="1"/>
  <c r="M687" i="1" a="1"/>
  <c r="M687" i="1"/>
  <c r="L688" i="1" a="1"/>
  <c r="L688" i="1"/>
  <c r="I687" i="1" a="1"/>
  <c r="I687" i="1"/>
  <c r="H687" i="1" a="1"/>
  <c r="H687" i="1"/>
  <c r="J687" i="1" a="1"/>
  <c r="J687" i="1"/>
  <c r="O685" i="1" a="1"/>
  <c r="O685" i="1" s="1"/>
  <c r="G687" i="1" a="1"/>
  <c r="G687" i="1" s="1"/>
  <c r="L685" i="1" a="1"/>
  <c r="L685" i="1" s="1"/>
  <c r="F687" i="1" a="1"/>
  <c r="F687" i="1"/>
  <c r="Q685" i="1" a="1"/>
  <c r="Q685" i="1"/>
  <c r="M685" i="1" a="1"/>
  <c r="M685" i="1"/>
  <c r="K685" i="1" a="1"/>
  <c r="K685" i="1" s="1"/>
  <c r="P685" i="1" a="1"/>
  <c r="P685" i="1"/>
  <c r="N685" i="1" a="1"/>
  <c r="N685" i="1"/>
  <c r="G681" i="1" a="1"/>
  <c r="G681" i="1"/>
  <c r="N681" i="1" a="1"/>
  <c r="N681" i="1"/>
  <c r="J685" i="1" a="1"/>
  <c r="J685" i="1"/>
  <c r="L681" i="1" a="1"/>
  <c r="L681" i="1"/>
  <c r="Q683" i="1" a="1"/>
  <c r="Q683" i="1"/>
  <c r="I685" i="1" a="1"/>
  <c r="I685" i="1" s="1"/>
  <c r="G683" i="1" a="1"/>
  <c r="G683" i="1" s="1"/>
  <c r="G685" i="1" a="1"/>
  <c r="G685" i="1" s="1"/>
  <c r="O683" i="1" a="1"/>
  <c r="O683" i="1"/>
  <c r="O681" i="1" a="1"/>
  <c r="O681" i="1"/>
  <c r="K683" i="1" a="1"/>
  <c r="K683" i="1"/>
  <c r="H685" i="1" a="1"/>
  <c r="H685" i="1"/>
  <c r="M683" i="1" a="1"/>
  <c r="M683" i="1"/>
  <c r="Q682" i="1" a="1"/>
  <c r="Q682" i="1"/>
  <c r="P683" i="1" a="1"/>
  <c r="P683" i="1"/>
  <c r="F683" i="1" a="1"/>
  <c r="F683" i="1"/>
  <c r="J681" i="1" a="1"/>
  <c r="J681" i="1"/>
  <c r="F685" i="1" a="1"/>
  <c r="F685" i="1" s="1"/>
  <c r="K682" i="1" a="1"/>
  <c r="K682" i="1"/>
  <c r="F681" i="1" a="1"/>
  <c r="F681" i="1" s="1"/>
  <c r="N683" i="1" a="1"/>
  <c r="N683" i="1" s="1"/>
  <c r="L683" i="1" a="1"/>
  <c r="L683" i="1" s="1"/>
  <c r="J683" i="1" a="1"/>
  <c r="J683" i="1"/>
  <c r="M682" i="1" a="1"/>
  <c r="M682" i="1"/>
  <c r="H682" i="1" a="1"/>
  <c r="H682" i="1" s="1"/>
  <c r="M681" i="1" a="1"/>
  <c r="M681" i="1" s="1"/>
  <c r="I683" i="1" a="1"/>
  <c r="I683" i="1" s="1"/>
  <c r="K681" i="1" a="1"/>
  <c r="K681" i="1"/>
  <c r="O682" i="1" a="1"/>
  <c r="O682" i="1"/>
  <c r="J682" i="1" a="1"/>
  <c r="J682" i="1"/>
  <c r="F682" i="1" a="1"/>
  <c r="F682" i="1"/>
  <c r="H683" i="1" a="1"/>
  <c r="H683" i="1"/>
  <c r="P682" i="1" a="1"/>
  <c r="P682" i="1"/>
  <c r="N682" i="1" a="1"/>
  <c r="N682" i="1" s="1"/>
  <c r="L682" i="1" a="1"/>
  <c r="L682" i="1" s="1"/>
  <c r="P681" i="1" a="1"/>
  <c r="P681" i="1" s="1"/>
  <c r="I682" i="1" a="1"/>
  <c r="I682" i="1"/>
  <c r="Q681" i="1" a="1"/>
  <c r="Q681" i="1"/>
  <c r="G682" i="1" a="1"/>
  <c r="G682" i="1"/>
  <c r="I681" i="1" a="1"/>
  <c r="I681" i="1"/>
  <c r="H681" i="1" a="1"/>
  <c r="H681" i="1" s="1"/>
  <c r="G664" i="1" a="1"/>
  <c r="G664" i="1"/>
  <c r="M665" i="1" a="1"/>
  <c r="M665" i="1"/>
  <c r="H666" i="1" a="1"/>
  <c r="H666" i="1"/>
  <c r="F664" i="1" a="1"/>
  <c r="F664" i="1"/>
  <c r="Q664" i="1" a="1"/>
  <c r="Q664" i="1"/>
  <c r="P666" i="1" a="1"/>
  <c r="P666" i="1" s="1"/>
  <c r="P665" i="1" a="1"/>
  <c r="P665" i="1" s="1"/>
  <c r="N664" i="1" a="1"/>
  <c r="N664" i="1" s="1"/>
  <c r="N665" i="1" a="1"/>
  <c r="N665" i="1" s="1"/>
  <c r="L665" i="1" a="1"/>
  <c r="L665" i="1"/>
  <c r="O664" i="1" a="1"/>
  <c r="O664" i="1"/>
  <c r="K665" i="1" a="1"/>
  <c r="K665" i="1"/>
  <c r="G665" i="1" a="1"/>
  <c r="G665" i="1"/>
  <c r="I664" i="1" a="1"/>
  <c r="I664" i="1"/>
  <c r="M666" i="1" a="1"/>
  <c r="M666" i="1"/>
  <c r="F666" i="1" a="1"/>
  <c r="F666" i="1"/>
  <c r="Q665" i="1" a="1"/>
  <c r="Q665" i="1"/>
  <c r="I666" i="1" a="1"/>
  <c r="I666" i="1"/>
  <c r="Q666" i="1" a="1"/>
  <c r="Q666" i="1" s="1"/>
  <c r="M664" i="1" a="1"/>
  <c r="M664" i="1"/>
  <c r="O666" i="1" a="1"/>
  <c r="O666" i="1" s="1"/>
  <c r="P664" i="1" a="1"/>
  <c r="P664" i="1" s="1"/>
  <c r="H665" i="1" a="1"/>
  <c r="H665" i="1" s="1"/>
  <c r="K666" i="1" a="1"/>
  <c r="K666" i="1"/>
  <c r="O665" i="1" a="1"/>
  <c r="O665" i="1"/>
  <c r="F665" i="1" a="1"/>
  <c r="F665" i="1"/>
  <c r="K664" i="1" a="1"/>
  <c r="K664" i="1"/>
  <c r="L666" i="1" a="1"/>
  <c r="L666" i="1"/>
  <c r="G666" i="1" a="1"/>
  <c r="G666" i="1"/>
  <c r="J665" i="1" a="1"/>
  <c r="J665" i="1"/>
  <c r="L664" i="1" a="1"/>
  <c r="L664" i="1"/>
  <c r="N666" i="1" a="1"/>
  <c r="N666" i="1"/>
  <c r="J666" i="1" a="1"/>
  <c r="J666" i="1"/>
  <c r="I665" i="1" a="1"/>
  <c r="I665" i="1"/>
  <c r="J664" i="1" a="1"/>
  <c r="J664" i="1" s="1"/>
  <c r="H664" i="1" a="1"/>
  <c r="H664" i="1" s="1"/>
  <c r="Q650" i="1" a="1"/>
  <c r="Q650" i="1" s="1"/>
  <c r="M653" i="1" a="1"/>
  <c r="M653" i="1"/>
  <c r="K652" i="1" a="1"/>
  <c r="K652" i="1"/>
  <c r="K653" i="1" a="1"/>
  <c r="K653" i="1"/>
  <c r="M652" i="1" a="1"/>
  <c r="M652" i="1"/>
  <c r="O650" i="1" a="1"/>
  <c r="O650" i="1"/>
  <c r="L653" i="1" a="1"/>
  <c r="L653" i="1"/>
  <c r="O653" i="1" a="1"/>
  <c r="O653" i="1"/>
  <c r="I653" i="1" a="1"/>
  <c r="I653" i="1"/>
  <c r="F653" i="1" a="1"/>
  <c r="F653" i="1"/>
  <c r="H652" i="1" a="1"/>
  <c r="H652" i="1" s="1"/>
  <c r="O652" i="1" a="1"/>
  <c r="O652" i="1" s="1"/>
  <c r="G652" i="1" a="1"/>
  <c r="G652" i="1" s="1"/>
  <c r="N652" i="1" a="1"/>
  <c r="N652" i="1" s="1"/>
  <c r="L652" i="1" a="1"/>
  <c r="L652" i="1" s="1"/>
  <c r="J652" i="1" a="1"/>
  <c r="J652" i="1"/>
  <c r="Q652" i="1" a="1"/>
  <c r="Q652" i="1"/>
  <c r="N653" i="1" a="1"/>
  <c r="N653" i="1" s="1"/>
  <c r="P653" i="1" a="1"/>
  <c r="P653" i="1"/>
  <c r="G653" i="1" a="1"/>
  <c r="G653" i="1" s="1"/>
  <c r="I652" i="1" a="1"/>
  <c r="I652" i="1"/>
  <c r="F652" i="1" a="1"/>
  <c r="F652" i="1"/>
  <c r="P650" i="1" a="1"/>
  <c r="P650" i="1"/>
  <c r="P652" i="1" a="1"/>
  <c r="P652" i="1"/>
  <c r="Q653" i="1" a="1"/>
  <c r="Q653" i="1"/>
  <c r="J653" i="1" a="1"/>
  <c r="J653" i="1" s="1"/>
  <c r="H653" i="1" a="1"/>
  <c r="H653" i="1" s="1"/>
  <c r="O647" i="1" a="1"/>
  <c r="O647" i="1" s="1"/>
  <c r="O648" i="1" a="1"/>
  <c r="O648" i="1" s="1"/>
  <c r="Q649" i="1" a="1"/>
  <c r="Q649" i="1"/>
  <c r="Q647" i="1" a="1"/>
  <c r="Q647" i="1"/>
  <c r="P649" i="1" a="1"/>
  <c r="P649" i="1"/>
  <c r="J648" i="1" a="1"/>
  <c r="J648" i="1"/>
  <c r="H647" i="1" a="1"/>
  <c r="H647" i="1"/>
  <c r="Q645" i="1" a="1"/>
  <c r="Q645" i="1"/>
  <c r="O649" i="1" a="1"/>
  <c r="O649" i="1"/>
  <c r="M649" i="1" a="1"/>
  <c r="M649" i="1"/>
  <c r="K648" i="1" a="1"/>
  <c r="K648" i="1"/>
  <c r="L645" i="1" a="1"/>
  <c r="L645" i="1"/>
  <c r="L649" i="1" a="1"/>
  <c r="L649" i="1"/>
  <c r="J649" i="1" a="1"/>
  <c r="J649" i="1" s="1"/>
  <c r="I649" i="1" a="1"/>
  <c r="I649" i="1" s="1"/>
  <c r="M647" i="1" a="1"/>
  <c r="M647" i="1" s="1"/>
  <c r="K645" i="1" a="1"/>
  <c r="K645" i="1"/>
  <c r="F647" i="1" a="1"/>
  <c r="F647" i="1"/>
  <c r="Q648" i="1" a="1"/>
  <c r="Q648" i="1"/>
  <c r="M645" i="1" a="1"/>
  <c r="M645" i="1"/>
  <c r="L648" i="1" a="1"/>
  <c r="L648" i="1"/>
  <c r="G648" i="1" a="1"/>
  <c r="G648" i="1"/>
  <c r="P647" i="1" a="1"/>
  <c r="P647" i="1"/>
  <c r="N647" i="1" a="1"/>
  <c r="N647" i="1"/>
  <c r="J647" i="1" a="1"/>
  <c r="J647" i="1"/>
  <c r="G647" i="1" a="1"/>
  <c r="G647" i="1"/>
  <c r="I647" i="1" a="1"/>
  <c r="I647" i="1"/>
  <c r="G645" i="1" a="1"/>
  <c r="G645" i="1" s="1"/>
  <c r="H649" i="1" a="1"/>
  <c r="H649" i="1" s="1"/>
  <c r="H648" i="1" a="1"/>
  <c r="H648" i="1" s="1"/>
  <c r="P648" i="1" a="1"/>
  <c r="P648" i="1"/>
  <c r="P645" i="1" a="1"/>
  <c r="P645" i="1"/>
  <c r="I645" i="1" a="1"/>
  <c r="I645" i="1" s="1"/>
  <c r="K647" i="1" a="1"/>
  <c r="K647" i="1"/>
  <c r="J645" i="1" a="1"/>
  <c r="J645" i="1"/>
  <c r="O645" i="1" a="1"/>
  <c r="O645" i="1"/>
  <c r="H645" i="1" a="1"/>
  <c r="H645" i="1"/>
  <c r="M650" i="1" a="1"/>
  <c r="M650" i="1"/>
  <c r="F650" i="1" a="1"/>
  <c r="F650" i="1"/>
  <c r="H650" i="1" a="1"/>
  <c r="H650" i="1"/>
  <c r="G649" i="1" a="1"/>
  <c r="G649" i="1"/>
  <c r="F648" i="1" a="1"/>
  <c r="F648" i="1" s="1"/>
  <c r="I648" i="1" a="1"/>
  <c r="I648" i="1" s="1"/>
  <c r="M648" i="1" a="1"/>
  <c r="M648" i="1" s="1"/>
  <c r="N648" i="1" a="1"/>
  <c r="N648" i="1"/>
  <c r="N649" i="1" a="1"/>
  <c r="N649" i="1"/>
  <c r="N650" i="1" a="1"/>
  <c r="N650" i="1" s="1"/>
  <c r="L650" i="1" a="1"/>
  <c r="L650" i="1"/>
  <c r="K650" i="1" a="1"/>
  <c r="K650" i="1"/>
  <c r="J650" i="1" a="1"/>
  <c r="J650" i="1"/>
  <c r="F649" i="1" a="1"/>
  <c r="F649" i="1"/>
  <c r="L647" i="1" a="1"/>
  <c r="L647" i="1"/>
  <c r="F645" i="1" a="1"/>
  <c r="F645" i="1"/>
  <c r="N645" i="1" a="1"/>
  <c r="N645" i="1"/>
  <c r="K649" i="1" a="1"/>
  <c r="K649" i="1" s="1"/>
  <c r="I650" i="1" a="1"/>
  <c r="I650" i="1" s="1"/>
  <c r="G650" i="1" a="1"/>
  <c r="G650" i="1" s="1"/>
  <c r="N643" i="1" a="1"/>
  <c r="N643" i="1" s="1"/>
  <c r="J643" i="1" a="1"/>
  <c r="J643" i="1"/>
  <c r="G643" i="1" a="1"/>
  <c r="G643" i="1"/>
  <c r="O640" i="1" a="1"/>
  <c r="O640" i="1"/>
  <c r="M638" i="1" a="1"/>
  <c r="M638" i="1" s="1"/>
  <c r="F642" i="1" a="1"/>
  <c r="F642" i="1" s="1"/>
  <c r="P640" i="1" a="1"/>
  <c r="P640" i="1"/>
  <c r="H639" i="1" a="1"/>
  <c r="H639" i="1"/>
  <c r="L639" i="1" a="1"/>
  <c r="L639" i="1"/>
  <c r="Q642" i="1" a="1"/>
  <c r="Q642" i="1"/>
  <c r="J640" i="1" a="1"/>
  <c r="J640" i="1"/>
  <c r="Q643" i="1" a="1"/>
  <c r="Q643" i="1"/>
  <c r="P643" i="1" a="1"/>
  <c r="P643" i="1" s="1"/>
  <c r="F643" i="1" a="1"/>
  <c r="F643" i="1" s="1"/>
  <c r="F639" i="1" a="1"/>
  <c r="F639" i="1" s="1"/>
  <c r="M642" i="1" a="1"/>
  <c r="M642" i="1"/>
  <c r="O642" i="1" a="1"/>
  <c r="O642" i="1"/>
  <c r="I640" i="1" a="1"/>
  <c r="I640" i="1"/>
  <c r="O639" i="1" a="1"/>
  <c r="O639" i="1"/>
  <c r="P639" i="1" a="1"/>
  <c r="P639" i="1"/>
  <c r="Q638" i="1" a="1"/>
  <c r="Q638" i="1"/>
  <c r="P638" i="1" a="1"/>
  <c r="P638" i="1"/>
  <c r="N642" i="1" a="1"/>
  <c r="N642" i="1"/>
  <c r="Q640" i="1" a="1"/>
  <c r="Q640" i="1"/>
  <c r="M640" i="1" a="1"/>
  <c r="M640" i="1"/>
  <c r="H643" i="1" a="1"/>
  <c r="H643" i="1"/>
  <c r="K642" i="1" a="1"/>
  <c r="K642" i="1" s="1"/>
  <c r="F640" i="1" a="1"/>
  <c r="F640" i="1" s="1"/>
  <c r="H640" i="1" a="1"/>
  <c r="H640" i="1" s="1"/>
  <c r="J642" i="1" a="1"/>
  <c r="J642" i="1"/>
  <c r="M639" i="1" a="1"/>
  <c r="M639" i="1"/>
  <c r="J639" i="1" a="1"/>
  <c r="J639" i="1"/>
  <c r="P642" i="1" a="1"/>
  <c r="P642" i="1"/>
  <c r="I642" i="1" a="1"/>
  <c r="I642" i="1"/>
  <c r="O643" i="1" a="1"/>
  <c r="O643" i="1"/>
  <c r="M643" i="1" a="1"/>
  <c r="M643" i="1"/>
  <c r="N638" i="1" a="1"/>
  <c r="N638" i="1"/>
  <c r="I643" i="1" a="1"/>
  <c r="I643" i="1"/>
  <c r="H642" i="1" a="1"/>
  <c r="H642" i="1"/>
  <c r="I639" i="1" a="1"/>
  <c r="I639" i="1"/>
  <c r="K640" i="1" a="1"/>
  <c r="K640" i="1" s="1"/>
  <c r="O638" i="1" a="1"/>
  <c r="O638" i="1" s="1"/>
  <c r="L642" i="1" a="1"/>
  <c r="L642" i="1" s="1"/>
  <c r="K643" i="1" a="1"/>
  <c r="K643" i="1"/>
  <c r="G642" i="1" a="1"/>
  <c r="G642" i="1"/>
  <c r="G639" i="1" a="1"/>
  <c r="G639" i="1" s="1"/>
  <c r="L640" i="1" a="1"/>
  <c r="L640" i="1"/>
  <c r="L643" i="1" a="1"/>
  <c r="L643" i="1"/>
  <c r="Q639" i="1" a="1"/>
  <c r="Q639" i="1"/>
  <c r="G640" i="1" a="1"/>
  <c r="G640" i="1"/>
  <c r="N640" i="1" a="1"/>
  <c r="N640" i="1"/>
  <c r="N639" i="1" a="1"/>
  <c r="N639" i="1"/>
  <c r="K639" i="1" a="1"/>
  <c r="K639" i="1"/>
  <c r="J633" i="1" a="1"/>
  <c r="J633" i="1"/>
  <c r="I633" i="1" a="1"/>
  <c r="I633" i="1" s="1"/>
  <c r="K632" i="1" a="1"/>
  <c r="K632" i="1" s="1"/>
  <c r="M635" i="1" a="1"/>
  <c r="M635" i="1" s="1"/>
  <c r="G633" i="1" a="1"/>
  <c r="G633" i="1"/>
  <c r="P633" i="1" a="1"/>
  <c r="P633" i="1"/>
  <c r="F635" i="1" a="1"/>
  <c r="F635" i="1"/>
  <c r="I632" i="1" a="1"/>
  <c r="I632" i="1"/>
  <c r="M637" i="1" a="1"/>
  <c r="M637" i="1"/>
  <c r="P632" i="1" a="1"/>
  <c r="P632" i="1"/>
  <c r="P635" i="1" a="1"/>
  <c r="P635" i="1"/>
  <c r="L638" i="1" a="1"/>
  <c r="L638" i="1"/>
  <c r="K638" i="1" a="1"/>
  <c r="K638" i="1"/>
  <c r="J638" i="1" a="1"/>
  <c r="J638" i="1" s="1"/>
  <c r="I638" i="1" a="1"/>
  <c r="I638" i="1" s="1"/>
  <c r="L635" i="1" a="1"/>
  <c r="L635" i="1" s="1"/>
  <c r="H638" i="1" a="1"/>
  <c r="H638" i="1" s="1"/>
  <c r="O633" i="1" a="1"/>
  <c r="O633" i="1" s="1"/>
  <c r="I637" i="1" a="1"/>
  <c r="I637" i="1"/>
  <c r="G638" i="1" a="1"/>
  <c r="G638" i="1"/>
  <c r="K633" i="1" a="1"/>
  <c r="K633" i="1"/>
  <c r="F638" i="1" a="1"/>
  <c r="F638" i="1" s="1"/>
  <c r="G635" i="1" a="1"/>
  <c r="G635" i="1"/>
  <c r="Q637" i="1" a="1"/>
  <c r="Q637" i="1"/>
  <c r="O637" i="1" a="1"/>
  <c r="O637" i="1"/>
  <c r="P637" i="1" a="1"/>
  <c r="P637" i="1"/>
  <c r="F637" i="1" a="1"/>
  <c r="F637" i="1"/>
  <c r="H635" i="1" a="1"/>
  <c r="H635" i="1"/>
  <c r="L632" i="1" a="1"/>
  <c r="L632" i="1"/>
  <c r="O635" i="1" a="1"/>
  <c r="O635" i="1" s="1"/>
  <c r="N635" i="1" a="1"/>
  <c r="N635" i="1" s="1"/>
  <c r="H633" i="1" a="1"/>
  <c r="H633" i="1" s="1"/>
  <c r="F633" i="1" a="1"/>
  <c r="F633" i="1"/>
  <c r="O632" i="1" a="1"/>
  <c r="O632" i="1"/>
  <c r="L633" i="1" a="1"/>
  <c r="L633" i="1"/>
  <c r="N637" i="1" a="1"/>
  <c r="N637" i="1"/>
  <c r="L637" i="1" a="1"/>
  <c r="L637" i="1"/>
  <c r="M633" i="1" a="1"/>
  <c r="M633" i="1"/>
  <c r="N633" i="1" a="1"/>
  <c r="N633" i="1"/>
  <c r="J637" i="1" a="1"/>
  <c r="J637" i="1"/>
  <c r="M632" i="1" a="1"/>
  <c r="M632" i="1"/>
  <c r="K637" i="1" a="1"/>
  <c r="K637" i="1"/>
  <c r="H637" i="1" a="1"/>
  <c r="H637" i="1"/>
  <c r="Q635" i="1" a="1"/>
  <c r="Q635" i="1" s="1"/>
  <c r="I635" i="1" a="1"/>
  <c r="I635" i="1" s="1"/>
  <c r="J632" i="1" a="1"/>
  <c r="J632" i="1" s="1"/>
  <c r="J635" i="1" a="1"/>
  <c r="J635" i="1"/>
  <c r="Q632" i="1" a="1"/>
  <c r="Q632" i="1"/>
  <c r="G637" i="1" a="1"/>
  <c r="G637" i="1"/>
  <c r="K635" i="1" a="1"/>
  <c r="K635" i="1"/>
  <c r="N632" i="1" a="1"/>
  <c r="N632" i="1"/>
  <c r="Q633" i="1" a="1"/>
  <c r="Q633" i="1"/>
  <c r="L630" i="1" a="1"/>
  <c r="L630" i="1"/>
  <c r="J630" i="1" a="1"/>
  <c r="J630" i="1"/>
  <c r="H627" i="1" a="1"/>
  <c r="H627" i="1"/>
  <c r="J625" i="1" a="1"/>
  <c r="J625" i="1"/>
  <c r="M628" i="1" a="1"/>
  <c r="M628" i="1"/>
  <c r="H629" i="1" a="1"/>
  <c r="H629" i="1" s="1"/>
  <c r="L628" i="1" a="1"/>
  <c r="L628" i="1" s="1"/>
  <c r="P627" i="1" a="1"/>
  <c r="P627" i="1" s="1"/>
  <c r="P625" i="1" a="1"/>
  <c r="P625" i="1"/>
  <c r="H632" i="1" a="1"/>
  <c r="H632" i="1"/>
  <c r="G632" i="1" a="1"/>
  <c r="G632" i="1" s="1"/>
  <c r="F632" i="1" a="1"/>
  <c r="F632" i="1" s="1"/>
  <c r="N628" i="1" a="1"/>
  <c r="N628" i="1"/>
  <c r="I627" i="1" a="1"/>
  <c r="I627" i="1"/>
  <c r="L625" i="1" a="1"/>
  <c r="L625" i="1"/>
  <c r="M630" i="1" a="1"/>
  <c r="M630" i="1"/>
  <c r="M627" i="1" a="1"/>
  <c r="M627" i="1"/>
  <c r="Q625" i="1" a="1"/>
  <c r="Q625" i="1"/>
  <c r="I630" i="1" a="1"/>
  <c r="I630" i="1"/>
  <c r="G630" i="1" a="1"/>
  <c r="G630" i="1" s="1"/>
  <c r="Q629" i="1" a="1"/>
  <c r="Q629" i="1" s="1"/>
  <c r="O629" i="1" a="1"/>
  <c r="O629" i="1" s="1"/>
  <c r="Q628" i="1" a="1"/>
  <c r="Q628" i="1"/>
  <c r="N629" i="1" a="1"/>
  <c r="N629" i="1"/>
  <c r="M629" i="1" a="1"/>
  <c r="M629" i="1"/>
  <c r="K629" i="1" a="1"/>
  <c r="K629" i="1" s="1"/>
  <c r="G629" i="1" a="1"/>
  <c r="G629" i="1"/>
  <c r="I629" i="1" a="1"/>
  <c r="I629" i="1"/>
  <c r="O628" i="1" a="1"/>
  <c r="O628" i="1"/>
  <c r="G627" i="1" a="1"/>
  <c r="G627" i="1"/>
  <c r="K625" i="1" a="1"/>
  <c r="K625" i="1"/>
  <c r="N625" i="1" a="1"/>
  <c r="N625" i="1" s="1"/>
  <c r="F628" i="1" a="1"/>
  <c r="F628" i="1"/>
  <c r="Q630" i="1" a="1"/>
  <c r="Q630" i="1" s="1"/>
  <c r="O630" i="1" a="1"/>
  <c r="O630" i="1" s="1"/>
  <c r="H630" i="1" a="1"/>
  <c r="H630" i="1" s="1"/>
  <c r="O625" i="1" a="1"/>
  <c r="O625" i="1"/>
  <c r="F630" i="1" a="1"/>
  <c r="F630" i="1"/>
  <c r="P629" i="1" a="1"/>
  <c r="P629" i="1"/>
  <c r="L629" i="1" a="1"/>
  <c r="L629" i="1"/>
  <c r="K628" i="1" a="1"/>
  <c r="K628" i="1" s="1"/>
  <c r="J627" i="1" a="1"/>
  <c r="J627" i="1"/>
  <c r="J629" i="1" a="1"/>
  <c r="J629" i="1"/>
  <c r="P628" i="1" a="1"/>
  <c r="P628" i="1"/>
  <c r="H628" i="1" a="1"/>
  <c r="H628" i="1"/>
  <c r="K627" i="1" a="1"/>
  <c r="K627" i="1"/>
  <c r="F629" i="1" a="1"/>
  <c r="F629" i="1"/>
  <c r="J628" i="1" a="1"/>
  <c r="J628" i="1" s="1"/>
  <c r="F627" i="1" a="1"/>
  <c r="F627" i="1" s="1"/>
  <c r="G628" i="1" a="1"/>
  <c r="G628" i="1" s="1"/>
  <c r="L627" i="1" a="1"/>
  <c r="L627" i="1"/>
  <c r="N627" i="1" a="1"/>
  <c r="N627" i="1"/>
  <c r="K630" i="1" a="1"/>
  <c r="K630" i="1"/>
  <c r="I625" i="1" a="1"/>
  <c r="I625" i="1"/>
  <c r="O627" i="1" a="1"/>
  <c r="O627" i="1"/>
  <c r="P630" i="1" a="1"/>
  <c r="P630" i="1"/>
  <c r="N630" i="1" a="1"/>
  <c r="N630" i="1"/>
  <c r="I628" i="1" a="1"/>
  <c r="I628" i="1"/>
  <c r="M625" i="1" a="1"/>
  <c r="M625" i="1"/>
  <c r="Q627" i="1" a="1"/>
  <c r="Q627" i="1"/>
  <c r="M618" i="1" a="1"/>
  <c r="M618" i="1"/>
  <c r="I620" i="1" a="1"/>
  <c r="I620" i="1" s="1"/>
  <c r="I623" i="1" a="1"/>
  <c r="I623" i="1" s="1"/>
  <c r="K620" i="1" a="1"/>
  <c r="K620" i="1" s="1"/>
  <c r="O622" i="1" a="1"/>
  <c r="O622" i="1"/>
  <c r="H620" i="1" a="1"/>
  <c r="H620" i="1"/>
  <c r="J619" i="1" a="1"/>
  <c r="J619" i="1"/>
  <c r="L622" i="1" a="1"/>
  <c r="L622" i="1"/>
  <c r="F619" i="1" a="1"/>
  <c r="F619" i="1"/>
  <c r="H625" i="1" a="1"/>
  <c r="H625" i="1"/>
  <c r="G625" i="1" a="1"/>
  <c r="G625" i="1"/>
  <c r="J620" i="1" a="1"/>
  <c r="J620" i="1"/>
  <c r="F625" i="1" a="1"/>
  <c r="F625" i="1"/>
  <c r="G620" i="1" a="1"/>
  <c r="G620" i="1" s="1"/>
  <c r="L620" i="1" a="1"/>
  <c r="L620" i="1"/>
  <c r="O619" i="1" a="1"/>
  <c r="O619" i="1" s="1"/>
  <c r="J622" i="1" a="1"/>
  <c r="J622" i="1" s="1"/>
  <c r="J623" i="1" a="1"/>
  <c r="J623" i="1" s="1"/>
  <c r="N622" i="1" a="1"/>
  <c r="N622" i="1"/>
  <c r="F623" i="1" a="1"/>
  <c r="F623" i="1"/>
  <c r="F620" i="1" a="1"/>
  <c r="F620" i="1"/>
  <c r="L619" i="1" a="1"/>
  <c r="L619" i="1" s="1"/>
  <c r="N618" i="1" a="1"/>
  <c r="N618" i="1"/>
  <c r="Q622" i="1" a="1"/>
  <c r="Q622" i="1"/>
  <c r="I619" i="1" a="1"/>
  <c r="I619" i="1"/>
  <c r="Q623" i="1" a="1"/>
  <c r="Q623" i="1"/>
  <c r="P618" i="1" a="1"/>
  <c r="P618" i="1"/>
  <c r="P623" i="1" a="1"/>
  <c r="P623" i="1" s="1"/>
  <c r="O623" i="1" a="1"/>
  <c r="O623" i="1"/>
  <c r="N623" i="1" a="1"/>
  <c r="N623" i="1" s="1"/>
  <c r="M623" i="1" a="1"/>
  <c r="M623" i="1" s="1"/>
  <c r="L623" i="1" a="1"/>
  <c r="L623" i="1" s="1"/>
  <c r="N619" i="1" a="1"/>
  <c r="N619" i="1"/>
  <c r="Q620" i="1" a="1"/>
  <c r="Q620" i="1"/>
  <c r="M622" i="1" a="1"/>
  <c r="M622" i="1"/>
  <c r="K622" i="1" a="1"/>
  <c r="K622" i="1" s="1"/>
  <c r="M620" i="1" a="1"/>
  <c r="M620" i="1"/>
  <c r="H619" i="1" a="1"/>
  <c r="H619" i="1"/>
  <c r="O618" i="1" a="1"/>
  <c r="O618" i="1"/>
  <c r="H622" i="1" a="1"/>
  <c r="H622" i="1"/>
  <c r="H623" i="1" a="1"/>
  <c r="H623" i="1"/>
  <c r="K623" i="1" a="1"/>
  <c r="K623" i="1"/>
  <c r="G623" i="1" a="1"/>
  <c r="G623" i="1" s="1"/>
  <c r="P622" i="1" a="1"/>
  <c r="P622" i="1" s="1"/>
  <c r="I622" i="1" a="1"/>
  <c r="I622" i="1" s="1"/>
  <c r="G622" i="1" a="1"/>
  <c r="G622" i="1" s="1"/>
  <c r="O620" i="1" a="1"/>
  <c r="O620" i="1"/>
  <c r="Q619" i="1" a="1"/>
  <c r="Q619" i="1"/>
  <c r="M619" i="1" a="1"/>
  <c r="M619" i="1"/>
  <c r="G619" i="1" a="1"/>
  <c r="G619" i="1"/>
  <c r="Q618" i="1" a="1"/>
  <c r="Q618" i="1"/>
  <c r="F622" i="1" a="1"/>
  <c r="F622" i="1"/>
  <c r="P620" i="1" a="1"/>
  <c r="P620" i="1"/>
  <c r="N620" i="1" a="1"/>
  <c r="N620" i="1"/>
  <c r="P619" i="1" a="1"/>
  <c r="P619" i="1"/>
  <c r="K619" i="1" a="1"/>
  <c r="K619" i="1"/>
  <c r="J617" i="1" a="1"/>
  <c r="J617" i="1"/>
  <c r="N609" i="1" a="1"/>
  <c r="N609" i="1" s="1"/>
  <c r="Q607" i="1" a="1"/>
  <c r="Q607" i="1" s="1"/>
  <c r="H609" i="1" a="1"/>
  <c r="H609" i="1" s="1"/>
  <c r="N610" i="1" a="1"/>
  <c r="N610" i="1"/>
  <c r="H610" i="1" a="1"/>
  <c r="H610" i="1"/>
  <c r="J609" i="1" a="1"/>
  <c r="J609" i="1"/>
  <c r="Q610" i="1" a="1"/>
  <c r="Q610" i="1"/>
  <c r="M609" i="1" a="1"/>
  <c r="M609" i="1"/>
  <c r="L618" i="1" a="1"/>
  <c r="L618" i="1"/>
  <c r="K618" i="1" a="1"/>
  <c r="K618" i="1"/>
  <c r="J618" i="1" a="1"/>
  <c r="J618" i="1"/>
  <c r="I618" i="1" a="1"/>
  <c r="I618" i="1"/>
  <c r="P609" i="1" a="1"/>
  <c r="P609" i="1"/>
  <c r="H618" i="1" a="1"/>
  <c r="H618" i="1"/>
  <c r="K610" i="1" a="1"/>
  <c r="K610" i="1" s="1"/>
  <c r="M610" i="1" a="1"/>
  <c r="M610" i="1" s="1"/>
  <c r="M617" i="1" a="1"/>
  <c r="M617" i="1" s="1"/>
  <c r="F618" i="1" a="1"/>
  <c r="F618" i="1"/>
  <c r="G618" i="1" a="1"/>
  <c r="G618" i="1"/>
  <c r="L609" i="1" a="1"/>
  <c r="L609" i="1"/>
  <c r="O610" i="1" a="1"/>
  <c r="O610" i="1"/>
  <c r="J610" i="1" a="1"/>
  <c r="J610" i="1"/>
  <c r="P610" i="1" a="1"/>
  <c r="P610" i="1"/>
  <c r="G609" i="1" a="1"/>
  <c r="G609" i="1"/>
  <c r="G610" i="1" a="1"/>
  <c r="G610" i="1"/>
  <c r="P617" i="1" a="1"/>
  <c r="P617" i="1"/>
  <c r="O617" i="1" a="1"/>
  <c r="O617" i="1" s="1"/>
  <c r="I617" i="1" a="1"/>
  <c r="I617" i="1"/>
  <c r="H617" i="1" a="1"/>
  <c r="H617" i="1" s="1"/>
  <c r="G617" i="1" a="1"/>
  <c r="G617" i="1" s="1"/>
  <c r="F617" i="1" a="1"/>
  <c r="F617" i="1" s="1"/>
  <c r="I610" i="1" a="1"/>
  <c r="I610" i="1"/>
  <c r="L610" i="1" a="1"/>
  <c r="L610" i="1"/>
  <c r="F609" i="1" a="1"/>
  <c r="F609" i="1" s="1"/>
  <c r="Q609" i="1" a="1"/>
  <c r="Q609" i="1" s="1"/>
  <c r="K609" i="1" a="1"/>
  <c r="K609" i="1" s="1"/>
  <c r="I609" i="1" a="1"/>
  <c r="I609" i="1"/>
  <c r="O609" i="1" a="1"/>
  <c r="O609" i="1"/>
  <c r="F610" i="1" a="1"/>
  <c r="F610" i="1"/>
  <c r="Q617" i="1" a="1"/>
  <c r="Q617" i="1"/>
  <c r="N617" i="1" a="1"/>
  <c r="N617" i="1" s="1"/>
  <c r="L617" i="1" a="1"/>
  <c r="L617" i="1"/>
  <c r="K617" i="1" a="1"/>
  <c r="K617" i="1" s="1"/>
  <c r="H607" i="1" a="1"/>
  <c r="H607" i="1" s="1"/>
  <c r="M606" i="1" a="1"/>
  <c r="M606" i="1" s="1"/>
  <c r="M603" i="1" a="1"/>
  <c r="M603" i="1"/>
  <c r="P602" i="1" a="1"/>
  <c r="P602" i="1"/>
  <c r="G603" i="1" a="1"/>
  <c r="G603" i="1"/>
  <c r="H602" i="1" a="1"/>
  <c r="H602" i="1"/>
  <c r="L602" i="1" a="1"/>
  <c r="L602" i="1" s="1"/>
  <c r="K603" i="1" a="1"/>
  <c r="K603" i="1"/>
  <c r="Q606" i="1" a="1"/>
  <c r="Q606" i="1"/>
  <c r="N606" i="1" a="1"/>
  <c r="N606" i="1"/>
  <c r="P606" i="1" a="1"/>
  <c r="P606" i="1"/>
  <c r="N603" i="1" a="1"/>
  <c r="N603" i="1"/>
  <c r="J606" i="1" a="1"/>
  <c r="J606" i="1"/>
  <c r="F603" i="1" a="1"/>
  <c r="F603" i="1" s="1"/>
  <c r="Q602" i="1" a="1"/>
  <c r="Q602" i="1" s="1"/>
  <c r="P603" i="1" a="1"/>
  <c r="P603" i="1" s="1"/>
  <c r="P607" i="1" a="1"/>
  <c r="P607" i="1"/>
  <c r="G607" i="1" a="1"/>
  <c r="G607" i="1"/>
  <c r="F602" i="1" a="1"/>
  <c r="F602" i="1"/>
  <c r="L606" i="1" a="1"/>
  <c r="L606" i="1"/>
  <c r="H603" i="1" a="1"/>
  <c r="H603" i="1"/>
  <c r="O603" i="1" a="1"/>
  <c r="O603" i="1"/>
  <c r="G602" i="1" a="1"/>
  <c r="G602" i="1"/>
  <c r="F607" i="1" a="1"/>
  <c r="F607" i="1"/>
  <c r="O606" i="1" a="1"/>
  <c r="O606" i="1"/>
  <c r="K606" i="1" a="1"/>
  <c r="K606" i="1"/>
  <c r="I606" i="1" a="1"/>
  <c r="I606" i="1"/>
  <c r="F606" i="1" a="1"/>
  <c r="F606" i="1" s="1"/>
  <c r="N602" i="1" a="1"/>
  <c r="N602" i="1" s="1"/>
  <c r="M602" i="1" a="1"/>
  <c r="M602" i="1" s="1"/>
  <c r="L607" i="1" a="1"/>
  <c r="L607" i="1"/>
  <c r="N607" i="1" a="1"/>
  <c r="N607" i="1"/>
  <c r="J602" i="1" a="1"/>
  <c r="J602" i="1"/>
  <c r="M607" i="1" a="1"/>
  <c r="M607" i="1"/>
  <c r="K602" i="1" a="1"/>
  <c r="K602" i="1"/>
  <c r="K607" i="1" a="1"/>
  <c r="K607" i="1"/>
  <c r="O602" i="1" a="1"/>
  <c r="O602" i="1"/>
  <c r="Q603" i="1" a="1"/>
  <c r="Q603" i="1"/>
  <c r="G606" i="1" a="1"/>
  <c r="G606" i="1"/>
  <c r="I603" i="1" a="1"/>
  <c r="I603" i="1"/>
  <c r="I602" i="1" a="1"/>
  <c r="I602" i="1"/>
  <c r="H606" i="1" a="1"/>
  <c r="H606" i="1" s="1"/>
  <c r="L603" i="1" a="1"/>
  <c r="L603" i="1" s="1"/>
  <c r="J603" i="1" a="1"/>
  <c r="J603" i="1" s="1"/>
  <c r="O607" i="1" a="1"/>
  <c r="O607" i="1"/>
  <c r="J607" i="1" a="1"/>
  <c r="J607" i="1"/>
  <c r="I607" i="1" a="1"/>
  <c r="I607" i="1"/>
  <c r="F596" i="1" a="1"/>
  <c r="F596" i="1"/>
  <c r="P595" i="1" a="1"/>
  <c r="P595" i="1"/>
  <c r="M592" i="1" a="1"/>
  <c r="M592" i="1"/>
  <c r="H595" i="1" a="1"/>
  <c r="H595" i="1"/>
  <c r="F595" i="1" a="1"/>
  <c r="F595" i="1"/>
  <c r="J596" i="1" a="1"/>
  <c r="J596" i="1"/>
  <c r="O595" i="1" a="1"/>
  <c r="O595" i="1" s="1"/>
  <c r="G596" i="1" a="1"/>
  <c r="G596" i="1" s="1"/>
  <c r="N589" i="1" a="1"/>
  <c r="N589" i="1" s="1"/>
  <c r="F592" i="1" a="1"/>
  <c r="F592" i="1" s="1"/>
  <c r="H592" i="1" a="1"/>
  <c r="H592" i="1" s="1"/>
  <c r="P593" i="1" a="1"/>
  <c r="P593" i="1"/>
  <c r="K589" i="1" a="1"/>
  <c r="K589" i="1"/>
  <c r="G592" i="1" a="1"/>
  <c r="G592" i="1"/>
  <c r="K593" i="1" a="1"/>
  <c r="K593" i="1"/>
  <c r="F593" i="1" a="1"/>
  <c r="F593" i="1" s="1"/>
  <c r="G593" i="1" a="1"/>
  <c r="G593" i="1"/>
  <c r="I592" i="1" a="1"/>
  <c r="I592" i="1"/>
  <c r="Q592" i="1" a="1"/>
  <c r="Q592" i="1"/>
  <c r="M595" i="1" a="1"/>
  <c r="M595" i="1"/>
  <c r="L595" i="1" a="1"/>
  <c r="L595" i="1"/>
  <c r="N593" i="1" a="1"/>
  <c r="N593" i="1" s="1"/>
  <c r="L593" i="1" a="1"/>
  <c r="L593" i="1" s="1"/>
  <c r="M593" i="1" a="1"/>
  <c r="M593" i="1" s="1"/>
  <c r="J593" i="1" a="1"/>
  <c r="J593" i="1" s="1"/>
  <c r="I593" i="1" a="1"/>
  <c r="I593" i="1"/>
  <c r="K592" i="1" a="1"/>
  <c r="K592" i="1"/>
  <c r="P596" i="1" a="1"/>
  <c r="P596" i="1"/>
  <c r="N595" i="1" a="1"/>
  <c r="N595" i="1"/>
  <c r="N596" i="1" a="1"/>
  <c r="N596" i="1" s="1"/>
  <c r="M589" i="1" a="1"/>
  <c r="M589" i="1"/>
  <c r="Q595" i="1" a="1"/>
  <c r="Q595" i="1"/>
  <c r="H596" i="1" a="1"/>
  <c r="H596" i="1"/>
  <c r="K595" i="1" a="1"/>
  <c r="K595" i="1"/>
  <c r="J595" i="1" a="1"/>
  <c r="J595" i="1"/>
  <c r="Q589" i="1" a="1"/>
  <c r="Q589" i="1"/>
  <c r="Q593" i="1" a="1"/>
  <c r="Q593" i="1" s="1"/>
  <c r="P592" i="1" a="1"/>
  <c r="P592" i="1" s="1"/>
  <c r="O589" i="1" a="1"/>
  <c r="O589" i="1" s="1"/>
  <c r="P589" i="1" a="1"/>
  <c r="P589" i="1"/>
  <c r="J592" i="1" a="1"/>
  <c r="J592" i="1"/>
  <c r="O593" i="1" a="1"/>
  <c r="O593" i="1"/>
  <c r="I595" i="1" a="1"/>
  <c r="I595" i="1"/>
  <c r="O592" i="1" a="1"/>
  <c r="O592" i="1"/>
  <c r="H593" i="1" a="1"/>
  <c r="H593" i="1"/>
  <c r="L589" i="1" a="1"/>
  <c r="L589" i="1"/>
  <c r="Q596" i="1" a="1"/>
  <c r="Q596" i="1"/>
  <c r="I596" i="1" a="1"/>
  <c r="I596" i="1"/>
  <c r="G595" i="1" a="1"/>
  <c r="G595" i="1"/>
  <c r="L592" i="1" a="1"/>
  <c r="L592" i="1"/>
  <c r="O596" i="1" a="1"/>
  <c r="O596" i="1" s="1"/>
  <c r="N592" i="1" a="1"/>
  <c r="N592" i="1" s="1"/>
  <c r="M596" i="1" a="1"/>
  <c r="M596" i="1" s="1"/>
  <c r="K596" i="1" a="1"/>
  <c r="K596" i="1"/>
  <c r="L596" i="1" a="1"/>
  <c r="L596" i="1"/>
  <c r="G588" i="1" a="1"/>
  <c r="G588" i="1" s="1"/>
  <c r="Q588" i="1" a="1"/>
  <c r="Q588" i="1"/>
  <c r="J588" i="1" a="1"/>
  <c r="J588" i="1"/>
  <c r="J589" i="1" a="1"/>
  <c r="J589" i="1"/>
  <c r="I589" i="1" a="1"/>
  <c r="I589" i="1"/>
  <c r="H589" i="1" a="1"/>
  <c r="H589" i="1"/>
  <c r="G589" i="1" a="1"/>
  <c r="G589" i="1"/>
  <c r="F589" i="1" a="1"/>
  <c r="F589" i="1"/>
  <c r="P588" i="1" a="1"/>
  <c r="P588" i="1"/>
  <c r="O588" i="1" a="1"/>
  <c r="O588" i="1" s="1"/>
  <c r="I588" i="1" a="1"/>
  <c r="I588" i="1" s="1"/>
  <c r="N588" i="1" a="1"/>
  <c r="N588" i="1" s="1"/>
  <c r="M588" i="1" a="1"/>
  <c r="M588" i="1"/>
  <c r="L588" i="1" a="1"/>
  <c r="L588" i="1"/>
  <c r="K588" i="1" a="1"/>
  <c r="K588" i="1" s="1"/>
  <c r="H588" i="1" a="1"/>
  <c r="H588" i="1"/>
  <c r="M585" i="1" a="1"/>
  <c r="M585" i="1"/>
  <c r="G585" i="1" a="1"/>
  <c r="G585" i="1"/>
  <c r="L585" i="1" a="1"/>
  <c r="L585" i="1"/>
  <c r="O584" i="1" a="1"/>
  <c r="O584" i="1"/>
  <c r="M584" i="1" a="1"/>
  <c r="M584" i="1"/>
  <c r="G584" i="1" a="1"/>
  <c r="G584" i="1"/>
  <c r="Q585" i="1" a="1"/>
  <c r="Q585" i="1" s="1"/>
  <c r="K584" i="1" a="1"/>
  <c r="K584" i="1" s="1"/>
  <c r="F588" i="1" a="1"/>
  <c r="F588" i="1" s="1"/>
  <c r="P585" i="1" a="1"/>
  <c r="P585" i="1" s="1"/>
  <c r="F585" i="1" a="1"/>
  <c r="F585" i="1"/>
  <c r="Q584" i="1" a="1"/>
  <c r="Q584" i="1"/>
  <c r="F584" i="1" a="1"/>
  <c r="F584" i="1"/>
  <c r="L584" i="1" a="1"/>
  <c r="L584" i="1" s="1"/>
  <c r="I584" i="1" a="1"/>
  <c r="I584" i="1" s="1"/>
  <c r="P584" i="1" a="1"/>
  <c r="P584" i="1"/>
  <c r="O585" i="1" a="1"/>
  <c r="O585" i="1"/>
  <c r="H584" i="1" a="1"/>
  <c r="H584" i="1"/>
  <c r="N585" i="1" a="1"/>
  <c r="N585" i="1"/>
  <c r="H585" i="1" a="1"/>
  <c r="H585" i="1"/>
  <c r="N584" i="1" a="1"/>
  <c r="N584" i="1" s="1"/>
  <c r="J584" i="1" a="1"/>
  <c r="J584" i="1" s="1"/>
  <c r="I585" i="1" a="1"/>
  <c r="I585" i="1" s="1"/>
  <c r="J585" i="1" a="1"/>
  <c r="J585" i="1" s="1"/>
  <c r="K585" i="1" a="1"/>
  <c r="K585" i="1"/>
  <c r="Q19" i="1"/>
  <c r="Q18" i="1" s="1"/>
  <c r="P19" i="1"/>
  <c r="P18" i="1" s="1"/>
  <c r="O19" i="1"/>
  <c r="O18" i="1" s="1"/>
  <c r="N19" i="1"/>
  <c r="N18" i="1" s="1"/>
  <c r="M19" i="1"/>
  <c r="M18" i="1" s="1"/>
  <c r="L19" i="1"/>
  <c r="K19" i="1"/>
  <c r="J19" i="1"/>
  <c r="I19" i="1"/>
  <c r="H19" i="1"/>
  <c r="G19" i="1"/>
  <c r="F19" i="1"/>
  <c r="L18" i="1"/>
  <c r="K18" i="1"/>
  <c r="J18" i="1"/>
  <c r="I18" i="1"/>
  <c r="H18" i="1"/>
  <c r="G18" i="1"/>
  <c r="F18" i="1"/>
  <c r="O52" i="1" a="1"/>
  <c r="O52" i="1" s="1"/>
  <c r="N52" i="1" a="1"/>
  <c r="N52" i="1" s="1"/>
  <c r="M52" i="1" a="1"/>
  <c r="M52" i="1" s="1"/>
  <c r="G52" i="1" a="1"/>
  <c r="G52" i="1"/>
  <c r="L52" i="1" a="1"/>
  <c r="L52" i="1"/>
  <c r="K52" i="1" a="1"/>
  <c r="K52" i="1"/>
  <c r="J52" i="1" a="1"/>
  <c r="J52" i="1"/>
  <c r="I52" i="1" a="1"/>
  <c r="I52" i="1"/>
  <c r="H52" i="1" a="1"/>
  <c r="H52" i="1"/>
  <c r="F52" i="1" a="1"/>
  <c r="F52" i="1"/>
  <c r="Q52" i="1" a="1"/>
  <c r="Q52" i="1" s="1"/>
  <c r="P52" i="1" a="1"/>
  <c r="P52" i="1" s="1"/>
  <c r="F53" i="1" a="1"/>
  <c r="F53" i="1" s="1"/>
  <c r="H13" i="1" a="1"/>
  <c r="H13" i="1" s="1"/>
  <c r="L15" i="1" a="1"/>
  <c r="L15" i="1" s="1"/>
  <c r="Q15" i="1" a="1"/>
  <c r="Q15" i="1" s="1"/>
  <c r="I15" i="1" a="1"/>
  <c r="I15" i="1" s="1"/>
  <c r="G15" i="1" a="1"/>
  <c r="G15" i="1"/>
  <c r="P14" i="1" a="1"/>
  <c r="P14" i="1"/>
  <c r="F13" i="1" a="1"/>
  <c r="F13" i="1" s="1"/>
  <c r="M13" i="1" a="1"/>
  <c r="M13" i="1"/>
  <c r="K14" i="1" a="1"/>
  <c r="K14" i="1"/>
  <c r="L14" i="1" a="1"/>
  <c r="L14" i="1"/>
  <c r="M15" i="1" a="1"/>
  <c r="M15" i="1"/>
  <c r="K15" i="1" a="1"/>
  <c r="K15" i="1" s="1"/>
  <c r="H15" i="1" a="1"/>
  <c r="H15" i="1" s="1"/>
  <c r="O14" i="1" a="1"/>
  <c r="O14" i="1" s="1"/>
  <c r="I13" i="1" a="1"/>
  <c r="I13" i="1"/>
  <c r="F14" i="1" a="1"/>
  <c r="F14" i="1" s="1"/>
  <c r="H14" i="1" a="1"/>
  <c r="H14" i="1" s="1"/>
  <c r="O15" i="1" a="1"/>
  <c r="O15" i="1" s="1"/>
  <c r="J15" i="1" a="1"/>
  <c r="J15" i="1"/>
  <c r="J14" i="1" a="1"/>
  <c r="J14" i="1"/>
  <c r="Q14" i="1" a="1"/>
  <c r="Q14" i="1" s="1"/>
  <c r="I14" i="1" a="1"/>
  <c r="I14" i="1"/>
  <c r="G13" i="1" a="1"/>
  <c r="G13" i="1"/>
  <c r="P15" i="1" a="1"/>
  <c r="P15" i="1"/>
  <c r="Q13" i="1" a="1"/>
  <c r="Q13" i="1"/>
  <c r="G14" i="1" a="1"/>
  <c r="G14" i="1"/>
  <c r="L13" i="1" a="1"/>
  <c r="L13" i="1" s="1"/>
  <c r="N14" i="1" a="1"/>
  <c r="N14" i="1" s="1"/>
  <c r="M14" i="1" a="1"/>
  <c r="M14" i="1" s="1"/>
  <c r="F15" i="1" a="1"/>
  <c r="F15" i="1" s="1"/>
  <c r="K13" i="1" a="1"/>
  <c r="K13" i="1" s="1"/>
  <c r="J13" i="1" a="1"/>
  <c r="J13" i="1" s="1"/>
  <c r="N15" i="1" a="1"/>
  <c r="N15" i="1"/>
  <c r="P13" i="1" a="1"/>
  <c r="P13" i="1"/>
  <c r="O13" i="1" a="1"/>
  <c r="O13" i="1" s="1"/>
  <c r="N13" i="1" a="1"/>
  <c r="N13" i="1"/>
  <c r="H284" i="1" a="1"/>
  <c r="H284" i="1"/>
  <c r="G284" i="1" a="1"/>
  <c r="G284" i="1"/>
  <c r="N275" i="1" a="1"/>
  <c r="N275" i="1"/>
  <c r="P275" i="1" a="1"/>
  <c r="P275" i="1"/>
  <c r="P364" i="1" s="1"/>
  <c r="M275" i="1" a="1"/>
  <c r="M275" i="1" s="1"/>
  <c r="I275" i="1" a="1"/>
  <c r="I275" i="1"/>
  <c r="I274" i="1" s="1"/>
  <c r="H275" i="1" a="1"/>
  <c r="H275" i="1"/>
  <c r="J275" i="1" a="1"/>
  <c r="J275" i="1" s="1"/>
  <c r="J274" i="1" s="1"/>
  <c r="J363" i="1" s="1"/>
  <c r="J504" i="1" s="1"/>
  <c r="F275" i="1" a="1"/>
  <c r="F275" i="1" s="1"/>
  <c r="Q275" i="1" a="1"/>
  <c r="Q275" i="1" s="1"/>
  <c r="Q364" i="1" s="1"/>
  <c r="O275" i="1" a="1"/>
  <c r="O275" i="1"/>
  <c r="L275" i="1" a="1"/>
  <c r="L275" i="1"/>
  <c r="L274" i="1" s="1"/>
  <c r="Q284" i="1" a="1"/>
  <c r="Q284" i="1" s="1"/>
  <c r="Q283" i="1" s="1"/>
  <c r="Q382" i="1" s="1"/>
  <c r="Q513" i="1" s="1"/>
  <c r="K275" i="1" a="1"/>
  <c r="K275" i="1"/>
  <c r="P284" i="1" a="1"/>
  <c r="P284" i="1"/>
  <c r="P283" i="1" s="1"/>
  <c r="O284" i="1" a="1"/>
  <c r="O284" i="1"/>
  <c r="O283" i="1" s="1"/>
  <c r="G275" i="1" a="1"/>
  <c r="G275" i="1"/>
  <c r="N284" i="1" a="1"/>
  <c r="N284" i="1"/>
  <c r="N283" i="1" s="1"/>
  <c r="N382" i="1" s="1"/>
  <c r="N513" i="1" s="1"/>
  <c r="M284" i="1" a="1"/>
  <c r="M284" i="1"/>
  <c r="M283" i="1" s="1"/>
  <c r="M382" i="1" s="1"/>
  <c r="L284" i="1" a="1"/>
  <c r="L284" i="1" s="1"/>
  <c r="L283" i="1" s="1"/>
  <c r="L382" i="1" s="1"/>
  <c r="L513" i="1" s="1"/>
  <c r="K284" i="1" a="1"/>
  <c r="K284" i="1"/>
  <c r="K283" i="1" s="1"/>
  <c r="K382" i="1" s="1"/>
  <c r="J284" i="1" a="1"/>
  <c r="J284" i="1" s="1"/>
  <c r="J283" i="1" s="1"/>
  <c r="J382" i="1" s="1"/>
  <c r="J513" i="1" s="1"/>
  <c r="I284" i="1" a="1"/>
  <c r="I284" i="1" s="1"/>
  <c r="I283" i="1" s="1"/>
  <c r="I382" i="1" s="1"/>
  <c r="F284" i="1" a="1"/>
  <c r="F284" i="1" s="1"/>
  <c r="F283" i="1" s="1"/>
  <c r="Q242" i="1" a="1"/>
  <c r="Q242" i="1"/>
  <c r="Q241" i="1" s="1"/>
  <c r="P242" i="1" a="1"/>
  <c r="P242" i="1"/>
  <c r="P241" i="1" s="1"/>
  <c r="H242" i="1" a="1"/>
  <c r="H242" i="1"/>
  <c r="H317" i="1" s="1"/>
  <c r="H472" i="1" s="1"/>
  <c r="G242" i="1" a="1"/>
  <c r="G242" i="1"/>
  <c r="O242" i="1" a="1"/>
  <c r="O242" i="1"/>
  <c r="J242" i="1" a="1"/>
  <c r="J242" i="1"/>
  <c r="N242" i="1" a="1"/>
  <c r="N242" i="1"/>
  <c r="K242" i="1" a="1"/>
  <c r="K242" i="1" s="1"/>
  <c r="I242" i="1" a="1"/>
  <c r="I242" i="1" s="1"/>
  <c r="F242" i="1" a="1"/>
  <c r="F242" i="1" s="1"/>
  <c r="F241" i="1" s="1"/>
  <c r="F316" i="1" s="1"/>
  <c r="F471" i="1" s="1"/>
  <c r="M242" i="1" a="1"/>
  <c r="M242" i="1" s="1"/>
  <c r="M241" i="1" s="1"/>
  <c r="L242" i="1" a="1"/>
  <c r="L242" i="1" s="1"/>
  <c r="L241" i="1" s="1"/>
  <c r="I199" i="1" a="1"/>
  <c r="I199" i="1" s="1"/>
  <c r="I198" i="1" s="1"/>
  <c r="H199" i="1" a="1"/>
  <c r="H199" i="1" s="1"/>
  <c r="H198" i="1" s="1"/>
  <c r="J199" i="1" a="1"/>
  <c r="J199" i="1"/>
  <c r="J198" i="1" s="1"/>
  <c r="O199" i="1" a="1"/>
  <c r="O199" i="1"/>
  <c r="O362" i="1" s="1"/>
  <c r="O429" i="1" s="1"/>
  <c r="G199" i="1" a="1"/>
  <c r="G199" i="1" s="1"/>
  <c r="F199" i="1" a="1"/>
  <c r="F199" i="1"/>
  <c r="F198" i="1" s="1"/>
  <c r="N199" i="1" a="1"/>
  <c r="N199" i="1"/>
  <c r="Q199" i="1" a="1"/>
  <c r="Q199" i="1"/>
  <c r="Q198" i="1" s="1"/>
  <c r="P199" i="1" a="1"/>
  <c r="P199" i="1"/>
  <c r="P198" i="1" s="1"/>
  <c r="M199" i="1" a="1"/>
  <c r="M199" i="1" s="1"/>
  <c r="L199" i="1" a="1"/>
  <c r="L199" i="1" s="1"/>
  <c r="K199" i="1" a="1"/>
  <c r="K199" i="1"/>
  <c r="K198" i="1" s="1"/>
  <c r="G139" i="1" a="1"/>
  <c r="G139" i="1"/>
  <c r="N138" i="1" a="1"/>
  <c r="N138" i="1" s="1"/>
  <c r="O138" i="1" a="1"/>
  <c r="O138" i="1"/>
  <c r="Q139" i="1" a="1"/>
  <c r="Q139" i="1"/>
  <c r="G140" i="1" a="1"/>
  <c r="G140" i="1"/>
  <c r="M139" i="1" a="1"/>
  <c r="M139" i="1"/>
  <c r="H139" i="1" a="1"/>
  <c r="H139" i="1"/>
  <c r="N139" i="1" a="1"/>
  <c r="N139" i="1"/>
  <c r="K141" i="1" a="1"/>
  <c r="K141" i="1"/>
  <c r="M140" i="1" a="1"/>
  <c r="M140" i="1"/>
  <c r="K138" i="1" a="1"/>
  <c r="K138" i="1"/>
  <c r="F140" i="1" a="1"/>
  <c r="F140" i="1" s="1"/>
  <c r="P141" i="1" a="1"/>
  <c r="P141" i="1" s="1"/>
  <c r="L139" i="1" a="1"/>
  <c r="L139" i="1"/>
  <c r="K139" i="1" a="1"/>
  <c r="K139" i="1"/>
  <c r="J139" i="1" a="1"/>
  <c r="J139" i="1"/>
  <c r="J138" i="1" a="1"/>
  <c r="J138" i="1"/>
  <c r="N141" i="1" a="1"/>
  <c r="N141" i="1" s="1"/>
  <c r="L141" i="1" a="1"/>
  <c r="L141" i="1"/>
  <c r="N140" i="1" a="1"/>
  <c r="N140" i="1"/>
  <c r="F139" i="1" a="1"/>
  <c r="F139" i="1"/>
  <c r="L138" i="1" a="1"/>
  <c r="L138" i="1"/>
  <c r="O141" i="1" a="1"/>
  <c r="O141" i="1"/>
  <c r="M141" i="1" a="1"/>
  <c r="M141" i="1"/>
  <c r="I139" i="1" a="1"/>
  <c r="I139" i="1"/>
  <c r="F141" i="1" a="1"/>
  <c r="F141" i="1" s="1"/>
  <c r="Q141" i="1" a="1"/>
  <c r="Q141" i="1" s="1"/>
  <c r="P140" i="1" a="1"/>
  <c r="P140" i="1"/>
  <c r="J140" i="1" a="1"/>
  <c r="J140" i="1" s="1"/>
  <c r="H138" i="1" a="1"/>
  <c r="H138" i="1"/>
  <c r="F138" i="1" a="1"/>
  <c r="F138" i="1"/>
  <c r="J62" i="1" a="1"/>
  <c r="J62" i="1"/>
  <c r="H62" i="1" a="1"/>
  <c r="H62" i="1"/>
  <c r="N61" i="1" a="1"/>
  <c r="N61" i="1"/>
  <c r="H59" i="1" a="1"/>
  <c r="H59" i="1"/>
  <c r="I61" i="1" a="1"/>
  <c r="I61" i="1"/>
  <c r="P59" i="1" a="1"/>
  <c r="P59" i="1" s="1"/>
  <c r="H60" i="1" a="1"/>
  <c r="H60" i="1" s="1"/>
  <c r="Q62" i="1" a="1"/>
  <c r="Q62" i="1"/>
  <c r="M60" i="1" a="1"/>
  <c r="M60" i="1"/>
  <c r="F62" i="1" a="1"/>
  <c r="F62" i="1" s="1"/>
  <c r="Q60" i="1" a="1"/>
  <c r="Q60" i="1" s="1"/>
  <c r="O60" i="1" a="1"/>
  <c r="O60" i="1" s="1"/>
  <c r="F59" i="1" a="1"/>
  <c r="F59" i="1"/>
  <c r="P62" i="1" a="1"/>
  <c r="P62" i="1"/>
  <c r="O62" i="1" a="1"/>
  <c r="O62" i="1"/>
  <c r="Q59" i="1" a="1"/>
  <c r="Q59" i="1"/>
  <c r="L62" i="1" a="1"/>
  <c r="L62" i="1"/>
  <c r="I62" i="1" a="1"/>
  <c r="I62" i="1"/>
  <c r="P61" i="1" a="1"/>
  <c r="P61" i="1"/>
  <c r="K60" i="1" a="1"/>
  <c r="K60" i="1" s="1"/>
  <c r="K59" i="1" a="1"/>
  <c r="K59" i="1" s="1"/>
  <c r="M62" i="1" a="1"/>
  <c r="M62" i="1"/>
  <c r="Q61" i="1" a="1"/>
  <c r="Q61" i="1"/>
  <c r="G60" i="1" a="1"/>
  <c r="G60" i="1" s="1"/>
  <c r="P60" i="1" a="1"/>
  <c r="P60" i="1" s="1"/>
  <c r="L60" i="1" a="1"/>
  <c r="L60" i="1" s="1"/>
  <c r="F60" i="1" a="1"/>
  <c r="F60" i="1" s="1"/>
  <c r="N60" i="1" a="1"/>
  <c r="N60" i="1"/>
  <c r="J60" i="1" a="1"/>
  <c r="J60" i="1"/>
  <c r="M61" i="1" a="1"/>
  <c r="M61" i="1"/>
  <c r="G61" i="1" a="1"/>
  <c r="G61" i="1"/>
  <c r="N59" i="1" a="1"/>
  <c r="N59" i="1"/>
  <c r="L61" i="1" a="1"/>
  <c r="L61" i="1"/>
  <c r="H61" i="1" a="1"/>
  <c r="H61" i="1" s="1"/>
  <c r="O61" i="1" a="1"/>
  <c r="O61" i="1" s="1"/>
  <c r="F61" i="1" a="1"/>
  <c r="F61" i="1"/>
  <c r="I60" i="1" a="1"/>
  <c r="I60" i="1"/>
  <c r="M59" i="1" a="1"/>
  <c r="M59" i="1" s="1"/>
  <c r="K61" i="1" a="1"/>
  <c r="K61" i="1" s="1"/>
  <c r="O59" i="1" a="1"/>
  <c r="O59" i="1" s="1"/>
  <c r="K62" i="1" a="1"/>
  <c r="K62" i="1" s="1"/>
  <c r="J61" i="1" a="1"/>
  <c r="J61" i="1" s="1"/>
  <c r="I59" i="1" a="1"/>
  <c r="I59" i="1"/>
  <c r="J59" i="1" a="1"/>
  <c r="J59" i="1" s="1"/>
  <c r="G59" i="1" a="1"/>
  <c r="G59" i="1"/>
  <c r="G62" i="1" a="1"/>
  <c r="G62" i="1"/>
  <c r="N62" i="1" a="1"/>
  <c r="N62" i="1"/>
  <c r="L59" i="1" a="1"/>
  <c r="L59" i="1"/>
  <c r="K53" i="1" a="1"/>
  <c r="K53" i="1"/>
  <c r="M55" i="1" a="1"/>
  <c r="M55" i="1"/>
  <c r="H54" i="1" a="1"/>
  <c r="H54" i="1"/>
  <c r="F54" i="1" a="1"/>
  <c r="F54" i="1"/>
  <c r="H53" i="1" a="1"/>
  <c r="H53" i="1" s="1"/>
  <c r="L53" i="1" a="1"/>
  <c r="L53" i="1" s="1"/>
  <c r="O54" i="1" a="1"/>
  <c r="O54" i="1"/>
  <c r="I55" i="1" a="1"/>
  <c r="I55" i="1"/>
  <c r="N54" i="1" a="1"/>
  <c r="N54" i="1"/>
  <c r="M53" i="1" a="1"/>
  <c r="M53" i="1" s="1"/>
  <c r="K54" i="1" a="1"/>
  <c r="K54" i="1"/>
  <c r="I53" i="1" a="1"/>
  <c r="I53" i="1"/>
  <c r="P55" i="1" a="1"/>
  <c r="P55" i="1"/>
  <c r="I54" i="1" a="1"/>
  <c r="I54" i="1" s="1"/>
  <c r="J55" i="1" a="1"/>
  <c r="J55" i="1" s="1"/>
  <c r="H55" i="1" a="1"/>
  <c r="H55" i="1" s="1"/>
  <c r="N53" i="1" a="1"/>
  <c r="N53" i="1" s="1"/>
  <c r="Q53" i="1" a="1"/>
  <c r="Q53" i="1"/>
  <c r="P53" i="1" a="1"/>
  <c r="P53" i="1"/>
  <c r="G53" i="1" a="1"/>
  <c r="G53" i="1" s="1"/>
  <c r="Q54" i="1" a="1"/>
  <c r="Q54" i="1" s="1"/>
  <c r="K55" i="1" a="1"/>
  <c r="K55" i="1" s="1"/>
  <c r="G54" i="1" a="1"/>
  <c r="G54" i="1" s="1"/>
  <c r="L54" i="1" a="1"/>
  <c r="L54" i="1" s="1"/>
  <c r="J54" i="1" a="1"/>
  <c r="J54" i="1"/>
  <c r="L55" i="1" a="1"/>
  <c r="L55" i="1"/>
  <c r="O53" i="1" a="1"/>
  <c r="O53" i="1"/>
  <c r="G55" i="1" a="1"/>
  <c r="G55" i="1"/>
  <c r="F55" i="1" a="1"/>
  <c r="F55" i="1"/>
  <c r="Q55" i="1" a="1"/>
  <c r="Q55" i="1"/>
  <c r="N55" i="1" a="1"/>
  <c r="N55" i="1"/>
  <c r="M54" i="1" a="1"/>
  <c r="M54" i="1"/>
  <c r="P54" i="1" a="1"/>
  <c r="P54" i="1" s="1"/>
  <c r="J53" i="1" a="1"/>
  <c r="J53" i="1" s="1"/>
  <c r="O55" i="1" a="1"/>
  <c r="O55" i="1" s="1"/>
  <c r="M5" i="1" a="1"/>
  <c r="M5" i="1"/>
  <c r="Q5" i="1" a="1"/>
  <c r="Q5" i="1" s="1"/>
  <c r="P5" i="1" a="1"/>
  <c r="P5" i="1" s="1"/>
  <c r="I5" i="1" a="1"/>
  <c r="I5" i="1"/>
  <c r="L4" i="1" a="1"/>
  <c r="L4" i="1"/>
  <c r="O5" i="1" a="1"/>
  <c r="O5" i="1"/>
  <c r="N5" i="1" a="1"/>
  <c r="N5" i="1"/>
  <c r="L5" i="1" a="1"/>
  <c r="L5" i="1" s="1"/>
  <c r="P4" i="1" a="1"/>
  <c r="P4" i="1" s="1"/>
  <c r="K5" i="1" a="1"/>
  <c r="K5" i="1" s="1"/>
  <c r="M4" i="1" a="1"/>
  <c r="M4" i="1"/>
  <c r="O4" i="1" a="1"/>
  <c r="O4" i="1"/>
  <c r="J5" i="1" a="1"/>
  <c r="J5" i="1" s="1"/>
  <c r="H5" i="1" a="1"/>
  <c r="H5" i="1"/>
  <c r="G5" i="1" a="1"/>
  <c r="G5" i="1"/>
  <c r="F5" i="1" a="1"/>
  <c r="F5" i="1"/>
  <c r="Q4" i="1" a="1"/>
  <c r="Q4" i="1" s="1"/>
  <c r="N4" i="1" a="1"/>
  <c r="N4" i="1"/>
  <c r="K4" i="1" a="1"/>
  <c r="K4" i="1"/>
  <c r="J4" i="1" a="1"/>
  <c r="J4" i="1"/>
  <c r="I4" i="1" a="1"/>
  <c r="I4" i="1" s="1"/>
  <c r="H4" i="1" a="1"/>
  <c r="H4" i="1"/>
  <c r="G4" i="1" a="1"/>
  <c r="G4" i="1"/>
  <c r="F4" i="1" a="1"/>
  <c r="F4" i="1"/>
  <c r="P45" i="1" a="1"/>
  <c r="P45" i="1"/>
  <c r="G45" i="1" a="1"/>
  <c r="G45" i="1"/>
  <c r="K45" i="1" a="1"/>
  <c r="K45" i="1"/>
  <c r="Q44" i="1" a="1"/>
  <c r="Q44" i="1"/>
  <c r="Q45" i="1" a="1"/>
  <c r="Q45" i="1"/>
  <c r="Q50" i="1" a="1"/>
  <c r="Q50" i="1"/>
  <c r="P50" i="1" a="1"/>
  <c r="P50" i="1" s="1"/>
  <c r="H50" i="1" a="1"/>
  <c r="H50" i="1"/>
  <c r="O50" i="1" a="1"/>
  <c r="O50" i="1"/>
  <c r="N50" i="1" a="1"/>
  <c r="N50" i="1"/>
  <c r="M50" i="1" a="1"/>
  <c r="M50" i="1"/>
  <c r="L50" i="1" a="1"/>
  <c r="L50" i="1"/>
  <c r="I45" i="1" a="1"/>
  <c r="I45" i="1" s="1"/>
  <c r="K50" i="1" a="1"/>
  <c r="K50" i="1" s="1"/>
  <c r="J50" i="1" a="1"/>
  <c r="J50" i="1" s="1"/>
  <c r="L45" i="1" a="1"/>
  <c r="L45" i="1"/>
  <c r="G50" i="1" a="1"/>
  <c r="G50" i="1"/>
  <c r="O45" i="1" a="1"/>
  <c r="O45" i="1"/>
  <c r="P44" i="1" a="1"/>
  <c r="P44" i="1"/>
  <c r="M45" i="1" a="1"/>
  <c r="M45" i="1"/>
  <c r="H45" i="1" a="1"/>
  <c r="H45" i="1" s="1"/>
  <c r="J45" i="1" a="1"/>
  <c r="J45" i="1"/>
  <c r="F50" i="1" a="1"/>
  <c r="F50" i="1"/>
  <c r="I50" i="1" a="1"/>
  <c r="I50" i="1"/>
  <c r="F45" i="1" a="1"/>
  <c r="F45" i="1" s="1"/>
  <c r="N45" i="1" a="1"/>
  <c r="N45" i="1"/>
  <c r="G43" i="1" a="1"/>
  <c r="G43" i="1"/>
  <c r="P43" i="1" a="1"/>
  <c r="P43" i="1"/>
  <c r="M43" i="1" a="1"/>
  <c r="M43" i="1"/>
  <c r="L43" i="1" a="1"/>
  <c r="L43" i="1"/>
  <c r="F43" i="1" a="1"/>
  <c r="F43" i="1"/>
  <c r="G44" i="1" a="1"/>
  <c r="G44" i="1"/>
  <c r="H44" i="1" a="1"/>
  <c r="H44" i="1"/>
  <c r="H43" i="1" a="1"/>
  <c r="H43" i="1" s="1"/>
  <c r="F44" i="1" a="1"/>
  <c r="F44" i="1" s="1"/>
  <c r="Q43" i="1" a="1"/>
  <c r="Q43" i="1"/>
  <c r="K43" i="1" a="1"/>
  <c r="K43" i="1"/>
  <c r="O44" i="1" a="1"/>
  <c r="O44" i="1"/>
  <c r="N44" i="1" a="1"/>
  <c r="N44" i="1" s="1"/>
  <c r="M44" i="1" a="1"/>
  <c r="M44" i="1" s="1"/>
  <c r="L44" i="1" a="1"/>
  <c r="L44" i="1" s="1"/>
  <c r="I43" i="1" a="1"/>
  <c r="I43" i="1" s="1"/>
  <c r="O43" i="1" a="1"/>
  <c r="O43" i="1" s="1"/>
  <c r="K44" i="1" a="1"/>
  <c r="K44" i="1" s="1"/>
  <c r="J44" i="1" a="1"/>
  <c r="J44" i="1"/>
  <c r="J43" i="1" a="1"/>
  <c r="J43" i="1"/>
  <c r="I44" i="1" a="1"/>
  <c r="I44" i="1"/>
  <c r="N43" i="1" a="1"/>
  <c r="N43" i="1"/>
  <c r="G28" i="1" a="1"/>
  <c r="G28" i="1" s="1"/>
  <c r="P28" i="1" a="1"/>
  <c r="P28" i="1"/>
  <c r="K28" i="1" a="1"/>
  <c r="K28" i="1"/>
  <c r="M27" i="1" a="1"/>
  <c r="M27" i="1"/>
  <c r="Q28" i="1" a="1"/>
  <c r="Q28" i="1"/>
  <c r="N28" i="1" a="1"/>
  <c r="N28" i="1"/>
  <c r="I28" i="1" a="1"/>
  <c r="I28" i="1"/>
  <c r="H28" i="1" a="1"/>
  <c r="H28" i="1" s="1"/>
  <c r="J28" i="1" a="1"/>
  <c r="J28" i="1"/>
  <c r="N27" i="1" a="1"/>
  <c r="N27" i="1"/>
  <c r="F28" i="1" a="1"/>
  <c r="F28" i="1"/>
  <c r="Q27" i="1" a="1"/>
  <c r="Q27" i="1"/>
  <c r="O28" i="1" a="1"/>
  <c r="O28" i="1"/>
  <c r="O27" i="1" a="1"/>
  <c r="O27" i="1"/>
  <c r="M28" i="1" a="1"/>
  <c r="M28" i="1" s="1"/>
  <c r="P27" i="1" a="1"/>
  <c r="P27" i="1"/>
  <c r="L27" i="1" a="1"/>
  <c r="L27" i="1"/>
  <c r="L28" i="1" a="1"/>
  <c r="L28" i="1"/>
  <c r="M25" i="1" a="1"/>
  <c r="M25" i="1"/>
  <c r="K25" i="1" a="1"/>
  <c r="K25" i="1"/>
  <c r="M26" i="1" a="1"/>
  <c r="M26" i="1"/>
  <c r="L26" i="1" a="1"/>
  <c r="L26" i="1" s="1"/>
  <c r="J26" i="1" a="1"/>
  <c r="J26" i="1" s="1"/>
  <c r="F25" i="1" a="1"/>
  <c r="F25" i="1" s="1"/>
  <c r="H26" i="1" a="1"/>
  <c r="H26" i="1" s="1"/>
  <c r="F26" i="1" a="1"/>
  <c r="F26" i="1"/>
  <c r="G25" i="1" a="1"/>
  <c r="G25" i="1"/>
  <c r="P25" i="1" a="1"/>
  <c r="P25" i="1"/>
  <c r="K26" i="1" a="1"/>
  <c r="K26" i="1" s="1"/>
  <c r="N25" i="1" a="1"/>
  <c r="N25" i="1"/>
  <c r="P24" i="1" a="1"/>
  <c r="P24" i="1"/>
  <c r="I26" i="1" a="1"/>
  <c r="I26" i="1"/>
  <c r="P26" i="1" a="1"/>
  <c r="P26" i="1" s="1"/>
  <c r="Q25" i="1" a="1"/>
  <c r="Q25" i="1"/>
  <c r="I25" i="1" a="1"/>
  <c r="I25" i="1"/>
  <c r="K27" i="1" a="1"/>
  <c r="K27" i="1"/>
  <c r="J27" i="1" a="1"/>
  <c r="J27" i="1" s="1"/>
  <c r="Q24" i="1" a="1"/>
  <c r="Q24" i="1"/>
  <c r="L25" i="1" a="1"/>
  <c r="L25" i="1"/>
  <c r="H25" i="1" a="1"/>
  <c r="H25" i="1"/>
  <c r="I27" i="1" a="1"/>
  <c r="I27" i="1"/>
  <c r="H27" i="1" a="1"/>
  <c r="H27" i="1"/>
  <c r="G27" i="1" a="1"/>
  <c r="G27" i="1" s="1"/>
  <c r="F27" i="1" a="1"/>
  <c r="F27" i="1"/>
  <c r="Q26" i="1" a="1"/>
  <c r="Q26" i="1"/>
  <c r="N26" i="1" a="1"/>
  <c r="N26" i="1"/>
  <c r="G26" i="1" a="1"/>
  <c r="G26" i="1"/>
  <c r="O26" i="1" a="1"/>
  <c r="O26" i="1"/>
  <c r="J25" i="1" a="1"/>
  <c r="J25" i="1"/>
  <c r="O25" i="1" a="1"/>
  <c r="O25" i="1"/>
  <c r="N24" i="1" a="1"/>
  <c r="N24" i="1"/>
  <c r="O17" i="1" a="1"/>
  <c r="O17" i="1" s="1"/>
  <c r="L24" i="1" a="1"/>
  <c r="L24" i="1" s="1"/>
  <c r="I21" i="1" a="1"/>
  <c r="I21" i="1" s="1"/>
  <c r="Q21" i="1" a="1"/>
  <c r="Q21" i="1"/>
  <c r="N21" i="1" a="1"/>
  <c r="N21" i="1"/>
  <c r="H21" i="1" a="1"/>
  <c r="H21" i="1" s="1"/>
  <c r="F24" i="1" a="1"/>
  <c r="F24" i="1"/>
  <c r="N17" i="1" a="1"/>
  <c r="N17" i="1"/>
  <c r="M17" i="1" a="1"/>
  <c r="M17" i="1"/>
  <c r="L17" i="1" a="1"/>
  <c r="L17" i="1"/>
  <c r="K24" i="1" a="1"/>
  <c r="K24" i="1"/>
  <c r="J24" i="1" a="1"/>
  <c r="J24" i="1"/>
  <c r="G24" i="1" a="1"/>
  <c r="G24" i="1"/>
  <c r="M21" i="1" a="1"/>
  <c r="M21" i="1"/>
  <c r="L21" i="1" a="1"/>
  <c r="L21" i="1"/>
  <c r="F21" i="1" a="1"/>
  <c r="F21" i="1"/>
  <c r="M24" i="1" a="1"/>
  <c r="M24" i="1"/>
  <c r="H24" i="1" a="1"/>
  <c r="H24" i="1"/>
  <c r="J21" i="1" a="1"/>
  <c r="J21" i="1"/>
  <c r="I24" i="1" a="1"/>
  <c r="I24" i="1" s="1"/>
  <c r="P21" i="1" a="1"/>
  <c r="P21" i="1"/>
  <c r="K17" i="1" a="1"/>
  <c r="K17" i="1"/>
  <c r="Q17" i="1" a="1"/>
  <c r="Q17" i="1"/>
  <c r="K21" i="1" a="1"/>
  <c r="K21" i="1"/>
  <c r="O21" i="1" a="1"/>
  <c r="O21" i="1"/>
  <c r="J17" i="1" a="1"/>
  <c r="J17" i="1"/>
  <c r="O24" i="1" a="1"/>
  <c r="O24" i="1" s="1"/>
  <c r="G21" i="1" a="1"/>
  <c r="G21" i="1"/>
  <c r="P17" i="1" a="1"/>
  <c r="P17" i="1"/>
  <c r="L16" i="1" a="1"/>
  <c r="L16" i="1" s="1"/>
  <c r="J16" i="1" a="1"/>
  <c r="J16" i="1" s="1"/>
  <c r="I16" i="1" a="1"/>
  <c r="I16" i="1" s="1"/>
  <c r="Q16" i="1" a="1"/>
  <c r="Q16" i="1"/>
  <c r="K16" i="1" a="1"/>
  <c r="K16" i="1" s="1"/>
  <c r="F16" i="1" a="1"/>
  <c r="F16" i="1"/>
  <c r="P16" i="1" a="1"/>
  <c r="P16" i="1"/>
  <c r="H16" i="1" a="1"/>
  <c r="H16" i="1"/>
  <c r="N11" i="1" a="1"/>
  <c r="N11" i="1"/>
  <c r="O16" i="1" a="1"/>
  <c r="O16" i="1"/>
  <c r="N16" i="1" a="1"/>
  <c r="N16" i="1"/>
  <c r="G16" i="1" a="1"/>
  <c r="G16" i="1"/>
  <c r="I17" i="1" a="1"/>
  <c r="I17" i="1"/>
  <c r="P11" i="1" a="1"/>
  <c r="P11" i="1" s="1"/>
  <c r="Q11" i="1" a="1"/>
  <c r="Q11" i="1"/>
  <c r="H17" i="1" a="1"/>
  <c r="H17" i="1"/>
  <c r="G17" i="1" a="1"/>
  <c r="G17" i="1"/>
  <c r="M16" i="1" a="1"/>
  <c r="M16" i="1"/>
  <c r="M11" i="1" a="1"/>
  <c r="M11" i="1" s="1"/>
  <c r="O11" i="1" a="1"/>
  <c r="O11" i="1"/>
  <c r="F17" i="1" a="1"/>
  <c r="F17" i="1"/>
  <c r="F7" i="1" a="1"/>
  <c r="F7" i="1"/>
  <c r="P10" i="1" a="1"/>
  <c r="P10" i="1"/>
  <c r="H9" i="1" a="1"/>
  <c r="H9" i="1"/>
  <c r="H7" i="1" a="1"/>
  <c r="H7" i="1"/>
  <c r="F9" i="1" a="1"/>
  <c r="F9" i="1"/>
  <c r="J7" i="1" a="1"/>
  <c r="J7" i="1"/>
  <c r="O6" i="1" a="1"/>
  <c r="O6" i="1"/>
  <c r="P7" i="1" a="1"/>
  <c r="P7" i="1"/>
  <c r="G7" i="1" a="1"/>
  <c r="G7" i="1" s="1"/>
  <c r="K6" i="1" a="1"/>
  <c r="K6" i="1" s="1"/>
  <c r="P6" i="1" a="1"/>
  <c r="P6" i="1" s="1"/>
  <c r="O7" i="1" a="1"/>
  <c r="O7" i="1" s="1"/>
  <c r="J6" i="1" a="1"/>
  <c r="J6" i="1"/>
  <c r="I10" i="1" a="1"/>
  <c r="I10" i="1"/>
  <c r="K7" i="1" a="1"/>
  <c r="K7" i="1"/>
  <c r="G6" i="1" a="1"/>
  <c r="G6" i="1" s="1"/>
  <c r="L11" i="1" a="1"/>
  <c r="L11" i="1" s="1"/>
  <c r="Q9" i="1" a="1"/>
  <c r="Q9" i="1"/>
  <c r="P9" i="1" a="1"/>
  <c r="P9" i="1"/>
  <c r="M7" i="1" a="1"/>
  <c r="M7" i="1"/>
  <c r="K11" i="1" a="1"/>
  <c r="K11" i="1"/>
  <c r="J11" i="1" a="1"/>
  <c r="J11" i="1"/>
  <c r="J9" i="1" a="1"/>
  <c r="J9" i="1"/>
  <c r="N9" i="1" a="1"/>
  <c r="N9" i="1"/>
  <c r="I9" i="1" a="1"/>
  <c r="I9" i="1"/>
  <c r="I7" i="1" a="1"/>
  <c r="I7" i="1" s="1"/>
  <c r="H6" i="1" a="1"/>
  <c r="H6" i="1"/>
  <c r="F11" i="1" a="1"/>
  <c r="F11" i="1"/>
  <c r="L9" i="1" a="1"/>
  <c r="L9" i="1"/>
  <c r="O10" i="1" a="1"/>
  <c r="O10" i="1"/>
  <c r="N10" i="1" a="1"/>
  <c r="N10" i="1"/>
  <c r="K10" i="1" a="1"/>
  <c r="K10" i="1"/>
  <c r="K9" i="1" a="1"/>
  <c r="K9" i="1"/>
  <c r="J10" i="1" a="1"/>
  <c r="J10" i="1"/>
  <c r="F10" i="1" a="1"/>
  <c r="F10" i="1"/>
  <c r="N7" i="1" a="1"/>
  <c r="N7" i="1"/>
  <c r="N6" i="1" a="1"/>
  <c r="N6" i="1"/>
  <c r="Q6" i="1" a="1"/>
  <c r="Q6" i="1" s="1"/>
  <c r="L7" i="1" a="1"/>
  <c r="L7" i="1" s="1"/>
  <c r="G9" i="1" a="1"/>
  <c r="G9" i="1" s="1"/>
  <c r="M9" i="1" a="1"/>
  <c r="M9" i="1"/>
  <c r="I11" i="1" a="1"/>
  <c r="I11" i="1"/>
  <c r="M10" i="1" a="1"/>
  <c r="M10" i="1"/>
  <c r="O9" i="1" a="1"/>
  <c r="O9" i="1"/>
  <c r="G10" i="1" a="1"/>
  <c r="G10" i="1" s="1"/>
  <c r="L6" i="1" a="1"/>
  <c r="L6" i="1" s="1"/>
  <c r="H11" i="1" a="1"/>
  <c r="H11" i="1" s="1"/>
  <c r="L10" i="1" a="1"/>
  <c r="L10" i="1"/>
  <c r="H10" i="1" a="1"/>
  <c r="H10" i="1"/>
  <c r="Q7" i="1" a="1"/>
  <c r="Q7" i="1"/>
  <c r="M6" i="1" a="1"/>
  <c r="M6" i="1"/>
  <c r="G11" i="1" a="1"/>
  <c r="G11" i="1"/>
  <c r="I6" i="1" a="1"/>
  <c r="I6" i="1"/>
  <c r="F6" i="1" a="1"/>
  <c r="F6" i="1" s="1"/>
  <c r="Q10" i="1" a="1"/>
  <c r="Q10" i="1"/>
  <c r="G56" i="1" a="1"/>
  <c r="G56" i="1" s="1"/>
  <c r="Q56" i="1" a="1"/>
  <c r="Q56" i="1"/>
  <c r="N56" i="1" a="1"/>
  <c r="N56" i="1"/>
  <c r="F56" i="1" a="1"/>
  <c r="F56" i="1"/>
  <c r="J56" i="1" a="1"/>
  <c r="J56" i="1" s="1"/>
  <c r="H56" i="1" a="1"/>
  <c r="H56" i="1" s="1"/>
  <c r="M56" i="1" a="1"/>
  <c r="M56" i="1" s="1"/>
  <c r="P56" i="1" a="1"/>
  <c r="P56" i="1"/>
  <c r="O56" i="1" a="1"/>
  <c r="O56" i="1"/>
  <c r="L56" i="1" a="1"/>
  <c r="L56" i="1"/>
  <c r="K56" i="1" a="1"/>
  <c r="K56" i="1"/>
  <c r="I56" i="1" a="1"/>
  <c r="I56" i="1" s="1"/>
  <c r="Q1688" i="1"/>
  <c r="M1688" i="1"/>
  <c r="L1283" i="1"/>
  <c r="K1283" i="1"/>
  <c r="L1282" i="1"/>
  <c r="N1203" i="1"/>
  <c r="H127" i="1"/>
  <c r="I127" i="1"/>
  <c r="J127" i="1"/>
  <c r="K127" i="1"/>
  <c r="L127" i="1"/>
  <c r="M127" i="1"/>
  <c r="Q903" i="1" l="1"/>
  <c r="Q902" i="1"/>
  <c r="Q925" i="1"/>
  <c r="Q924" i="1" s="1"/>
  <c r="L198" i="1"/>
  <c r="L362" i="1"/>
  <c r="L429" i="1" s="1"/>
  <c r="M198" i="1"/>
  <c r="M362" i="1"/>
  <c r="M429" i="1" s="1"/>
  <c r="F742" i="1" a="1"/>
  <c r="F742" i="1" s="1"/>
  <c r="F744" i="1" s="1" a="1"/>
  <c r="F744" i="1" s="1"/>
  <c r="F726" i="1" a="1"/>
  <c r="F726" i="1" s="1"/>
  <c r="F728" i="1" s="1" a="1"/>
  <c r="F728" i="1" s="1"/>
  <c r="Q114" i="1"/>
  <c r="M317" i="1"/>
  <c r="M472" i="1" s="1"/>
  <c r="M274" i="1"/>
  <c r="M363" i="1" s="1"/>
  <c r="M504" i="1" s="1"/>
  <c r="M364" i="1"/>
  <c r="I317" i="1"/>
  <c r="I472" i="1" s="1"/>
  <c r="I241" i="1"/>
  <c r="K317" i="1"/>
  <c r="K472" i="1" s="1"/>
  <c r="K241" i="1"/>
  <c r="F382" i="1"/>
  <c r="F513" i="1" s="1"/>
  <c r="G362" i="1"/>
  <c r="G429" i="1" s="1"/>
  <c r="G198" i="1"/>
  <c r="N903" i="1"/>
  <c r="N925" i="1"/>
  <c r="N924" i="1" s="1"/>
  <c r="N121" i="1"/>
  <c r="H241" i="1"/>
  <c r="H316" i="1" s="1"/>
  <c r="H471" i="1" s="1"/>
  <c r="H126" i="1"/>
  <c r="L324" i="1"/>
  <c r="L479" i="1" s="1"/>
  <c r="K118" i="1"/>
  <c r="Q138" i="1" a="1"/>
  <c r="Q138" i="1" s="1"/>
  <c r="J126" i="1"/>
  <c r="N324" i="1"/>
  <c r="N479" i="1" s="1"/>
  <c r="P903" i="1"/>
  <c r="P925" i="1"/>
  <c r="P924" i="1" s="1"/>
  <c r="P899" i="1"/>
  <c r="J301" i="1"/>
  <c r="J465" i="1" s="1"/>
  <c r="J362" i="1"/>
  <c r="J429" i="1" s="1"/>
  <c r="J141" i="1" a="1"/>
  <c r="J141" i="1" s="1"/>
  <c r="M903" i="1"/>
  <c r="M899" i="1"/>
  <c r="M925" i="1"/>
  <c r="M924" i="1" s="1"/>
  <c r="K130" i="1"/>
  <c r="P138" i="1" a="1"/>
  <c r="P138" i="1" s="1"/>
  <c r="P130" i="1"/>
  <c r="I726" i="1" a="1"/>
  <c r="I726" i="1" s="1"/>
  <c r="I728" i="1" s="1" a="1"/>
  <c r="I728" i="1" s="1"/>
  <c r="I742" i="1" a="1"/>
  <c r="I742" i="1" s="1"/>
  <c r="I744" i="1" s="1" a="1"/>
  <c r="I744" i="1" s="1"/>
  <c r="G742" i="1" a="1"/>
  <c r="G742" i="1" s="1"/>
  <c r="G744" i="1" s="1" a="1"/>
  <c r="G744" i="1" s="1"/>
  <c r="O742" i="1" a="1"/>
  <c r="O742" i="1" s="1"/>
  <c r="O744" i="1" s="1" a="1"/>
  <c r="O744" i="1" s="1"/>
  <c r="K122" i="1"/>
  <c r="K318" i="1"/>
  <c r="K473" i="1" s="1"/>
  <c r="O139" i="1" a="1"/>
  <c r="O139" i="1" s="1"/>
  <c r="O130" i="1"/>
  <c r="G127" i="1"/>
  <c r="I141" i="1" a="1"/>
  <c r="I141" i="1" s="1"/>
  <c r="H120" i="1"/>
  <c r="L122" i="1"/>
  <c r="L318" i="1"/>
  <c r="L473" i="1" s="1"/>
  <c r="L380" i="1"/>
  <c r="L437" i="1" s="1"/>
  <c r="P382" i="1"/>
  <c r="P513" i="1" s="1"/>
  <c r="P317" i="1"/>
  <c r="P472" i="1" s="1"/>
  <c r="F783" i="1"/>
  <c r="F786" i="1"/>
  <c r="F787" i="1" s="1"/>
  <c r="O903" i="1"/>
  <c r="O925" i="1"/>
  <c r="O924" i="1" s="1"/>
  <c r="O902" i="1"/>
  <c r="O899" i="1"/>
  <c r="O786" i="1"/>
  <c r="O787" i="1" s="1"/>
  <c r="O783" i="1"/>
  <c r="K726" i="1" a="1"/>
  <c r="K726" i="1" s="1"/>
  <c r="K728" i="1" s="1" a="1"/>
  <c r="K728" i="1" s="1"/>
  <c r="I316" i="1"/>
  <c r="I471" i="1" s="1"/>
  <c r="I120" i="1"/>
  <c r="M318" i="1"/>
  <c r="M473" i="1" s="1"/>
  <c r="M122" i="1"/>
  <c r="M106" i="1" s="1"/>
  <c r="M325" i="1"/>
  <c r="M480" i="1" s="1"/>
  <c r="F118" i="1"/>
  <c r="F314" i="1"/>
  <c r="F419" i="1" s="1"/>
  <c r="J120" i="1"/>
  <c r="J316" i="1"/>
  <c r="J471" i="1" s="1"/>
  <c r="N318" i="1"/>
  <c r="N473" i="1" s="1"/>
  <c r="N122" i="1"/>
  <c r="F321" i="1"/>
  <c r="F476" i="1" s="1"/>
  <c r="F125" i="1"/>
  <c r="N325" i="1"/>
  <c r="N480" i="1" s="1"/>
  <c r="J385" i="1"/>
  <c r="J516" i="1" s="1"/>
  <c r="K129" i="1"/>
  <c r="H301" i="1"/>
  <c r="H465" i="1" s="1"/>
  <c r="Q786" i="1"/>
  <c r="Q787" i="1" s="1"/>
  <c r="Q783" i="1"/>
  <c r="G138" i="1" a="1"/>
  <c r="G138" i="1" s="1"/>
  <c r="J726" i="1" a="1"/>
  <c r="J726" i="1" s="1"/>
  <c r="J728" i="1" s="1" a="1"/>
  <c r="J728" i="1" s="1"/>
  <c r="G118" i="1"/>
  <c r="G114" i="1" s="1"/>
  <c r="G314" i="1"/>
  <c r="G419" i="1" s="1"/>
  <c r="K120" i="1"/>
  <c r="K316" i="1"/>
  <c r="K471" i="1" s="1"/>
  <c r="O122" i="1"/>
  <c r="O114" i="1" s="1"/>
  <c r="O318" i="1"/>
  <c r="O473" i="1" s="1"/>
  <c r="G321" i="1"/>
  <c r="G476" i="1" s="1"/>
  <c r="G125" i="1"/>
  <c r="K323" i="1"/>
  <c r="K478" i="1" s="1"/>
  <c r="O325" i="1"/>
  <c r="O480" i="1" s="1"/>
  <c r="G361" i="1"/>
  <c r="G428" i="1" s="1"/>
  <c r="K385" i="1"/>
  <c r="K516" i="1" s="1"/>
  <c r="L925" i="1"/>
  <c r="L924" i="1" s="1"/>
  <c r="L903" i="1"/>
  <c r="L899" i="1"/>
  <c r="Q274" i="1"/>
  <c r="K140" i="1" a="1"/>
  <c r="K140" i="1" s="1"/>
  <c r="H118" i="1"/>
  <c r="H314" i="1"/>
  <c r="H419" i="1" s="1"/>
  <c r="L120" i="1"/>
  <c r="L104" i="1" s="1"/>
  <c r="L316" i="1"/>
  <c r="L471" i="1" s="1"/>
  <c r="P122" i="1"/>
  <c r="P318" i="1"/>
  <c r="P473" i="1" s="1"/>
  <c r="H125" i="1"/>
  <c r="H321" i="1"/>
  <c r="H476" i="1" s="1"/>
  <c r="L323" i="1"/>
  <c r="L478" i="1" s="1"/>
  <c r="P325" i="1"/>
  <c r="P480" i="1" s="1"/>
  <c r="H361" i="1"/>
  <c r="H428" i="1" s="1"/>
  <c r="H140" i="1" a="1"/>
  <c r="H140" i="1" s="1"/>
  <c r="H141" i="1" a="1"/>
  <c r="H141" i="1" s="1"/>
  <c r="H362" i="1"/>
  <c r="H429" i="1" s="1"/>
  <c r="H119" i="1"/>
  <c r="I118" i="1"/>
  <c r="I314" i="1"/>
  <c r="I419" i="1" s="1"/>
  <c r="M120" i="1"/>
  <c r="M114" i="1" s="1"/>
  <c r="M316" i="1"/>
  <c r="M471" i="1" s="1"/>
  <c r="Q122" i="1"/>
  <c r="Q318" i="1"/>
  <c r="Q473" i="1" s="1"/>
  <c r="I125" i="1"/>
  <c r="I321" i="1"/>
  <c r="I476" i="1" s="1"/>
  <c r="M323" i="1"/>
  <c r="M478" i="1" s="1"/>
  <c r="Q325" i="1"/>
  <c r="Q480" i="1" s="1"/>
  <c r="I140" i="1" a="1"/>
  <c r="I140" i="1" s="1"/>
  <c r="I361" i="1"/>
  <c r="I428" i="1" s="1"/>
  <c r="P786" i="1"/>
  <c r="P787" i="1" s="1"/>
  <c r="P783" i="1"/>
  <c r="J314" i="1"/>
  <c r="J419" i="1" s="1"/>
  <c r="N120" i="1"/>
  <c r="N114" i="1" s="1"/>
  <c r="N316" i="1"/>
  <c r="N471" i="1" s="1"/>
  <c r="F123" i="1"/>
  <c r="F319" i="1"/>
  <c r="F474" i="1" s="1"/>
  <c r="J125" i="1"/>
  <c r="J321" i="1"/>
  <c r="J476" i="1" s="1"/>
  <c r="N127" i="1"/>
  <c r="N323" i="1"/>
  <c r="N478" i="1" s="1"/>
  <c r="J130" i="1"/>
  <c r="J361" i="1"/>
  <c r="J428" i="1" s="1"/>
  <c r="N363" i="1"/>
  <c r="N504" i="1" s="1"/>
  <c r="N130" i="1"/>
  <c r="J383" i="1"/>
  <c r="J514" i="1" s="1"/>
  <c r="O129" i="1"/>
  <c r="O316" i="1"/>
  <c r="O471" i="1" s="1"/>
  <c r="O120" i="1"/>
  <c r="G123" i="1"/>
  <c r="G319" i="1"/>
  <c r="G474" i="1" s="1"/>
  <c r="K125" i="1"/>
  <c r="K321" i="1"/>
  <c r="K476" i="1" s="1"/>
  <c r="O127" i="1"/>
  <c r="O323" i="1"/>
  <c r="O478" i="1" s="1"/>
  <c r="F317" i="1"/>
  <c r="F472" i="1" s="1"/>
  <c r="N361" i="1"/>
  <c r="N428" i="1" s="1"/>
  <c r="F364" i="1"/>
  <c r="N383" i="1"/>
  <c r="N514" i="1" s="1"/>
  <c r="J399" i="1"/>
  <c r="J519" i="1" s="1"/>
  <c r="M726" i="1" a="1"/>
  <c r="M726" i="1" s="1"/>
  <c r="M728" i="1" s="1" a="1"/>
  <c r="M728" i="1" s="1"/>
  <c r="P316" i="1"/>
  <c r="P471" i="1" s="1"/>
  <c r="H319" i="1"/>
  <c r="H474" i="1" s="1"/>
  <c r="L125" i="1"/>
  <c r="L321" i="1"/>
  <c r="L476" i="1" s="1"/>
  <c r="P127" i="1"/>
  <c r="P111" i="1" s="1"/>
  <c r="P323" i="1"/>
  <c r="P478" i="1" s="1"/>
  <c r="H130" i="1"/>
  <c r="L140" i="1" a="1"/>
  <c r="L140" i="1" s="1"/>
  <c r="L361" i="1"/>
  <c r="L428" i="1" s="1"/>
  <c r="P363" i="1"/>
  <c r="P504" i="1" s="1"/>
  <c r="H399" i="1"/>
  <c r="H519" i="1" s="1"/>
  <c r="O321" i="1"/>
  <c r="O476" i="1" s="1"/>
  <c r="G324" i="1"/>
  <c r="G479" i="1" s="1"/>
  <c r="O361" i="1"/>
  <c r="O428" i="1" s="1"/>
  <c r="O140" i="1" a="1"/>
  <c r="O140" i="1" s="1"/>
  <c r="O147" i="1" s="1"/>
  <c r="K399" i="1"/>
  <c r="K519" i="1" s="1"/>
  <c r="I319" i="1"/>
  <c r="I474" i="1" s="1"/>
  <c r="M321" i="1"/>
  <c r="M476" i="1" s="1"/>
  <c r="Q323" i="1"/>
  <c r="Q478" i="1" s="1"/>
  <c r="Q500" i="1" s="1"/>
  <c r="Q127" i="1"/>
  <c r="I130" i="1"/>
  <c r="M361" i="1"/>
  <c r="M428" i="1" s="1"/>
  <c r="Q363" i="1"/>
  <c r="Q504" i="1" s="1"/>
  <c r="M383" i="1"/>
  <c r="M514" i="1" s="1"/>
  <c r="I399" i="1"/>
  <c r="I519" i="1" s="1"/>
  <c r="N726" i="1" a="1"/>
  <c r="N726" i="1" s="1"/>
  <c r="N728" i="1" s="1" a="1"/>
  <c r="N728" i="1" s="1"/>
  <c r="M742" i="1" a="1"/>
  <c r="M742" i="1" s="1"/>
  <c r="M744" i="1" s="1" a="1"/>
  <c r="M744" i="1" s="1"/>
  <c r="H324" i="1"/>
  <c r="H479" i="1" s="1"/>
  <c r="P361" i="1"/>
  <c r="P428" i="1" s="1"/>
  <c r="H364" i="1"/>
  <c r="L399" i="1"/>
  <c r="L519" i="1" s="1"/>
  <c r="Q361" i="1"/>
  <c r="Q428" i="1" s="1"/>
  <c r="Q140" i="1" a="1"/>
  <c r="Q140" i="1" s="1"/>
  <c r="Q147" i="1" s="1"/>
  <c r="I364" i="1"/>
  <c r="Q383" i="1"/>
  <c r="Q514" i="1" s="1"/>
  <c r="I386" i="1"/>
  <c r="I517" i="1" s="1"/>
  <c r="M399" i="1"/>
  <c r="M519" i="1" s="1"/>
  <c r="I925" i="1"/>
  <c r="I924" i="1" s="1"/>
  <c r="I903" i="1"/>
  <c r="F301" i="1"/>
  <c r="F465" i="1" s="1"/>
  <c r="J364" i="1"/>
  <c r="F384" i="1"/>
  <c r="F515" i="1" s="1"/>
  <c r="J386" i="1"/>
  <c r="J517" i="1" s="1"/>
  <c r="N399" i="1"/>
  <c r="N519" i="1" s="1"/>
  <c r="H128" i="1"/>
  <c r="L383" i="1"/>
  <c r="L514" i="1" s="1"/>
  <c r="F895" i="1"/>
  <c r="F925" i="1"/>
  <c r="F924" i="1" s="1"/>
  <c r="F903" i="1"/>
  <c r="L726" i="1" a="1"/>
  <c r="L726" i="1" s="1"/>
  <c r="L728" i="1" s="1" a="1"/>
  <c r="L728" i="1" s="1"/>
  <c r="G925" i="1"/>
  <c r="G924" i="1" s="1"/>
  <c r="G903" i="1"/>
  <c r="G899" i="1"/>
  <c r="G902" i="1"/>
  <c r="M130" i="1"/>
  <c r="G384" i="1"/>
  <c r="G515" i="1" s="1"/>
  <c r="K386" i="1"/>
  <c r="K517" i="1" s="1"/>
  <c r="O399" i="1"/>
  <c r="O519" i="1" s="1"/>
  <c r="P120" i="1"/>
  <c r="P114" i="1" s="1"/>
  <c r="N319" i="1"/>
  <c r="N474" i="1" s="1"/>
  <c r="P902" i="1"/>
  <c r="Q899" i="1"/>
  <c r="H903" i="1"/>
  <c r="K903" i="1"/>
  <c r="H899" i="1"/>
  <c r="I899" i="1"/>
  <c r="J925" i="1"/>
  <c r="J924" i="1" s="1"/>
  <c r="J903" i="1"/>
  <c r="K899" i="1"/>
  <c r="L902" i="1"/>
  <c r="M902" i="1"/>
  <c r="N902" i="1"/>
  <c r="N899" i="1"/>
  <c r="H902" i="1"/>
  <c r="I902" i="1"/>
  <c r="J899" i="1"/>
  <c r="J902" i="1"/>
  <c r="K902" i="1"/>
  <c r="Q1744" i="1"/>
  <c r="Q1745" i="1"/>
  <c r="Q1746" i="1"/>
  <c r="Q1748" i="1"/>
  <c r="Q8" i="1"/>
  <c r="Q1747" i="1" s="1"/>
  <c r="Q1750" i="1"/>
  <c r="Q1753" i="1"/>
  <c r="Q1754" i="1"/>
  <c r="Q1755" i="1"/>
  <c r="Q1756" i="1"/>
  <c r="Q1757" i="1"/>
  <c r="Q1716" i="1"/>
  <c r="Q1719" i="1"/>
  <c r="Q1733" i="1"/>
  <c r="Q1739" i="1"/>
  <c r="Q1741" i="1"/>
  <c r="Q64" i="1"/>
  <c r="Q525" i="1"/>
  <c r="Q75" i="1"/>
  <c r="Q78" i="1"/>
  <c r="Q100" i="1"/>
  <c r="Q328" i="1" s="1"/>
  <c r="Q344" i="1" s="1"/>
  <c r="Q103" i="1"/>
  <c r="Q109" i="1"/>
  <c r="Q269" i="1"/>
  <c r="Q258" i="1" s="1"/>
  <c r="Q111" i="1"/>
  <c r="Q105" i="1"/>
  <c r="Q159" i="1"/>
  <c r="Q168" i="1"/>
  <c r="Q563" i="1" s="1"/>
  <c r="Q572" i="1"/>
  <c r="Q573" i="1"/>
  <c r="Q188" i="1"/>
  <c r="Q206" i="1"/>
  <c r="Q208" i="1"/>
  <c r="Q215" i="1"/>
  <c r="Q222" i="1"/>
  <c r="Q221" i="1" s="1"/>
  <c r="Q223" i="1"/>
  <c r="Q225" i="1"/>
  <c r="Q227" i="1"/>
  <c r="Q229" i="1"/>
  <c r="Q581" i="1"/>
  <c r="Q793" i="1"/>
  <c r="Q908" i="1"/>
  <c r="Q909" i="1"/>
  <c r="Q941" i="1" s="1"/>
  <c r="Q964" i="1" s="1"/>
  <c r="Q276" i="1"/>
  <c r="Q522" i="1"/>
  <c r="Q305" i="1"/>
  <c r="Q530" i="1"/>
  <c r="Q387" i="1"/>
  <c r="Q389" i="1"/>
  <c r="Q570" i="1"/>
  <c r="Q445" i="1"/>
  <c r="Q447" i="1"/>
  <c r="Q449" i="1"/>
  <c r="Q453" i="1"/>
  <c r="Q455" i="1"/>
  <c r="Q457" i="1"/>
  <c r="Q459" i="1"/>
  <c r="Q461" i="1"/>
  <c r="Q511" i="1"/>
  <c r="Q506" i="1"/>
  <c r="Q524" i="1"/>
  <c r="Q526" i="1"/>
  <c r="Q567" i="1"/>
  <c r="Q568" i="1"/>
  <c r="Q569" i="1"/>
  <c r="Q580" i="1"/>
  <c r="Q583" i="1"/>
  <c r="Q614" i="1"/>
  <c r="Q626" i="1"/>
  <c r="Q659" i="1"/>
  <c r="Q684" i="1"/>
  <c r="Q686" i="1"/>
  <c r="Q708" i="1"/>
  <c r="Q712" i="1"/>
  <c r="Q723" i="1"/>
  <c r="Q739" i="1"/>
  <c r="Q773" i="1"/>
  <c r="Q775" i="1"/>
  <c r="Q770" i="1" s="1"/>
  <c r="Q862" i="1" s="1"/>
  <c r="Q777" i="1"/>
  <c r="Q790" i="1"/>
  <c r="Q866" i="1" s="1"/>
  <c r="Q801" i="1"/>
  <c r="Q876" i="1"/>
  <c r="Q877" i="1"/>
  <c r="Q805" i="1"/>
  <c r="Q808" i="1"/>
  <c r="Q812" i="1"/>
  <c r="Q880" i="1" s="1"/>
  <c r="Q814" i="1"/>
  <c r="Q819" i="1"/>
  <c r="Q823" i="1"/>
  <c r="Q826" i="1"/>
  <c r="Q830" i="1"/>
  <c r="Q844" i="1"/>
  <c r="Q846" i="1"/>
  <c r="Q848" i="1"/>
  <c r="Q850" i="1"/>
  <c r="Q852" i="1"/>
  <c r="Q854" i="1"/>
  <c r="Q889" i="1"/>
  <c r="Q892" i="1"/>
  <c r="Q912" i="1"/>
  <c r="Q910" i="1"/>
  <c r="Q942" i="1" s="1"/>
  <c r="Q965" i="1" s="1"/>
  <c r="Q911" i="1"/>
  <c r="Q913" i="1"/>
  <c r="Q968" i="1" s="1"/>
  <c r="Q970" i="1"/>
  <c r="Q971" i="1"/>
  <c r="Q957" i="1"/>
  <c r="Q931" i="1"/>
  <c r="Q961" i="1"/>
  <c r="Q945" i="1"/>
  <c r="Q947" i="1"/>
  <c r="Q949" i="1"/>
  <c r="Q951" i="1"/>
  <c r="Q990" i="1"/>
  <c r="Q994" i="1"/>
  <c r="Q1016" i="1"/>
  <c r="Q1017" i="1" s="1"/>
  <c r="Q1031" i="1"/>
  <c r="Q1040" i="1"/>
  <c r="Q1044" i="1"/>
  <c r="Q1046" i="1"/>
  <c r="Q1086" i="1"/>
  <c r="Q1065" i="1"/>
  <c r="Q1073" i="1"/>
  <c r="Q1075" i="1"/>
  <c r="Q1103" i="1"/>
  <c r="Q1079" i="1"/>
  <c r="Q1099" i="1"/>
  <c r="Q1101" i="1"/>
  <c r="Q1286" i="1"/>
  <c r="Q1267" i="1"/>
  <c r="Q1278" i="1"/>
  <c r="Q1288" i="1"/>
  <c r="Q1295" i="1"/>
  <c r="Q1304" i="1"/>
  <c r="Q1306" i="1"/>
  <c r="Q1308" i="1"/>
  <c r="Q1381" i="1"/>
  <c r="Q1390" i="1"/>
  <c r="Q1394" i="1"/>
  <c r="Q1472" i="1"/>
  <c r="Q1479" i="1"/>
  <c r="Q1468" i="1"/>
  <c r="Q1470" i="1"/>
  <c r="Q1471" i="1"/>
  <c r="Q1473" i="1"/>
  <c r="Q1474" i="1"/>
  <c r="Q1475" i="1"/>
  <c r="Q1484" i="1"/>
  <c r="Q1483" i="1" s="1"/>
  <c r="Q1486" i="1"/>
  <c r="Q1491" i="1"/>
  <c r="Q1490" i="1" s="1"/>
  <c r="Q1493" i="1"/>
  <c r="Q1539" i="1"/>
  <c r="Q1550" i="1"/>
  <c r="Q1567" i="1"/>
  <c r="Q1584" i="1"/>
  <c r="Q1585" i="1"/>
  <c r="Q1587" i="1"/>
  <c r="Q1590" i="1"/>
  <c r="Q1591" i="1"/>
  <c r="Q1597" i="1"/>
  <c r="Q1614" i="1"/>
  <c r="Q1632" i="1"/>
  <c r="Q1633" i="1"/>
  <c r="Q1634" i="1"/>
  <c r="Q1637" i="1"/>
  <c r="Q1638" i="1"/>
  <c r="Q1649" i="1"/>
  <c r="Q1680" i="1"/>
  <c r="Q1682" i="1"/>
  <c r="Q1683" i="1"/>
  <c r="Q1684" i="1"/>
  <c r="Q1692" i="1"/>
  <c r="Q1710" i="1"/>
  <c r="Q1707" i="1"/>
  <c r="Q1717" i="1"/>
  <c r="Q1718" i="1"/>
  <c r="Q1732" i="1"/>
  <c r="Q1758" i="1"/>
  <c r="Q1760" i="1"/>
  <c r="Q1762" i="1"/>
  <c r="Q1766" i="1"/>
  <c r="Q1786" i="1"/>
  <c r="Q1801" i="1"/>
  <c r="Q1810" i="1"/>
  <c r="Q1828" i="1"/>
  <c r="Q1833" i="1"/>
  <c r="Q1835" i="1"/>
  <c r="Q1837" i="1"/>
  <c r="Q1839" i="1"/>
  <c r="Q1841" i="1"/>
  <c r="Q1844" i="1"/>
  <c r="Q1847" i="1"/>
  <c r="Q1852" i="1"/>
  <c r="Q1854" i="1"/>
  <c r="Q1856" i="1"/>
  <c r="Q1858" i="1"/>
  <c r="Q1860" i="1"/>
  <c r="Q1873" i="1"/>
  <c r="Q1875" i="1"/>
  <c r="Q1877" i="1"/>
  <c r="Q1879" i="1"/>
  <c r="Q1881" i="1"/>
  <c r="Q1883" i="1"/>
  <c r="Q1889" i="1"/>
  <c r="Q1895" i="1"/>
  <c r="Q1897" i="1"/>
  <c r="Q1899" i="1"/>
  <c r="Q1901" i="1"/>
  <c r="Q2027" i="1"/>
  <c r="Q2030" i="1"/>
  <c r="Q2051" i="1"/>
  <c r="Q2053" i="1"/>
  <c r="Q2077" i="1"/>
  <c r="Q2084" i="1"/>
  <c r="Q2092" i="1"/>
  <c r="Q2101" i="1"/>
  <c r="Q2102" i="1"/>
  <c r="Q2106" i="1"/>
  <c r="Q2238" i="1"/>
  <c r="Q2243" i="1"/>
  <c r="Q2245" i="1"/>
  <c r="Q2247" i="1"/>
  <c r="Q2249" i="1"/>
  <c r="Q2251" i="1"/>
  <c r="Q2257" i="1"/>
  <c r="Q2262" i="1"/>
  <c r="Q2264" i="1"/>
  <c r="Q2266" i="1"/>
  <c r="Q2268" i="1"/>
  <c r="Q2270" i="1"/>
  <c r="Q2283" i="1"/>
  <c r="Q2285" i="1"/>
  <c r="Q2287" i="1"/>
  <c r="Q2289" i="1"/>
  <c r="Q2291" i="1"/>
  <c r="Q2293" i="1"/>
  <c r="Q2299" i="1"/>
  <c r="Q2305" i="1"/>
  <c r="Q2307" i="1"/>
  <c r="Q2309" i="1"/>
  <c r="Q2311" i="1"/>
  <c r="Q2318" i="1"/>
  <c r="Q2321" i="1"/>
  <c r="M1743" i="1"/>
  <c r="N1743" i="1"/>
  <c r="O1743" i="1"/>
  <c r="M1744" i="1"/>
  <c r="N1744" i="1"/>
  <c r="M1745" i="1"/>
  <c r="P1748" i="1"/>
  <c r="L1750" i="1"/>
  <c r="P1750" i="1"/>
  <c r="L1752" i="1"/>
  <c r="M12" i="1"/>
  <c r="M1751" i="1" s="1"/>
  <c r="L1756" i="1"/>
  <c r="M1756" i="1"/>
  <c r="N1756" i="1"/>
  <c r="O1756" i="1"/>
  <c r="P1756" i="1"/>
  <c r="L1757" i="1"/>
  <c r="P1757" i="1"/>
  <c r="L1716" i="1"/>
  <c r="O1716" i="1"/>
  <c r="P1716" i="1"/>
  <c r="L1717" i="1"/>
  <c r="M1717" i="1"/>
  <c r="N1717" i="1"/>
  <c r="M1719" i="1"/>
  <c r="N1719" i="1"/>
  <c r="P1722" i="1"/>
  <c r="L1721" i="1"/>
  <c r="N1721" i="1"/>
  <c r="L1732" i="1"/>
  <c r="O1739" i="1"/>
  <c r="N1741" i="1"/>
  <c r="L64" i="1"/>
  <c r="M64" i="1"/>
  <c r="M524" i="1"/>
  <c r="N524" i="1"/>
  <c r="L525" i="1"/>
  <c r="N66" i="1"/>
  <c r="M526" i="1"/>
  <c r="O75" i="1"/>
  <c r="P304" i="1"/>
  <c r="M239" i="1"/>
  <c r="M237" i="1" s="1"/>
  <c r="M236" i="1" s="1"/>
  <c r="O239" i="1"/>
  <c r="L78" i="1"/>
  <c r="M78" i="1"/>
  <c r="N78" i="1"/>
  <c r="O78" i="1"/>
  <c r="P78" i="1"/>
  <c r="M100" i="1"/>
  <c r="O530" i="1"/>
  <c r="P530" i="1"/>
  <c r="L531" i="1"/>
  <c r="M101" i="1"/>
  <c r="O103" i="1"/>
  <c r="P105" i="1"/>
  <c r="M107" i="1"/>
  <c r="P538" i="1"/>
  <c r="N109" i="1"/>
  <c r="P109" i="1"/>
  <c r="L110" i="1"/>
  <c r="L100" i="1"/>
  <c r="L328" i="1" s="1"/>
  <c r="L344" i="1" s="1"/>
  <c r="N100" i="1"/>
  <c r="N328" i="1" s="1"/>
  <c r="M104" i="1"/>
  <c r="P106" i="1"/>
  <c r="O110" i="1"/>
  <c r="N112" i="1"/>
  <c r="L145" i="1"/>
  <c r="M145" i="1"/>
  <c r="N545" i="1"/>
  <c r="N147" i="1"/>
  <c r="L148" i="1"/>
  <c r="P148" i="1"/>
  <c r="L149" i="1"/>
  <c r="N149" i="1"/>
  <c r="O149" i="1"/>
  <c r="M150" i="1"/>
  <c r="P150" i="1"/>
  <c r="L150" i="1"/>
  <c r="O150" i="1"/>
  <c r="L551" i="1"/>
  <c r="M551" i="1"/>
  <c r="P551" i="1"/>
  <c r="N159" i="1"/>
  <c r="L159" i="1"/>
  <c r="M159" i="1"/>
  <c r="O159" i="1"/>
  <c r="P159" i="1"/>
  <c r="P161" i="1"/>
  <c r="L168" i="1"/>
  <c r="L563" i="1" s="1"/>
  <c r="M168" i="1"/>
  <c r="N168" i="1"/>
  <c r="N563" i="1" s="1"/>
  <c r="O168" i="1"/>
  <c r="O563" i="1" s="1"/>
  <c r="P168" i="1"/>
  <c r="M169" i="1"/>
  <c r="N567" i="1"/>
  <c r="O567" i="1"/>
  <c r="P567" i="1"/>
  <c r="N568" i="1"/>
  <c r="P568" i="1"/>
  <c r="L569" i="1"/>
  <c r="O571" i="1"/>
  <c r="P571" i="1"/>
  <c r="L573" i="1"/>
  <c r="M573" i="1"/>
  <c r="N573" i="1"/>
  <c r="P184" i="1"/>
  <c r="M412" i="1"/>
  <c r="N201" i="1"/>
  <c r="L206" i="1"/>
  <c r="M206" i="1"/>
  <c r="N206" i="1"/>
  <c r="P206" i="1"/>
  <c r="L208" i="1"/>
  <c r="P208" i="1"/>
  <c r="N208" i="1"/>
  <c r="N215" i="1"/>
  <c r="P215" i="1"/>
  <c r="L211" i="1"/>
  <c r="O215" i="1"/>
  <c r="L217" i="1"/>
  <c r="M217" i="1"/>
  <c r="N217" i="1"/>
  <c r="O217" i="1"/>
  <c r="P217" i="1"/>
  <c r="M577" i="1"/>
  <c r="O222" i="1"/>
  <c r="O221" i="1" s="1"/>
  <c r="P219" i="1"/>
  <c r="L223" i="1"/>
  <c r="M223" i="1"/>
  <c r="N223" i="1"/>
  <c r="O223" i="1"/>
  <c r="P223" i="1"/>
  <c r="L225" i="1"/>
  <c r="M225" i="1"/>
  <c r="N225" i="1"/>
  <c r="O225" i="1"/>
  <c r="P225" i="1"/>
  <c r="M227" i="1"/>
  <c r="O227" i="1"/>
  <c r="P227" i="1"/>
  <c r="L229" i="1"/>
  <c r="M229" i="1"/>
  <c r="N229" i="1"/>
  <c r="O229" i="1"/>
  <c r="P229" i="1"/>
  <c r="N231" i="1"/>
  <c r="L231" i="1"/>
  <c r="O231" i="1"/>
  <c r="P231" i="1"/>
  <c r="L234" i="1"/>
  <c r="M234" i="1"/>
  <c r="N234" i="1"/>
  <c r="O234" i="1"/>
  <c r="P793" i="1"/>
  <c r="L795" i="1"/>
  <c r="P795" i="1"/>
  <c r="P796" i="1"/>
  <c r="L1044" i="1"/>
  <c r="M1044" i="1"/>
  <c r="O1044" i="1"/>
  <c r="P1044" i="1"/>
  <c r="L1045" i="1"/>
  <c r="M1045" i="1"/>
  <c r="N1045" i="1"/>
  <c r="P908" i="1"/>
  <c r="P940" i="1" s="1"/>
  <c r="P963" i="1" s="1"/>
  <c r="L280" i="1"/>
  <c r="M281" i="1"/>
  <c r="N280" i="1"/>
  <c r="L276" i="1"/>
  <c r="M276" i="1"/>
  <c r="N276" i="1"/>
  <c r="O276" i="1"/>
  <c r="P276" i="1"/>
  <c r="L281" i="1"/>
  <c r="N281" i="1"/>
  <c r="N799" i="1"/>
  <c r="P800" i="1"/>
  <c r="M1046" i="1"/>
  <c r="O1046" i="1"/>
  <c r="P1046" i="1"/>
  <c r="L288" i="1"/>
  <c r="M801" i="1"/>
  <c r="N801" i="1"/>
  <c r="O801" i="1"/>
  <c r="L292" i="1"/>
  <c r="N292" i="1"/>
  <c r="M292" i="1"/>
  <c r="O292" i="1"/>
  <c r="P292" i="1"/>
  <c r="L303" i="1"/>
  <c r="N303" i="1"/>
  <c r="O303" i="1"/>
  <c r="N304" i="1"/>
  <c r="M303" i="1"/>
  <c r="N544" i="1"/>
  <c r="P544" i="1"/>
  <c r="N510" i="1"/>
  <c r="L378" i="1"/>
  <c r="P555" i="1"/>
  <c r="L387" i="1"/>
  <c r="M387" i="1"/>
  <c r="N387" i="1"/>
  <c r="O387" i="1"/>
  <c r="P387" i="1"/>
  <c r="M569" i="1"/>
  <c r="N569" i="1"/>
  <c r="M570" i="1"/>
  <c r="N570" i="1"/>
  <c r="P570" i="1"/>
  <c r="N438" i="1"/>
  <c r="O438" i="1"/>
  <c r="L443" i="1"/>
  <c r="O443" i="1"/>
  <c r="L445" i="1"/>
  <c r="M445" i="1"/>
  <c r="N445" i="1"/>
  <c r="O445" i="1"/>
  <c r="P445" i="1"/>
  <c r="L447" i="1"/>
  <c r="M447" i="1"/>
  <c r="N447" i="1"/>
  <c r="O447" i="1"/>
  <c r="P447" i="1"/>
  <c r="N449" i="1"/>
  <c r="N452" i="1"/>
  <c r="N451" i="1" s="1"/>
  <c r="O449" i="1"/>
  <c r="L453" i="1"/>
  <c r="M453" i="1"/>
  <c r="N453" i="1"/>
  <c r="O453" i="1"/>
  <c r="P453" i="1"/>
  <c r="N455" i="1"/>
  <c r="M455" i="1"/>
  <c r="M457" i="1"/>
  <c r="O457" i="1"/>
  <c r="L457" i="1"/>
  <c r="N457" i="1"/>
  <c r="P457" i="1"/>
  <c r="L459" i="1"/>
  <c r="M459" i="1"/>
  <c r="O459" i="1"/>
  <c r="L461" i="1"/>
  <c r="M461" i="1"/>
  <c r="O461" i="1"/>
  <c r="P461" i="1"/>
  <c r="M511" i="1"/>
  <c r="O511" i="1"/>
  <c r="P511" i="1"/>
  <c r="L506" i="1"/>
  <c r="M506" i="1"/>
  <c r="N506" i="1"/>
  <c r="O506" i="1"/>
  <c r="P506" i="1"/>
  <c r="L511" i="1"/>
  <c r="N511" i="1"/>
  <c r="P523" i="1"/>
  <c r="N531" i="1"/>
  <c r="O544" i="1"/>
  <c r="M583" i="1"/>
  <c r="N583" i="1"/>
  <c r="O583" i="1"/>
  <c r="P583" i="1"/>
  <c r="L583" i="1"/>
  <c r="O599" i="1"/>
  <c r="M591" i="1"/>
  <c r="O594" i="1"/>
  <c r="P612" i="1"/>
  <c r="L605" i="1"/>
  <c r="N608" i="1"/>
  <c r="O608" i="1"/>
  <c r="L614" i="1"/>
  <c r="M631" i="1"/>
  <c r="N631" i="1"/>
  <c r="O641" i="1"/>
  <c r="L658" i="1"/>
  <c r="P651" i="1"/>
  <c r="N699" i="1"/>
  <c r="P699" i="1"/>
  <c r="L700" i="1"/>
  <c r="P671" i="1"/>
  <c r="N676" i="1"/>
  <c r="L680" i="1"/>
  <c r="O700" i="1"/>
  <c r="L684" i="1"/>
  <c r="M684" i="1"/>
  <c r="N684" i="1"/>
  <c r="O684" i="1"/>
  <c r="P684" i="1"/>
  <c r="M702" i="1"/>
  <c r="O704" i="1"/>
  <c r="P705" i="1"/>
  <c r="P710" i="1"/>
  <c r="L712" i="1"/>
  <c r="M712" i="1"/>
  <c r="N712" i="1"/>
  <c r="O712" i="1"/>
  <c r="N715" i="1"/>
  <c r="M715" i="1"/>
  <c r="O715" i="1"/>
  <c r="L723" i="1"/>
  <c r="O723" i="1"/>
  <c r="P723" i="1"/>
  <c r="P732" i="1"/>
  <c r="L739" i="1"/>
  <c r="M739" i="1"/>
  <c r="N739" i="1"/>
  <c r="O739" i="1"/>
  <c r="P739" i="1"/>
  <c r="P817" i="1"/>
  <c r="O773" i="1"/>
  <c r="M773" i="1"/>
  <c r="L775" i="1"/>
  <c r="L770" i="1" s="1"/>
  <c r="O775" i="1"/>
  <c r="O770" i="1" s="1"/>
  <c r="P775" i="1"/>
  <c r="P770" i="1" s="1"/>
  <c r="N775" i="1"/>
  <c r="N770" i="1" s="1"/>
  <c r="L777" i="1"/>
  <c r="M777" i="1"/>
  <c r="O777" i="1"/>
  <c r="P777" i="1"/>
  <c r="N777" i="1"/>
  <c r="N790" i="1"/>
  <c r="P790" i="1"/>
  <c r="L790" i="1"/>
  <c r="M790" i="1"/>
  <c r="O790" i="1"/>
  <c r="L793" i="1"/>
  <c r="M793" i="1"/>
  <c r="N793" i="1"/>
  <c r="O793" i="1"/>
  <c r="O794" i="1"/>
  <c r="L796" i="1"/>
  <c r="M796" i="1"/>
  <c r="N796" i="1"/>
  <c r="L797" i="1"/>
  <c r="M798" i="1"/>
  <c r="L803" i="1"/>
  <c r="M803" i="1"/>
  <c r="N803" i="1"/>
  <c r="O803" i="1"/>
  <c r="P803" i="1"/>
  <c r="L805" i="1"/>
  <c r="M805" i="1"/>
  <c r="N805" i="1"/>
  <c r="O805" i="1"/>
  <c r="P805" i="1"/>
  <c r="L808" i="1"/>
  <c r="L810" i="1" s="1"/>
  <c r="M808" i="1"/>
  <c r="N808" i="1"/>
  <c r="N810" i="1" s="1"/>
  <c r="O808" i="1"/>
  <c r="O810" i="1" s="1"/>
  <c r="P808" i="1"/>
  <c r="L812" i="1"/>
  <c r="O812" i="1"/>
  <c r="P812" i="1"/>
  <c r="M812" i="1"/>
  <c r="N812" i="1"/>
  <c r="L814" i="1"/>
  <c r="L881" i="1" s="1"/>
  <c r="M814" i="1"/>
  <c r="M881" i="1" s="1"/>
  <c r="N814" i="1"/>
  <c r="N881" i="1" s="1"/>
  <c r="P814" i="1"/>
  <c r="O814" i="1"/>
  <c r="N817" i="1"/>
  <c r="L819" i="1"/>
  <c r="N819" i="1"/>
  <c r="L830" i="1"/>
  <c r="M830" i="1"/>
  <c r="N830" i="1"/>
  <c r="O830" i="1"/>
  <c r="P830" i="1"/>
  <c r="L832" i="1"/>
  <c r="O832" i="1"/>
  <c r="P832" i="1"/>
  <c r="N844" i="1"/>
  <c r="L844" i="1"/>
  <c r="M844" i="1"/>
  <c r="O844" i="1"/>
  <c r="O846" i="1"/>
  <c r="L846" i="1"/>
  <c r="M878" i="1"/>
  <c r="N846" i="1"/>
  <c r="L848" i="1"/>
  <c r="M848" i="1"/>
  <c r="N848" i="1"/>
  <c r="O848" i="1"/>
  <c r="P848" i="1"/>
  <c r="M850" i="1"/>
  <c r="L850" i="1"/>
  <c r="O850" i="1"/>
  <c r="P850" i="1"/>
  <c r="L852" i="1"/>
  <c r="M852" i="1"/>
  <c r="N852" i="1"/>
  <c r="L854" i="1"/>
  <c r="M854" i="1"/>
  <c r="N854" i="1"/>
  <c r="O854" i="1"/>
  <c r="P854" i="1"/>
  <c r="M860" i="1"/>
  <c r="P860" i="1"/>
  <c r="M866" i="1"/>
  <c r="N866" i="1"/>
  <c r="N889" i="1"/>
  <c r="L891" i="1"/>
  <c r="P889" i="1"/>
  <c r="N891" i="1"/>
  <c r="L892" i="1"/>
  <c r="M892" i="1"/>
  <c r="N892" i="1"/>
  <c r="O892" i="1"/>
  <c r="P892" i="1"/>
  <c r="L960" i="1"/>
  <c r="L912" i="1"/>
  <c r="N912" i="1"/>
  <c r="N967" i="1" s="1"/>
  <c r="P912" i="1"/>
  <c r="L911" i="1"/>
  <c r="L913" i="1"/>
  <c r="M913" i="1"/>
  <c r="N913" i="1"/>
  <c r="O913" i="1"/>
  <c r="P913" i="1"/>
  <c r="P968" i="1" s="1"/>
  <c r="L915" i="1"/>
  <c r="M915" i="1"/>
  <c r="N915" i="1"/>
  <c r="O915" i="1"/>
  <c r="P915" i="1"/>
  <c r="M917" i="1"/>
  <c r="O917" i="1"/>
  <c r="P917" i="1"/>
  <c r="O921" i="1"/>
  <c r="L921" i="1"/>
  <c r="M921" i="1"/>
  <c r="N921" i="1"/>
  <c r="P921" i="1"/>
  <c r="P920" i="1" s="1"/>
  <c r="N927" i="1"/>
  <c r="O927" i="1"/>
  <c r="L956" i="1"/>
  <c r="N957" i="1"/>
  <c r="O957" i="1"/>
  <c r="N931" i="1"/>
  <c r="O931" i="1"/>
  <c r="L931" i="1"/>
  <c r="M931" i="1"/>
  <c r="P931" i="1"/>
  <c r="N960" i="1"/>
  <c r="O960" i="1"/>
  <c r="L937" i="1"/>
  <c r="N937" i="1"/>
  <c r="P937" i="1"/>
  <c r="L945" i="1"/>
  <c r="M945" i="1"/>
  <c r="N945" i="1"/>
  <c r="O945" i="1"/>
  <c r="P945" i="1"/>
  <c r="L947" i="1"/>
  <c r="M947" i="1"/>
  <c r="P947" i="1"/>
  <c r="L949" i="1"/>
  <c r="N949" i="1"/>
  <c r="L951" i="1"/>
  <c r="N951" i="1"/>
  <c r="O951" i="1"/>
  <c r="L971" i="1"/>
  <c r="M951" i="1"/>
  <c r="O971" i="1"/>
  <c r="P951" i="1"/>
  <c r="M957" i="1"/>
  <c r="P957" i="1"/>
  <c r="N961" i="1"/>
  <c r="N971" i="1"/>
  <c r="P971" i="1"/>
  <c r="L977" i="1"/>
  <c r="L1111" i="1"/>
  <c r="O990" i="1"/>
  <c r="P990" i="1"/>
  <c r="M994" i="1"/>
  <c r="M1014" i="1"/>
  <c r="L1016" i="1"/>
  <c r="L1017" i="1" s="1"/>
  <c r="M1016" i="1"/>
  <c r="M1017" i="1" s="1"/>
  <c r="M1114" i="1" s="1"/>
  <c r="N1016" i="1"/>
  <c r="N1017" i="1" s="1"/>
  <c r="N1114" i="1" s="1"/>
  <c r="O1016" i="1"/>
  <c r="O1017" i="1" s="1"/>
  <c r="O1114" i="1" s="1"/>
  <c r="P1016" i="1"/>
  <c r="P1017" i="1" s="1"/>
  <c r="N1023" i="1"/>
  <c r="P1023" i="1"/>
  <c r="M1026" i="1"/>
  <c r="O1026" i="1"/>
  <c r="P1026" i="1"/>
  <c r="L1028" i="1"/>
  <c r="M1028" i="1"/>
  <c r="N1028" i="1"/>
  <c r="O1028" i="1"/>
  <c r="P1028" i="1"/>
  <c r="L1031" i="1"/>
  <c r="M1031" i="1"/>
  <c r="N1031" i="1"/>
  <c r="O1031" i="1"/>
  <c r="P1031" i="1"/>
  <c r="L1038" i="1"/>
  <c r="M1038" i="1"/>
  <c r="N1038" i="1"/>
  <c r="O1038" i="1"/>
  <c r="P1038" i="1"/>
  <c r="L1040" i="1"/>
  <c r="M1040" i="1"/>
  <c r="N1040" i="1"/>
  <c r="O1040" i="1"/>
  <c r="P1040" i="1"/>
  <c r="N1044" i="1"/>
  <c r="P1045" i="1"/>
  <c r="P1057" i="1"/>
  <c r="O1124" i="1"/>
  <c r="L1060" i="1"/>
  <c r="M1086" i="1"/>
  <c r="P1062" i="1"/>
  <c r="L1112" i="1"/>
  <c r="M1062" i="1"/>
  <c r="M1065" i="1"/>
  <c r="N1065" i="1"/>
  <c r="O1065" i="1"/>
  <c r="O1072" i="1"/>
  <c r="O1098" i="1" s="1"/>
  <c r="O1073" i="1"/>
  <c r="L1073" i="1"/>
  <c r="P1073" i="1"/>
  <c r="O1075" i="1"/>
  <c r="M1075" i="1"/>
  <c r="N1075" i="1"/>
  <c r="O1101" i="1"/>
  <c r="P1075" i="1"/>
  <c r="L1077" i="1"/>
  <c r="M1103" i="1"/>
  <c r="N1077" i="1"/>
  <c r="P1077" i="1"/>
  <c r="L1105" i="1"/>
  <c r="P1079" i="1"/>
  <c r="M1127" i="1"/>
  <c r="P1103" i="1"/>
  <c r="M1112" i="1"/>
  <c r="M1120" i="1"/>
  <c r="P1122" i="1"/>
  <c r="M1125" i="1"/>
  <c r="O1127" i="1"/>
  <c r="P1127" i="1"/>
  <c r="O1268" i="1"/>
  <c r="M1269" i="1"/>
  <c r="L1273" i="1"/>
  <c r="O1274" i="1"/>
  <c r="O1285" i="1"/>
  <c r="M1288" i="1"/>
  <c r="L1303" i="1"/>
  <c r="N1303" i="1"/>
  <c r="N1265" i="1"/>
  <c r="M1267" i="1"/>
  <c r="N1267" i="1"/>
  <c r="O1267" i="1"/>
  <c r="M1268" i="1"/>
  <c r="N1270" i="1"/>
  <c r="M1271" i="1"/>
  <c r="N1271" i="1"/>
  <c r="O1271" i="1"/>
  <c r="P1271" i="1"/>
  <c r="M1272" i="1"/>
  <c r="L1275" i="1"/>
  <c r="N1275" i="1"/>
  <c r="L1277" i="1"/>
  <c r="P1278" i="1"/>
  <c r="O1279" i="1"/>
  <c r="P1280" i="1"/>
  <c r="M1283" i="1"/>
  <c r="N1283" i="1"/>
  <c r="O1284" i="1"/>
  <c r="P1284" i="1"/>
  <c r="L1285" i="1"/>
  <c r="M1285" i="1"/>
  <c r="N1285" i="1"/>
  <c r="P1285" i="1"/>
  <c r="L1286" i="1"/>
  <c r="O1286" i="1"/>
  <c r="O1287" i="1"/>
  <c r="P1288" i="1"/>
  <c r="L1289" i="1"/>
  <c r="M1289" i="1"/>
  <c r="M1291" i="1"/>
  <c r="P1292" i="1"/>
  <c r="L1293" i="1"/>
  <c r="M1293" i="1"/>
  <c r="M1294" i="1"/>
  <c r="O1294" i="1"/>
  <c r="P1294" i="1"/>
  <c r="P1297" i="1"/>
  <c r="L1300" i="1"/>
  <c r="M1300" i="1"/>
  <c r="N1300" i="1"/>
  <c r="N1302" i="1"/>
  <c r="P1302" i="1"/>
  <c r="L1304" i="1"/>
  <c r="M1304" i="1"/>
  <c r="N1304" i="1"/>
  <c r="O1304" i="1"/>
  <c r="N1307" i="1"/>
  <c r="N1308" i="1"/>
  <c r="P1308" i="1"/>
  <c r="O1309" i="1"/>
  <c r="O1311" i="1"/>
  <c r="L1312" i="1"/>
  <c r="O1312" i="1"/>
  <c r="P1312" i="1"/>
  <c r="L1313" i="1"/>
  <c r="M1313" i="1"/>
  <c r="O1313" i="1"/>
  <c r="N1295" i="1"/>
  <c r="L1298" i="1"/>
  <c r="N1298" i="1"/>
  <c r="N1301" i="1"/>
  <c r="M1379" i="1"/>
  <c r="L1384" i="1"/>
  <c r="O1384" i="1"/>
  <c r="M1390" i="1"/>
  <c r="N1376" i="1"/>
  <c r="O1377" i="1"/>
  <c r="O1378" i="1"/>
  <c r="L1380" i="1"/>
  <c r="P1380" i="1"/>
  <c r="P1381" i="1"/>
  <c r="P1382" i="1"/>
  <c r="L1383" i="1"/>
  <c r="N1383" i="1"/>
  <c r="M1386" i="1"/>
  <c r="N1386" i="1"/>
  <c r="N1390" i="1"/>
  <c r="O1390" i="1"/>
  <c r="P1390" i="1"/>
  <c r="M1391" i="1"/>
  <c r="L1392" i="1"/>
  <c r="N1392" i="1"/>
  <c r="L1393" i="1"/>
  <c r="L1396" i="1"/>
  <c r="M1397" i="1"/>
  <c r="N1397" i="1"/>
  <c r="O1397" i="1"/>
  <c r="P1397" i="1"/>
  <c r="P1398" i="1"/>
  <c r="P1475" i="1"/>
  <c r="N1481" i="1"/>
  <c r="M1461" i="1"/>
  <c r="N1461" i="1"/>
  <c r="O1461" i="1"/>
  <c r="N1462" i="1"/>
  <c r="O1465" i="1"/>
  <c r="L1466" i="1"/>
  <c r="P1466" i="1"/>
  <c r="M1467" i="1"/>
  <c r="P1469" i="1"/>
  <c r="M1470" i="1"/>
  <c r="O1470" i="1"/>
  <c r="O1471" i="1"/>
  <c r="N1473" i="1"/>
  <c r="L1474" i="1"/>
  <c r="O1474" i="1"/>
  <c r="M1475" i="1"/>
  <c r="N1475" i="1"/>
  <c r="M1476" i="1"/>
  <c r="N1476" i="1"/>
  <c r="O1476" i="1"/>
  <c r="P1476" i="1"/>
  <c r="P1478" i="1"/>
  <c r="M1479" i="1"/>
  <c r="P1479" i="1"/>
  <c r="N1480" i="1"/>
  <c r="P1480" i="1"/>
  <c r="P1481" i="1"/>
  <c r="L1482" i="1"/>
  <c r="N1463" i="1"/>
  <c r="O1479" i="1"/>
  <c r="L1484" i="1"/>
  <c r="L1483" i="1" s="1"/>
  <c r="M1484" i="1"/>
  <c r="M1483" i="1" s="1"/>
  <c r="N1484" i="1"/>
  <c r="N1483" i="1" s="1"/>
  <c r="O1484" i="1"/>
  <c r="O1483" i="1" s="1"/>
  <c r="P1484" i="1"/>
  <c r="P1483" i="1" s="1"/>
  <c r="L1486" i="1"/>
  <c r="N1486" i="1"/>
  <c r="P1486" i="1"/>
  <c r="L1491" i="1"/>
  <c r="L1490" i="1" s="1"/>
  <c r="M1491" i="1"/>
  <c r="M1490" i="1" s="1"/>
  <c r="N1491" i="1"/>
  <c r="N1490" i="1" s="1"/>
  <c r="O1491" i="1"/>
  <c r="O1490" i="1" s="1"/>
  <c r="L1493" i="1"/>
  <c r="P1493" i="1"/>
  <c r="P1537" i="1"/>
  <c r="L1538" i="1"/>
  <c r="N1539" i="1"/>
  <c r="M1508" i="1"/>
  <c r="N1543" i="1"/>
  <c r="L1535" i="1"/>
  <c r="O1536" i="1"/>
  <c r="O1538" i="1"/>
  <c r="L1540" i="1"/>
  <c r="N1540" i="1"/>
  <c r="O1540" i="1"/>
  <c r="P1540" i="1"/>
  <c r="O1543" i="1"/>
  <c r="M1544" i="1"/>
  <c r="O1544" i="1"/>
  <c r="O1545" i="1"/>
  <c r="P1545" i="1"/>
  <c r="L1550" i="1"/>
  <c r="M1550" i="1"/>
  <c r="O1550" i="1"/>
  <c r="P1550" i="1"/>
  <c r="L1567" i="1"/>
  <c r="M1567" i="1"/>
  <c r="O1567" i="1"/>
  <c r="P1567" i="1"/>
  <c r="M1585" i="1"/>
  <c r="O1585" i="1"/>
  <c r="P1585" i="1"/>
  <c r="O1588" i="1"/>
  <c r="M1589" i="1"/>
  <c r="P1592" i="1"/>
  <c r="L1594" i="1"/>
  <c r="N1594" i="1"/>
  <c r="N1597" i="1"/>
  <c r="L1597" i="1"/>
  <c r="O1597" i="1"/>
  <c r="P1597" i="1"/>
  <c r="L1614" i="1"/>
  <c r="M1614" i="1"/>
  <c r="N1614" i="1"/>
  <c r="O1614" i="1"/>
  <c r="P1631" i="1"/>
  <c r="L1634" i="1"/>
  <c r="M1634" i="1"/>
  <c r="L1635" i="1"/>
  <c r="N1635" i="1"/>
  <c r="P1635" i="1"/>
  <c r="O1636" i="1"/>
  <c r="M1637" i="1"/>
  <c r="O1637" i="1"/>
  <c r="P1637" i="1"/>
  <c r="O1638" i="1"/>
  <c r="N1682" i="1"/>
  <c r="M1649" i="1"/>
  <c r="N1649" i="1"/>
  <c r="O1649" i="1"/>
  <c r="P1649" i="1"/>
  <c r="L1687" i="1"/>
  <c r="L1679" i="1"/>
  <c r="N1679" i="1"/>
  <c r="L1680" i="1"/>
  <c r="O1680" i="1"/>
  <c r="P1680" i="1"/>
  <c r="M1681" i="1"/>
  <c r="L1683" i="1"/>
  <c r="M1683" i="1"/>
  <c r="N1683" i="1"/>
  <c r="O1683" i="1"/>
  <c r="P1683" i="1"/>
  <c r="O1684" i="1"/>
  <c r="L1685" i="1"/>
  <c r="P1685" i="1"/>
  <c r="M1687" i="1"/>
  <c r="M1710" i="1"/>
  <c r="O1710" i="1"/>
  <c r="L1702" i="1"/>
  <c r="N1707" i="1"/>
  <c r="L1712" i="1"/>
  <c r="M1712" i="1"/>
  <c r="N1712" i="1"/>
  <c r="O1712" i="1"/>
  <c r="P1712" i="1"/>
  <c r="L1715" i="1"/>
  <c r="M1715" i="1"/>
  <c r="N1715" i="1"/>
  <c r="O1715" i="1"/>
  <c r="P1715" i="1"/>
  <c r="M1716" i="1"/>
  <c r="N1716" i="1"/>
  <c r="O1717" i="1"/>
  <c r="P1717" i="1"/>
  <c r="L1718" i="1"/>
  <c r="M1718" i="1"/>
  <c r="N1718" i="1"/>
  <c r="O1718" i="1"/>
  <c r="P1718" i="1"/>
  <c r="L1719" i="1"/>
  <c r="O1719" i="1"/>
  <c r="P1719" i="1"/>
  <c r="M1721" i="1"/>
  <c r="O1721" i="1"/>
  <c r="L1722" i="1"/>
  <c r="M1722" i="1"/>
  <c r="N1722" i="1"/>
  <c r="O1722" i="1"/>
  <c r="M1732" i="1"/>
  <c r="N1732" i="1"/>
  <c r="O1732" i="1"/>
  <c r="P1732" i="1"/>
  <c r="L1733" i="1"/>
  <c r="M1733" i="1"/>
  <c r="N1733" i="1"/>
  <c r="O1733" i="1"/>
  <c r="P1733" i="1"/>
  <c r="L1734" i="1"/>
  <c r="M1734" i="1"/>
  <c r="N1734" i="1"/>
  <c r="O1734" i="1"/>
  <c r="P1734" i="1"/>
  <c r="L1739" i="1"/>
  <c r="M1739" i="1"/>
  <c r="N1739" i="1"/>
  <c r="P1739" i="1"/>
  <c r="L1741" i="1"/>
  <c r="M1741" i="1"/>
  <c r="O1741" i="1"/>
  <c r="P1741" i="1"/>
  <c r="L1743" i="1"/>
  <c r="P1743" i="1"/>
  <c r="L1744" i="1"/>
  <c r="O1744" i="1"/>
  <c r="P1744" i="1"/>
  <c r="L1745" i="1"/>
  <c r="N1745" i="1"/>
  <c r="O1745" i="1"/>
  <c r="P1745" i="1"/>
  <c r="L1746" i="1"/>
  <c r="M1746" i="1"/>
  <c r="N1746" i="1"/>
  <c r="O1746" i="1"/>
  <c r="P1746" i="1"/>
  <c r="L1748" i="1"/>
  <c r="M1748" i="1"/>
  <c r="N1748" i="1"/>
  <c r="O1748" i="1"/>
  <c r="L1749" i="1"/>
  <c r="M1749" i="1"/>
  <c r="N1749" i="1"/>
  <c r="O1749" i="1"/>
  <c r="P1749" i="1"/>
  <c r="M1750" i="1"/>
  <c r="N1750" i="1"/>
  <c r="O1750" i="1"/>
  <c r="N1752" i="1"/>
  <c r="O1752" i="1"/>
  <c r="P1752" i="1"/>
  <c r="L1753" i="1"/>
  <c r="M1753" i="1"/>
  <c r="N1753" i="1"/>
  <c r="O1753" i="1"/>
  <c r="P1753" i="1"/>
  <c r="L1754" i="1"/>
  <c r="M1754" i="1"/>
  <c r="N1754" i="1"/>
  <c r="O1754" i="1"/>
  <c r="P1754" i="1"/>
  <c r="L1755" i="1"/>
  <c r="M1755" i="1"/>
  <c r="N1755" i="1"/>
  <c r="O1755" i="1"/>
  <c r="P1755" i="1"/>
  <c r="M1757" i="1"/>
  <c r="N1757" i="1"/>
  <c r="O1757" i="1"/>
  <c r="L1758" i="1"/>
  <c r="M1758" i="1"/>
  <c r="N1758" i="1"/>
  <c r="O1758" i="1"/>
  <c r="P1758" i="1"/>
  <c r="L1760" i="1"/>
  <c r="M1760" i="1"/>
  <c r="N1760" i="1"/>
  <c r="O1760" i="1"/>
  <c r="P1760" i="1"/>
  <c r="L1762" i="1"/>
  <c r="N1762" i="1"/>
  <c r="P1762" i="1"/>
  <c r="P1766" i="1"/>
  <c r="P1770" i="1"/>
  <c r="M1801" i="1"/>
  <c r="P1801" i="1"/>
  <c r="L1801" i="1"/>
  <c r="N1801" i="1"/>
  <c r="O1801" i="1"/>
  <c r="L1810" i="1"/>
  <c r="M1810" i="1"/>
  <c r="O1810" i="1"/>
  <c r="P1810" i="1"/>
  <c r="N1810" i="1"/>
  <c r="L1828" i="1"/>
  <c r="M1828" i="1"/>
  <c r="N1828" i="1"/>
  <c r="O1828" i="1"/>
  <c r="P1828" i="1"/>
  <c r="L1830" i="1"/>
  <c r="L1833" i="1"/>
  <c r="M1833" i="1"/>
  <c r="N1833" i="1"/>
  <c r="O1833" i="1"/>
  <c r="P1833" i="1"/>
  <c r="L1835" i="1"/>
  <c r="M1835" i="1"/>
  <c r="N1835" i="1"/>
  <c r="O1835" i="1"/>
  <c r="P1835" i="1"/>
  <c r="L1837" i="1"/>
  <c r="M1837" i="1"/>
  <c r="N1837" i="1"/>
  <c r="O1837" i="1"/>
  <c r="P1837" i="1"/>
  <c r="L1839" i="1"/>
  <c r="M1839" i="1"/>
  <c r="N1839" i="1"/>
  <c r="O1839" i="1"/>
  <c r="P1839" i="1"/>
  <c r="L1841" i="1"/>
  <c r="M1841" i="1"/>
  <c r="N1841" i="1"/>
  <c r="O1841" i="1"/>
  <c r="P1841" i="1"/>
  <c r="L1847" i="1"/>
  <c r="M1847" i="1"/>
  <c r="N1847" i="1"/>
  <c r="O1847" i="1"/>
  <c r="P1847" i="1"/>
  <c r="P1849" i="1"/>
  <c r="L1852" i="1"/>
  <c r="M1852" i="1"/>
  <c r="N1852" i="1"/>
  <c r="O1852" i="1"/>
  <c r="P1852" i="1"/>
  <c r="L1854" i="1"/>
  <c r="M1854" i="1"/>
  <c r="N1854" i="1"/>
  <c r="O1854" i="1"/>
  <c r="P1854" i="1"/>
  <c r="L1856" i="1"/>
  <c r="M1856" i="1"/>
  <c r="N1856" i="1"/>
  <c r="O1856" i="1"/>
  <c r="P1856" i="1"/>
  <c r="L1858" i="1"/>
  <c r="M1858" i="1"/>
  <c r="N1858" i="1"/>
  <c r="O1858" i="1"/>
  <c r="P1858" i="1"/>
  <c r="L1860" i="1"/>
  <c r="M1860" i="1"/>
  <c r="N1860" i="1"/>
  <c r="O1860" i="1"/>
  <c r="P1860" i="1"/>
  <c r="M1863" i="1"/>
  <c r="N1863" i="1"/>
  <c r="M1866" i="1"/>
  <c r="O1869" i="1"/>
  <c r="P1869" i="1"/>
  <c r="L1873" i="1"/>
  <c r="M1873" i="1"/>
  <c r="N1873" i="1"/>
  <c r="O1873" i="1"/>
  <c r="P1873" i="1"/>
  <c r="L1875" i="1"/>
  <c r="M1875" i="1"/>
  <c r="N1875" i="1"/>
  <c r="O1875" i="1"/>
  <c r="P1875" i="1"/>
  <c r="L1877" i="1"/>
  <c r="M1877" i="1"/>
  <c r="N1877" i="1"/>
  <c r="O1877" i="1"/>
  <c r="P1877" i="1"/>
  <c r="L1879" i="1"/>
  <c r="M1879" i="1"/>
  <c r="N1879" i="1"/>
  <c r="O1879" i="1"/>
  <c r="P1879" i="1"/>
  <c r="L1881" i="1"/>
  <c r="M1881" i="1"/>
  <c r="N1881" i="1"/>
  <c r="O1881" i="1"/>
  <c r="P1881" i="1"/>
  <c r="L1883" i="1"/>
  <c r="M1883" i="1"/>
  <c r="N1883" i="1"/>
  <c r="O1883" i="1"/>
  <c r="P1883" i="1"/>
  <c r="M1886" i="1"/>
  <c r="L1889" i="1"/>
  <c r="M1889" i="1"/>
  <c r="N1889" i="1"/>
  <c r="O1889" i="1"/>
  <c r="P1889" i="1"/>
  <c r="P1891" i="1"/>
  <c r="L1895" i="1"/>
  <c r="M1895" i="1"/>
  <c r="N1895" i="1"/>
  <c r="O1895" i="1"/>
  <c r="P1895" i="1"/>
  <c r="L1897" i="1"/>
  <c r="M1897" i="1"/>
  <c r="N1897" i="1"/>
  <c r="O1897" i="1"/>
  <c r="P1897" i="1"/>
  <c r="L1899" i="1"/>
  <c r="M1899" i="1"/>
  <c r="N1899" i="1"/>
  <c r="O1899" i="1"/>
  <c r="P1899" i="1"/>
  <c r="L1901" i="1"/>
  <c r="M1901" i="1"/>
  <c r="N1901" i="1"/>
  <c r="O1901" i="1"/>
  <c r="P1901" i="1"/>
  <c r="L2027" i="1"/>
  <c r="M2027" i="1"/>
  <c r="N2027" i="1"/>
  <c r="O2027" i="1"/>
  <c r="P2027" i="1"/>
  <c r="L2030" i="1"/>
  <c r="M2030" i="1"/>
  <c r="N2030" i="1"/>
  <c r="O2030" i="1"/>
  <c r="P2030" i="1"/>
  <c r="L2051" i="1"/>
  <c r="M2051" i="1"/>
  <c r="N2051" i="1"/>
  <c r="O2051" i="1"/>
  <c r="P2051" i="1"/>
  <c r="L2092" i="1"/>
  <c r="M2092" i="1"/>
  <c r="N2092" i="1"/>
  <c r="O2092" i="1"/>
  <c r="P2092" i="1"/>
  <c r="L2101" i="1"/>
  <c r="M2101" i="1"/>
  <c r="N2101" i="1"/>
  <c r="O2101" i="1"/>
  <c r="P2101" i="1"/>
  <c r="O2102" i="1"/>
  <c r="N2102" i="1"/>
  <c r="L2238" i="1"/>
  <c r="M2238" i="1"/>
  <c r="N2238" i="1"/>
  <c r="O2238" i="1"/>
  <c r="P2238" i="1"/>
  <c r="L2240" i="1"/>
  <c r="M2240" i="1"/>
  <c r="N2240" i="1"/>
  <c r="O2240" i="1"/>
  <c r="L2243" i="1"/>
  <c r="M2243" i="1"/>
  <c r="N2243" i="1"/>
  <c r="O2243" i="1"/>
  <c r="P2243" i="1"/>
  <c r="L2245" i="1"/>
  <c r="M2245" i="1"/>
  <c r="N2245" i="1"/>
  <c r="O2245" i="1"/>
  <c r="P2245" i="1"/>
  <c r="L2247" i="1"/>
  <c r="M2247" i="1"/>
  <c r="N2247" i="1"/>
  <c r="O2247" i="1"/>
  <c r="P2247" i="1"/>
  <c r="L2249" i="1"/>
  <c r="M2249" i="1"/>
  <c r="N2249" i="1"/>
  <c r="O2249" i="1"/>
  <c r="P2249" i="1"/>
  <c r="L2251" i="1"/>
  <c r="M2251" i="1"/>
  <c r="N2251" i="1"/>
  <c r="O2251" i="1"/>
  <c r="P2251" i="1"/>
  <c r="L2257" i="1"/>
  <c r="M2257" i="1"/>
  <c r="N2257" i="1"/>
  <c r="O2257" i="1"/>
  <c r="P2257" i="1"/>
  <c r="L2259" i="1"/>
  <c r="N2262" i="1"/>
  <c r="L2262" i="1"/>
  <c r="M2262" i="1"/>
  <c r="O2262" i="1"/>
  <c r="P2262" i="1"/>
  <c r="L2264" i="1"/>
  <c r="M2264" i="1"/>
  <c r="N2264" i="1"/>
  <c r="O2264" i="1"/>
  <c r="P2264" i="1"/>
  <c r="P2266" i="1"/>
  <c r="L2266" i="1"/>
  <c r="M2266" i="1"/>
  <c r="N2266" i="1"/>
  <c r="O2266" i="1"/>
  <c r="L2268" i="1"/>
  <c r="M2268" i="1"/>
  <c r="N2268" i="1"/>
  <c r="O2268" i="1"/>
  <c r="P2268" i="1"/>
  <c r="L2270" i="1"/>
  <c r="M2270" i="1"/>
  <c r="N2270" i="1"/>
  <c r="O2270" i="1"/>
  <c r="P2270" i="1"/>
  <c r="M2273" i="1"/>
  <c r="L2283" i="1"/>
  <c r="M2283" i="1"/>
  <c r="N2283" i="1"/>
  <c r="O2283" i="1"/>
  <c r="P2283" i="1"/>
  <c r="L2285" i="1"/>
  <c r="M2285" i="1"/>
  <c r="N2285" i="1"/>
  <c r="O2285" i="1"/>
  <c r="P2285" i="1"/>
  <c r="L2287" i="1"/>
  <c r="M2287" i="1"/>
  <c r="N2287" i="1"/>
  <c r="O2287" i="1"/>
  <c r="P2287" i="1"/>
  <c r="L2289" i="1"/>
  <c r="M2289" i="1"/>
  <c r="N2289" i="1"/>
  <c r="O2289" i="1"/>
  <c r="P2289" i="1"/>
  <c r="L2291" i="1"/>
  <c r="M2291" i="1"/>
  <c r="N2291" i="1"/>
  <c r="O2291" i="1"/>
  <c r="P2291" i="1"/>
  <c r="L2293" i="1"/>
  <c r="M2293" i="1"/>
  <c r="N2293" i="1"/>
  <c r="O2293" i="1"/>
  <c r="P2293" i="1"/>
  <c r="P2296" i="1"/>
  <c r="L2299" i="1"/>
  <c r="M2299" i="1"/>
  <c r="N2299" i="1"/>
  <c r="O2299" i="1"/>
  <c r="P2299" i="1"/>
  <c r="L2305" i="1"/>
  <c r="M2305" i="1"/>
  <c r="N2305" i="1"/>
  <c r="O2305" i="1"/>
  <c r="P2305" i="1"/>
  <c r="L2307" i="1"/>
  <c r="M2307" i="1"/>
  <c r="N2307" i="1"/>
  <c r="O2307" i="1"/>
  <c r="P2307" i="1"/>
  <c r="L2309" i="1"/>
  <c r="M2309" i="1"/>
  <c r="N2309" i="1"/>
  <c r="O2309" i="1"/>
  <c r="P2309" i="1"/>
  <c r="L2311" i="1"/>
  <c r="M2311" i="1"/>
  <c r="N2311" i="1"/>
  <c r="O2311" i="1"/>
  <c r="P2311" i="1"/>
  <c r="L2318" i="1"/>
  <c r="M2318" i="1"/>
  <c r="N2318" i="1"/>
  <c r="O2318" i="1"/>
  <c r="P2318" i="1"/>
  <c r="L2321" i="1"/>
  <c r="M2321" i="1"/>
  <c r="N2321" i="1"/>
  <c r="O2321" i="1"/>
  <c r="P2321" i="1"/>
  <c r="O47" i="1"/>
  <c r="K114" i="1" l="1"/>
  <c r="F902" i="1"/>
  <c r="F899" i="1"/>
  <c r="M769" i="1"/>
  <c r="M861" i="1" s="1"/>
  <c r="L114" i="1"/>
  <c r="H114" i="1"/>
  <c r="J114" i="1"/>
  <c r="I114" i="1"/>
  <c r="M2061" i="1"/>
  <c r="I104" i="1"/>
  <c r="G109" i="1"/>
  <c r="N2235" i="1"/>
  <c r="L1633" i="1"/>
  <c r="G100" i="1"/>
  <c r="I109" i="1"/>
  <c r="Q987" i="1"/>
  <c r="Q986" i="1" s="1"/>
  <c r="H100" i="1"/>
  <c r="P2276" i="1"/>
  <c r="L2235" i="1"/>
  <c r="G104" i="1"/>
  <c r="I100" i="1"/>
  <c r="G105" i="1"/>
  <c r="H109" i="1"/>
  <c r="Q587" i="1"/>
  <c r="Q586" i="1" s="1"/>
  <c r="H105" i="1"/>
  <c r="I105" i="1"/>
  <c r="G110" i="1"/>
  <c r="P1678" i="1"/>
  <c r="I99" i="1"/>
  <c r="Q977" i="1"/>
  <c r="Q1052" i="1"/>
  <c r="Q1049" i="1" s="1"/>
  <c r="Q1050" i="1" s="1"/>
  <c r="Q598" i="1"/>
  <c r="G101" i="1"/>
  <c r="I110" i="1"/>
  <c r="P2273" i="1"/>
  <c r="H103" i="1"/>
  <c r="H101" i="1"/>
  <c r="Q1866" i="1"/>
  <c r="Q700" i="1"/>
  <c r="I101" i="1"/>
  <c r="Q281" i="1"/>
  <c r="Q907" i="1"/>
  <c r="Q939" i="1" s="1"/>
  <c r="Q962" i="1" s="1"/>
  <c r="Q940" i="1"/>
  <c r="Q963" i="1" s="1"/>
  <c r="H99" i="1"/>
  <c r="H113" i="1"/>
  <c r="G102" i="1"/>
  <c r="H102" i="1"/>
  <c r="Q1038" i="1"/>
  <c r="Q1037" i="1" s="1"/>
  <c r="Q1122" i="1"/>
  <c r="H104" i="1"/>
  <c r="N2094" i="1"/>
  <c r="H107" i="1"/>
  <c r="N2296" i="1"/>
  <c r="O2273" i="1"/>
  <c r="Q1466" i="1"/>
  <c r="Q339" i="1"/>
  <c r="I106" i="1"/>
  <c r="Q1028" i="1"/>
  <c r="Q1133" i="1"/>
  <c r="L2102" i="1"/>
  <c r="G108" i="1"/>
  <c r="L2315" i="1"/>
  <c r="G99" i="1"/>
  <c r="L1291" i="1"/>
  <c r="O1281" i="1"/>
  <c r="Q1476" i="1"/>
  <c r="Q1460" i="1"/>
  <c r="Q1289" i="1"/>
  <c r="M1770" i="1"/>
  <c r="O1685" i="1"/>
  <c r="L1681" i="1"/>
  <c r="L1637" i="1"/>
  <c r="M1088" i="1"/>
  <c r="Q1886" i="1"/>
  <c r="Q1310" i="1"/>
  <c r="Q1266" i="1"/>
  <c r="Q1300" i="1"/>
  <c r="Q196" i="1"/>
  <c r="Q193" i="1" s="1"/>
  <c r="Q551" i="1"/>
  <c r="P1461" i="1"/>
  <c r="L1388" i="1"/>
  <c r="L1322" i="1"/>
  <c r="O1290" i="1"/>
  <c r="N900" i="1"/>
  <c r="L536" i="1"/>
  <c r="Q937" i="1"/>
  <c r="Q860" i="1"/>
  <c r="N1466" i="1"/>
  <c r="N1290" i="1"/>
  <c r="N1276" i="1"/>
  <c r="L1288" i="1"/>
  <c r="N1033" i="1"/>
  <c r="N1034" i="1" s="1"/>
  <c r="M605" i="1"/>
  <c r="P367" i="1"/>
  <c r="M184" i="1"/>
  <c r="Q1384" i="1"/>
  <c r="Q1287" i="1"/>
  <c r="Q900" i="1"/>
  <c r="L1815" i="1"/>
  <c r="L1632" i="1"/>
  <c r="M1471" i="1"/>
  <c r="O1387" i="1"/>
  <c r="P1377" i="1"/>
  <c r="O1322" i="1"/>
  <c r="L1295" i="1"/>
  <c r="M1290" i="1"/>
  <c r="M1152" i="1"/>
  <c r="O1265" i="1"/>
  <c r="L1075" i="1"/>
  <c r="N1127" i="1"/>
  <c r="L717" i="1"/>
  <c r="M676" i="1"/>
  <c r="L909" i="1"/>
  <c r="L941" i="1" s="1"/>
  <c r="L964" i="1" s="1"/>
  <c r="O219" i="1"/>
  <c r="Q1849" i="1"/>
  <c r="Q1541" i="1"/>
  <c r="Q1464" i="1"/>
  <c r="Q1383" i="1"/>
  <c r="Q960" i="1"/>
  <c r="Q705" i="1"/>
  <c r="Q442" i="1"/>
  <c r="Q441" i="1" s="1"/>
  <c r="Q183" i="1"/>
  <c r="M1702" i="1"/>
  <c r="M1636" i="1"/>
  <c r="P1535" i="1"/>
  <c r="M1307" i="1"/>
  <c r="M708" i="1"/>
  <c r="P601" i="1"/>
  <c r="L530" i="1"/>
  <c r="Q2240" i="1"/>
  <c r="Q1180" i="1"/>
  <c r="Q959" i="1"/>
  <c r="Q676" i="1"/>
  <c r="Q662" i="1" s="1"/>
  <c r="Q579" i="1"/>
  <c r="Q443" i="1"/>
  <c r="Q184" i="1"/>
  <c r="P2102" i="1"/>
  <c r="M1793" i="1"/>
  <c r="P1465" i="1"/>
  <c r="N1377" i="1"/>
  <c r="O1308" i="1"/>
  <c r="P1275" i="1"/>
  <c r="N1266" i="1"/>
  <c r="P676" i="1"/>
  <c r="P662" i="1" s="1"/>
  <c r="O613" i="1"/>
  <c r="L599" i="1"/>
  <c r="O526" i="1"/>
  <c r="M579" i="1"/>
  <c r="O305" i="1"/>
  <c r="P334" i="1"/>
  <c r="P350" i="1" s="1"/>
  <c r="Q1811" i="1"/>
  <c r="Q1540" i="1"/>
  <c r="Q1534" i="1"/>
  <c r="Q1382" i="1"/>
  <c r="Q1285" i="1"/>
  <c r="Q636" i="1"/>
  <c r="M1830" i="1"/>
  <c r="P1786" i="1"/>
  <c r="P1688" i="1"/>
  <c r="L1636" i="1"/>
  <c r="L1589" i="1"/>
  <c r="N1382" i="1"/>
  <c r="O1327" i="1"/>
  <c r="P1112" i="1"/>
  <c r="N1052" i="1"/>
  <c r="N1049" i="1" s="1"/>
  <c r="M571" i="1"/>
  <c r="Q1635" i="1"/>
  <c r="Q1305" i="1"/>
  <c r="Q1284" i="1"/>
  <c r="Q1157" i="1"/>
  <c r="L1863" i="1"/>
  <c r="N1396" i="1"/>
  <c r="P1298" i="1"/>
  <c r="N1289" i="1"/>
  <c r="P1270" i="1"/>
  <c r="P1291" i="1"/>
  <c r="O1112" i="1"/>
  <c r="L522" i="1"/>
  <c r="Q1679" i="1"/>
  <c r="Q1586" i="1"/>
  <c r="Q1283" i="1"/>
  <c r="Q992" i="1"/>
  <c r="Q993" i="1" s="1"/>
  <c r="Q956" i="1"/>
  <c r="Q608" i="1"/>
  <c r="O1679" i="1"/>
  <c r="M1474" i="1"/>
  <c r="L1381" i="1"/>
  <c r="M1308" i="1"/>
  <c r="O1298" i="1"/>
  <c r="N104" i="1"/>
  <c r="Q631" i="1"/>
  <c r="Q624" i="1" s="1"/>
  <c r="Q271" i="1"/>
  <c r="Q260" i="1" s="1"/>
  <c r="M1465" i="1"/>
  <c r="O1037" i="1"/>
  <c r="O877" i="1"/>
  <c r="L730" i="1"/>
  <c r="Q2273" i="1"/>
  <c r="Q1379" i="1"/>
  <c r="Q1303" i="1"/>
  <c r="Q1279" i="1"/>
  <c r="Q531" i="1"/>
  <c r="M1588" i="1"/>
  <c r="O1534" i="1"/>
  <c r="N1391" i="1"/>
  <c r="M1072" i="1"/>
  <c r="M1098" i="1" s="1"/>
  <c r="M1093" i="1" s="1"/>
  <c r="O968" i="1"/>
  <c r="O500" i="1"/>
  <c r="N572" i="1"/>
  <c r="O109" i="1"/>
  <c r="L70" i="1"/>
  <c r="Q1702" i="1"/>
  <c r="Q1489" i="1"/>
  <c r="Q1280" i="1"/>
  <c r="Q1203" i="1"/>
  <c r="Q1314" i="1" s="1"/>
  <c r="Q571" i="1"/>
  <c r="M1552" i="1"/>
  <c r="P1464" i="1"/>
  <c r="N1425" i="1"/>
  <c r="L1386" i="1"/>
  <c r="O1293" i="1"/>
  <c r="P1274" i="1"/>
  <c r="L366" i="1"/>
  <c r="L373" i="1" s="1"/>
  <c r="Q1537" i="1"/>
  <c r="Q921" i="1"/>
  <c r="Q920" i="1" s="1"/>
  <c r="N1544" i="1"/>
  <c r="N1474" i="1"/>
  <c r="M1376" i="1"/>
  <c r="N1312" i="1"/>
  <c r="O1120" i="1"/>
  <c r="P1111" i="1"/>
  <c r="L866" i="1"/>
  <c r="N860" i="1"/>
  <c r="M730" i="1"/>
  <c r="L695" i="1"/>
  <c r="P703" i="1"/>
  <c r="L641" i="1"/>
  <c r="M500" i="1"/>
  <c r="O525" i="1"/>
  <c r="Q2301" i="1"/>
  <c r="Q1803" i="1"/>
  <c r="Q1398" i="1"/>
  <c r="Q1377" i="1"/>
  <c r="Q1301" i="1"/>
  <c r="Q298" i="1"/>
  <c r="Q302" i="1" s="1"/>
  <c r="Q231" i="1"/>
  <c r="Q518" i="1"/>
  <c r="Q108" i="1"/>
  <c r="Q336" i="1" s="1"/>
  <c r="P1707" i="1"/>
  <c r="M1539" i="1"/>
  <c r="L1534" i="1"/>
  <c r="N1498" i="1"/>
  <c r="N1479" i="1"/>
  <c r="L1460" i="1"/>
  <c r="M1381" i="1"/>
  <c r="N1288" i="1"/>
  <c r="O866" i="1"/>
  <c r="O703" i="1"/>
  <c r="P288" i="1"/>
  <c r="Q2094" i="1"/>
  <c r="Q1770" i="1"/>
  <c r="Q803" i="1"/>
  <c r="Q187" i="1"/>
  <c r="Q186" i="1" s="1"/>
  <c r="M1592" i="1"/>
  <c r="P959" i="1"/>
  <c r="N598" i="1"/>
  <c r="Q1322" i="1"/>
  <c r="Q401" i="1"/>
  <c r="Q169" i="1"/>
  <c r="Q104" i="1"/>
  <c r="Q74" i="1"/>
  <c r="O1811" i="1"/>
  <c r="N1634" i="1"/>
  <c r="L1498" i="1"/>
  <c r="M1464" i="1"/>
  <c r="P1311" i="1"/>
  <c r="O1283" i="1"/>
  <c r="L1274" i="1"/>
  <c r="N968" i="1"/>
  <c r="O8" i="1"/>
  <c r="O1747" i="1" s="1"/>
  <c r="Q1396" i="1"/>
  <c r="Q1299" i="1"/>
  <c r="Q1293" i="1"/>
  <c r="Q974" i="1"/>
  <c r="Q917" i="1"/>
  <c r="Q661" i="1"/>
  <c r="Q294" i="1"/>
  <c r="M1766" i="1"/>
  <c r="L1587" i="1"/>
  <c r="L1469" i="1"/>
  <c r="M1385" i="1"/>
  <c r="N1297" i="1"/>
  <c r="L1279" i="1"/>
  <c r="N1122" i="1"/>
  <c r="L889" i="1"/>
  <c r="N876" i="1"/>
  <c r="P66" i="1"/>
  <c r="Q1467" i="1"/>
  <c r="Q1395" i="1"/>
  <c r="Q1380" i="1"/>
  <c r="Q464" i="1"/>
  <c r="Q102" i="1"/>
  <c r="P2077" i="1"/>
  <c r="L1766" i="1"/>
  <c r="M1752" i="1"/>
  <c r="P1638" i="1"/>
  <c r="M1599" i="1"/>
  <c r="O1591" i="1"/>
  <c r="P1586" i="1"/>
  <c r="P1394" i="1"/>
  <c r="L1385" i="1"/>
  <c r="N1311" i="1"/>
  <c r="M1302" i="1"/>
  <c r="O1093" i="1"/>
  <c r="M704" i="1"/>
  <c r="L215" i="1"/>
  <c r="Q591" i="1"/>
  <c r="Q292" i="1"/>
  <c r="Q101" i="1"/>
  <c r="Q329" i="1" s="1"/>
  <c r="Q345" i="1" s="1"/>
  <c r="Q70" i="1"/>
  <c r="M2053" i="1"/>
  <c r="P1682" i="1"/>
  <c r="O1586" i="1"/>
  <c r="M1538" i="1"/>
  <c r="O1473" i="1"/>
  <c r="O1468" i="1"/>
  <c r="M1380" i="1"/>
  <c r="L1302" i="1"/>
  <c r="N1292" i="1"/>
  <c r="N1287" i="1"/>
  <c r="N1280" i="1"/>
  <c r="P877" i="1"/>
  <c r="L876" i="1"/>
  <c r="O288" i="1"/>
  <c r="P554" i="1"/>
  <c r="Q1606" i="1"/>
  <c r="Q1588" i="1"/>
  <c r="Q1482" i="1"/>
  <c r="Q1307" i="1"/>
  <c r="L1869" i="1"/>
  <c r="N1844" i="1"/>
  <c r="P1686" i="1"/>
  <c r="O1508" i="1"/>
  <c r="L1503" i="1"/>
  <c r="L1497" i="1" s="1"/>
  <c r="L1297" i="1"/>
  <c r="O1278" i="1"/>
  <c r="L1269" i="1"/>
  <c r="N1124" i="1"/>
  <c r="O911" i="1"/>
  <c r="O943" i="1" s="1"/>
  <c r="O966" i="1" s="1"/>
  <c r="O880" i="1"/>
  <c r="O554" i="1"/>
  <c r="O148" i="1"/>
  <c r="Q2296" i="1"/>
  <c r="Q1863" i="1"/>
  <c r="Q1552" i="1"/>
  <c r="Q1481" i="1"/>
  <c r="Q1393" i="1"/>
  <c r="Q1378" i="1"/>
  <c r="Q1272" i="1"/>
  <c r="Q943" i="1"/>
  <c r="Q966" i="1" s="1"/>
  <c r="Q288" i="1"/>
  <c r="Q576" i="1"/>
  <c r="P2084" i="1"/>
  <c r="P2053" i="1"/>
  <c r="O2024" i="1"/>
  <c r="M1844" i="1"/>
  <c r="P1825" i="1"/>
  <c r="L1678" i="1"/>
  <c r="M1591" i="1"/>
  <c r="P1542" i="1"/>
  <c r="M1496" i="1"/>
  <c r="M1478" i="1"/>
  <c r="M1473" i="1"/>
  <c r="O1389" i="1"/>
  <c r="L1292" i="1"/>
  <c r="M1124" i="1"/>
  <c r="P994" i="1"/>
  <c r="P1004" i="1" s="1"/>
  <c r="P1001" i="1" s="1"/>
  <c r="L961" i="1"/>
  <c r="M531" i="1"/>
  <c r="O524" i="1"/>
  <c r="L524" i="1"/>
  <c r="Q2061" i="1"/>
  <c r="Q1793" i="1"/>
  <c r="Q1294" i="1"/>
  <c r="Q1273" i="1"/>
  <c r="Q1072" i="1"/>
  <c r="Q695" i="1"/>
  <c r="Q658" i="1"/>
  <c r="Q217" i="1"/>
  <c r="Q66" i="1"/>
  <c r="L1844" i="1"/>
  <c r="N1692" i="1"/>
  <c r="M1638" i="1"/>
  <c r="N1633" i="1"/>
  <c r="O1537" i="1"/>
  <c r="P1482" i="1"/>
  <c r="L1478" i="1"/>
  <c r="L1473" i="1"/>
  <c r="L1468" i="1"/>
  <c r="L1472" i="1"/>
  <c r="M1463" i="1"/>
  <c r="O1379" i="1"/>
  <c r="L1287" i="1"/>
  <c r="N1133" i="1"/>
  <c r="P974" i="1"/>
  <c r="O819" i="1"/>
  <c r="O657" i="1"/>
  <c r="N188" i="1"/>
  <c r="O58" i="1"/>
  <c r="O57" i="1" s="1"/>
  <c r="Q1645" i="1"/>
  <c r="Q1114" i="1"/>
  <c r="Q832" i="1"/>
  <c r="Q161" i="1"/>
  <c r="N2053" i="1"/>
  <c r="N1825" i="1"/>
  <c r="L1591" i="1"/>
  <c r="M1586" i="1"/>
  <c r="N1542" i="1"/>
  <c r="P1467" i="1"/>
  <c r="P1471" i="1"/>
  <c r="L1394" i="1"/>
  <c r="L1306" i="1"/>
  <c r="M1301" i="1"/>
  <c r="N1282" i="1"/>
  <c r="L1278" i="1"/>
  <c r="N1313" i="1"/>
  <c r="O1299" i="1"/>
  <c r="P1279" i="1"/>
  <c r="M1101" i="1"/>
  <c r="M920" i="1"/>
  <c r="P956" i="1"/>
  <c r="L801" i="1"/>
  <c r="O862" i="1"/>
  <c r="N146" i="1"/>
  <c r="Q1599" i="1"/>
  <c r="N2273" i="1"/>
  <c r="O2077" i="1"/>
  <c r="O1815" i="1"/>
  <c r="L1682" i="1"/>
  <c r="L1586" i="1"/>
  <c r="M1542" i="1"/>
  <c r="M1536" i="1"/>
  <c r="N1482" i="1"/>
  <c r="O1472" i="1"/>
  <c r="O1398" i="1"/>
  <c r="N1387" i="1"/>
  <c r="P1305" i="1"/>
  <c r="O1291" i="1"/>
  <c r="M1282" i="1"/>
  <c r="L1294" i="1"/>
  <c r="P1132" i="1"/>
  <c r="P844" i="1"/>
  <c r="M819" i="1"/>
  <c r="N800" i="1"/>
  <c r="L713" i="1"/>
  <c r="O614" i="1"/>
  <c r="P587" i="1"/>
  <c r="P586" i="1" s="1"/>
  <c r="N551" i="1"/>
  <c r="M75" i="1"/>
  <c r="M74" i="1" s="1"/>
  <c r="Q2057" i="1"/>
  <c r="Q2050" i="1" s="1"/>
  <c r="Q1825" i="1"/>
  <c r="Q1463" i="1"/>
  <c r="Q1292" i="1"/>
  <c r="Q1271" i="1"/>
  <c r="Q1113" i="1"/>
  <c r="O2106" i="1"/>
  <c r="P1702" i="1"/>
  <c r="L1692" i="1"/>
  <c r="P1681" i="1"/>
  <c r="O1590" i="1"/>
  <c r="L1547" i="1"/>
  <c r="L1542" i="1"/>
  <c r="M1537" i="1"/>
  <c r="L1536" i="1"/>
  <c r="N1472" i="1"/>
  <c r="N1398" i="1"/>
  <c r="O1393" i="1"/>
  <c r="L1389" i="1"/>
  <c r="O1305" i="1"/>
  <c r="P1300" i="1"/>
  <c r="O1277" i="1"/>
  <c r="L1099" i="1"/>
  <c r="N909" i="1"/>
  <c r="N941" i="1" s="1"/>
  <c r="N964" i="1" s="1"/>
  <c r="O826" i="1"/>
  <c r="M732" i="1"/>
  <c r="N680" i="1"/>
  <c r="N614" i="1"/>
  <c r="N530" i="1"/>
  <c r="O569" i="1"/>
  <c r="Q1815" i="1"/>
  <c r="Q1759" i="1" s="1"/>
  <c r="Q1462" i="1"/>
  <c r="Q864" i="1"/>
  <c r="Q555" i="1"/>
  <c r="M2296" i="1"/>
  <c r="M1815" i="1"/>
  <c r="O1762" i="1"/>
  <c r="O1702" i="1"/>
  <c r="P1632" i="1"/>
  <c r="N1590" i="1"/>
  <c r="L1537" i="1"/>
  <c r="N1477" i="1"/>
  <c r="M1398" i="1"/>
  <c r="L1310" i="1"/>
  <c r="N1286" i="1"/>
  <c r="L1268" i="1"/>
  <c r="L1109" i="1"/>
  <c r="P876" i="1"/>
  <c r="L732" i="1"/>
  <c r="O708" i="1"/>
  <c r="N548" i="1"/>
  <c r="L279" i="1"/>
  <c r="O1045" i="1"/>
  <c r="O1043" i="1" s="1"/>
  <c r="M271" i="1"/>
  <c r="M260" i="1" s="1"/>
  <c r="P36" i="1"/>
  <c r="Q1687" i="1"/>
  <c r="Q1641" i="1"/>
  <c r="Q1640" i="1" s="1"/>
  <c r="Q1461" i="1"/>
  <c r="Q1389" i="1"/>
  <c r="Q1392" i="1"/>
  <c r="Q1313" i="1"/>
  <c r="Q1269" i="1"/>
  <c r="Q1302" i="1"/>
  <c r="Q1111" i="1"/>
  <c r="Q452" i="1"/>
  <c r="Q451" i="1" s="1"/>
  <c r="Q112" i="1"/>
  <c r="Q340" i="1" s="1"/>
  <c r="O1770" i="1"/>
  <c r="N1637" i="1"/>
  <c r="P1536" i="1"/>
  <c r="L1398" i="1"/>
  <c r="P1383" i="1"/>
  <c r="M1305" i="1"/>
  <c r="O1300" i="1"/>
  <c r="M1286" i="1"/>
  <c r="P1281" i="1"/>
  <c r="P1267" i="1"/>
  <c r="P1283" i="1"/>
  <c r="M1275" i="1"/>
  <c r="L1046" i="1"/>
  <c r="N708" i="1"/>
  <c r="L577" i="1"/>
  <c r="M371" i="1"/>
  <c r="M280" i="1"/>
  <c r="M279" i="1" s="1"/>
  <c r="P563" i="1"/>
  <c r="L271" i="1"/>
  <c r="L260" i="1" s="1"/>
  <c r="N12" i="1"/>
  <c r="N1751" i="1" s="1"/>
  <c r="Q1686" i="1"/>
  <c r="Q1592" i="1"/>
  <c r="Q1477" i="1"/>
  <c r="Q1388" i="1"/>
  <c r="Q1014" i="1"/>
  <c r="Q1011" i="1" s="1"/>
  <c r="Q771" i="1"/>
  <c r="Q768" i="1" s="1"/>
  <c r="Q1400" i="1"/>
  <c r="Q1152" i="1"/>
  <c r="Q732" i="1"/>
  <c r="Q605" i="1"/>
  <c r="Q604" i="1" s="1"/>
  <c r="Q612" i="1"/>
  <c r="Q99" i="1"/>
  <c r="Q327" i="1" s="1"/>
  <c r="Q343" i="1" s="1"/>
  <c r="Q1620" i="1"/>
  <c r="Q717" i="1"/>
  <c r="Q601" i="1"/>
  <c r="Q613" i="1"/>
  <c r="Q1722" i="1"/>
  <c r="Q35" i="1"/>
  <c r="Q1725" i="1" s="1"/>
  <c r="Q1869" i="1"/>
  <c r="Q1536" i="1"/>
  <c r="Q1105" i="1"/>
  <c r="Q1135" i="1"/>
  <c r="Q730" i="1"/>
  <c r="Q715" i="1"/>
  <c r="Q1903" i="1"/>
  <c r="Q1535" i="1"/>
  <c r="Q1351" i="1"/>
  <c r="Q1277" i="1"/>
  <c r="Q1033" i="1"/>
  <c r="Q1034" i="1" s="1"/>
  <c r="Q1276" i="1"/>
  <c r="Q710" i="1"/>
  <c r="Q713" i="1"/>
  <c r="Q2279" i="1"/>
  <c r="Q2223" i="1"/>
  <c r="Q1298" i="1"/>
  <c r="Q1274" i="1"/>
  <c r="Q969" i="1"/>
  <c r="Q915" i="1"/>
  <c r="Q651" i="1"/>
  <c r="Q594" i="1"/>
  <c r="Q1559" i="1"/>
  <c r="Q1589" i="1"/>
  <c r="Q1518" i="1"/>
  <c r="Q1397" i="1"/>
  <c r="Q1341" i="1"/>
  <c r="Q1297" i="1"/>
  <c r="Q1275" i="1"/>
  <c r="Q1026" i="1"/>
  <c r="Q1120" i="1"/>
  <c r="Q2002" i="1"/>
  <c r="Q1830" i="1"/>
  <c r="Q1296" i="1"/>
  <c r="Q1132" i="1"/>
  <c r="Q1023" i="1"/>
  <c r="Q23" i="1"/>
  <c r="Q1715" i="1"/>
  <c r="Q1978" i="1"/>
  <c r="Q1712" i="1"/>
  <c r="Q2259" i="1"/>
  <c r="Q1480" i="1"/>
  <c r="Q781" i="1"/>
  <c r="Q865" i="1" s="1"/>
  <c r="Q784" i="1"/>
  <c r="Q657" i="1"/>
  <c r="Q646" i="1"/>
  <c r="Q211" i="1"/>
  <c r="Q210" i="1" s="1"/>
  <c r="Q214" i="1"/>
  <c r="Q213" i="1" s="1"/>
  <c r="Q1391" i="1"/>
  <c r="Q1316" i="1"/>
  <c r="Q1376" i="1"/>
  <c r="Q656" i="1"/>
  <c r="Q2254" i="1"/>
  <c r="Q1891" i="1"/>
  <c r="Q1547" i="1"/>
  <c r="Q1508" i="1"/>
  <c r="Q1411" i="1"/>
  <c r="Q1005" i="1"/>
  <c r="Q1002" i="1" s="1"/>
  <c r="Q800" i="1"/>
  <c r="Q438" i="1"/>
  <c r="Q564" i="1"/>
  <c r="Q2022" i="1"/>
  <c r="Q1954" i="1"/>
  <c r="Q1545" i="1"/>
  <c r="Q1478" i="1"/>
  <c r="Q1291" i="1"/>
  <c r="Q1270" i="1"/>
  <c r="Q1112" i="1"/>
  <c r="Q655" i="1"/>
  <c r="Q1631" i="1"/>
  <c r="Q1594" i="1"/>
  <c r="Q1544" i="1"/>
  <c r="Q1290" i="1"/>
  <c r="Q1004" i="1"/>
  <c r="Q997" i="1"/>
  <c r="Q554" i="1"/>
  <c r="Q1639" i="1"/>
  <c r="Q1312" i="1"/>
  <c r="Q1268" i="1"/>
  <c r="Q1110" i="1"/>
  <c r="Q599" i="1"/>
  <c r="Q197" i="1"/>
  <c r="Q201" i="1"/>
  <c r="Q358" i="1"/>
  <c r="Q58" i="1"/>
  <c r="Q12" i="1"/>
  <c r="Q1751" i="1" s="1"/>
  <c r="Q1752" i="1"/>
  <c r="Q2213" i="1"/>
  <c r="Q2114" i="1"/>
  <c r="Q2024" i="1"/>
  <c r="Q1685" i="1"/>
  <c r="Q1543" i="1"/>
  <c r="Q1387" i="1"/>
  <c r="Q1311" i="1"/>
  <c r="Q1109" i="1"/>
  <c r="Q1007" i="1"/>
  <c r="Q1126" i="1" s="1"/>
  <c r="Q967" i="1"/>
  <c r="Q769" i="1"/>
  <c r="Q861" i="1" s="1"/>
  <c r="Q660" i="1"/>
  <c r="Q641" i="1"/>
  <c r="Q634" i="1" s="1"/>
  <c r="Q1386" i="1"/>
  <c r="Q1265" i="1"/>
  <c r="Q1137" i="1"/>
  <c r="Q367" i="1"/>
  <c r="Q2189" i="1"/>
  <c r="Q1542" i="1"/>
  <c r="Q1503" i="1"/>
  <c r="Q1385" i="1"/>
  <c r="Q1309" i="1"/>
  <c r="Q1213" i="1"/>
  <c r="Q923" i="1"/>
  <c r="Q366" i="1"/>
  <c r="Q1406" i="1"/>
  <c r="Q1465" i="1"/>
  <c r="Q817" i="1"/>
  <c r="Q859" i="1"/>
  <c r="Q699" i="1"/>
  <c r="Q680" i="1"/>
  <c r="Q679" i="1" s="1"/>
  <c r="Q440" i="1"/>
  <c r="Q1681" i="1"/>
  <c r="Q51" i="1"/>
  <c r="Q2315" i="1"/>
  <c r="Q2313" i="1"/>
  <c r="Q2276" i="1"/>
  <c r="Q1843" i="1"/>
  <c r="Q1498" i="1"/>
  <c r="Q1533" i="1"/>
  <c r="Q693" i="1"/>
  <c r="Q1734" i="1"/>
  <c r="Q47" i="1"/>
  <c r="Q46" i="1" s="1"/>
  <c r="Q145" i="1"/>
  <c r="Q137" i="1"/>
  <c r="Q2235" i="1"/>
  <c r="Q1678" i="1"/>
  <c r="Q1282" i="1"/>
  <c r="Q927" i="1"/>
  <c r="Q955" i="1"/>
  <c r="Q701" i="1"/>
  <c r="Q42" i="1"/>
  <c r="Q2012" i="1"/>
  <c r="Q1425" i="1"/>
  <c r="Q1327" i="1"/>
  <c r="Q2165" i="1"/>
  <c r="Q1538" i="1"/>
  <c r="Q1281" i="1"/>
  <c r="Q879" i="1"/>
  <c r="Q810" i="1"/>
  <c r="Q795" i="1"/>
  <c r="Q264" i="1"/>
  <c r="Q253" i="1" s="1"/>
  <c r="Q3" i="1"/>
  <c r="Q1743" i="1"/>
  <c r="Q671" i="1"/>
  <c r="Q537" i="1"/>
  <c r="Q549" i="1"/>
  <c r="Q894" i="1"/>
  <c r="Q303" i="1"/>
  <c r="Q219" i="1"/>
  <c r="Q110" i="1"/>
  <c r="Q82" i="1"/>
  <c r="Q36" i="1"/>
  <c r="Q1664" i="1" s="1"/>
  <c r="Q1045" i="1"/>
  <c r="Q1043" i="1" s="1"/>
  <c r="Q1096" i="1" s="1"/>
  <c r="Q1636" i="1"/>
  <c r="Q891" i="1"/>
  <c r="Q888" i="1" s="1"/>
  <c r="Q1496" i="1"/>
  <c r="Q863" i="1"/>
  <c r="Q565" i="1"/>
  <c r="Q270" i="1"/>
  <c r="Q259" i="1" s="1"/>
  <c r="Q1573" i="1"/>
  <c r="Q1469" i="1"/>
  <c r="Q1435" i="1"/>
  <c r="Q529" i="1"/>
  <c r="Q356" i="1"/>
  <c r="Q501" i="1" s="1"/>
  <c r="Q490" i="1" s="1"/>
  <c r="Q268" i="1"/>
  <c r="Q257" i="1" s="1"/>
  <c r="Q355" i="1"/>
  <c r="Q267" i="1"/>
  <c r="Q256" i="1" s="1"/>
  <c r="Q1749" i="1"/>
  <c r="Q1127" i="1"/>
  <c r="Q1062" i="1"/>
  <c r="Q239" i="1"/>
  <c r="Q272" i="1"/>
  <c r="Q261" i="1" s="1"/>
  <c r="Q1125" i="1"/>
  <c r="Q1060" i="1"/>
  <c r="Q933" i="1"/>
  <c r="Q523" i="1"/>
  <c r="Q151" i="1"/>
  <c r="Q1124" i="1"/>
  <c r="Q1057" i="1"/>
  <c r="Q234" i="1"/>
  <c r="Q150" i="1"/>
  <c r="Q881" i="1"/>
  <c r="Q704" i="1"/>
  <c r="Q149" i="1"/>
  <c r="Q107" i="1"/>
  <c r="Q335" i="1" s="1"/>
  <c r="Q351" i="1" s="1"/>
  <c r="Q496" i="1" s="1"/>
  <c r="Q798" i="1"/>
  <c r="Q703" i="1"/>
  <c r="Q148" i="1"/>
  <c r="Q797" i="1"/>
  <c r="Q702" i="1"/>
  <c r="Q202" i="1"/>
  <c r="Q205" i="1" s="1"/>
  <c r="Q878" i="1"/>
  <c r="Q796" i="1"/>
  <c r="Q146" i="1"/>
  <c r="Q545" i="1"/>
  <c r="Q173" i="1"/>
  <c r="Q544" i="1"/>
  <c r="Q331" i="1"/>
  <c r="Q578" i="1"/>
  <c r="Q543" i="1"/>
  <c r="Q1077" i="1"/>
  <c r="Q577" i="1"/>
  <c r="Q542" i="1"/>
  <c r="Q765" i="1"/>
  <c r="Q858" i="1" s="1"/>
  <c r="Q694" i="1"/>
  <c r="Q691" i="1" s="1"/>
  <c r="Q541" i="1"/>
  <c r="O46" i="1"/>
  <c r="O1735" i="1" s="1"/>
  <c r="O1736" i="1"/>
  <c r="N47" i="1"/>
  <c r="N1736" i="1" s="1"/>
  <c r="H108" i="1"/>
  <c r="N34" i="1"/>
  <c r="N36" i="1"/>
  <c r="L34" i="1"/>
  <c r="O36" i="1"/>
  <c r="O40" i="1" s="1"/>
  <c r="G107" i="1"/>
  <c r="I108" i="1"/>
  <c r="G103" i="1"/>
  <c r="O2259" i="1"/>
  <c r="N2279" i="1"/>
  <c r="P2061" i="1"/>
  <c r="P1508" i="1"/>
  <c r="M2279" i="1"/>
  <c r="N2077" i="1"/>
  <c r="L2279" i="1"/>
  <c r="O2053" i="1"/>
  <c r="P1272" i="1"/>
  <c r="M2315" i="1"/>
  <c r="P1590" i="1"/>
  <c r="N1296" i="1"/>
  <c r="M1310" i="1"/>
  <c r="P2235" i="1"/>
  <c r="P1388" i="1"/>
  <c r="P2240" i="1"/>
  <c r="O2235" i="1"/>
  <c r="O2234" i="1" s="1"/>
  <c r="M2235" i="1"/>
  <c r="M2234" i="1" s="1"/>
  <c r="M2213" i="1"/>
  <c r="P2254" i="1"/>
  <c r="L2276" i="1"/>
  <c r="P1470" i="1"/>
  <c r="L1382" i="1"/>
  <c r="P2315" i="1"/>
  <c r="P1639" i="1"/>
  <c r="M1518" i="1"/>
  <c r="M1534" i="1"/>
  <c r="L1786" i="1"/>
  <c r="M1680" i="1"/>
  <c r="N1606" i="1"/>
  <c r="N1593" i="1" s="1"/>
  <c r="O1594" i="1"/>
  <c r="O1385" i="1"/>
  <c r="O1381" i="1"/>
  <c r="O1109" i="1"/>
  <c r="P2094" i="1"/>
  <c r="M2057" i="1"/>
  <c r="L1803" i="1"/>
  <c r="O1639" i="1"/>
  <c r="M1635" i="1"/>
  <c r="L1552" i="1"/>
  <c r="P1541" i="1"/>
  <c r="N1537" i="1"/>
  <c r="M1480" i="1"/>
  <c r="N1381" i="1"/>
  <c r="O1306" i="1"/>
  <c r="O1302" i="1"/>
  <c r="M1298" i="1"/>
  <c r="L1290" i="1"/>
  <c r="M1203" i="1"/>
  <c r="N1057" i="1"/>
  <c r="M927" i="1"/>
  <c r="M955" i="1"/>
  <c r="O660" i="1"/>
  <c r="O651" i="1"/>
  <c r="O113" i="1"/>
  <c r="N8" i="1"/>
  <c r="N1747" i="1" s="1"/>
  <c r="N1811" i="1"/>
  <c r="O1692" i="1"/>
  <c r="M1594" i="1"/>
  <c r="O1541" i="1"/>
  <c r="N1534" i="1"/>
  <c r="L1480" i="1"/>
  <c r="O1466" i="1"/>
  <c r="O1376" i="1"/>
  <c r="P1378" i="1"/>
  <c r="P1289" i="1"/>
  <c r="P1268" i="1"/>
  <c r="L1125" i="1"/>
  <c r="L1086" i="1"/>
  <c r="M1057" i="1"/>
  <c r="M1123" i="1"/>
  <c r="L927" i="1"/>
  <c r="L955" i="1"/>
  <c r="O587" i="1"/>
  <c r="O586" i="1" s="1"/>
  <c r="P268" i="1"/>
  <c r="P257" i="1" s="1"/>
  <c r="N211" i="1"/>
  <c r="N214" i="1"/>
  <c r="N213" i="1" s="1"/>
  <c r="P2057" i="1"/>
  <c r="O1863" i="1"/>
  <c r="O1862" i="1" s="1"/>
  <c r="M1811" i="1"/>
  <c r="O1687" i="1"/>
  <c r="P1679" i="1"/>
  <c r="N1639" i="1"/>
  <c r="P1634" i="1"/>
  <c r="L1606" i="1"/>
  <c r="N1306" i="1"/>
  <c r="O1289" i="1"/>
  <c r="P1301" i="1"/>
  <c r="L1057" i="1"/>
  <c r="L1123" i="1"/>
  <c r="P992" i="1"/>
  <c r="P993" i="1" s="1"/>
  <c r="O974" i="1"/>
  <c r="O1110" i="1"/>
  <c r="P449" i="1"/>
  <c r="P452" i="1"/>
  <c r="P451" i="1" s="1"/>
  <c r="L1811" i="1"/>
  <c r="O1766" i="1"/>
  <c r="N1687" i="1"/>
  <c r="M1639" i="1"/>
  <c r="O1634" i="1"/>
  <c r="P1594" i="1"/>
  <c r="O1394" i="1"/>
  <c r="M1281" i="1"/>
  <c r="P1276" i="1"/>
  <c r="N1268" i="1"/>
  <c r="P1152" i="1"/>
  <c r="P1113" i="1"/>
  <c r="M701" i="1"/>
  <c r="L660" i="1"/>
  <c r="L651" i="1"/>
  <c r="N2057" i="1"/>
  <c r="O1891" i="1"/>
  <c r="M1803" i="1"/>
  <c r="N1766" i="1"/>
  <c r="L1639" i="1"/>
  <c r="M1541" i="1"/>
  <c r="P1498" i="1"/>
  <c r="L1475" i="1"/>
  <c r="M1462" i="1"/>
  <c r="O1464" i="1"/>
  <c r="P1389" i="1"/>
  <c r="O1380" i="1"/>
  <c r="M1382" i="1"/>
  <c r="M1306" i="1"/>
  <c r="N1113" i="1"/>
  <c r="O1057" i="1"/>
  <c r="N959" i="1"/>
  <c r="N655" i="1"/>
  <c r="M626" i="1"/>
  <c r="O564" i="1"/>
  <c r="N564" i="1"/>
  <c r="M2102" i="1"/>
  <c r="M2024" i="1"/>
  <c r="N1869" i="1"/>
  <c r="O1498" i="1"/>
  <c r="P1474" i="1"/>
  <c r="L1462" i="1"/>
  <c r="M1394" i="1"/>
  <c r="P1384" i="1"/>
  <c r="P1327" i="1"/>
  <c r="L1281" i="1"/>
  <c r="N1152" i="1"/>
  <c r="L1113" i="1"/>
  <c r="O859" i="1"/>
  <c r="O817" i="1"/>
  <c r="M42" i="1"/>
  <c r="M41" i="1" s="1"/>
  <c r="M1730" i="1" s="1"/>
  <c r="L2057" i="1"/>
  <c r="P1886" i="1"/>
  <c r="P1885" i="1" s="1"/>
  <c r="P1803" i="1"/>
  <c r="M1679" i="1"/>
  <c r="M1590" i="1"/>
  <c r="N1470" i="1"/>
  <c r="O1411" i="1"/>
  <c r="P1309" i="1"/>
  <c r="M1309" i="1"/>
  <c r="L2077" i="1"/>
  <c r="O1886" i="1"/>
  <c r="O1803" i="1"/>
  <c r="N1638" i="1"/>
  <c r="N1503" i="1"/>
  <c r="P1393" i="1"/>
  <c r="N1384" i="1"/>
  <c r="M1276" i="1"/>
  <c r="L1152" i="1"/>
  <c r="N1849" i="1"/>
  <c r="N1843" i="1" s="1"/>
  <c r="L1825" i="1"/>
  <c r="L1824" i="1" s="1"/>
  <c r="N1803" i="1"/>
  <c r="P1692" i="1"/>
  <c r="P1559" i="1"/>
  <c r="L1479" i="1"/>
  <c r="N1468" i="1"/>
  <c r="N1309" i="1"/>
  <c r="N1305" i="1"/>
  <c r="L1276" i="1"/>
  <c r="M1277" i="1"/>
  <c r="L1157" i="1"/>
  <c r="P967" i="1"/>
  <c r="M700" i="1"/>
  <c r="M231" i="1"/>
  <c r="M581" i="1"/>
  <c r="N358" i="1"/>
  <c r="N150" i="1"/>
  <c r="L2061" i="1"/>
  <c r="M1849" i="1"/>
  <c r="P1815" i="1"/>
  <c r="P1599" i="1"/>
  <c r="N1585" i="1"/>
  <c r="M1400" i="1"/>
  <c r="P1313" i="1"/>
  <c r="O1288" i="1"/>
  <c r="M334" i="1"/>
  <c r="M350" i="1" s="1"/>
  <c r="M495" i="1" s="1"/>
  <c r="M484" i="1" s="1"/>
  <c r="O522" i="1"/>
  <c r="O64" i="1"/>
  <c r="P2106" i="1"/>
  <c r="L1886" i="1"/>
  <c r="L1849" i="1"/>
  <c r="L1843" i="1" s="1"/>
  <c r="L1823" i="1" s="1"/>
  <c r="O1682" i="1"/>
  <c r="L1638" i="1"/>
  <c r="N1545" i="1"/>
  <c r="M1540" i="1"/>
  <c r="N1465" i="1"/>
  <c r="L1400" i="1"/>
  <c r="M1110" i="1"/>
  <c r="M1033" i="1"/>
  <c r="M1034" i="1" s="1"/>
  <c r="P866" i="1"/>
  <c r="M723" i="1"/>
  <c r="O543" i="1"/>
  <c r="O272" i="1"/>
  <c r="O261" i="1" s="1"/>
  <c r="L2301" i="1"/>
  <c r="M2077" i="1"/>
  <c r="O2061" i="1"/>
  <c r="N1770" i="1"/>
  <c r="M1692" i="1"/>
  <c r="N1686" i="1"/>
  <c r="O1678" i="1"/>
  <c r="O1686" i="1"/>
  <c r="N1599" i="1"/>
  <c r="O1589" i="1"/>
  <c r="L1585" i="1"/>
  <c r="M1545" i="1"/>
  <c r="L1508" i="1"/>
  <c r="O1478" i="1"/>
  <c r="O1469" i="1"/>
  <c r="O1388" i="1"/>
  <c r="N1379" i="1"/>
  <c r="L1309" i="1"/>
  <c r="O1292" i="1"/>
  <c r="O1275" i="1"/>
  <c r="P1109" i="1"/>
  <c r="P923" i="1"/>
  <c r="M657" i="1"/>
  <c r="P1043" i="1"/>
  <c r="P1069" i="1" s="1"/>
  <c r="N111" i="1"/>
  <c r="N339" i="1" s="1"/>
  <c r="N355" i="1" s="1"/>
  <c r="N500" i="1"/>
  <c r="P2279" i="1"/>
  <c r="M2276" i="1"/>
  <c r="N2106" i="1"/>
  <c r="P1710" i="1"/>
  <c r="N1702" i="1"/>
  <c r="O1633" i="1"/>
  <c r="N1589" i="1"/>
  <c r="M1559" i="1"/>
  <c r="O1482" i="1"/>
  <c r="N1478" i="1"/>
  <c r="M1377" i="1"/>
  <c r="P1304" i="1"/>
  <c r="P1296" i="1"/>
  <c r="L1271" i="1"/>
  <c r="M1109" i="1"/>
  <c r="N1062" i="1"/>
  <c r="O658" i="1"/>
  <c r="N641" i="1"/>
  <c r="M909" i="1"/>
  <c r="M941" i="1" s="1"/>
  <c r="M964" i="1" s="1"/>
  <c r="N1815" i="1"/>
  <c r="M1686" i="1"/>
  <c r="M1682" i="1"/>
  <c r="N1469" i="1"/>
  <c r="M1388" i="1"/>
  <c r="O1296" i="1"/>
  <c r="P1287" i="1"/>
  <c r="M1266" i="1"/>
  <c r="L967" i="1"/>
  <c r="L2106" i="1"/>
  <c r="L1686" i="1"/>
  <c r="O1535" i="1"/>
  <c r="M1469" i="1"/>
  <c r="N389" i="1"/>
  <c r="O573" i="1"/>
  <c r="L568" i="1"/>
  <c r="L266" i="1"/>
  <c r="L255" i="1" s="1"/>
  <c r="N1830" i="1"/>
  <c r="M1678" i="1"/>
  <c r="P1641" i="1"/>
  <c r="P1640" i="1" s="1"/>
  <c r="M1482" i="1"/>
  <c r="L1397" i="1"/>
  <c r="P1392" i="1"/>
  <c r="N1279" i="1"/>
  <c r="M1295" i="1"/>
  <c r="O1033" i="1"/>
  <c r="O1034" i="1" s="1"/>
  <c r="M908" i="1"/>
  <c r="M910" i="1"/>
  <c r="M942" i="1" s="1"/>
  <c r="M965" i="1" s="1"/>
  <c r="N672" i="1"/>
  <c r="M1891" i="1"/>
  <c r="M1885" i="1" s="1"/>
  <c r="O1793" i="1"/>
  <c r="M1786" i="1"/>
  <c r="O1707" i="1"/>
  <c r="P1477" i="1"/>
  <c r="P1468" i="1"/>
  <c r="L1463" i="1"/>
  <c r="P1396" i="1"/>
  <c r="P1387" i="1"/>
  <c r="M1296" i="1"/>
  <c r="O1270" i="1"/>
  <c r="P1137" i="1"/>
  <c r="P1060" i="1"/>
  <c r="O937" i="1"/>
  <c r="L943" i="1"/>
  <c r="L966" i="1" s="1"/>
  <c r="N656" i="1"/>
  <c r="N2061" i="1"/>
  <c r="O1688" i="1"/>
  <c r="O1641" i="1"/>
  <c r="O1640" i="1" s="1"/>
  <c r="P1539" i="1"/>
  <c r="L1496" i="1"/>
  <c r="O1477" i="1"/>
  <c r="P1400" i="1"/>
  <c r="M1287" i="1"/>
  <c r="O1111" i="1"/>
  <c r="O1060" i="1"/>
  <c r="N1050" i="1"/>
  <c r="O732" i="1"/>
  <c r="O265" i="1"/>
  <c r="O254" i="1" s="1"/>
  <c r="O536" i="1"/>
  <c r="O796" i="1"/>
  <c r="M2106" i="1"/>
  <c r="N2084" i="1"/>
  <c r="P1866" i="1"/>
  <c r="L1770" i="1"/>
  <c r="N1688" i="1"/>
  <c r="N1685" i="1"/>
  <c r="P1636" i="1"/>
  <c r="O1632" i="1"/>
  <c r="N1588" i="1"/>
  <c r="P1543" i="1"/>
  <c r="P1534" i="1"/>
  <c r="N1378" i="1"/>
  <c r="N1291" i="1"/>
  <c r="L1266" i="1"/>
  <c r="N1111" i="1"/>
  <c r="N1060" i="1"/>
  <c r="O1052" i="1"/>
  <c r="O1049" i="1" s="1"/>
  <c r="O1050" i="1" s="1"/>
  <c r="M863" i="1"/>
  <c r="M771" i="1"/>
  <c r="M768" i="1" s="1"/>
  <c r="M763" i="1" s="1"/>
  <c r="M775" i="1"/>
  <c r="M770" i="1" s="1"/>
  <c r="M862" i="1" s="1"/>
  <c r="N662" i="1"/>
  <c r="O591" i="1"/>
  <c r="O590" i="1" s="1"/>
  <c r="N579" i="1"/>
  <c r="P173" i="1"/>
  <c r="M173" i="1"/>
  <c r="M567" i="1"/>
  <c r="O1866" i="1"/>
  <c r="M1641" i="1"/>
  <c r="N1547" i="1"/>
  <c r="P1282" i="1"/>
  <c r="N1079" i="1"/>
  <c r="N1105" i="1"/>
  <c r="L2084" i="1"/>
  <c r="N1866" i="1"/>
  <c r="N1862" i="1" s="1"/>
  <c r="N1793" i="1"/>
  <c r="P1793" i="1"/>
  <c r="N1786" i="1"/>
  <c r="L1688" i="1"/>
  <c r="N1636" i="1"/>
  <c r="N1632" i="1"/>
  <c r="L1588" i="1"/>
  <c r="M1547" i="1"/>
  <c r="L1539" i="1"/>
  <c r="O1481" i="1"/>
  <c r="L1464" i="1"/>
  <c r="M1396" i="1"/>
  <c r="O1382" i="1"/>
  <c r="M1312" i="1"/>
  <c r="L1308" i="1"/>
  <c r="P1286" i="1"/>
  <c r="M1274" i="1"/>
  <c r="M1280" i="1"/>
  <c r="N1101" i="1"/>
  <c r="M912" i="1"/>
  <c r="M967" i="1" s="1"/>
  <c r="M710" i="1"/>
  <c r="M713" i="1"/>
  <c r="N693" i="1"/>
  <c r="N690" i="1" s="1"/>
  <c r="L579" i="1"/>
  <c r="L227" i="1"/>
  <c r="L2053" i="1"/>
  <c r="P1645" i="1"/>
  <c r="M1543" i="1"/>
  <c r="L1477" i="1"/>
  <c r="P1463" i="1"/>
  <c r="O1303" i="1"/>
  <c r="M911" i="1"/>
  <c r="M943" i="1" s="1"/>
  <c r="M966" i="1" s="1"/>
  <c r="O2279" i="1"/>
  <c r="O2254" i="1"/>
  <c r="L2094" i="1"/>
  <c r="O2084" i="1"/>
  <c r="L1866" i="1"/>
  <c r="P1811" i="1"/>
  <c r="M1762" i="1"/>
  <c r="M1685" i="1"/>
  <c r="L1592" i="1"/>
  <c r="O1587" i="1"/>
  <c r="P1552" i="1"/>
  <c r="L1543" i="1"/>
  <c r="M1481" i="1"/>
  <c r="O1463" i="1"/>
  <c r="O1391" i="1"/>
  <c r="O1386" i="1"/>
  <c r="O1307" i="1"/>
  <c r="P1290" i="1"/>
  <c r="L1135" i="1"/>
  <c r="P771" i="1"/>
  <c r="P768" i="1" s="1"/>
  <c r="P773" i="1"/>
  <c r="P1844" i="1"/>
  <c r="P1843" i="1" s="1"/>
  <c r="M1606" i="1"/>
  <c r="P1591" i="1"/>
  <c r="N1538" i="1"/>
  <c r="L1481" i="1"/>
  <c r="L1425" i="1"/>
  <c r="M1406" i="1"/>
  <c r="L1299" i="1"/>
  <c r="O1273" i="1"/>
  <c r="L1079" i="1"/>
  <c r="M971" i="1"/>
  <c r="M961" i="1"/>
  <c r="N832" i="1"/>
  <c r="O661" i="1"/>
  <c r="N576" i="1"/>
  <c r="M211" i="1"/>
  <c r="M214" i="1"/>
  <c r="M213" i="1" s="1"/>
  <c r="L546" i="1"/>
  <c r="L202" i="1"/>
  <c r="L205" i="1" s="1"/>
  <c r="O2094" i="1"/>
  <c r="O2050" i="1" s="1"/>
  <c r="M2084" i="1"/>
  <c r="L1793" i="1"/>
  <c r="O1786" i="1"/>
  <c r="N1684" i="1"/>
  <c r="P1633" i="1"/>
  <c r="M1587" i="1"/>
  <c r="O1542" i="1"/>
  <c r="N1322" i="1"/>
  <c r="M1265" i="1"/>
  <c r="N773" i="1"/>
  <c r="N771" i="1"/>
  <c r="N768" i="1" s="1"/>
  <c r="M1684" i="1"/>
  <c r="P1606" i="1"/>
  <c r="L1411" i="1"/>
  <c r="L1341" i="1"/>
  <c r="O1103" i="1"/>
  <c r="O1077" i="1"/>
  <c r="L1110" i="1"/>
  <c r="L1124" i="1"/>
  <c r="P1025" i="1"/>
  <c r="P1022" i="1" s="1"/>
  <c r="M717" i="1"/>
  <c r="M555" i="1"/>
  <c r="M2094" i="1"/>
  <c r="O2057" i="1"/>
  <c r="M1869" i="1"/>
  <c r="M1862" i="1" s="1"/>
  <c r="N1680" i="1"/>
  <c r="O1635" i="1"/>
  <c r="L1467" i="1"/>
  <c r="P1395" i="1"/>
  <c r="L1311" i="1"/>
  <c r="N1294" i="1"/>
  <c r="P1123" i="1"/>
  <c r="M1498" i="1"/>
  <c r="O1383" i="1"/>
  <c r="N1316" i="1"/>
  <c r="M1311" i="1"/>
  <c r="P1299" i="1"/>
  <c r="M1292" i="1"/>
  <c r="P1293" i="1"/>
  <c r="M846" i="1"/>
  <c r="P708" i="1"/>
  <c r="O676" i="1"/>
  <c r="O662" i="1" s="1"/>
  <c r="N701" i="1"/>
  <c r="P657" i="1"/>
  <c r="L401" i="1"/>
  <c r="N227" i="1"/>
  <c r="O208" i="1"/>
  <c r="O271" i="1"/>
  <c r="O260" i="1" s="1"/>
  <c r="P100" i="1"/>
  <c r="P328" i="1" s="1"/>
  <c r="P344" i="1" s="1"/>
  <c r="M8" i="1"/>
  <c r="M1747" i="1" s="1"/>
  <c r="P1269" i="1"/>
  <c r="P1265" i="1"/>
  <c r="L1301" i="1"/>
  <c r="P1135" i="1"/>
  <c r="L860" i="1"/>
  <c r="N798" i="1"/>
  <c r="L715" i="1"/>
  <c r="L714" i="1" s="1"/>
  <c r="N704" i="1"/>
  <c r="O442" i="1"/>
  <c r="O441" i="1" s="1"/>
  <c r="O570" i="1"/>
  <c r="L436" i="1"/>
  <c r="O100" i="1"/>
  <c r="O328" i="1" s="1"/>
  <c r="O344" i="1" s="1"/>
  <c r="P529" i="1"/>
  <c r="P42" i="1"/>
  <c r="P41" i="1" s="1"/>
  <c r="P1730" i="1" s="1"/>
  <c r="N1394" i="1"/>
  <c r="M1303" i="1"/>
  <c r="N1299" i="1"/>
  <c r="P1295" i="1"/>
  <c r="O1269" i="1"/>
  <c r="O1297" i="1"/>
  <c r="N1274" i="1"/>
  <c r="L1072" i="1"/>
  <c r="L1098" i="1" s="1"/>
  <c r="N955" i="1"/>
  <c r="P859" i="1"/>
  <c r="L661" i="1"/>
  <c r="P594" i="1"/>
  <c r="P524" i="1"/>
  <c r="N279" i="1"/>
  <c r="L151" i="1"/>
  <c r="O42" i="1"/>
  <c r="O41" i="1" s="1"/>
  <c r="O1730" i="1" s="1"/>
  <c r="L1544" i="1"/>
  <c r="N1535" i="1"/>
  <c r="L1476" i="1"/>
  <c r="N1471" i="1"/>
  <c r="O1467" i="1"/>
  <c r="M1383" i="1"/>
  <c r="P1310" i="1"/>
  <c r="L1307" i="1"/>
  <c r="M1299" i="1"/>
  <c r="O1295" i="1"/>
  <c r="P1277" i="1"/>
  <c r="L957" i="1"/>
  <c r="P911" i="1"/>
  <c r="P943" i="1" s="1"/>
  <c r="P966" i="1" s="1"/>
  <c r="L798" i="1"/>
  <c r="L676" i="1"/>
  <c r="L662" i="1" s="1"/>
  <c r="N657" i="1"/>
  <c r="P660" i="1"/>
  <c r="L578" i="1"/>
  <c r="N571" i="1"/>
  <c r="P294" i="1"/>
  <c r="N82" i="1"/>
  <c r="N42" i="1"/>
  <c r="N41" i="1" s="1"/>
  <c r="N1730" i="1" s="1"/>
  <c r="M1535" i="1"/>
  <c r="N1467" i="1"/>
  <c r="M1395" i="1"/>
  <c r="L1391" i="1"/>
  <c r="L1387" i="1"/>
  <c r="L1379" i="1"/>
  <c r="O1310" i="1"/>
  <c r="M1284" i="1"/>
  <c r="O1280" i="1"/>
  <c r="N1269" i="1"/>
  <c r="P1110" i="1"/>
  <c r="M997" i="1"/>
  <c r="O961" i="1"/>
  <c r="N859" i="1"/>
  <c r="N797" i="1"/>
  <c r="N732" i="1"/>
  <c r="L708" i="1"/>
  <c r="P700" i="1"/>
  <c r="N613" i="1"/>
  <c r="P389" i="1"/>
  <c r="M436" i="1"/>
  <c r="L570" i="1"/>
  <c r="P112" i="1"/>
  <c r="O1475" i="1"/>
  <c r="L1395" i="1"/>
  <c r="P1386" i="1"/>
  <c r="N1310" i="1"/>
  <c r="L1284" i="1"/>
  <c r="M1297" i="1"/>
  <c r="N1103" i="1"/>
  <c r="N888" i="1"/>
  <c r="N887" i="1" s="1"/>
  <c r="M705" i="1"/>
  <c r="O631" i="1"/>
  <c r="O389" i="1"/>
  <c r="M304" i="1"/>
  <c r="P569" i="1"/>
  <c r="N169" i="1"/>
  <c r="N340" i="1"/>
  <c r="N356" i="1" s="1"/>
  <c r="O1272" i="1"/>
  <c r="L703" i="1"/>
  <c r="P646" i="1"/>
  <c r="P644" i="1" s="1"/>
  <c r="L657" i="1"/>
  <c r="L580" i="1"/>
  <c r="L442" i="1"/>
  <c r="L575" i="1" s="1"/>
  <c r="M578" i="1"/>
  <c r="P1721" i="1"/>
  <c r="P636" i="1"/>
  <c r="L608" i="1"/>
  <c r="M613" i="1"/>
  <c r="P579" i="1"/>
  <c r="M522" i="1"/>
  <c r="O464" i="1"/>
  <c r="M389" i="1"/>
  <c r="L371" i="1"/>
  <c r="N273" i="1"/>
  <c r="M70" i="1"/>
  <c r="L878" i="1"/>
  <c r="M864" i="1"/>
  <c r="P693" i="1"/>
  <c r="P690" i="1" s="1"/>
  <c r="P608" i="1"/>
  <c r="M594" i="1"/>
  <c r="M590" i="1" s="1"/>
  <c r="O579" i="1"/>
  <c r="L1267" i="1"/>
  <c r="N987" i="1"/>
  <c r="N986" i="1" s="1"/>
  <c r="O876" i="1"/>
  <c r="L826" i="1"/>
  <c r="L631" i="1"/>
  <c r="N587" i="1"/>
  <c r="N586" i="1" s="1"/>
  <c r="M187" i="1"/>
  <c r="M186" i="1" s="1"/>
  <c r="N161" i="1"/>
  <c r="M656" i="1"/>
  <c r="O577" i="1"/>
  <c r="O101" i="1"/>
  <c r="O329" i="1" s="1"/>
  <c r="O795" i="1"/>
  <c r="O699" i="1"/>
  <c r="M608" i="1"/>
  <c r="O452" i="1"/>
  <c r="O451" i="1" s="1"/>
  <c r="M215" i="1"/>
  <c r="L161" i="1"/>
  <c r="M525" i="1"/>
  <c r="L699" i="1"/>
  <c r="N599" i="1"/>
  <c r="M545" i="1"/>
  <c r="M832" i="1"/>
  <c r="O769" i="1"/>
  <c r="O861" i="1" s="1"/>
  <c r="P680" i="1"/>
  <c r="O545" i="1"/>
  <c r="M58" i="1"/>
  <c r="M57" i="1" s="1"/>
  <c r="O680" i="1"/>
  <c r="M659" i="1"/>
  <c r="O568" i="1"/>
  <c r="N282" i="1"/>
  <c r="L1377" i="1"/>
  <c r="N1278" i="1"/>
  <c r="O994" i="1"/>
  <c r="O1007" i="1" s="1"/>
  <c r="O1006" i="1" s="1"/>
  <c r="O992" i="1"/>
  <c r="O993" i="1" s="1"/>
  <c r="N974" i="1"/>
  <c r="M876" i="1"/>
  <c r="O771" i="1"/>
  <c r="O768" i="1" s="1"/>
  <c r="P591" i="1"/>
  <c r="P590" i="1" s="1"/>
  <c r="L572" i="1"/>
  <c r="P573" i="1"/>
  <c r="M298" i="1"/>
  <c r="M302" i="1" s="1"/>
  <c r="L282" i="1"/>
  <c r="O572" i="1"/>
  <c r="L974" i="1"/>
  <c r="P658" i="1"/>
  <c r="L655" i="1"/>
  <c r="O598" i="1"/>
  <c r="O151" i="1"/>
  <c r="M1477" i="1"/>
  <c r="P1472" i="1"/>
  <c r="L1465" i="1"/>
  <c r="O1396" i="1"/>
  <c r="O1392" i="1"/>
  <c r="N1388" i="1"/>
  <c r="N1380" i="1"/>
  <c r="M1384" i="1"/>
  <c r="P1266" i="1"/>
  <c r="L1272" i="1"/>
  <c r="N1046" i="1"/>
  <c r="N1043" i="1" s="1"/>
  <c r="L994" i="1"/>
  <c r="L1014" i="1" s="1"/>
  <c r="L1011" i="1" s="1"/>
  <c r="M970" i="1"/>
  <c r="P305" i="1"/>
  <c r="L23" i="1"/>
  <c r="L1714" i="1" s="1"/>
  <c r="M781" i="1"/>
  <c r="M865" i="1" s="1"/>
  <c r="O705" i="1"/>
  <c r="M614" i="1"/>
  <c r="P605" i="1"/>
  <c r="N525" i="1"/>
  <c r="M36" i="1"/>
  <c r="M658" i="1"/>
  <c r="L591" i="1"/>
  <c r="M401" i="1"/>
  <c r="L112" i="1"/>
  <c r="L340" i="1" s="1"/>
  <c r="L356" i="1" s="1"/>
  <c r="L501" i="1" s="1"/>
  <c r="L490" i="1" s="1"/>
  <c r="L36" i="1"/>
  <c r="M662" i="1"/>
  <c r="P661" i="1"/>
  <c r="N658" i="1"/>
  <c r="M530" i="1"/>
  <c r="P1684" i="1"/>
  <c r="L1645" i="1"/>
  <c r="L1641" i="1"/>
  <c r="O1592" i="1"/>
  <c r="P1588" i="1"/>
  <c r="L1545" i="1"/>
  <c r="N1508" i="1"/>
  <c r="O1480" i="1"/>
  <c r="M1472" i="1"/>
  <c r="N1464" i="1"/>
  <c r="N1460" i="1"/>
  <c r="P1307" i="1"/>
  <c r="P1303" i="1"/>
  <c r="N1281" i="1"/>
  <c r="P1273" i="1"/>
  <c r="M1270" i="1"/>
  <c r="L1305" i="1"/>
  <c r="P969" i="1"/>
  <c r="M937" i="1"/>
  <c r="L968" i="1"/>
  <c r="O860" i="1"/>
  <c r="O800" i="1"/>
  <c r="M695" i="1"/>
  <c r="L705" i="1"/>
  <c r="P701" i="1"/>
  <c r="N605" i="1"/>
  <c r="L389" i="1"/>
  <c r="L397" i="1"/>
  <c r="M556" i="1"/>
  <c r="L106" i="1"/>
  <c r="L334" i="1" s="1"/>
  <c r="L350" i="1" s="1"/>
  <c r="L495" i="1" s="1"/>
  <c r="L484" i="1" s="1"/>
  <c r="O1025" i="1"/>
  <c r="O1022" i="1" s="1"/>
  <c r="O1021" i="1" s="1"/>
  <c r="P1114" i="1"/>
  <c r="L1114" i="1"/>
  <c r="P1099" i="1"/>
  <c r="L920" i="1"/>
  <c r="L1043" i="1"/>
  <c r="L1096" i="1" s="1"/>
  <c r="O920" i="1"/>
  <c r="N2234" i="1"/>
  <c r="N1731" i="1"/>
  <c r="P1047" i="1"/>
  <c r="M1731" i="1"/>
  <c r="M1043" i="1"/>
  <c r="M1069" i="1" s="1"/>
  <c r="M880" i="1"/>
  <c r="M563" i="1"/>
  <c r="N879" i="1"/>
  <c r="O1036" i="1"/>
  <c r="M1036" i="1"/>
  <c r="P270" i="1"/>
  <c r="P259" i="1" s="1"/>
  <c r="P1105" i="1"/>
  <c r="P1052" i="1"/>
  <c r="P1049" i="1" s="1"/>
  <c r="P1050" i="1" s="1"/>
  <c r="O2165" i="1"/>
  <c r="N2213" i="1"/>
  <c r="O2012" i="1"/>
  <c r="N2254" i="1"/>
  <c r="O2189" i="1"/>
  <c r="N2012" i="1"/>
  <c r="M2254" i="1"/>
  <c r="P2012" i="1"/>
  <c r="P2301" i="1"/>
  <c r="P2295" i="1" s="1"/>
  <c r="L2254" i="1"/>
  <c r="L2253" i="1" s="1"/>
  <c r="M2012" i="1"/>
  <c r="L2012" i="1"/>
  <c r="P1978" i="1"/>
  <c r="L2050" i="1"/>
  <c r="O1978" i="1"/>
  <c r="L1954" i="1"/>
  <c r="L2223" i="1"/>
  <c r="N1978" i="1"/>
  <c r="M1978" i="1"/>
  <c r="O2301" i="1"/>
  <c r="L1978" i="1"/>
  <c r="L2296" i="1"/>
  <c r="M2259" i="1"/>
  <c r="N2189" i="1"/>
  <c r="O2114" i="1"/>
  <c r="P1954" i="1"/>
  <c r="M2114" i="1"/>
  <c r="M2301" i="1"/>
  <c r="O2276" i="1"/>
  <c r="P2189" i="1"/>
  <c r="N2301" i="1"/>
  <c r="N2295" i="1" s="1"/>
  <c r="O2022" i="1"/>
  <c r="N2276" i="1"/>
  <c r="N2165" i="1"/>
  <c r="L2114" i="1"/>
  <c r="N2024" i="1"/>
  <c r="L2234" i="1"/>
  <c r="M2022" i="1"/>
  <c r="P2272" i="1"/>
  <c r="O2223" i="1"/>
  <c r="N1954" i="1"/>
  <c r="O2296" i="1"/>
  <c r="L2273" i="1"/>
  <c r="L2272" i="1" s="1"/>
  <c r="P2259" i="1"/>
  <c r="P2253" i="1" s="1"/>
  <c r="N2259" i="1"/>
  <c r="P2114" i="1"/>
  <c r="L2024" i="1"/>
  <c r="P2165" i="1"/>
  <c r="N2114" i="1"/>
  <c r="P2024" i="1"/>
  <c r="P2313" i="1"/>
  <c r="P2223" i="1"/>
  <c r="L2213" i="1"/>
  <c r="M2165" i="1"/>
  <c r="O2313" i="1"/>
  <c r="O2315" i="1"/>
  <c r="N2223" i="1"/>
  <c r="M2189" i="1"/>
  <c r="L2165" i="1"/>
  <c r="N2315" i="1"/>
  <c r="N2313" i="1"/>
  <c r="L2189" i="1"/>
  <c r="M2313" i="1"/>
  <c r="L2002" i="1"/>
  <c r="N1552" i="1"/>
  <c r="N1587" i="1"/>
  <c r="M2223" i="1"/>
  <c r="P2022" i="1"/>
  <c r="N2022" i="1"/>
  <c r="L1649" i="1"/>
  <c r="L1684" i="1"/>
  <c r="P1533" i="1"/>
  <c r="P1518" i="1"/>
  <c r="P2002" i="1"/>
  <c r="P1491" i="1"/>
  <c r="P1490" i="1" s="1"/>
  <c r="P1496" i="1"/>
  <c r="P2213" i="1"/>
  <c r="L2022" i="1"/>
  <c r="O1844" i="1"/>
  <c r="N1518" i="1"/>
  <c r="N1533" i="1"/>
  <c r="O2002" i="1"/>
  <c r="P1903" i="1"/>
  <c r="L2313" i="1"/>
  <c r="O2213" i="1"/>
  <c r="M1843" i="1"/>
  <c r="O1599" i="1"/>
  <c r="N1541" i="1"/>
  <c r="L1518" i="1"/>
  <c r="L1533" i="1"/>
  <c r="N2002" i="1"/>
  <c r="L1590" i="1"/>
  <c r="L1559" i="1"/>
  <c r="N1550" i="1"/>
  <c r="N1586" i="1"/>
  <c r="P1863" i="1"/>
  <c r="P1862" i="1" s="1"/>
  <c r="M2002" i="1"/>
  <c r="N1903" i="1"/>
  <c r="O1559" i="1"/>
  <c r="L1541" i="1"/>
  <c r="M1903" i="1"/>
  <c r="L1903" i="1"/>
  <c r="L1599" i="1"/>
  <c r="P1573" i="1"/>
  <c r="L1435" i="1"/>
  <c r="L1461" i="1"/>
  <c r="O1825" i="1"/>
  <c r="N1678" i="1"/>
  <c r="N1641" i="1"/>
  <c r="P1435" i="1"/>
  <c r="P1460" i="1"/>
  <c r="O1573" i="1"/>
  <c r="O1849" i="1"/>
  <c r="M1825" i="1"/>
  <c r="M1824" i="1" s="1"/>
  <c r="N1584" i="1"/>
  <c r="N1573" i="1"/>
  <c r="N1886" i="1"/>
  <c r="M1707" i="1"/>
  <c r="M1584" i="1"/>
  <c r="M1573" i="1"/>
  <c r="O1645" i="1"/>
  <c r="O1681" i="1"/>
  <c r="M1632" i="1"/>
  <c r="L1584" i="1"/>
  <c r="L1573" i="1"/>
  <c r="M1486" i="1"/>
  <c r="M1489" i="1"/>
  <c r="L1707" i="1"/>
  <c r="N1645" i="1"/>
  <c r="N1681" i="1"/>
  <c r="M1633" i="1"/>
  <c r="M1597" i="1"/>
  <c r="O1954" i="1"/>
  <c r="O1903" i="1"/>
  <c r="M1645" i="1"/>
  <c r="P1584" i="1"/>
  <c r="P1547" i="1"/>
  <c r="P1587" i="1"/>
  <c r="O1547" i="1"/>
  <c r="O1584" i="1"/>
  <c r="P1425" i="1"/>
  <c r="P1830" i="1"/>
  <c r="P1824" i="1" s="1"/>
  <c r="P1687" i="1"/>
  <c r="N1592" i="1"/>
  <c r="N1567" i="1"/>
  <c r="N1891" i="1"/>
  <c r="O1830" i="1"/>
  <c r="O1631" i="1"/>
  <c r="O1620" i="1"/>
  <c r="O1606" i="1"/>
  <c r="M1954" i="1"/>
  <c r="N1631" i="1"/>
  <c r="N1620" i="1"/>
  <c r="M1631" i="1"/>
  <c r="M1620" i="1"/>
  <c r="L1891" i="1"/>
  <c r="L1620" i="1"/>
  <c r="L1631" i="1"/>
  <c r="N1591" i="1"/>
  <c r="P1589" i="1"/>
  <c r="P1489" i="1"/>
  <c r="P1620" i="1"/>
  <c r="P1538" i="1"/>
  <c r="P1503" i="1"/>
  <c r="O1496" i="1"/>
  <c r="N1489" i="1"/>
  <c r="M1047" i="1"/>
  <c r="M1071" i="1"/>
  <c r="M1466" i="1"/>
  <c r="M1279" i="1"/>
  <c r="O1503" i="1"/>
  <c r="O1497" i="1" s="1"/>
  <c r="N1493" i="1"/>
  <c r="N1496" i="1"/>
  <c r="L1489" i="1"/>
  <c r="M1425" i="1"/>
  <c r="M1322" i="1"/>
  <c r="N1180" i="1"/>
  <c r="M1468" i="1"/>
  <c r="L1390" i="1"/>
  <c r="P1385" i="1"/>
  <c r="N1559" i="1"/>
  <c r="O1489" i="1"/>
  <c r="O1400" i="1"/>
  <c r="M1378" i="1"/>
  <c r="O1301" i="1"/>
  <c r="L1203" i="1"/>
  <c r="M1180" i="1"/>
  <c r="P1614" i="1"/>
  <c r="P1411" i="1"/>
  <c r="L1378" i="1"/>
  <c r="M1503" i="1"/>
  <c r="N1400" i="1"/>
  <c r="N1389" i="1"/>
  <c r="N1385" i="1"/>
  <c r="L1180" i="1"/>
  <c r="L1296" i="1"/>
  <c r="P1544" i="1"/>
  <c r="L1471" i="1"/>
  <c r="N1411" i="1"/>
  <c r="N1393" i="1"/>
  <c r="M1389" i="1"/>
  <c r="P1341" i="1"/>
  <c r="N1293" i="1"/>
  <c r="M1213" i="1"/>
  <c r="O1157" i="1"/>
  <c r="O1282" i="1"/>
  <c r="N1710" i="1"/>
  <c r="O1493" i="1"/>
  <c r="M1278" i="1"/>
  <c r="N1157" i="1"/>
  <c r="M1493" i="1"/>
  <c r="M1411" i="1"/>
  <c r="M1393" i="1"/>
  <c r="P1157" i="1"/>
  <c r="M1157" i="1"/>
  <c r="N1137" i="1"/>
  <c r="L1710" i="1"/>
  <c r="M1099" i="1"/>
  <c r="M1132" i="1"/>
  <c r="O1486" i="1"/>
  <c r="P1462" i="1"/>
  <c r="O1266" i="1"/>
  <c r="O1213" i="1"/>
  <c r="P1473" i="1"/>
  <c r="P1316" i="1"/>
  <c r="L1137" i="1"/>
  <c r="L1136" i="1" s="1"/>
  <c r="O1435" i="1"/>
  <c r="P1351" i="1"/>
  <c r="O1316" i="1"/>
  <c r="N1277" i="1"/>
  <c r="O1552" i="1"/>
  <c r="O1533" i="1"/>
  <c r="M1460" i="1"/>
  <c r="M1392" i="1"/>
  <c r="L1270" i="1"/>
  <c r="L1470" i="1"/>
  <c r="M1316" i="1"/>
  <c r="N1273" i="1"/>
  <c r="P1406" i="1"/>
  <c r="M1351" i="1"/>
  <c r="N1327" i="1"/>
  <c r="N1036" i="1"/>
  <c r="N1037" i="1"/>
  <c r="M1533" i="1"/>
  <c r="O1406" i="1"/>
  <c r="P1391" i="1"/>
  <c r="M1327" i="1"/>
  <c r="L1316" i="1"/>
  <c r="N1406" i="1"/>
  <c r="P1379" i="1"/>
  <c r="L1351" i="1"/>
  <c r="L1376" i="1"/>
  <c r="N1536" i="1"/>
  <c r="O1460" i="1"/>
  <c r="N1435" i="1"/>
  <c r="L1327" i="1"/>
  <c r="N1213" i="1"/>
  <c r="O1539" i="1"/>
  <c r="O1395" i="1"/>
  <c r="O1351" i="1"/>
  <c r="O1276" i="1"/>
  <c r="N1314" i="1"/>
  <c r="L1036" i="1"/>
  <c r="L1037" i="1"/>
  <c r="O1518" i="1"/>
  <c r="L1406" i="1"/>
  <c r="N1395" i="1"/>
  <c r="M1387" i="1"/>
  <c r="O1462" i="1"/>
  <c r="O1341" i="1"/>
  <c r="N1272" i="1"/>
  <c r="N1341" i="1"/>
  <c r="L1280" i="1"/>
  <c r="L1213" i="1"/>
  <c r="P1376" i="1"/>
  <c r="M1341" i="1"/>
  <c r="P1322" i="1"/>
  <c r="P1203" i="1"/>
  <c r="P1314" i="1" s="1"/>
  <c r="N1120" i="1"/>
  <c r="N1026" i="1"/>
  <c r="N1025" i="1" s="1"/>
  <c r="N1022" i="1" s="1"/>
  <c r="O1425" i="1"/>
  <c r="P1213" i="1"/>
  <c r="O1203" i="1"/>
  <c r="P1180" i="1"/>
  <c r="P997" i="1"/>
  <c r="P961" i="1"/>
  <c r="P933" i="1"/>
  <c r="L1265" i="1"/>
  <c r="N1112" i="1"/>
  <c r="L1062" i="1"/>
  <c r="O997" i="1"/>
  <c r="N997" i="1"/>
  <c r="N1351" i="1"/>
  <c r="L1103" i="1"/>
  <c r="O1062" i="1"/>
  <c r="M1025" i="1"/>
  <c r="M1022" i="1" s="1"/>
  <c r="L1088" i="1"/>
  <c r="M987" i="1"/>
  <c r="M986" i="1" s="1"/>
  <c r="L1120" i="1"/>
  <c r="L1026" i="1"/>
  <c r="L1025" i="1" s="1"/>
  <c r="L1022" i="1" s="1"/>
  <c r="L987" i="1"/>
  <c r="L986" i="1" s="1"/>
  <c r="P977" i="1"/>
  <c r="P927" i="1"/>
  <c r="P955" i="1"/>
  <c r="M1435" i="1"/>
  <c r="N1135" i="1"/>
  <c r="M1111" i="1"/>
  <c r="N1073" i="1"/>
  <c r="O977" i="1"/>
  <c r="O1079" i="1"/>
  <c r="O1122" i="1"/>
  <c r="N994" i="1"/>
  <c r="N1007" i="1" s="1"/>
  <c r="M1079" i="1"/>
  <c r="P1037" i="1"/>
  <c r="O1023" i="1"/>
  <c r="M977" i="1"/>
  <c r="M1273" i="1"/>
  <c r="O1133" i="1"/>
  <c r="M1122" i="1"/>
  <c r="L1101" i="1"/>
  <c r="L1133" i="1"/>
  <c r="M1073" i="1"/>
  <c r="L1122" i="1"/>
  <c r="P1072" i="1"/>
  <c r="P1098" i="1" s="1"/>
  <c r="M1011" i="1"/>
  <c r="M1052" i="1"/>
  <c r="M1049" i="1" s="1"/>
  <c r="M1050" i="1" s="1"/>
  <c r="P1120" i="1"/>
  <c r="N1109" i="1"/>
  <c r="M1060" i="1"/>
  <c r="P1033" i="1"/>
  <c r="P1034" i="1" s="1"/>
  <c r="L1093" i="1"/>
  <c r="N1072" i="1"/>
  <c r="N1098" i="1" s="1"/>
  <c r="L1052" i="1"/>
  <c r="L1049" i="1" s="1"/>
  <c r="L1050" i="1" s="1"/>
  <c r="N1284" i="1"/>
  <c r="P1065" i="1"/>
  <c r="M1037" i="1"/>
  <c r="L1132" i="1"/>
  <c r="N1110" i="1"/>
  <c r="L1033" i="1"/>
  <c r="L1034" i="1" s="1"/>
  <c r="M1007" i="1"/>
  <c r="L992" i="1"/>
  <c r="L993" i="1" s="1"/>
  <c r="M1023" i="1"/>
  <c r="O1137" i="1"/>
  <c r="L1065" i="1"/>
  <c r="L1023" i="1"/>
  <c r="P1036" i="1"/>
  <c r="M974" i="1"/>
  <c r="M1137" i="1"/>
  <c r="L1127" i="1"/>
  <c r="N990" i="1"/>
  <c r="P1306" i="1"/>
  <c r="O1180" i="1"/>
  <c r="M1077" i="1"/>
  <c r="M990" i="1"/>
  <c r="M1113" i="1"/>
  <c r="M1005" i="1"/>
  <c r="M1002" i="1" s="1"/>
  <c r="L990" i="1"/>
  <c r="O1152" i="1"/>
  <c r="O1113" i="1"/>
  <c r="N956" i="1"/>
  <c r="M823" i="1"/>
  <c r="O781" i="1"/>
  <c r="O865" i="1" s="1"/>
  <c r="O864" i="1"/>
  <c r="P769" i="1"/>
  <c r="P861" i="1" s="1"/>
  <c r="M765" i="1"/>
  <c r="M858" i="1" s="1"/>
  <c r="M956" i="1"/>
  <c r="O900" i="1"/>
  <c r="O923" i="1"/>
  <c r="O894" i="1"/>
  <c r="L862" i="1"/>
  <c r="L823" i="1"/>
  <c r="N863" i="1"/>
  <c r="N781" i="1"/>
  <c r="N865" i="1" s="1"/>
  <c r="N661" i="1"/>
  <c r="M661" i="1"/>
  <c r="M641" i="1"/>
  <c r="L604" i="1"/>
  <c r="M949" i="1"/>
  <c r="N923" i="1"/>
  <c r="N894" i="1"/>
  <c r="P823" i="1"/>
  <c r="M784" i="1"/>
  <c r="N877" i="1"/>
  <c r="M810" i="1"/>
  <c r="M879" i="1"/>
  <c r="P713" i="1"/>
  <c r="P712" i="1"/>
  <c r="M900" i="1"/>
  <c r="M923" i="1"/>
  <c r="L863" i="1"/>
  <c r="L781" i="1"/>
  <c r="L865" i="1" s="1"/>
  <c r="L784" i="1"/>
  <c r="N703" i="1"/>
  <c r="O947" i="1"/>
  <c r="O969" i="1"/>
  <c r="O959" i="1"/>
  <c r="O933" i="1"/>
  <c r="P810" i="1"/>
  <c r="P879" i="1"/>
  <c r="N769" i="1"/>
  <c r="N861" i="1" s="1"/>
  <c r="P281" i="1"/>
  <c r="P798" i="1"/>
  <c r="O955" i="1"/>
  <c r="N947" i="1"/>
  <c r="N969" i="1"/>
  <c r="L894" i="1"/>
  <c r="L900" i="1"/>
  <c r="L923" i="1"/>
  <c r="L701" i="1"/>
  <c r="N694" i="1"/>
  <c r="N691" i="1" s="1"/>
  <c r="N700" i="1"/>
  <c r="O626" i="1"/>
  <c r="M959" i="1"/>
  <c r="M933" i="1"/>
  <c r="N850" i="1"/>
  <c r="N880" i="1"/>
  <c r="L771" i="1"/>
  <c r="L768" i="1" s="1"/>
  <c r="L763" i="1" s="1"/>
  <c r="L773" i="1"/>
  <c r="L769" i="1" s="1"/>
  <c r="L861" i="1" s="1"/>
  <c r="P741" i="1"/>
  <c r="P735" i="1" s="1"/>
  <c r="L672" i="1"/>
  <c r="L694" i="1"/>
  <c r="L691" i="1" s="1"/>
  <c r="L959" i="1"/>
  <c r="L933" i="1"/>
  <c r="P894" i="1"/>
  <c r="P900" i="1"/>
  <c r="N660" i="1"/>
  <c r="N651" i="1"/>
  <c r="N795" i="1"/>
  <c r="M103" i="1"/>
  <c r="M196" i="1"/>
  <c r="M193" i="1" s="1"/>
  <c r="N977" i="1"/>
  <c r="O717" i="1"/>
  <c r="O714" i="1" s="1"/>
  <c r="O731" i="1"/>
  <c r="M673" i="1"/>
  <c r="M670" i="1" s="1"/>
  <c r="M671" i="1"/>
  <c r="M693" i="1"/>
  <c r="M660" i="1"/>
  <c r="M651" i="1"/>
  <c r="O646" i="1"/>
  <c r="O644" i="1" s="1"/>
  <c r="O656" i="1"/>
  <c r="M795" i="1"/>
  <c r="N933" i="1"/>
  <c r="N920" i="1"/>
  <c r="M817" i="1"/>
  <c r="O269" i="1"/>
  <c r="O258" i="1" s="1"/>
  <c r="M1004" i="1"/>
  <c r="L864" i="1"/>
  <c r="M538" i="1"/>
  <c r="N992" i="1"/>
  <c r="N993" i="1" s="1"/>
  <c r="L626" i="1"/>
  <c r="L537" i="1"/>
  <c r="M992" i="1"/>
  <c r="M993" i="1" s="1"/>
  <c r="M968" i="1"/>
  <c r="N723" i="1"/>
  <c r="N730" i="1"/>
  <c r="O713" i="1"/>
  <c r="O710" i="1"/>
  <c r="N601" i="1"/>
  <c r="N612" i="1"/>
  <c r="N713" i="1"/>
  <c r="N710" i="1"/>
  <c r="M672" i="1"/>
  <c r="M694" i="1"/>
  <c r="M691" i="1" s="1"/>
  <c r="N970" i="1"/>
  <c r="N917" i="1"/>
  <c r="P864" i="1"/>
  <c r="M859" i="1"/>
  <c r="M612" i="1"/>
  <c r="M601" i="1"/>
  <c r="L879" i="1"/>
  <c r="O659" i="1"/>
  <c r="O655" i="1"/>
  <c r="P599" i="1"/>
  <c r="L554" i="1"/>
  <c r="L917" i="1"/>
  <c r="L970" i="1"/>
  <c r="N864" i="1"/>
  <c r="N826" i="1"/>
  <c r="P730" i="1"/>
  <c r="P715" i="1"/>
  <c r="P695" i="1"/>
  <c r="P704" i="1"/>
  <c r="P987" i="1"/>
  <c r="L888" i="1"/>
  <c r="O282" i="1"/>
  <c r="O799" i="1"/>
  <c r="N70" i="1"/>
  <c r="N75" i="1"/>
  <c r="N74" i="1" s="1"/>
  <c r="N526" i="1"/>
  <c r="P717" i="1"/>
  <c r="L671" i="1"/>
  <c r="L702" i="1"/>
  <c r="O987" i="1"/>
  <c r="P960" i="1"/>
  <c r="P910" i="1"/>
  <c r="P942" i="1" s="1"/>
  <c r="P965" i="1" s="1"/>
  <c r="P909" i="1"/>
  <c r="P941" i="1" s="1"/>
  <c r="P964" i="1" s="1"/>
  <c r="O889" i="1"/>
  <c r="O891" i="1"/>
  <c r="O888" i="1" s="1"/>
  <c r="O887" i="1" s="1"/>
  <c r="P846" i="1"/>
  <c r="P878" i="1"/>
  <c r="N695" i="1"/>
  <c r="N911" i="1"/>
  <c r="N943" i="1" s="1"/>
  <c r="N966" i="1" s="1"/>
  <c r="N518" i="1"/>
  <c r="O910" i="1"/>
  <c r="O942" i="1" s="1"/>
  <c r="O965" i="1" s="1"/>
  <c r="O908" i="1"/>
  <c r="O940" i="1" s="1"/>
  <c r="O963" i="1" s="1"/>
  <c r="O909" i="1"/>
  <c r="O941" i="1" s="1"/>
  <c r="O964" i="1" s="1"/>
  <c r="P598" i="1"/>
  <c r="N442" i="1"/>
  <c r="N443" i="1"/>
  <c r="M566" i="1"/>
  <c r="M800" i="1"/>
  <c r="L997" i="1"/>
  <c r="N908" i="1"/>
  <c r="N940" i="1" s="1"/>
  <c r="N963" i="1" s="1"/>
  <c r="N910" i="1"/>
  <c r="N942" i="1" s="1"/>
  <c r="N965" i="1" s="1"/>
  <c r="M889" i="1"/>
  <c r="M891" i="1"/>
  <c r="M888" i="1" s="1"/>
  <c r="M887" i="1" s="1"/>
  <c r="M969" i="1"/>
  <c r="M960" i="1"/>
  <c r="P970" i="1"/>
  <c r="P949" i="1"/>
  <c r="N784" i="1"/>
  <c r="L765" i="1"/>
  <c r="L858" i="1" s="1"/>
  <c r="L859" i="1"/>
  <c r="L817" i="1"/>
  <c r="M741" i="1"/>
  <c r="M735" i="1" s="1"/>
  <c r="N705" i="1"/>
  <c r="L969" i="1"/>
  <c r="O970" i="1"/>
  <c r="O949" i="1"/>
  <c r="L908" i="1"/>
  <c r="L940" i="1" s="1"/>
  <c r="L963" i="1" s="1"/>
  <c r="L910" i="1"/>
  <c r="L942" i="1" s="1"/>
  <c r="L965" i="1" s="1"/>
  <c r="P862" i="1"/>
  <c r="P763" i="1"/>
  <c r="P656" i="1"/>
  <c r="P459" i="1"/>
  <c r="P580" i="1"/>
  <c r="O240" i="1"/>
  <c r="P881" i="1"/>
  <c r="P852" i="1"/>
  <c r="O763" i="1"/>
  <c r="M714" i="1"/>
  <c r="O956" i="1"/>
  <c r="O912" i="1"/>
  <c r="O967" i="1" s="1"/>
  <c r="O881" i="1"/>
  <c r="O852" i="1"/>
  <c r="N862" i="1"/>
  <c r="N823" i="1"/>
  <c r="P784" i="1"/>
  <c r="N763" i="1"/>
  <c r="O701" i="1"/>
  <c r="N604" i="1"/>
  <c r="N459" i="1"/>
  <c r="N580" i="1"/>
  <c r="P781" i="1"/>
  <c r="P865" i="1" s="1"/>
  <c r="O730" i="1"/>
  <c r="N702" i="1"/>
  <c r="M580" i="1"/>
  <c r="N554" i="1"/>
  <c r="P110" i="1"/>
  <c r="M264" i="1"/>
  <c r="M253" i="1" s="1"/>
  <c r="O82" i="1"/>
  <c r="O529" i="1"/>
  <c r="N64" i="1"/>
  <c r="N522" i="1"/>
  <c r="M826" i="1"/>
  <c r="P672" i="1"/>
  <c r="N461" i="1"/>
  <c r="N581" i="1"/>
  <c r="O379" i="1"/>
  <c r="N145" i="1"/>
  <c r="M894" i="1"/>
  <c r="O694" i="1"/>
  <c r="O691" i="1" s="1"/>
  <c r="O693" i="1"/>
  <c r="L550" i="1"/>
  <c r="L526" i="1"/>
  <c r="O270" i="1"/>
  <c r="O259" i="1" s="1"/>
  <c r="P104" i="1"/>
  <c r="M82" i="1"/>
  <c r="M529" i="1"/>
  <c r="N23" i="1"/>
  <c r="O878" i="1"/>
  <c r="O695" i="1"/>
  <c r="N626" i="1"/>
  <c r="N624" i="1" s="1"/>
  <c r="L613" i="1"/>
  <c r="P442" i="1"/>
  <c r="P441" i="1" s="1"/>
  <c r="P443" i="1"/>
  <c r="P539" i="1"/>
  <c r="P566" i="1"/>
  <c r="P103" i="1"/>
  <c r="P331" i="1" s="1"/>
  <c r="P347" i="1" s="1"/>
  <c r="P426" i="1" s="1"/>
  <c r="P196" i="1"/>
  <c r="P193" i="1" s="1"/>
  <c r="L82" i="1"/>
  <c r="L529" i="1"/>
  <c r="P70" i="1"/>
  <c r="P526" i="1"/>
  <c r="P75" i="1"/>
  <c r="P74" i="1" s="1"/>
  <c r="N878" i="1"/>
  <c r="P819" i="1"/>
  <c r="L800" i="1"/>
  <c r="M599" i="1"/>
  <c r="L549" i="1"/>
  <c r="N298" i="1"/>
  <c r="N302" i="1" s="1"/>
  <c r="M161" i="1"/>
  <c r="L58" i="1"/>
  <c r="M680" i="1"/>
  <c r="O612" i="1"/>
  <c r="L566" i="1"/>
  <c r="N536" i="1"/>
  <c r="M443" i="1"/>
  <c r="M442" i="1"/>
  <c r="M441" i="1" s="1"/>
  <c r="O401" i="1"/>
  <c r="O206" i="1"/>
  <c r="M151" i="1"/>
  <c r="M329" i="1"/>
  <c r="M345" i="1" s="1"/>
  <c r="P149" i="1"/>
  <c r="P659" i="1"/>
  <c r="O173" i="1"/>
  <c r="O823" i="1"/>
  <c r="L799" i="1"/>
  <c r="N646" i="1"/>
  <c r="O605" i="1"/>
  <c r="O604" i="1" s="1"/>
  <c r="N594" i="1"/>
  <c r="O576" i="1"/>
  <c r="M366" i="1"/>
  <c r="P35" i="1"/>
  <c r="P1725" i="1" s="1"/>
  <c r="M877" i="1"/>
  <c r="P401" i="1"/>
  <c r="N288" i="1"/>
  <c r="L269" i="1"/>
  <c r="L258" i="1" s="1"/>
  <c r="P572" i="1"/>
  <c r="M328" i="1"/>
  <c r="M344" i="1" s="1"/>
  <c r="O51" i="1"/>
  <c r="O1740" i="1" s="1"/>
  <c r="L877" i="1"/>
  <c r="P765" i="1"/>
  <c r="P858" i="1" s="1"/>
  <c r="P655" i="1"/>
  <c r="M646" i="1"/>
  <c r="L612" i="1"/>
  <c r="M576" i="1"/>
  <c r="N401" i="1"/>
  <c r="N377" i="1"/>
  <c r="M536" i="1"/>
  <c r="O237" i="1"/>
  <c r="O236" i="1" s="1"/>
  <c r="O238" i="1"/>
  <c r="P577" i="1"/>
  <c r="P222" i="1"/>
  <c r="P221" i="1" s="1"/>
  <c r="L567" i="1"/>
  <c r="L173" i="1"/>
  <c r="O765" i="1"/>
  <c r="O858" i="1" s="1"/>
  <c r="M699" i="1"/>
  <c r="N659" i="1"/>
  <c r="L646" i="1"/>
  <c r="L656" i="1"/>
  <c r="M598" i="1"/>
  <c r="L452" i="1"/>
  <c r="L451" i="1" s="1"/>
  <c r="L449" i="1"/>
  <c r="O268" i="1"/>
  <c r="O257" i="1" s="1"/>
  <c r="P214" i="1"/>
  <c r="P213" i="1" s="1"/>
  <c r="O331" i="1"/>
  <c r="O196" i="1"/>
  <c r="O193" i="1" s="1"/>
  <c r="N267" i="1"/>
  <c r="N256" i="1" s="1"/>
  <c r="P195" i="1"/>
  <c r="N35" i="1"/>
  <c r="N1725" i="1" s="1"/>
  <c r="N765" i="1"/>
  <c r="N858" i="1" s="1"/>
  <c r="L594" i="1"/>
  <c r="P556" i="1"/>
  <c r="O566" i="1"/>
  <c r="M238" i="1"/>
  <c r="O211" i="1"/>
  <c r="O210" i="1" s="1"/>
  <c r="O214" i="1"/>
  <c r="O213" i="1" s="1"/>
  <c r="N110" i="1"/>
  <c r="P891" i="1"/>
  <c r="P888" i="1" s="1"/>
  <c r="O686" i="1"/>
  <c r="M655" i="1"/>
  <c r="O601" i="1"/>
  <c r="L598" i="1"/>
  <c r="O556" i="1"/>
  <c r="M288" i="1"/>
  <c r="N268" i="1"/>
  <c r="N257" i="1" s="1"/>
  <c r="M222" i="1"/>
  <c r="M221" i="1" s="1"/>
  <c r="M219" i="1"/>
  <c r="N202" i="1"/>
  <c r="N205" i="1" s="1"/>
  <c r="M269" i="1"/>
  <c r="M258" i="1" s="1"/>
  <c r="M35" i="1"/>
  <c r="M1725" i="1" s="1"/>
  <c r="L710" i="1"/>
  <c r="L659" i="1"/>
  <c r="P641" i="1"/>
  <c r="N509" i="1"/>
  <c r="L219" i="1"/>
  <c r="L210" i="1" s="1"/>
  <c r="M148" i="1"/>
  <c r="N113" i="1"/>
  <c r="P107" i="1"/>
  <c r="M195" i="1"/>
  <c r="M624" i="1"/>
  <c r="M547" i="1"/>
  <c r="M113" i="1"/>
  <c r="L195" i="1"/>
  <c r="N671" i="1"/>
  <c r="L601" i="1"/>
  <c r="O523" i="1"/>
  <c r="O294" i="1"/>
  <c r="P211" i="1"/>
  <c r="P210" i="1" s="1"/>
  <c r="O188" i="1"/>
  <c r="P147" i="1"/>
  <c r="L272" i="1"/>
  <c r="L261" i="1" s="1"/>
  <c r="N266" i="1"/>
  <c r="N255" i="1" s="1"/>
  <c r="N107" i="1"/>
  <c r="P101" i="1"/>
  <c r="P329" i="1" s="1"/>
  <c r="P345" i="1" s="1"/>
  <c r="P531" i="1"/>
  <c r="M686" i="1"/>
  <c r="P417" i="1"/>
  <c r="P416" i="1" s="1"/>
  <c r="N294" i="1"/>
  <c r="N523" i="1"/>
  <c r="P202" i="1"/>
  <c r="P205" i="1" s="1"/>
  <c r="P455" i="1"/>
  <c r="P578" i="1"/>
  <c r="O553" i="1"/>
  <c r="P533" i="1"/>
  <c r="M523" i="1"/>
  <c r="M294" i="1"/>
  <c r="M188" i="1"/>
  <c r="O169" i="1"/>
  <c r="O29" i="1"/>
  <c r="O1720" i="1" s="1"/>
  <c r="P541" i="1"/>
  <c r="P500" i="1"/>
  <c r="O578" i="1"/>
  <c r="O455" i="1"/>
  <c r="N527" i="1"/>
  <c r="L294" i="1"/>
  <c r="L523" i="1"/>
  <c r="O202" i="1"/>
  <c r="O205" i="1" s="1"/>
  <c r="N565" i="1"/>
  <c r="P337" i="1"/>
  <c r="P353" i="1" s="1"/>
  <c r="L75" i="1"/>
  <c r="L74" i="1" s="1"/>
  <c r="P3" i="1"/>
  <c r="P880" i="1"/>
  <c r="P863" i="1"/>
  <c r="P686" i="1"/>
  <c r="L587" i="1"/>
  <c r="L586" i="1" s="1"/>
  <c r="L542" i="1"/>
  <c r="P436" i="1"/>
  <c r="P550" i="1"/>
  <c r="M417" i="1"/>
  <c r="M416" i="1" s="1"/>
  <c r="M415" i="1"/>
  <c r="M414" i="1" s="1"/>
  <c r="M265" i="1"/>
  <c r="M254" i="1" s="1"/>
  <c r="L368" i="1"/>
  <c r="P528" i="1"/>
  <c r="L704" i="1"/>
  <c r="N686" i="1"/>
  <c r="O636" i="1"/>
  <c r="O634" i="1" s="1"/>
  <c r="P614" i="1"/>
  <c r="P581" i="1"/>
  <c r="N503" i="1"/>
  <c r="O345" i="1"/>
  <c r="O531" i="1"/>
  <c r="N305" i="1"/>
  <c r="N469" i="1"/>
  <c r="N468" i="1" s="1"/>
  <c r="P264" i="1"/>
  <c r="P253" i="1" s="1"/>
  <c r="O266" i="1"/>
  <c r="O255" i="1" s="1"/>
  <c r="L576" i="1"/>
  <c r="M208" i="1"/>
  <c r="L518" i="1"/>
  <c r="L169" i="1"/>
  <c r="P801" i="1"/>
  <c r="L686" i="1"/>
  <c r="P631" i="1"/>
  <c r="O581" i="1"/>
  <c r="O528" i="1"/>
  <c r="M367" i="1"/>
  <c r="M542" i="1"/>
  <c r="N151" i="1"/>
  <c r="N106" i="1"/>
  <c r="N334" i="1" s="1"/>
  <c r="N350" i="1" s="1"/>
  <c r="N495" i="1" s="1"/>
  <c r="N484" i="1" s="1"/>
  <c r="N265" i="1"/>
  <c r="N254" i="1" s="1"/>
  <c r="O49" i="1"/>
  <c r="O1616" i="1" s="1"/>
  <c r="O1615" i="1" s="1"/>
  <c r="L42" i="1"/>
  <c r="L880" i="1"/>
  <c r="N636" i="1"/>
  <c r="P613" i="1"/>
  <c r="P260" i="1"/>
  <c r="P271" i="1"/>
  <c r="P340" i="1"/>
  <c r="M266" i="1"/>
  <c r="M255" i="1" s="1"/>
  <c r="O187" i="1"/>
  <c r="O186" i="1" s="1"/>
  <c r="O184" i="1"/>
  <c r="N717" i="1"/>
  <c r="N714" i="1" s="1"/>
  <c r="M636" i="1"/>
  <c r="M634" i="1" s="1"/>
  <c r="O281" i="1"/>
  <c r="O798" i="1"/>
  <c r="N183" i="1"/>
  <c r="N187" i="1"/>
  <c r="N186" i="1" s="1"/>
  <c r="N184" i="1"/>
  <c r="M146" i="1"/>
  <c r="O107" i="1"/>
  <c r="L305" i="1"/>
  <c r="M66" i="1"/>
  <c r="O879" i="1"/>
  <c r="P826" i="1"/>
  <c r="P702" i="1"/>
  <c r="N591" i="1"/>
  <c r="O580" i="1"/>
  <c r="O551" i="1"/>
  <c r="M527" i="1"/>
  <c r="L455" i="1"/>
  <c r="N370" i="1"/>
  <c r="N271" i="1"/>
  <c r="N260" i="1" s="1"/>
  <c r="P265" i="1"/>
  <c r="P254" i="1" s="1"/>
  <c r="N204" i="1"/>
  <c r="N197" i="1"/>
  <c r="L545" i="1"/>
  <c r="M541" i="1"/>
  <c r="M270" i="1"/>
  <c r="M259" i="1" s="1"/>
  <c r="O264" i="1"/>
  <c r="O253" i="1" s="1"/>
  <c r="O702" i="1"/>
  <c r="M703" i="1"/>
  <c r="L636" i="1"/>
  <c r="P626" i="1"/>
  <c r="P298" i="1"/>
  <c r="P302" i="1" s="1"/>
  <c r="P303" i="1"/>
  <c r="L201" i="1"/>
  <c r="L197" i="1"/>
  <c r="L183" i="1"/>
  <c r="L184" i="1"/>
  <c r="L187" i="1"/>
  <c r="L186" i="1" s="1"/>
  <c r="O104" i="1"/>
  <c r="L270" i="1"/>
  <c r="L259" i="1" s="1"/>
  <c r="N264" i="1"/>
  <c r="N253" i="1" s="1"/>
  <c r="P82" i="1"/>
  <c r="P99" i="1"/>
  <c r="P327" i="1" s="1"/>
  <c r="P343" i="1" s="1"/>
  <c r="P58" i="1"/>
  <c r="N46" i="1"/>
  <c r="N1735" i="1" s="1"/>
  <c r="N49" i="1"/>
  <c r="M568" i="1"/>
  <c r="M149" i="1"/>
  <c r="O267" i="1"/>
  <c r="O256" i="1" s="1"/>
  <c r="L188" i="1"/>
  <c r="L103" i="1"/>
  <c r="L331" i="1" s="1"/>
  <c r="O70" i="1"/>
  <c r="N58" i="1"/>
  <c r="N222" i="1"/>
  <c r="N221" i="1" s="1"/>
  <c r="N577" i="1"/>
  <c r="L214" i="1"/>
  <c r="L213" i="1" s="1"/>
  <c r="P188" i="1"/>
  <c r="O161" i="1"/>
  <c r="N270" i="1"/>
  <c r="N259" i="1" s="1"/>
  <c r="N195" i="1"/>
  <c r="P525" i="1"/>
  <c r="O35" i="1"/>
  <c r="O1725" i="1" s="1"/>
  <c r="P234" i="1"/>
  <c r="P239" i="1"/>
  <c r="P238" i="1" s="1"/>
  <c r="N219" i="1"/>
  <c r="N210" i="1" s="1"/>
  <c r="M572" i="1"/>
  <c r="L107" i="1"/>
  <c r="L335" i="1" s="1"/>
  <c r="L351" i="1" s="1"/>
  <c r="N101" i="1"/>
  <c r="N329" i="1" s="1"/>
  <c r="N345" i="1" s="1"/>
  <c r="P47" i="1"/>
  <c r="O66" i="1"/>
  <c r="L273" i="1"/>
  <c r="P576" i="1"/>
  <c r="P29" i="1"/>
  <c r="P1720" i="1" s="1"/>
  <c r="P146" i="1"/>
  <c r="P545" i="1"/>
  <c r="L66" i="1"/>
  <c r="P51" i="1"/>
  <c r="N29" i="1"/>
  <c r="N1720" i="1" s="1"/>
  <c r="O146" i="1"/>
  <c r="O111" i="1"/>
  <c r="O339" i="1" s="1"/>
  <c r="O355" i="1" s="1"/>
  <c r="O541" i="1"/>
  <c r="M29" i="1"/>
  <c r="M1720" i="1" s="1"/>
  <c r="P8" i="1"/>
  <c r="P1747" i="1" s="1"/>
  <c r="M554" i="1"/>
  <c r="L265" i="1"/>
  <c r="L254" i="1" s="1"/>
  <c r="P269" i="1"/>
  <c r="P258" i="1" s="1"/>
  <c r="N578" i="1"/>
  <c r="P187" i="1"/>
  <c r="P186" i="1" s="1"/>
  <c r="L571" i="1"/>
  <c r="L29" i="1"/>
  <c r="L1720" i="1" s="1"/>
  <c r="L47" i="1"/>
  <c r="L1570" i="1" s="1"/>
  <c r="L49" i="1"/>
  <c r="M51" i="1"/>
  <c r="M1740" i="1" s="1"/>
  <c r="L51" i="1"/>
  <c r="P23" i="1"/>
  <c r="O12" i="1"/>
  <c r="O1751" i="1" s="1"/>
  <c r="O3" i="1"/>
  <c r="M305" i="1"/>
  <c r="N337" i="1"/>
  <c r="P169" i="1"/>
  <c r="L544" i="1"/>
  <c r="P64" i="1"/>
  <c r="P522" i="1"/>
  <c r="M34" i="1"/>
  <c r="O23" i="1"/>
  <c r="L8" i="1"/>
  <c r="L1747" i="1" s="1"/>
  <c r="N3" i="1"/>
  <c r="O671" i="1"/>
  <c r="L581" i="1"/>
  <c r="N173" i="1"/>
  <c r="M550" i="1"/>
  <c r="M3" i="1"/>
  <c r="M587" i="1"/>
  <c r="M586" i="1" s="1"/>
  <c r="M449" i="1"/>
  <c r="M452" i="1"/>
  <c r="M451" i="1" s="1"/>
  <c r="N344" i="1"/>
  <c r="P151" i="1"/>
  <c r="L555" i="1"/>
  <c r="L109" i="1"/>
  <c r="O74" i="1"/>
  <c r="P12" i="1"/>
  <c r="P1751" i="1" s="1"/>
  <c r="O102" i="1"/>
  <c r="N99" i="1"/>
  <c r="N327" i="1" s="1"/>
  <c r="N343" i="1" s="1"/>
  <c r="L12" i="1"/>
  <c r="L1751" i="1" s="1"/>
  <c r="L264" i="1"/>
  <c r="L253" i="1" s="1"/>
  <c r="M112" i="1"/>
  <c r="O106" i="1"/>
  <c r="L101" i="1"/>
  <c r="L329" i="1" s="1"/>
  <c r="L345" i="1" s="1"/>
  <c r="N51" i="1"/>
  <c r="M23" i="1"/>
  <c r="L3" i="1"/>
  <c r="M147" i="1"/>
  <c r="P549" i="1"/>
  <c r="M544" i="1"/>
  <c r="N529" i="1"/>
  <c r="N239" i="1"/>
  <c r="L239" i="1"/>
  <c r="M47" i="1"/>
  <c r="L35" i="1"/>
  <c r="L1725" i="1" s="1"/>
  <c r="G106" i="1"/>
  <c r="H106" i="1"/>
  <c r="I103" i="1"/>
  <c r="I107" i="1"/>
  <c r="I102" i="1"/>
  <c r="H110" i="1"/>
  <c r="F910" i="1"/>
  <c r="H910" i="1"/>
  <c r="K910" i="1"/>
  <c r="J910" i="1"/>
  <c r="I910" i="1"/>
  <c r="G910" i="1"/>
  <c r="F909" i="1"/>
  <c r="K909" i="1"/>
  <c r="J909" i="1"/>
  <c r="I909" i="1"/>
  <c r="H909" i="1"/>
  <c r="G909" i="1"/>
  <c r="G908" i="1"/>
  <c r="K908" i="1"/>
  <c r="J908" i="1"/>
  <c r="I908" i="1"/>
  <c r="F908" i="1"/>
  <c r="H908" i="1"/>
  <c r="N1070" i="1" l="1"/>
  <c r="N1071" i="1"/>
  <c r="M736" i="1" a="1"/>
  <c r="M736" i="1" s="1"/>
  <c r="M738" i="1" a="1"/>
  <c r="M738" i="1" s="1"/>
  <c r="L1007" i="1"/>
  <c r="L1126" i="1" s="1"/>
  <c r="O1160" i="1"/>
  <c r="M2050" i="1"/>
  <c r="Q763" i="1"/>
  <c r="Q1555" i="1"/>
  <c r="O1555" i="1"/>
  <c r="M1759" i="1"/>
  <c r="L1330" i="1"/>
  <c r="M1428" i="1"/>
  <c r="Q2295" i="1"/>
  <c r="L2233" i="1"/>
  <c r="P1330" i="1"/>
  <c r="M1344" i="1"/>
  <c r="L644" i="1"/>
  <c r="P1005" i="1"/>
  <c r="P1002" i="1" s="1"/>
  <c r="P1000" i="1" s="1"/>
  <c r="M1497" i="1"/>
  <c r="Q200" i="1"/>
  <c r="L1759" i="1"/>
  <c r="L1609" i="1"/>
  <c r="N1652" i="1"/>
  <c r="L441" i="1"/>
  <c r="O1652" i="1"/>
  <c r="L634" i="1"/>
  <c r="L1005" i="1"/>
  <c r="L1002" i="1" s="1"/>
  <c r="L1070" i="1"/>
  <c r="M1546" i="1"/>
  <c r="N1602" i="1"/>
  <c r="M1314" i="1"/>
  <c r="M1206" i="1"/>
  <c r="Q1862" i="1"/>
  <c r="L1862" i="1"/>
  <c r="P1652" i="1"/>
  <c r="M1330" i="1"/>
  <c r="P1414" i="1"/>
  <c r="Q1885" i="1"/>
  <c r="Q1160" i="1"/>
  <c r="L1562" i="1"/>
  <c r="L1207" i="1"/>
  <c r="L1429" i="1"/>
  <c r="L1618" i="1"/>
  <c r="L1345" i="1"/>
  <c r="L1571" i="1"/>
  <c r="N1497" i="1"/>
  <c r="O2253" i="1"/>
  <c r="M1183" i="1"/>
  <c r="M1593" i="1"/>
  <c r="M2295" i="1"/>
  <c r="M1562" i="1"/>
  <c r="Q2234" i="1"/>
  <c r="L1183" i="1"/>
  <c r="M1070" i="1"/>
  <c r="L1206" i="1"/>
  <c r="L1344" i="1"/>
  <c r="O1885" i="1"/>
  <c r="M1511" i="1"/>
  <c r="L1658" i="1"/>
  <c r="L1659" i="1" s="1"/>
  <c r="N1330" i="1"/>
  <c r="O440" i="1"/>
  <c r="M1414" i="1"/>
  <c r="L1414" i="1"/>
  <c r="L1428" i="1"/>
  <c r="N1759" i="1"/>
  <c r="P2234" i="1"/>
  <c r="P2233" i="1" s="1"/>
  <c r="Q63" i="1"/>
  <c r="O575" i="1"/>
  <c r="Q1740" i="1"/>
  <c r="L1885" i="1"/>
  <c r="P1759" i="1"/>
  <c r="Q49" i="1"/>
  <c r="L624" i="1"/>
  <c r="Q590" i="1"/>
  <c r="L1617" i="1"/>
  <c r="L200" i="1"/>
  <c r="O1014" i="1"/>
  <c r="O1011" i="1" s="1"/>
  <c r="O1013" i="1"/>
  <c r="O1012" i="1" s="1"/>
  <c r="O1664" i="1"/>
  <c r="O1759" i="1"/>
  <c r="Q182" i="1"/>
  <c r="M1609" i="1"/>
  <c r="M2272" i="1"/>
  <c r="L1546" i="1"/>
  <c r="L1555" i="1"/>
  <c r="Q575" i="1"/>
  <c r="N1824" i="1"/>
  <c r="N634" i="1"/>
  <c r="Q644" i="1"/>
  <c r="Q1098" i="1"/>
  <c r="Q1093" i="1" s="1"/>
  <c r="O1511" i="1"/>
  <c r="N2272" i="1"/>
  <c r="M38" i="1"/>
  <c r="M1658" i="1"/>
  <c r="M1659" i="1" s="1"/>
  <c r="L1593" i="1"/>
  <c r="L1602" i="1"/>
  <c r="P374" i="1"/>
  <c r="M1097" i="1"/>
  <c r="M1555" i="1"/>
  <c r="L1652" i="1"/>
  <c r="N1609" i="1"/>
  <c r="M1652" i="1"/>
  <c r="N882" i="1"/>
  <c r="N1562" i="1"/>
  <c r="M604" i="1"/>
  <c r="P738" i="1" a="1"/>
  <c r="P738" i="1" s="1"/>
  <c r="P736" i="1" a="1"/>
  <c r="P736" i="1" s="1"/>
  <c r="N2050" i="1"/>
  <c r="O337" i="1"/>
  <c r="O1069" i="1"/>
  <c r="O1095" i="1"/>
  <c r="O1047" i="1"/>
  <c r="O1096" i="1"/>
  <c r="O1071" i="1"/>
  <c r="O1097" i="1"/>
  <c r="O1070" i="1"/>
  <c r="M273" i="1"/>
  <c r="M102" i="1"/>
  <c r="M330" i="1" s="1"/>
  <c r="O679" i="1"/>
  <c r="Q195" i="1"/>
  <c r="P604" i="1"/>
  <c r="Q469" i="1"/>
  <c r="Q468" i="1" s="1"/>
  <c r="Q1036" i="1"/>
  <c r="L1315" i="1"/>
  <c r="Q673" i="1"/>
  <c r="Q670" i="1" s="1"/>
  <c r="P2050" i="1"/>
  <c r="L1069" i="1"/>
  <c r="M549" i="1"/>
  <c r="Q204" i="1"/>
  <c r="Q203" i="1" s="1"/>
  <c r="Q397" i="1"/>
  <c r="Q280" i="1"/>
  <c r="Q279" i="1" s="1"/>
  <c r="Q273" i="1"/>
  <c r="Q233" i="1" s="1"/>
  <c r="Q181" i="1" s="1"/>
  <c r="Q989" i="1"/>
  <c r="Q988" i="1" s="1"/>
  <c r="Q984" i="1" s="1"/>
  <c r="Q40" i="1"/>
  <c r="Q1665" i="1" s="1"/>
  <c r="P540" i="1"/>
  <c r="L1097" i="1"/>
  <c r="O1731" i="1"/>
  <c r="L113" i="1"/>
  <c r="L341" i="1" s="1"/>
  <c r="L590" i="1"/>
  <c r="L1095" i="1"/>
  <c r="P1014" i="1"/>
  <c r="P1011" i="1" s="1"/>
  <c r="L1071" i="1"/>
  <c r="Q2272" i="1"/>
  <c r="Q330" i="1"/>
  <c r="Q346" i="1" s="1"/>
  <c r="N367" i="1"/>
  <c r="N374" i="1" s="1"/>
  <c r="M679" i="1"/>
  <c r="P338" i="1"/>
  <c r="P354" i="1" s="1"/>
  <c r="P499" i="1" s="1"/>
  <c r="P488" i="1" s="1"/>
  <c r="O112" i="1"/>
  <c r="O340" i="1" s="1"/>
  <c r="O356" i="1" s="1"/>
  <c r="M1083" i="1"/>
  <c r="L1047" i="1"/>
  <c r="M1096" i="1"/>
  <c r="P1070" i="1"/>
  <c r="M378" i="1"/>
  <c r="Q528" i="1"/>
  <c r="O34" i="1"/>
  <c r="O555" i="1"/>
  <c r="O195" i="1"/>
  <c r="O194" i="1" s="1"/>
  <c r="N556" i="1"/>
  <c r="O1004" i="1"/>
  <c r="O1001" i="1" s="1"/>
  <c r="O1000" i="1" s="1"/>
  <c r="O334" i="1"/>
  <c r="O350" i="1" s="1"/>
  <c r="O495" i="1" s="1"/>
  <c r="O484" i="1" s="1"/>
  <c r="P634" i="1"/>
  <c r="M340" i="1"/>
  <c r="M356" i="1" s="1"/>
  <c r="M501" i="1" s="1"/>
  <c r="M490" i="1" s="1"/>
  <c r="O39" i="1"/>
  <c r="O1602" i="1" s="1"/>
  <c r="N108" i="1"/>
  <c r="P1007" i="1"/>
  <c r="M1095" i="1"/>
  <c r="P1071" i="1"/>
  <c r="L2295" i="1"/>
  <c r="Q1546" i="1"/>
  <c r="L111" i="1"/>
  <c r="L339" i="1" s="1"/>
  <c r="O469" i="1"/>
  <c r="O468" i="1" s="1"/>
  <c r="P535" i="1"/>
  <c r="M539" i="1"/>
  <c r="P40" i="1"/>
  <c r="P1664" i="1"/>
  <c r="O535" i="1"/>
  <c r="N541" i="1"/>
  <c r="Q1824" i="1"/>
  <c r="Q1823" i="1" s="1"/>
  <c r="Q1616" i="1"/>
  <c r="Q1615" i="1" s="1"/>
  <c r="O332" i="1"/>
  <c r="O348" i="1" s="1"/>
  <c r="P1546" i="1"/>
  <c r="P1497" i="1"/>
  <c r="Q338" i="1"/>
  <c r="Q354" i="1" s="1"/>
  <c r="Q499" i="1" s="1"/>
  <c r="Q488" i="1" s="1"/>
  <c r="Q566" i="1"/>
  <c r="Q1088" i="1"/>
  <c r="Q1593" i="1"/>
  <c r="Q1025" i="1"/>
  <c r="M1133" i="1"/>
  <c r="M1640" i="1"/>
  <c r="M797" i="1"/>
  <c r="N958" i="1"/>
  <c r="O1005" i="1"/>
  <c r="O1002" i="1" s="1"/>
  <c r="Q304" i="1"/>
  <c r="Q417" i="1"/>
  <c r="Q416" i="1" s="1"/>
  <c r="Q1083" i="1"/>
  <c r="Q1123" i="1"/>
  <c r="Q22" i="1"/>
  <c r="Q1714" i="1"/>
  <c r="Q539" i="1"/>
  <c r="Q2" i="1"/>
  <c r="Q1742" i="1"/>
  <c r="Q39" i="1"/>
  <c r="Q794" i="1"/>
  <c r="Q310" i="1"/>
  <c r="Q263" i="1"/>
  <c r="Q240" i="1"/>
  <c r="Q337" i="1"/>
  <c r="Q353" i="1" s="1"/>
  <c r="Q57" i="1"/>
  <c r="Q741" i="1"/>
  <c r="Q735" i="1" s="1"/>
  <c r="Q1736" i="1"/>
  <c r="Q1735" i="1"/>
  <c r="Q733" i="1"/>
  <c r="Q958" i="1"/>
  <c r="Q887" i="1"/>
  <c r="Q882" i="1" s="1"/>
  <c r="Q1738" i="1"/>
  <c r="Q48" i="1"/>
  <c r="Q1737" i="1" s="1"/>
  <c r="Q1136" i="1"/>
  <c r="Q785" i="1"/>
  <c r="Q369" i="1"/>
  <c r="Q553" i="1"/>
  <c r="Q532" i="1"/>
  <c r="Q347" i="1"/>
  <c r="Q533" i="1"/>
  <c r="Q535" i="1"/>
  <c r="Q368" i="1"/>
  <c r="Q365" i="1" s="1"/>
  <c r="Q556" i="1"/>
  <c r="Q379" i="1"/>
  <c r="Q436" i="1"/>
  <c r="Q374" i="1"/>
  <c r="Q237" i="1"/>
  <c r="Q236" i="1" s="1"/>
  <c r="Q238" i="1"/>
  <c r="Q485" i="1"/>
  <c r="Q266" i="1"/>
  <c r="Q255" i="1" s="1"/>
  <c r="Q282" i="1"/>
  <c r="Q799" i="1"/>
  <c r="Q1343" i="1"/>
  <c r="Q1342" i="1" s="1"/>
  <c r="Q731" i="1"/>
  <c r="Q144" i="1"/>
  <c r="Q333" i="1"/>
  <c r="Q349" i="1" s="1"/>
  <c r="Q690" i="1"/>
  <c r="Q692" i="1"/>
  <c r="Q689" i="1" s="1"/>
  <c r="Q540" i="1"/>
  <c r="Q98" i="1"/>
  <c r="Q512" i="1"/>
  <c r="Q265" i="1"/>
  <c r="Q254" i="1" s="1"/>
  <c r="Q106" i="1"/>
  <c r="Q334" i="1" s="1"/>
  <c r="Q350" i="1" s="1"/>
  <c r="Q495" i="1" s="1"/>
  <c r="Q484" i="1" s="1"/>
  <c r="Q1095" i="1"/>
  <c r="Q1097" i="1"/>
  <c r="Q1069" i="1"/>
  <c r="Q1070" i="1"/>
  <c r="Q1003" i="1"/>
  <c r="Q1071" i="1"/>
  <c r="Q29" i="1"/>
  <c r="Q1720" i="1" s="1"/>
  <c r="Q1721" i="1"/>
  <c r="Q34" i="1"/>
  <c r="Q1047" i="1"/>
  <c r="Q1001" i="1"/>
  <c r="Q1000" i="1" s="1"/>
  <c r="Q370" i="1"/>
  <c r="Q377" i="1"/>
  <c r="Q1497" i="1"/>
  <c r="Q714" i="1"/>
  <c r="Q536" i="1"/>
  <c r="Q1427" i="1"/>
  <c r="Q1426" i="1" s="1"/>
  <c r="Q1006" i="1"/>
  <c r="Q1013" i="1"/>
  <c r="Q1012" i="1" s="1"/>
  <c r="Q2253" i="1"/>
  <c r="Q2233" i="1" s="1"/>
  <c r="Q1205" i="1"/>
  <c r="Q1204" i="1" s="1"/>
  <c r="Q352" i="1"/>
  <c r="Q41" i="1"/>
  <c r="Q1730" i="1" s="1"/>
  <c r="Q1731" i="1"/>
  <c r="Q1399" i="1"/>
  <c r="Q371" i="1"/>
  <c r="Q378" i="1"/>
  <c r="Q373" i="1"/>
  <c r="Q113" i="1"/>
  <c r="Q341" i="1" s="1"/>
  <c r="Q357" i="1" s="1"/>
  <c r="Q502" i="1" s="1"/>
  <c r="Q491" i="1" s="1"/>
  <c r="Q1315" i="1"/>
  <c r="Q1569" i="1"/>
  <c r="Q1568" i="1" s="1"/>
  <c r="Q672" i="1"/>
  <c r="O1123" i="1"/>
  <c r="O1083" i="1"/>
  <c r="N105" i="1"/>
  <c r="N333" i="1" s="1"/>
  <c r="N349" i="1" s="1"/>
  <c r="O624" i="1"/>
  <c r="L1399" i="1"/>
  <c r="O2272" i="1"/>
  <c r="N989" i="1"/>
  <c r="N988" i="1" s="1"/>
  <c r="N984" i="1" s="1"/>
  <c r="N1004" i="1"/>
  <c r="N40" i="1"/>
  <c r="N1664" i="1"/>
  <c r="L556" i="1"/>
  <c r="P1125" i="1"/>
  <c r="P1086" i="1"/>
  <c r="P339" i="1"/>
  <c r="P355" i="1" s="1"/>
  <c r="N397" i="1"/>
  <c r="N673" i="1"/>
  <c r="N670" i="1" s="1"/>
  <c r="M63" i="1"/>
  <c r="N200" i="1"/>
  <c r="L1004" i="1"/>
  <c r="L1003" i="1" s="1"/>
  <c r="M109" i="1"/>
  <c r="M337" i="1" s="1"/>
  <c r="M353" i="1" s="1"/>
  <c r="M498" i="1" s="1"/>
  <c r="M487" i="1" s="1"/>
  <c r="M268" i="1"/>
  <c r="M257" i="1" s="1"/>
  <c r="N1125" i="1"/>
  <c r="N1086" i="1"/>
  <c r="P34" i="1"/>
  <c r="P1562" i="1" s="1"/>
  <c r="L496" i="1"/>
  <c r="L485" i="1" s="1"/>
  <c r="O108" i="1"/>
  <c r="O336" i="1" s="1"/>
  <c r="O352" i="1" s="1"/>
  <c r="O497" i="1" s="1"/>
  <c r="P527" i="1"/>
  <c r="O335" i="1"/>
  <c r="O351" i="1" s="1"/>
  <c r="L40" i="1"/>
  <c r="L1664" i="1"/>
  <c r="N63" i="1"/>
  <c r="N1123" i="1"/>
  <c r="N1083" i="1"/>
  <c r="O105" i="1"/>
  <c r="O333" i="1" s="1"/>
  <c r="O349" i="1" s="1"/>
  <c r="O494" i="1" s="1"/>
  <c r="O483" i="1" s="1"/>
  <c r="L438" i="1"/>
  <c r="N1047" i="1"/>
  <c r="N1069" i="1"/>
  <c r="M341" i="1"/>
  <c r="M357" i="1" s="1"/>
  <c r="O310" i="1"/>
  <c r="M989" i="1"/>
  <c r="M988" i="1" s="1"/>
  <c r="M984" i="1" s="1"/>
  <c r="O341" i="1"/>
  <c r="O357" i="1" s="1"/>
  <c r="O502" i="1" s="1"/>
  <c r="O491" i="1" s="1"/>
  <c r="O263" i="1"/>
  <c r="O252" i="1" s="1"/>
  <c r="O251" i="1" s="1"/>
  <c r="M210" i="1"/>
  <c r="P237" i="1"/>
  <c r="P236" i="1" s="1"/>
  <c r="N269" i="1"/>
  <c r="N258" i="1" s="1"/>
  <c r="L1640" i="1"/>
  <c r="P333" i="1"/>
  <c r="P349" i="1" s="1"/>
  <c r="P494" i="1" s="1"/>
  <c r="P483" i="1" s="1"/>
  <c r="N371" i="1"/>
  <c r="N378" i="1"/>
  <c r="L268" i="1"/>
  <c r="L257" i="1" s="1"/>
  <c r="M374" i="1"/>
  <c r="P1731" i="1"/>
  <c r="M40" i="1"/>
  <c r="M1664" i="1"/>
  <c r="L147" i="1"/>
  <c r="L375" i="1" s="1"/>
  <c r="N549" i="1"/>
  <c r="N272" i="1"/>
  <c r="N261" i="1" s="1"/>
  <c r="N1005" i="1"/>
  <c r="N1002" i="1" s="1"/>
  <c r="O1086" i="1"/>
  <c r="O1125" i="1"/>
  <c r="M907" i="1"/>
  <c r="M939" i="1" s="1"/>
  <c r="M962" i="1" s="1"/>
  <c r="M940" i="1"/>
  <c r="M963" i="1" s="1"/>
  <c r="L1083" i="1"/>
  <c r="O1729" i="1"/>
  <c r="O1665" i="1"/>
  <c r="N590" i="1"/>
  <c r="P38" i="1"/>
  <c r="O958" i="1"/>
  <c r="N1014" i="1"/>
  <c r="N1011" i="1" s="1"/>
  <c r="P1399" i="1"/>
  <c r="M2253" i="1"/>
  <c r="M2233" i="1" s="1"/>
  <c r="L22" i="1"/>
  <c r="L1713" i="1" s="1"/>
  <c r="P624" i="1"/>
  <c r="P183" i="1"/>
  <c r="P182" i="1" s="1"/>
  <c r="O2233" i="1"/>
  <c r="P679" i="1"/>
  <c r="P102" i="1"/>
  <c r="L38" i="1"/>
  <c r="P1823" i="1"/>
  <c r="M39" i="1"/>
  <c r="M1003" i="1"/>
  <c r="P39" i="1"/>
  <c r="P1602" i="1" s="1"/>
  <c r="M194" i="1"/>
  <c r="O1119" i="1"/>
  <c r="P1136" i="1"/>
  <c r="M440" i="1"/>
  <c r="M1823" i="1"/>
  <c r="M1399" i="1"/>
  <c r="O882" i="1"/>
  <c r="N1546" i="1"/>
  <c r="P440" i="1"/>
  <c r="M144" i="1"/>
  <c r="N38" i="1"/>
  <c r="N1658" i="1" s="1"/>
  <c r="N1659" i="1" s="1"/>
  <c r="P266" i="1"/>
  <c r="P255" i="1" s="1"/>
  <c r="L63" i="1"/>
  <c r="M644" i="1"/>
  <c r="P368" i="1"/>
  <c r="P546" i="1"/>
  <c r="P358" i="1"/>
  <c r="P734" i="1"/>
  <c r="M734" i="1"/>
  <c r="P370" i="1"/>
  <c r="P377" i="1"/>
  <c r="P548" i="1"/>
  <c r="L431" i="1"/>
  <c r="L434" i="1" s="1"/>
  <c r="L1021" i="1"/>
  <c r="L1020" i="1" s="1"/>
  <c r="L1119" i="1"/>
  <c r="P108" i="1"/>
  <c r="P336" i="1" s="1"/>
  <c r="P352" i="1" s="1"/>
  <c r="P497" i="1" s="1"/>
  <c r="P486" i="1" s="1"/>
  <c r="P267" i="1"/>
  <c r="P256" i="1" s="1"/>
  <c r="L196" i="1"/>
  <c r="L193" i="1" s="1"/>
  <c r="N102" i="1"/>
  <c r="N330" i="1" s="1"/>
  <c r="N346" i="1" s="1"/>
  <c r="M370" i="1"/>
  <c r="M377" i="1"/>
  <c r="P423" i="1"/>
  <c r="N369" i="1"/>
  <c r="L540" i="1"/>
  <c r="L338" i="1"/>
  <c r="L354" i="1" s="1"/>
  <c r="L263" i="1"/>
  <c r="L252" i="1"/>
  <c r="L240" i="1"/>
  <c r="L233" i="1" s="1"/>
  <c r="L310" i="1"/>
  <c r="L794" i="1"/>
  <c r="M282" i="1"/>
  <c r="M799" i="1"/>
  <c r="N692" i="1"/>
  <c r="N689" i="1" s="1"/>
  <c r="N785" i="1"/>
  <c r="O1136" i="1"/>
  <c r="N1001" i="1"/>
  <c r="O1569" i="1"/>
  <c r="O1568" i="1" s="1"/>
  <c r="L46" i="1"/>
  <c r="L1735" i="1" s="1"/>
  <c r="L1736" i="1"/>
  <c r="N335" i="1"/>
  <c r="N351" i="1" s="1"/>
  <c r="N496" i="1" s="1"/>
  <c r="M369" i="1"/>
  <c r="P282" i="1"/>
  <c r="P799" i="1"/>
  <c r="O986" i="1"/>
  <c r="O989" i="1"/>
  <c r="O988" i="1" s="1"/>
  <c r="M137" i="1"/>
  <c r="N1099" i="1"/>
  <c r="N1132" i="1"/>
  <c r="N1343" i="1"/>
  <c r="N1342" i="1" s="1"/>
  <c r="N1640" i="1"/>
  <c r="N238" i="1"/>
  <c r="N237" i="1"/>
  <c r="N236" i="1" s="1"/>
  <c r="P33" i="1"/>
  <c r="P1723" i="1" s="1"/>
  <c r="P1724" i="1"/>
  <c r="N192" i="1"/>
  <c r="M202" i="1"/>
  <c r="M205" i="1" s="1"/>
  <c r="P469" i="1"/>
  <c r="P468" i="1" s="1"/>
  <c r="O201" i="1"/>
  <c r="O200" i="1" s="1"/>
  <c r="O197" i="1"/>
  <c r="P194" i="1"/>
  <c r="P192" i="1"/>
  <c r="P191" i="1" s="1"/>
  <c r="M98" i="1"/>
  <c r="L57" i="1"/>
  <c r="L1740" i="1"/>
  <c r="M105" i="1"/>
  <c r="M333" i="1" s="1"/>
  <c r="M349" i="1" s="1"/>
  <c r="N148" i="1"/>
  <c r="N144" i="1" s="1"/>
  <c r="N679" i="1"/>
  <c r="N1126" i="1"/>
  <c r="N1088" i="1"/>
  <c r="P1101" i="1"/>
  <c r="P1133" i="1"/>
  <c r="O1824" i="1"/>
  <c r="L369" i="1"/>
  <c r="L358" i="1"/>
  <c r="L538" i="1"/>
  <c r="N48" i="1"/>
  <c r="N1737" i="1" s="1"/>
  <c r="N1738" i="1"/>
  <c r="N336" i="1"/>
  <c r="N352" i="1" s="1"/>
  <c r="N497" i="1" s="1"/>
  <c r="P536" i="1"/>
  <c r="O673" i="1"/>
  <c r="O670" i="1" s="1"/>
  <c r="M1013" i="1"/>
  <c r="M1012" i="1" s="1"/>
  <c r="M1006" i="1"/>
  <c r="N2" i="1"/>
  <c r="N1742" i="1"/>
  <c r="L267" i="1"/>
  <c r="L256" i="1" s="1"/>
  <c r="L108" i="1"/>
  <c r="L336" i="1" s="1"/>
  <c r="L352" i="1" s="1"/>
  <c r="O547" i="1"/>
  <c r="O369" i="1"/>
  <c r="P495" i="1"/>
  <c r="P484" i="1" s="1"/>
  <c r="P498" i="1"/>
  <c r="P487" i="1" s="1"/>
  <c r="O690" i="1"/>
  <c r="O692" i="1"/>
  <c r="O689" i="1" s="1"/>
  <c r="N575" i="1"/>
  <c r="N441" i="1"/>
  <c r="N440" i="1" s="1"/>
  <c r="N1021" i="1"/>
  <c r="N1020" i="1" s="1"/>
  <c r="N1119" i="1"/>
  <c r="L785" i="1"/>
  <c r="P1083" i="1"/>
  <c r="P1124" i="1"/>
  <c r="O1315" i="1"/>
  <c r="O1399" i="1"/>
  <c r="O1126" i="1"/>
  <c r="O1088" i="1"/>
  <c r="L733" i="1"/>
  <c r="L693" i="1"/>
  <c r="L673" i="1"/>
  <c r="L670" i="1" s="1"/>
  <c r="O1843" i="1"/>
  <c r="L379" i="1"/>
  <c r="L337" i="1"/>
  <c r="L353" i="1" s="1"/>
  <c r="M33" i="1"/>
  <c r="M1723" i="1" s="1"/>
  <c r="M1724" i="1"/>
  <c r="M346" i="1"/>
  <c r="P335" i="1"/>
  <c r="P351" i="1" s="1"/>
  <c r="O533" i="1"/>
  <c r="O347" i="1"/>
  <c r="L679" i="1"/>
  <c r="L1006" i="1"/>
  <c r="L1013" i="1"/>
  <c r="L1012" i="1" s="1"/>
  <c r="N1885" i="1"/>
  <c r="L137" i="1"/>
  <c r="L367" i="1"/>
  <c r="N341" i="1"/>
  <c r="N357" i="1" s="1"/>
  <c r="P575" i="1"/>
  <c r="O367" i="1"/>
  <c r="O374" i="1" s="1"/>
  <c r="P1315" i="1"/>
  <c r="M22" i="1"/>
  <c r="M1714" i="1"/>
  <c r="P63" i="1"/>
  <c r="L377" i="1"/>
  <c r="L370" i="1"/>
  <c r="L39" i="1"/>
  <c r="O63" i="1"/>
  <c r="N553" i="1"/>
  <c r="O512" i="1"/>
  <c r="L105" i="1"/>
  <c r="L333" i="1" s="1"/>
  <c r="L349" i="1" s="1"/>
  <c r="O907" i="1"/>
  <c r="O939" i="1" s="1"/>
  <c r="O962" i="1" s="1"/>
  <c r="P731" i="1"/>
  <c r="P733" i="1"/>
  <c r="P1126" i="1"/>
  <c r="P1088" i="1"/>
  <c r="M1728" i="1"/>
  <c r="P240" i="1"/>
  <c r="P263" i="1"/>
  <c r="P252" i="1" s="1"/>
  <c r="P310" i="1"/>
  <c r="P794" i="1"/>
  <c r="L102" i="1"/>
  <c r="L330" i="1" s="1"/>
  <c r="L346" i="1" s="1"/>
  <c r="L425" i="1" s="1"/>
  <c r="L989" i="1"/>
  <c r="L988" i="1" s="1"/>
  <c r="L984" i="1" s="1"/>
  <c r="N1205" i="1"/>
  <c r="N1204" i="1" s="1"/>
  <c r="O1020" i="1"/>
  <c r="N137" i="1"/>
  <c r="N366" i="1"/>
  <c r="N528" i="1"/>
  <c r="N566" i="1"/>
  <c r="O467" i="1"/>
  <c r="O466" i="1" s="1"/>
  <c r="L355" i="1"/>
  <c r="L500" i="1"/>
  <c r="P397" i="1"/>
  <c r="M1727" i="1"/>
  <c r="L541" i="1"/>
  <c r="N182" i="1"/>
  <c r="P958" i="1"/>
  <c r="P887" i="1"/>
  <c r="P882" i="1" s="1"/>
  <c r="N22" i="1"/>
  <c r="N1714" i="1"/>
  <c r="O863" i="1"/>
  <c r="O784" i="1"/>
  <c r="N353" i="1"/>
  <c r="P369" i="1"/>
  <c r="P547" i="1"/>
  <c r="O48" i="1"/>
  <c r="O1737" i="1" s="1"/>
  <c r="O1738" i="1"/>
  <c r="O534" i="1"/>
  <c r="N338" i="1"/>
  <c r="N354" i="1" s="1"/>
  <c r="M553" i="1"/>
  <c r="O436" i="1"/>
  <c r="O550" i="1"/>
  <c r="P330" i="1"/>
  <c r="P346" i="1" s="1"/>
  <c r="P714" i="1"/>
  <c r="O1205" i="1"/>
  <c r="O1204" i="1" s="1"/>
  <c r="O1314" i="1"/>
  <c r="N1569" i="1"/>
  <c r="N1568" i="1" s="1"/>
  <c r="O741" i="1"/>
  <c r="O735" i="1" s="1"/>
  <c r="P371" i="1"/>
  <c r="P378" i="1"/>
  <c r="M785" i="1"/>
  <c r="M1105" i="1"/>
  <c r="M1135" i="1"/>
  <c r="N733" i="1"/>
  <c r="N731" i="1"/>
  <c r="N263" i="1"/>
  <c r="N240" i="1"/>
  <c r="N233" i="1" s="1"/>
  <c r="N794" i="1"/>
  <c r="L427" i="1"/>
  <c r="P98" i="1"/>
  <c r="P356" i="1"/>
  <c r="P542" i="1"/>
  <c r="O1099" i="1"/>
  <c r="O1132" i="1"/>
  <c r="N379" i="1"/>
  <c r="N436" i="1"/>
  <c r="L146" i="1"/>
  <c r="N412" i="1"/>
  <c r="M575" i="1"/>
  <c r="O539" i="1"/>
  <c r="O353" i="1"/>
  <c r="M99" i="1"/>
  <c r="M327" i="1" s="1"/>
  <c r="M343" i="1" s="1"/>
  <c r="O1427" i="1"/>
  <c r="O1426" i="1" s="1"/>
  <c r="O733" i="1"/>
  <c r="M1021" i="1"/>
  <c r="M1020" i="1" s="1"/>
  <c r="M1119" i="1"/>
  <c r="N1427" i="1"/>
  <c r="N1426" i="1" s="1"/>
  <c r="N1315" i="1"/>
  <c r="P22" i="1"/>
  <c r="P1714" i="1"/>
  <c r="L553" i="1"/>
  <c r="L192" i="1"/>
  <c r="P113" i="1"/>
  <c r="P341" i="1" s="1"/>
  <c r="P357" i="1" s="1"/>
  <c r="P502" i="1" s="1"/>
  <c r="P491" i="1" s="1"/>
  <c r="P272" i="1"/>
  <c r="P261" i="1" s="1"/>
  <c r="M2" i="1"/>
  <c r="M1742" i="1"/>
  <c r="L204" i="1"/>
  <c r="L203" i="1" s="1"/>
  <c r="O98" i="1"/>
  <c r="P785" i="1"/>
  <c r="L887" i="1"/>
  <c r="L882" i="1" s="1"/>
  <c r="L958" i="1"/>
  <c r="O540" i="1"/>
  <c r="O338" i="1"/>
  <c r="O354" i="1" s="1"/>
  <c r="O499" i="1" s="1"/>
  <c r="P1021" i="1"/>
  <c r="P1020" i="1" s="1"/>
  <c r="P1119" i="1"/>
  <c r="L48" i="1"/>
  <c r="L1737" i="1" s="1"/>
  <c r="L1738" i="1"/>
  <c r="O1728" i="1"/>
  <c r="P2" i="1"/>
  <c r="P1742" i="1"/>
  <c r="M110" i="1"/>
  <c r="M338" i="1" s="1"/>
  <c r="M354" i="1" s="1"/>
  <c r="O99" i="1"/>
  <c r="O327" i="1" s="1"/>
  <c r="O343" i="1" s="1"/>
  <c r="N532" i="1"/>
  <c r="M201" i="1"/>
  <c r="M197" i="1"/>
  <c r="P464" i="1"/>
  <c r="N196" i="1"/>
  <c r="N193" i="1" s="1"/>
  <c r="N103" i="1"/>
  <c r="N331" i="1" s="1"/>
  <c r="N347" i="1" s="1"/>
  <c r="P57" i="1"/>
  <c r="P1740" i="1"/>
  <c r="O22" i="1"/>
  <c r="O1714" i="1"/>
  <c r="L464" i="1"/>
  <c r="L528" i="1"/>
  <c r="L469" i="1"/>
  <c r="L468" i="1" s="1"/>
  <c r="M518" i="1"/>
  <c r="M111" i="1"/>
  <c r="M339" i="1" s="1"/>
  <c r="M355" i="1" s="1"/>
  <c r="N543" i="1"/>
  <c r="M263" i="1"/>
  <c r="M252" i="1" s="1"/>
  <c r="M310" i="1"/>
  <c r="M240" i="1"/>
  <c r="M794" i="1"/>
  <c r="M733" i="1"/>
  <c r="M731" i="1"/>
  <c r="M272" i="1"/>
  <c r="M261" i="1" s="1"/>
  <c r="P1097" i="1"/>
  <c r="P1093" i="1"/>
  <c r="P1095" i="1"/>
  <c r="P1096" i="1"/>
  <c r="O1593" i="1"/>
  <c r="L304" i="1"/>
  <c r="L417" i="1"/>
  <c r="L416" i="1" s="1"/>
  <c r="L298" i="1"/>
  <c r="L302" i="1" s="1"/>
  <c r="M690" i="1"/>
  <c r="M692" i="1"/>
  <c r="M689" i="1" s="1"/>
  <c r="M335" i="1"/>
  <c r="M351" i="1" s="1"/>
  <c r="P46" i="1"/>
  <c r="P1735" i="1" s="1"/>
  <c r="P49" i="1"/>
  <c r="P1427" i="1" s="1"/>
  <c r="P1426" i="1" s="1"/>
  <c r="P1736" i="1"/>
  <c r="N368" i="1"/>
  <c r="N546" i="1"/>
  <c r="L41" i="1"/>
  <c r="L1731" i="1"/>
  <c r="P201" i="1"/>
  <c r="P200" i="1" s="1"/>
  <c r="P197" i="1"/>
  <c r="M373" i="1"/>
  <c r="P273" i="1"/>
  <c r="P280" i="1"/>
  <c r="P279" i="1" s="1"/>
  <c r="P797" i="1"/>
  <c r="N203" i="1"/>
  <c r="L741" i="1"/>
  <c r="L735" i="1" s="1"/>
  <c r="P518" i="1"/>
  <c r="M882" i="1"/>
  <c r="N98" i="1"/>
  <c r="N555" i="1"/>
  <c r="M528" i="1"/>
  <c r="M464" i="1"/>
  <c r="M469" i="1"/>
  <c r="M468" i="1" s="1"/>
  <c r="M1136" i="1"/>
  <c r="N1006" i="1"/>
  <c r="N1013" i="1"/>
  <c r="N1616" i="1"/>
  <c r="N1615" i="1" s="1"/>
  <c r="N2253" i="1"/>
  <c r="N2233" i="1" s="1"/>
  <c r="O137" i="1"/>
  <c r="O366" i="1"/>
  <c r="N644" i="1"/>
  <c r="P673" i="1"/>
  <c r="P670" i="1" s="1"/>
  <c r="P694" i="1"/>
  <c r="L440" i="1"/>
  <c r="L731" i="1"/>
  <c r="O532" i="1"/>
  <c r="O2" i="1"/>
  <c r="O1742" i="1"/>
  <c r="L347" i="1"/>
  <c r="L533" i="1"/>
  <c r="L182" i="1"/>
  <c r="L564" i="1"/>
  <c r="N501" i="1"/>
  <c r="N490" i="1" s="1"/>
  <c r="N907" i="1"/>
  <c r="N939" i="1" s="1"/>
  <c r="N962" i="1" s="1"/>
  <c r="M1001" i="1"/>
  <c r="M1000" i="1" s="1"/>
  <c r="P1205" i="1"/>
  <c r="P1204" i="1" s="1"/>
  <c r="M1315" i="1"/>
  <c r="N1136" i="1"/>
  <c r="N1823" i="1"/>
  <c r="M46" i="1"/>
  <c r="M1735" i="1" s="1"/>
  <c r="M49" i="1"/>
  <c r="M1736" i="1"/>
  <c r="P907" i="1"/>
  <c r="P939" i="1" s="1"/>
  <c r="P962" i="1" s="1"/>
  <c r="O298" i="1"/>
  <c r="O302" i="1" s="1"/>
  <c r="O304" i="1"/>
  <c r="O417" i="1"/>
  <c r="O416" i="1" s="1"/>
  <c r="N512" i="1"/>
  <c r="L907" i="1"/>
  <c r="L939" i="1" s="1"/>
  <c r="L962" i="1" s="1"/>
  <c r="O1343" i="1"/>
  <c r="O1342" i="1" s="1"/>
  <c r="N538" i="1"/>
  <c r="O262" i="1"/>
  <c r="O145" i="1"/>
  <c r="O144" i="1" s="1"/>
  <c r="L2" i="1"/>
  <c r="L1742" i="1"/>
  <c r="L565" i="1"/>
  <c r="L539" i="1"/>
  <c r="M397" i="1"/>
  <c r="M438" i="1"/>
  <c r="M564" i="1"/>
  <c r="L357" i="1"/>
  <c r="N57" i="1"/>
  <c r="N1740" i="1"/>
  <c r="N467" i="1"/>
  <c r="N466" i="1" s="1"/>
  <c r="N464" i="1"/>
  <c r="P145" i="1"/>
  <c r="P144" i="1" s="1"/>
  <c r="P137" i="1"/>
  <c r="P366" i="1"/>
  <c r="O549" i="1"/>
  <c r="O371" i="1"/>
  <c r="O378" i="1"/>
  <c r="O330" i="1"/>
  <c r="O346" i="1" s="1"/>
  <c r="O425" i="1" s="1"/>
  <c r="O280" i="1"/>
  <c r="O279" i="1" s="1"/>
  <c r="O797" i="1"/>
  <c r="O273" i="1"/>
  <c r="O233" i="1" s="1"/>
  <c r="N542" i="1"/>
  <c r="P415" i="1"/>
  <c r="P414" i="1" s="1"/>
  <c r="P412" i="1"/>
  <c r="L98" i="1"/>
  <c r="M108" i="1"/>
  <c r="M336" i="1" s="1"/>
  <c r="M352" i="1" s="1"/>
  <c r="M497" i="1" s="1"/>
  <c r="M486" i="1" s="1"/>
  <c r="M267" i="1"/>
  <c r="M256" i="1" s="1"/>
  <c r="N33" i="1"/>
  <c r="N1723" i="1" s="1"/>
  <c r="N1724" i="1"/>
  <c r="O397" i="1"/>
  <c r="N417" i="1"/>
  <c r="N416" i="1" s="1"/>
  <c r="L99" i="1"/>
  <c r="L327" i="1" s="1"/>
  <c r="L343" i="1" s="1"/>
  <c r="M958" i="1"/>
  <c r="M1126" i="1"/>
  <c r="L1314" i="1"/>
  <c r="N1399" i="1"/>
  <c r="O2295" i="1"/>
  <c r="O1546" i="1"/>
  <c r="L237" i="1"/>
  <c r="L236" i="1" s="1"/>
  <c r="L238" i="1"/>
  <c r="P543" i="1"/>
  <c r="L33" i="1"/>
  <c r="L1723" i="1" s="1"/>
  <c r="L1724" i="1"/>
  <c r="O183" i="1"/>
  <c r="O182" i="1" s="1"/>
  <c r="M192" i="1"/>
  <c r="M191" i="1" s="1"/>
  <c r="O672" i="1"/>
  <c r="N552" i="1"/>
  <c r="M183" i="1"/>
  <c r="P986" i="1"/>
  <c r="P989" i="1"/>
  <c r="P988" i="1" s="1"/>
  <c r="O1105" i="1"/>
  <c r="O1135" i="1"/>
  <c r="O1010" i="1"/>
  <c r="O1009" i="1" s="1"/>
  <c r="N741" i="1"/>
  <c r="N735" i="1" s="1"/>
  <c r="M331" i="1"/>
  <c r="M347" i="1" s="1"/>
  <c r="N39" i="1"/>
  <c r="M540" i="1"/>
  <c r="P553" i="1"/>
  <c r="N1095" i="1"/>
  <c r="N1093" i="1"/>
  <c r="N1096" i="1"/>
  <c r="N1097" i="1"/>
  <c r="P1013" i="1"/>
  <c r="P1010" i="1"/>
  <c r="P1006" i="1"/>
  <c r="P1593" i="1"/>
  <c r="G1665" i="1"/>
  <c r="H1665" i="1"/>
  <c r="I1665" i="1"/>
  <c r="F1665" i="1"/>
  <c r="I37" i="1"/>
  <c r="H37" i="1"/>
  <c r="G37" i="1"/>
  <c r="F37" i="1"/>
  <c r="I1664" i="1"/>
  <c r="H1664" i="1"/>
  <c r="G1664" i="1"/>
  <c r="F1664" i="1"/>
  <c r="L1413" i="1" l="1"/>
  <c r="L1412" i="1" s="1"/>
  <c r="N1603" i="1"/>
  <c r="N1161" i="1"/>
  <c r="N1556" i="1"/>
  <c r="N1512" i="1"/>
  <c r="N1653" i="1"/>
  <c r="Q1022" i="1"/>
  <c r="Q1119" i="1" s="1"/>
  <c r="N736" i="1" a="1"/>
  <c r="N736" i="1" s="1"/>
  <c r="N738" i="1" a="1"/>
  <c r="N738" i="1" s="1"/>
  <c r="M182" i="1"/>
  <c r="M1429" i="1"/>
  <c r="M1618" i="1"/>
  <c r="M1207" i="1"/>
  <c r="M1345" i="1"/>
  <c r="M1571" i="1"/>
  <c r="L1556" i="1"/>
  <c r="L1653" i="1"/>
  <c r="L1651" i="1" s="1"/>
  <c r="L1650" i="1" s="1"/>
  <c r="L1161" i="1"/>
  <c r="L1603" i="1"/>
  <c r="L1601" i="1" s="1"/>
  <c r="L1600" i="1" s="1"/>
  <c r="L1512" i="1"/>
  <c r="Q1603" i="1"/>
  <c r="Q1601" i="1" s="1"/>
  <c r="Q1600" i="1" s="1"/>
  <c r="Q1556" i="1"/>
  <c r="Q1653" i="1"/>
  <c r="Q1161" i="1"/>
  <c r="Q1159" i="1" s="1"/>
  <c r="Q1158" i="1" s="1"/>
  <c r="Q1512" i="1"/>
  <c r="M1563" i="1"/>
  <c r="M1561" i="1" s="1"/>
  <c r="M1560" i="1" s="1"/>
  <c r="M1331" i="1"/>
  <c r="M1184" i="1"/>
  <c r="M1415" i="1"/>
  <c r="M1610" i="1"/>
  <c r="N1160" i="1"/>
  <c r="O38" i="1"/>
  <c r="O1658" i="1"/>
  <c r="O1659" i="1" s="1"/>
  <c r="O1562" i="1"/>
  <c r="Q1658" i="1"/>
  <c r="Q1659" i="1" s="1"/>
  <c r="L1160" i="1"/>
  <c r="P1563" i="1"/>
  <c r="P1331" i="1"/>
  <c r="P1184" i="1"/>
  <c r="P1415" i="1"/>
  <c r="P1610" i="1"/>
  <c r="Q1330" i="1"/>
  <c r="N1183" i="1"/>
  <c r="N1182" i="1" s="1"/>
  <c r="N1181" i="1" s="1"/>
  <c r="P1003" i="1"/>
  <c r="M200" i="1"/>
  <c r="N1555" i="1"/>
  <c r="Q1562" i="1"/>
  <c r="O736" i="1" a="1"/>
  <c r="O736" i="1" s="1"/>
  <c r="O737" i="1" s="1"/>
  <c r="O738" i="1" a="1"/>
  <c r="O738" i="1" s="1"/>
  <c r="M1617" i="1"/>
  <c r="P1009" i="1"/>
  <c r="L738" i="1" a="1"/>
  <c r="L738" i="1" s="1"/>
  <c r="L736" i="1" a="1"/>
  <c r="L736" i="1" s="1"/>
  <c r="O33" i="1"/>
  <c r="O1723" i="1" s="1"/>
  <c r="M37" i="1"/>
  <c r="M1726" i="1" s="1"/>
  <c r="Q1602" i="1"/>
  <c r="O1724" i="1"/>
  <c r="P1603" i="1"/>
  <c r="P1556" i="1"/>
  <c r="P1653" i="1"/>
  <c r="P1512" i="1"/>
  <c r="P1161" i="1"/>
  <c r="P1012" i="1"/>
  <c r="M1653" i="1"/>
  <c r="M1161" i="1"/>
  <c r="M1603" i="1"/>
  <c r="M1556" i="1"/>
  <c r="M1512" i="1"/>
  <c r="P1658" i="1"/>
  <c r="P1659" i="1" s="1"/>
  <c r="M1160" i="1"/>
  <c r="M1159" i="1" s="1"/>
  <c r="M1158" i="1" s="1"/>
  <c r="N1414" i="1"/>
  <c r="Q738" i="1" a="1"/>
  <c r="Q738" i="1" s="1"/>
  <c r="Q736" i="1" a="1"/>
  <c r="Q736" i="1" s="1"/>
  <c r="Q737" i="1" s="1"/>
  <c r="P1609" i="1"/>
  <c r="L1511" i="1"/>
  <c r="L1510" i="1" s="1"/>
  <c r="L1509" i="1" s="1"/>
  <c r="N1511" i="1"/>
  <c r="Q1511" i="1"/>
  <c r="Q1510" i="1" s="1"/>
  <c r="Q1509" i="1" s="1"/>
  <c r="P1511" i="1"/>
  <c r="P1510" i="1" s="1"/>
  <c r="P1509" i="1" s="1"/>
  <c r="P1160" i="1"/>
  <c r="L181" i="1"/>
  <c r="O192" i="1"/>
  <c r="O191" i="1" s="1"/>
  <c r="L1563" i="1"/>
  <c r="L1331" i="1"/>
  <c r="L1184" i="1"/>
  <c r="L1415" i="1"/>
  <c r="L1610" i="1"/>
  <c r="P1555" i="1"/>
  <c r="O1603" i="1"/>
  <c r="O1556" i="1"/>
  <c r="O1512" i="1"/>
  <c r="O1510" i="1" s="1"/>
  <c r="O1509" i="1" s="1"/>
  <c r="O1161" i="1"/>
  <c r="O1159" i="1" s="1"/>
  <c r="O1158" i="1" s="1"/>
  <c r="O1653" i="1"/>
  <c r="O1651" i="1" s="1"/>
  <c r="O1650" i="1" s="1"/>
  <c r="Q1652" i="1"/>
  <c r="M1602" i="1"/>
  <c r="P1183" i="1"/>
  <c r="N1563" i="1"/>
  <c r="N1331" i="1"/>
  <c r="N1184" i="1"/>
  <c r="N1415" i="1"/>
  <c r="N1610" i="1"/>
  <c r="N1608" i="1" s="1"/>
  <c r="N1607" i="1" s="1"/>
  <c r="N1012" i="1"/>
  <c r="L144" i="1"/>
  <c r="O1609" i="1"/>
  <c r="M1570" i="1"/>
  <c r="Q1021" i="1"/>
  <c r="Q1020" i="1" s="1"/>
  <c r="Q552" i="1"/>
  <c r="O1003" i="1"/>
  <c r="Q426" i="1"/>
  <c r="Q423" i="1" s="1"/>
  <c r="M467" i="1"/>
  <c r="M466" i="1" s="1"/>
  <c r="L1001" i="1"/>
  <c r="L1000" i="1" s="1"/>
  <c r="O501" i="1"/>
  <c r="O490" i="1" s="1"/>
  <c r="Q192" i="1"/>
  <c r="Q191" i="1" s="1"/>
  <c r="Q194" i="1"/>
  <c r="P1729" i="1"/>
  <c r="P1665" i="1"/>
  <c r="Q467" i="1"/>
  <c r="Q466" i="1" s="1"/>
  <c r="Q494" i="1"/>
  <c r="O426" i="1"/>
  <c r="O424" i="1" s="1"/>
  <c r="Q1729" i="1"/>
  <c r="P332" i="1"/>
  <c r="P348" i="1" s="1"/>
  <c r="P342" i="1" s="1"/>
  <c r="P326" i="1" s="1"/>
  <c r="L494" i="1"/>
  <c r="L483" i="1" s="1"/>
  <c r="M426" i="1"/>
  <c r="M423" i="1" s="1"/>
  <c r="L1616" i="1"/>
  <c r="L1615" i="1" s="1"/>
  <c r="P1569" i="1"/>
  <c r="P1568" i="1" s="1"/>
  <c r="L1182" i="1"/>
  <c r="L1181" i="1" s="1"/>
  <c r="Q412" i="1"/>
  <c r="Q415" i="1"/>
  <c r="Q414" i="1" s="1"/>
  <c r="Q527" i="1"/>
  <c r="M496" i="1"/>
  <c r="M485" i="1" s="1"/>
  <c r="Q734" i="1"/>
  <c r="Q1724" i="1"/>
  <c r="Q33" i="1"/>
  <c r="Q1723" i="1" s="1"/>
  <c r="Q376" i="1"/>
  <c r="Q432" i="1"/>
  <c r="Q435" i="1" s="1"/>
  <c r="Q262" i="1"/>
  <c r="Q1010" i="1"/>
  <c r="Q1009" i="1" s="1"/>
  <c r="Q252" i="1"/>
  <c r="Q251" i="1" s="1"/>
  <c r="Q1713" i="1"/>
  <c r="Q1711" i="1" s="1"/>
  <c r="Q20" i="1"/>
  <c r="Q38" i="1"/>
  <c r="Q425" i="1"/>
  <c r="Q497" i="1"/>
  <c r="Q486" i="1" s="1"/>
  <c r="Q792" i="1"/>
  <c r="Q835" i="1" s="1"/>
  <c r="Q868" i="1" s="1"/>
  <c r="Q1728" i="1"/>
  <c r="Q510" i="1"/>
  <c r="Q509" i="1" s="1"/>
  <c r="Q503" i="1"/>
  <c r="Q418" i="1"/>
  <c r="Q550" i="1"/>
  <c r="Q547" i="1"/>
  <c r="Q332" i="1"/>
  <c r="Q348" i="1" s="1"/>
  <c r="Q534" i="1"/>
  <c r="Q291" i="1"/>
  <c r="Q498" i="1"/>
  <c r="Q487" i="1" s="1"/>
  <c r="Q427" i="1"/>
  <c r="Q725" i="1"/>
  <c r="Q722" i="1" s="1"/>
  <c r="Q721" i="1" s="1"/>
  <c r="Q375" i="1"/>
  <c r="Q431" i="1"/>
  <c r="Q430" i="1" s="1"/>
  <c r="Q546" i="1"/>
  <c r="Q483" i="1"/>
  <c r="Q538" i="1"/>
  <c r="Q548" i="1"/>
  <c r="M1729" i="1"/>
  <c r="M1665" i="1"/>
  <c r="L1665" i="1"/>
  <c r="L1729" i="1"/>
  <c r="P496" i="1"/>
  <c r="P485" i="1" s="1"/>
  <c r="N1000" i="1"/>
  <c r="O542" i="1"/>
  <c r="N1727" i="1"/>
  <c r="P1727" i="1"/>
  <c r="M499" i="1"/>
  <c r="M488" i="1" s="1"/>
  <c r="L498" i="1"/>
  <c r="L487" i="1" s="1"/>
  <c r="L512" i="1"/>
  <c r="P1182" i="1"/>
  <c r="P1181" i="1" s="1"/>
  <c r="M251" i="1"/>
  <c r="P1329" i="1"/>
  <c r="P1328" i="1" s="1"/>
  <c r="P1413" i="1"/>
  <c r="P1412" i="1" s="1"/>
  <c r="L497" i="1"/>
  <c r="L486" i="1" s="1"/>
  <c r="P251" i="1"/>
  <c r="L251" i="1"/>
  <c r="O1823" i="1"/>
  <c r="L262" i="1"/>
  <c r="P425" i="1"/>
  <c r="P424" i="1" s="1"/>
  <c r="L499" i="1"/>
  <c r="L488" i="1" s="1"/>
  <c r="M1010" i="1"/>
  <c r="M1009" i="1" s="1"/>
  <c r="L502" i="1"/>
  <c r="O984" i="1"/>
  <c r="L527" i="1"/>
  <c r="N1665" i="1"/>
  <c r="N1729" i="1"/>
  <c r="L291" i="1"/>
  <c r="N426" i="1"/>
  <c r="L1727" i="1"/>
  <c r="N1003" i="1"/>
  <c r="P467" i="1"/>
  <c r="P466" i="1" s="1"/>
  <c r="N262" i="1"/>
  <c r="L1608" i="1"/>
  <c r="L1607" i="1" s="1"/>
  <c r="P1616" i="1"/>
  <c r="P1615" i="1" s="1"/>
  <c r="O1727" i="1"/>
  <c r="P233" i="1"/>
  <c r="P181" i="1" s="1"/>
  <c r="L37" i="1"/>
  <c r="L1726" i="1" s="1"/>
  <c r="O37" i="1"/>
  <c r="O1726" i="1" s="1"/>
  <c r="M1329" i="1"/>
  <c r="M1328" i="1" s="1"/>
  <c r="N1561" i="1"/>
  <c r="N1560" i="1" s="1"/>
  <c r="N181" i="1"/>
  <c r="P1343" i="1"/>
  <c r="P1342" i="1" s="1"/>
  <c r="M1651" i="1"/>
  <c r="M1650" i="1" s="1"/>
  <c r="M204" i="1"/>
  <c r="M203" i="1" s="1"/>
  <c r="P37" i="1"/>
  <c r="P1726" i="1" s="1"/>
  <c r="P1728" i="1"/>
  <c r="N252" i="1"/>
  <c r="N251" i="1" s="1"/>
  <c r="P1554" i="1"/>
  <c r="P1553" i="1" s="1"/>
  <c r="M1608" i="1"/>
  <c r="M1607" i="1" s="1"/>
  <c r="L1205" i="1"/>
  <c r="L1204" i="1" s="1"/>
  <c r="L1569" i="1"/>
  <c r="L1568" i="1" s="1"/>
  <c r="N37" i="1"/>
  <c r="N1726" i="1" s="1"/>
  <c r="P1601" i="1"/>
  <c r="P1600" i="1" s="1"/>
  <c r="L1010" i="1"/>
  <c r="L1009" i="1" s="1"/>
  <c r="M1413" i="1"/>
  <c r="M1412" i="1" s="1"/>
  <c r="N734" i="1"/>
  <c r="L734" i="1"/>
  <c r="O734" i="1"/>
  <c r="M750" i="1"/>
  <c r="M745" i="1"/>
  <c r="M746" i="1"/>
  <c r="M747" i="1"/>
  <c r="M748" i="1"/>
  <c r="M749" i="1"/>
  <c r="O785" i="1"/>
  <c r="N373" i="1"/>
  <c r="N365" i="1"/>
  <c r="M1510" i="1"/>
  <c r="M1509" i="1" s="1"/>
  <c r="M761" i="1"/>
  <c r="M757" i="1"/>
  <c r="M758" i="1"/>
  <c r="M759" i="1"/>
  <c r="M760" i="1"/>
  <c r="M762" i="1"/>
  <c r="M425" i="1"/>
  <c r="M737" i="1"/>
  <c r="N499" i="1"/>
  <c r="N502" i="1"/>
  <c r="N491" i="1" s="1"/>
  <c r="O725" i="1"/>
  <c r="O722" i="1" s="1"/>
  <c r="O721" i="1" s="1"/>
  <c r="P501" i="1"/>
  <c r="P490" i="1" s="1"/>
  <c r="L1561" i="1"/>
  <c r="L1560" i="1" s="1"/>
  <c r="M502" i="1"/>
  <c r="M491" i="1" s="1"/>
  <c r="N1713" i="1"/>
  <c r="N1711" i="1" s="1"/>
  <c r="N20" i="1"/>
  <c r="N488" i="1"/>
  <c r="M537" i="1"/>
  <c r="M565" i="1"/>
  <c r="L1159" i="1"/>
  <c r="L1158" i="1" s="1"/>
  <c r="L510" i="1"/>
  <c r="L509" i="1" s="1"/>
  <c r="L503" i="1"/>
  <c r="O370" i="1"/>
  <c r="O377" i="1"/>
  <c r="O548" i="1"/>
  <c r="L552" i="1"/>
  <c r="M494" i="1"/>
  <c r="M483" i="1" s="1"/>
  <c r="M512" i="1"/>
  <c r="M379" i="1"/>
  <c r="N425" i="1"/>
  <c r="N422" i="1" s="1"/>
  <c r="N535" i="1"/>
  <c r="O373" i="1"/>
  <c r="L792" i="1"/>
  <c r="L835" i="1"/>
  <c r="L868" i="1" s="1"/>
  <c r="N418" i="1"/>
  <c r="P984" i="1"/>
  <c r="P565" i="1"/>
  <c r="O181" i="1"/>
  <c r="L422" i="1"/>
  <c r="L418" i="1"/>
  <c r="L532" i="1"/>
  <c r="M1657" i="1"/>
  <c r="M1656" i="1" s="1"/>
  <c r="P725" i="1"/>
  <c r="P722" i="1" s="1"/>
  <c r="P721" i="1" s="1"/>
  <c r="O486" i="1"/>
  <c r="O538" i="1"/>
  <c r="P418" i="1"/>
  <c r="O1657" i="1"/>
  <c r="O1656" i="1" s="1"/>
  <c r="N332" i="1"/>
  <c r="N348" i="1" s="1"/>
  <c r="L534" i="1"/>
  <c r="L332" i="1"/>
  <c r="L348" i="1" s="1"/>
  <c r="L493" i="1" s="1"/>
  <c r="M1713" i="1"/>
  <c r="M1711" i="1" s="1"/>
  <c r="M20" i="1"/>
  <c r="O1713" i="1"/>
  <c r="O1711" i="1" s="1"/>
  <c r="O20" i="1"/>
  <c r="O470" i="1"/>
  <c r="L415" i="1"/>
  <c r="L414" i="1" s="1"/>
  <c r="L412" i="1"/>
  <c r="L467" i="1"/>
  <c r="L466" i="1" s="1"/>
  <c r="O493" i="1"/>
  <c r="P537" i="1"/>
  <c r="N423" i="1"/>
  <c r="M422" i="1"/>
  <c r="M418" i="1"/>
  <c r="M532" i="1"/>
  <c r="O342" i="1"/>
  <c r="O326" i="1" s="1"/>
  <c r="N486" i="1"/>
  <c r="P365" i="1"/>
  <c r="P373" i="1"/>
  <c r="N494" i="1"/>
  <c r="N483" i="1" s="1"/>
  <c r="N792" i="1"/>
  <c r="O537" i="1"/>
  <c r="O518" i="1"/>
  <c r="O565" i="1"/>
  <c r="O496" i="1"/>
  <c r="O485" i="1" s="1"/>
  <c r="L491" i="1"/>
  <c r="M533" i="1"/>
  <c r="O1601" i="1"/>
  <c r="O1600" i="1" s="1"/>
  <c r="O498" i="1"/>
  <c r="O487" i="1" s="1"/>
  <c r="P512" i="1"/>
  <c r="P379" i="1"/>
  <c r="P291" i="1" s="1"/>
  <c r="P552" i="1"/>
  <c r="P762" i="1"/>
  <c r="P757" i="1"/>
  <c r="P758" i="1"/>
  <c r="P759" i="1"/>
  <c r="P761" i="1"/>
  <c r="P760" i="1"/>
  <c r="P749" i="1"/>
  <c r="P750" i="1"/>
  <c r="P745" i="1"/>
  <c r="P746" i="1"/>
  <c r="P747" i="1"/>
  <c r="P748" i="1"/>
  <c r="O422" i="1"/>
  <c r="O418" i="1"/>
  <c r="L692" i="1"/>
  <c r="L689" i="1" s="1"/>
  <c r="L690" i="1"/>
  <c r="P737" i="1"/>
  <c r="O368" i="1"/>
  <c r="O365" i="1" s="1"/>
  <c r="O546" i="1"/>
  <c r="O358" i="1"/>
  <c r="O291" i="1" s="1"/>
  <c r="N310" i="1"/>
  <c r="L1343" i="1"/>
  <c r="L1342" i="1" s="1"/>
  <c r="L374" i="1"/>
  <c r="L365" i="1"/>
  <c r="O432" i="1"/>
  <c r="O435" i="1" s="1"/>
  <c r="O376" i="1"/>
  <c r="M1554" i="1"/>
  <c r="M1553" i="1" s="1"/>
  <c r="M543" i="1"/>
  <c r="L1730" i="1"/>
  <c r="L1711" i="1" s="1"/>
  <c r="L20" i="1"/>
  <c r="O1554" i="1"/>
  <c r="O1553" i="1" s="1"/>
  <c r="L194" i="1"/>
  <c r="P792" i="1"/>
  <c r="P840" i="1" s="1"/>
  <c r="P873" i="1" s="1"/>
  <c r="O527" i="1"/>
  <c r="L426" i="1"/>
  <c r="L424" i="1" s="1"/>
  <c r="L191" i="1"/>
  <c r="P534" i="1"/>
  <c r="L725" i="1"/>
  <c r="L722" i="1" s="1"/>
  <c r="L721" i="1" s="1"/>
  <c r="O204" i="1"/>
  <c r="O203" i="1" s="1"/>
  <c r="N485" i="1"/>
  <c r="N537" i="1"/>
  <c r="N435" i="1"/>
  <c r="N547" i="1"/>
  <c r="L543" i="1"/>
  <c r="P692" i="1"/>
  <c r="P689" i="1" s="1"/>
  <c r="P691" i="1"/>
  <c r="O792" i="1"/>
  <c r="O838" i="1" s="1"/>
  <c r="O871" i="1" s="1"/>
  <c r="N725" i="1"/>
  <c r="N722" i="1" s="1"/>
  <c r="N721" i="1" s="1"/>
  <c r="P204" i="1"/>
  <c r="P203" i="1" s="1"/>
  <c r="N1554" i="1"/>
  <c r="N1553" i="1" s="1"/>
  <c r="N1728" i="1"/>
  <c r="N1601" i="1"/>
  <c r="N1600" i="1" s="1"/>
  <c r="N1657" i="1"/>
  <c r="N1656" i="1" s="1"/>
  <c r="L1329" i="1"/>
  <c r="L1328" i="1" s="1"/>
  <c r="N427" i="1"/>
  <c r="M233" i="1"/>
  <c r="N415" i="1"/>
  <c r="N414" i="1" s="1"/>
  <c r="N376" i="1"/>
  <c r="N432" i="1"/>
  <c r="P503" i="1"/>
  <c r="P510" i="1"/>
  <c r="P509" i="1" s="1"/>
  <c r="M725" i="1"/>
  <c r="M722" i="1" s="1"/>
  <c r="M721" i="1" s="1"/>
  <c r="M376" i="1"/>
  <c r="M432" i="1"/>
  <c r="M435" i="1" s="1"/>
  <c r="L535" i="1"/>
  <c r="P438" i="1"/>
  <c r="P564" i="1"/>
  <c r="M792" i="1"/>
  <c r="M835" i="1"/>
  <c r="M868" i="1" s="1"/>
  <c r="N375" i="1"/>
  <c r="N431" i="1"/>
  <c r="N434" i="1" s="1"/>
  <c r="M534" i="1"/>
  <c r="M332" i="1"/>
  <c r="M348" i="1" s="1"/>
  <c r="P262" i="1"/>
  <c r="M48" i="1"/>
  <c r="M1737" i="1" s="1"/>
  <c r="M1738" i="1"/>
  <c r="M1343" i="1"/>
  <c r="M1342" i="1" s="1"/>
  <c r="L432" i="1"/>
  <c r="L430" i="1" s="1"/>
  <c r="L376" i="1"/>
  <c r="O552" i="1"/>
  <c r="M1601" i="1"/>
  <c r="M1600" i="1" s="1"/>
  <c r="O415" i="1"/>
  <c r="O414" i="1" s="1"/>
  <c r="O412" i="1"/>
  <c r="N1010" i="1"/>
  <c r="N1009" i="1" s="1"/>
  <c r="M262" i="1"/>
  <c r="M546" i="1"/>
  <c r="M368" i="1"/>
  <c r="M358" i="1"/>
  <c r="L1728" i="1"/>
  <c r="L1427" i="1"/>
  <c r="L1426" i="1" s="1"/>
  <c r="P48" i="1"/>
  <c r="P1737" i="1" s="1"/>
  <c r="P1738" i="1"/>
  <c r="P1713" i="1"/>
  <c r="P1711" i="1" s="1"/>
  <c r="P20" i="1"/>
  <c r="N550" i="1"/>
  <c r="P376" i="1"/>
  <c r="P432" i="1"/>
  <c r="P435" i="1" s="1"/>
  <c r="L548" i="1"/>
  <c r="N194" i="1"/>
  <c r="M510" i="1"/>
  <c r="M509" i="1" s="1"/>
  <c r="M503" i="1"/>
  <c r="M548" i="1"/>
  <c r="P427" i="1"/>
  <c r="N533" i="1"/>
  <c r="N540" i="1"/>
  <c r="O488" i="1"/>
  <c r="N498" i="1"/>
  <c r="N487" i="1" s="1"/>
  <c r="L1657" i="1"/>
  <c r="L1656" i="1" s="1"/>
  <c r="N191" i="1"/>
  <c r="P532" i="1"/>
  <c r="P375" i="1"/>
  <c r="P431" i="1"/>
  <c r="N539" i="1"/>
  <c r="L547" i="1"/>
  <c r="M1182" i="1"/>
  <c r="M1181" i="1" s="1"/>
  <c r="M535" i="1"/>
  <c r="K36" i="1"/>
  <c r="K40" i="1" s="1"/>
  <c r="K1665" i="1" s="1"/>
  <c r="J36" i="1"/>
  <c r="J40" i="1" s="1"/>
  <c r="J1665" i="1" s="1"/>
  <c r="K1664" i="1"/>
  <c r="P411" i="1" l="1"/>
  <c r="P410" i="1" s="1"/>
  <c r="Q424" i="1"/>
  <c r="Q1563" i="1"/>
  <c r="Q1331" i="1"/>
  <c r="Q1184" i="1"/>
  <c r="Q1415" i="1"/>
  <c r="Q1610" i="1"/>
  <c r="Q1609" i="1"/>
  <c r="Q1183" i="1"/>
  <c r="O1563" i="1"/>
  <c r="O1561" i="1" s="1"/>
  <c r="O1560" i="1" s="1"/>
  <c r="O1331" i="1"/>
  <c r="O1184" i="1"/>
  <c r="O1415" i="1"/>
  <c r="O1610" i="1"/>
  <c r="O1183" i="1"/>
  <c r="O1330" i="1"/>
  <c r="O1329" i="1" s="1"/>
  <c r="O1328" i="1" s="1"/>
  <c r="Q372" i="1"/>
  <c r="O1414" i="1"/>
  <c r="O1413" i="1" s="1"/>
  <c r="O1412" i="1" s="1"/>
  <c r="P1657" i="1"/>
  <c r="P1656" i="1" s="1"/>
  <c r="Q1414" i="1"/>
  <c r="M181" i="1"/>
  <c r="P422" i="1"/>
  <c r="P421" i="1" s="1"/>
  <c r="O423" i="1"/>
  <c r="O421" i="1" s="1"/>
  <c r="N1159" i="1"/>
  <c r="N1158" i="1" s="1"/>
  <c r="O1608" i="1"/>
  <c r="O1607" i="1" s="1"/>
  <c r="N1510" i="1"/>
  <c r="N1509" i="1" s="1"/>
  <c r="N424" i="1"/>
  <c r="L1554" i="1"/>
  <c r="L1553" i="1" s="1"/>
  <c r="L492" i="1"/>
  <c r="M424" i="1"/>
  <c r="P1608" i="1"/>
  <c r="P1607" i="1" s="1"/>
  <c r="N1413" i="1"/>
  <c r="N1412" i="1" s="1"/>
  <c r="Q751" i="1"/>
  <c r="Q752" i="1"/>
  <c r="Q753" i="1"/>
  <c r="Q754" i="1"/>
  <c r="Q755" i="1"/>
  <c r="Q756" i="1"/>
  <c r="Q493" i="1"/>
  <c r="Q492" i="1" s="1"/>
  <c r="Q342" i="1"/>
  <c r="Q326" i="1" s="1"/>
  <c r="Q434" i="1"/>
  <c r="Q433" i="1" s="1"/>
  <c r="Q482" i="1"/>
  <c r="Q481" i="1" s="1"/>
  <c r="Q470" i="1"/>
  <c r="Q463" i="1" s="1"/>
  <c r="Q834" i="1"/>
  <c r="Q867" i="1" s="1"/>
  <c r="Q842" i="1"/>
  <c r="Q875" i="1" s="1"/>
  <c r="Q839" i="1"/>
  <c r="Q872" i="1" s="1"/>
  <c r="Q837" i="1"/>
  <c r="Q870" i="1" s="1"/>
  <c r="Q838" i="1"/>
  <c r="Q871" i="1" s="1"/>
  <c r="Q836" i="1"/>
  <c r="Q869" i="1" s="1"/>
  <c r="Q841" i="1"/>
  <c r="Q874" i="1" s="1"/>
  <c r="Q840" i="1"/>
  <c r="Q873" i="1" s="1"/>
  <c r="Q1561" i="1"/>
  <c r="Q1560" i="1" s="1"/>
  <c r="Q1413" i="1"/>
  <c r="Q1412" i="1" s="1"/>
  <c r="Q1727" i="1"/>
  <c r="Q1329" i="1"/>
  <c r="Q1328" i="1" s="1"/>
  <c r="Q37" i="1"/>
  <c r="Q1726" i="1" s="1"/>
  <c r="Q411" i="1"/>
  <c r="Q410" i="1" s="1"/>
  <c r="Q422" i="1"/>
  <c r="Q421" i="1" s="1"/>
  <c r="Q762" i="1"/>
  <c r="Q757" i="1"/>
  <c r="Q758" i="1"/>
  <c r="Q759" i="1"/>
  <c r="Q760" i="1"/>
  <c r="Q761" i="1"/>
  <c r="Q1657" i="1"/>
  <c r="Q1656" i="1" s="1"/>
  <c r="Q745" i="1"/>
  <c r="Q746" i="1"/>
  <c r="Q747" i="1"/>
  <c r="Q748" i="1"/>
  <c r="Q749" i="1"/>
  <c r="Q750" i="1"/>
  <c r="Q1554" i="1"/>
  <c r="Q1553" i="1" s="1"/>
  <c r="Q1651" i="1"/>
  <c r="Q1650" i="1" s="1"/>
  <c r="L435" i="1"/>
  <c r="L433" i="1" s="1"/>
  <c r="M1427" i="1"/>
  <c r="M1426" i="1" s="1"/>
  <c r="P1561" i="1"/>
  <c r="P1560" i="1" s="1"/>
  <c r="O1182" i="1"/>
  <c r="O1181" i="1" s="1"/>
  <c r="M421" i="1"/>
  <c r="L372" i="1"/>
  <c r="O492" i="1"/>
  <c r="L423" i="1"/>
  <c r="L421" i="1" s="1"/>
  <c r="N1651" i="1"/>
  <c r="N1650" i="1" s="1"/>
  <c r="N1329" i="1"/>
  <c r="N1328" i="1" s="1"/>
  <c r="P1651" i="1"/>
  <c r="P1650" i="1" s="1"/>
  <c r="P372" i="1"/>
  <c r="M1205" i="1"/>
  <c r="M1204" i="1" s="1"/>
  <c r="N421" i="1"/>
  <c r="M291" i="1"/>
  <c r="N411" i="1"/>
  <c r="N410" i="1" s="1"/>
  <c r="P1159" i="1"/>
  <c r="P1158" i="1" s="1"/>
  <c r="L411" i="1"/>
  <c r="L410" i="1" s="1"/>
  <c r="N493" i="1"/>
  <c r="N492" i="1" s="1"/>
  <c r="N342" i="1"/>
  <c r="N326" i="1" s="1"/>
  <c r="M493" i="1"/>
  <c r="M492" i="1" s="1"/>
  <c r="M342" i="1"/>
  <c r="M326" i="1" s="1"/>
  <c r="O756" i="1"/>
  <c r="O751" i="1"/>
  <c r="O752" i="1"/>
  <c r="O753" i="1"/>
  <c r="O755" i="1"/>
  <c r="O754" i="1"/>
  <c r="L470" i="1"/>
  <c r="L463" i="1" s="1"/>
  <c r="L482" i="1"/>
  <c r="L481" i="1" s="1"/>
  <c r="M839" i="1"/>
  <c r="M872" i="1" s="1"/>
  <c r="M834" i="1"/>
  <c r="M867" i="1" s="1"/>
  <c r="M837" i="1"/>
  <c r="M870" i="1" s="1"/>
  <c r="M842" i="1"/>
  <c r="M875" i="1" s="1"/>
  <c r="M836" i="1"/>
  <c r="M869" i="1" s="1"/>
  <c r="M838" i="1"/>
  <c r="M871" i="1" s="1"/>
  <c r="M841" i="1"/>
  <c r="M874" i="1" s="1"/>
  <c r="O761" i="1"/>
  <c r="O762" i="1"/>
  <c r="O757" i="1"/>
  <c r="O758" i="1"/>
  <c r="O759" i="1"/>
  <c r="O760" i="1"/>
  <c r="M427" i="1"/>
  <c r="M411" i="1" s="1"/>
  <c r="M410" i="1" s="1"/>
  <c r="L839" i="1"/>
  <c r="L872" i="1" s="1"/>
  <c r="L837" i="1"/>
  <c r="L870" i="1" s="1"/>
  <c r="L834" i="1"/>
  <c r="L867" i="1" s="1"/>
  <c r="L842" i="1"/>
  <c r="L875" i="1" s="1"/>
  <c r="L836" i="1"/>
  <c r="L869" i="1" s="1"/>
  <c r="L838" i="1"/>
  <c r="L871" i="1" s="1"/>
  <c r="L840" i="1"/>
  <c r="L873" i="1" s="1"/>
  <c r="L841" i="1"/>
  <c r="L874" i="1" s="1"/>
  <c r="P430" i="1"/>
  <c r="P756" i="1"/>
  <c r="P751" i="1"/>
  <c r="P752" i="1"/>
  <c r="P753" i="1"/>
  <c r="P754" i="1"/>
  <c r="P755" i="1"/>
  <c r="O749" i="1"/>
  <c r="O750" i="1"/>
  <c r="O745" i="1"/>
  <c r="O746" i="1"/>
  <c r="O747" i="1"/>
  <c r="O748" i="1"/>
  <c r="L750" i="1"/>
  <c r="L745" i="1"/>
  <c r="L746" i="1"/>
  <c r="L747" i="1"/>
  <c r="L749" i="1"/>
  <c r="L748" i="1"/>
  <c r="L762" i="1"/>
  <c r="L757" i="1"/>
  <c r="L758" i="1"/>
  <c r="L759" i="1"/>
  <c r="L760" i="1"/>
  <c r="L761" i="1"/>
  <c r="L737" i="1"/>
  <c r="M1569" i="1"/>
  <c r="M1568" i="1" s="1"/>
  <c r="O482" i="1"/>
  <c r="O481" i="1" s="1"/>
  <c r="L342" i="1"/>
  <c r="L326" i="1" s="1"/>
  <c r="P493" i="1"/>
  <c r="P492" i="1" s="1"/>
  <c r="O837" i="1"/>
  <c r="O870" i="1" s="1"/>
  <c r="O836" i="1"/>
  <c r="O869" i="1" s="1"/>
  <c r="O842" i="1"/>
  <c r="O875" i="1" s="1"/>
  <c r="O835" i="1"/>
  <c r="O868" i="1" s="1"/>
  <c r="O841" i="1"/>
  <c r="O874" i="1" s="1"/>
  <c r="O834" i="1"/>
  <c r="O867" i="1" s="1"/>
  <c r="O839" i="1"/>
  <c r="O872" i="1" s="1"/>
  <c r="O840" i="1"/>
  <c r="O873" i="1" s="1"/>
  <c r="N291" i="1"/>
  <c r="O427" i="1"/>
  <c r="O411" i="1" s="1"/>
  <c r="O410" i="1" s="1"/>
  <c r="O375" i="1"/>
  <c r="O372" i="1" s="1"/>
  <c r="O431" i="1"/>
  <c r="O430" i="1" s="1"/>
  <c r="N750" i="1"/>
  <c r="N745" i="1"/>
  <c r="N746" i="1"/>
  <c r="N747" i="1"/>
  <c r="N749" i="1"/>
  <c r="N748" i="1"/>
  <c r="P434" i="1"/>
  <c r="P433" i="1" s="1"/>
  <c r="N757" i="1"/>
  <c r="N758" i="1"/>
  <c r="N759" i="1"/>
  <c r="N761" i="1"/>
  <c r="N762" i="1"/>
  <c r="N760" i="1"/>
  <c r="N372" i="1"/>
  <c r="N470" i="1"/>
  <c r="N463" i="1" s="1"/>
  <c r="N534" i="1"/>
  <c r="M552" i="1"/>
  <c r="M840" i="1"/>
  <c r="M873" i="1" s="1"/>
  <c r="M1616" i="1"/>
  <c r="M1615" i="1" s="1"/>
  <c r="M756" i="1"/>
  <c r="M751" i="1"/>
  <c r="M752" i="1"/>
  <c r="M753" i="1"/>
  <c r="M755" i="1"/>
  <c r="M754" i="1"/>
  <c r="P470" i="1"/>
  <c r="P463" i="1" s="1"/>
  <c r="P409" i="1" s="1"/>
  <c r="N433" i="1"/>
  <c r="N839" i="1"/>
  <c r="N872" i="1" s="1"/>
  <c r="N834" i="1"/>
  <c r="N867" i="1" s="1"/>
  <c r="N837" i="1"/>
  <c r="N870" i="1" s="1"/>
  <c r="N842" i="1"/>
  <c r="N875" i="1" s="1"/>
  <c r="N838" i="1"/>
  <c r="N871" i="1" s="1"/>
  <c r="N840" i="1"/>
  <c r="N873" i="1" s="1"/>
  <c r="N841" i="1"/>
  <c r="N874" i="1" s="1"/>
  <c r="N836" i="1"/>
  <c r="N869" i="1" s="1"/>
  <c r="O510" i="1"/>
  <c r="O509" i="1" s="1"/>
  <c r="O503" i="1"/>
  <c r="O463" i="1" s="1"/>
  <c r="P837" i="1"/>
  <c r="P870" i="1" s="1"/>
  <c r="P836" i="1"/>
  <c r="P869" i="1" s="1"/>
  <c r="P841" i="1"/>
  <c r="P874" i="1" s="1"/>
  <c r="P834" i="1"/>
  <c r="P867" i="1" s="1"/>
  <c r="P842" i="1"/>
  <c r="P875" i="1" s="1"/>
  <c r="P839" i="1"/>
  <c r="P872" i="1" s="1"/>
  <c r="N835" i="1"/>
  <c r="N868" i="1" s="1"/>
  <c r="M470" i="1"/>
  <c r="M463" i="1" s="1"/>
  <c r="P835" i="1"/>
  <c r="P868" i="1" s="1"/>
  <c r="P838" i="1"/>
  <c r="P871" i="1" s="1"/>
  <c r="M375" i="1"/>
  <c r="M372" i="1" s="1"/>
  <c r="M431" i="1"/>
  <c r="M430" i="1" s="1"/>
  <c r="M365" i="1"/>
  <c r="N430" i="1"/>
  <c r="N737" i="1"/>
  <c r="J1664" i="1"/>
  <c r="K2321" i="1"/>
  <c r="J2321" i="1"/>
  <c r="I2321" i="1"/>
  <c r="H2321" i="1"/>
  <c r="G2321" i="1"/>
  <c r="F2321" i="1"/>
  <c r="K2318" i="1"/>
  <c r="J2318" i="1"/>
  <c r="I2318" i="1"/>
  <c r="H2318" i="1"/>
  <c r="G2318" i="1"/>
  <c r="F2318" i="1"/>
  <c r="K2311" i="1"/>
  <c r="J2311" i="1"/>
  <c r="I2311" i="1"/>
  <c r="H2311" i="1"/>
  <c r="G2311" i="1"/>
  <c r="F2311" i="1"/>
  <c r="K2309" i="1"/>
  <c r="J2309" i="1"/>
  <c r="I2309" i="1"/>
  <c r="H2309" i="1"/>
  <c r="G2309" i="1"/>
  <c r="F2309" i="1"/>
  <c r="K2307" i="1"/>
  <c r="J2307" i="1"/>
  <c r="I2307" i="1"/>
  <c r="H2307" i="1"/>
  <c r="G2307" i="1"/>
  <c r="F2307" i="1"/>
  <c r="K2305" i="1"/>
  <c r="J2305" i="1"/>
  <c r="I2305" i="1"/>
  <c r="H2305" i="1"/>
  <c r="G2305" i="1"/>
  <c r="F2305" i="1"/>
  <c r="K2299" i="1"/>
  <c r="J2299" i="1"/>
  <c r="I2299" i="1"/>
  <c r="H2299" i="1"/>
  <c r="G2299" i="1"/>
  <c r="F2299" i="1"/>
  <c r="K2293" i="1"/>
  <c r="J2293" i="1"/>
  <c r="I2293" i="1"/>
  <c r="H2293" i="1"/>
  <c r="G2293" i="1"/>
  <c r="F2293" i="1"/>
  <c r="K2291" i="1"/>
  <c r="J2291" i="1"/>
  <c r="I2291" i="1"/>
  <c r="H2291" i="1"/>
  <c r="G2291" i="1"/>
  <c r="F2291" i="1"/>
  <c r="K2289" i="1"/>
  <c r="J2289" i="1"/>
  <c r="I2289" i="1"/>
  <c r="H2289" i="1"/>
  <c r="G2289" i="1"/>
  <c r="F2289" i="1"/>
  <c r="K2287" i="1"/>
  <c r="J2287" i="1"/>
  <c r="I2287" i="1"/>
  <c r="H2287" i="1"/>
  <c r="G2287" i="1"/>
  <c r="F2287" i="1"/>
  <c r="K2285" i="1"/>
  <c r="J2285" i="1"/>
  <c r="I2285" i="1"/>
  <c r="H2285" i="1"/>
  <c r="G2285" i="1"/>
  <c r="F2285" i="1"/>
  <c r="K2283" i="1"/>
  <c r="J2283" i="1"/>
  <c r="I2283" i="1"/>
  <c r="H2283" i="1"/>
  <c r="G2283" i="1"/>
  <c r="F2283" i="1"/>
  <c r="I2276" i="1"/>
  <c r="K2270" i="1"/>
  <c r="J2270" i="1"/>
  <c r="I2270" i="1"/>
  <c r="H2270" i="1"/>
  <c r="G2270" i="1"/>
  <c r="F2270" i="1"/>
  <c r="K2268" i="1"/>
  <c r="J2268" i="1"/>
  <c r="I2268" i="1"/>
  <c r="H2268" i="1"/>
  <c r="G2268" i="1"/>
  <c r="F2268" i="1"/>
  <c r="K2266" i="1"/>
  <c r="J2266" i="1"/>
  <c r="I2266" i="1"/>
  <c r="H2266" i="1"/>
  <c r="G2266" i="1"/>
  <c r="F2266" i="1"/>
  <c r="K2264" i="1"/>
  <c r="J2264" i="1"/>
  <c r="I2264" i="1"/>
  <c r="H2264" i="1"/>
  <c r="G2264" i="1"/>
  <c r="F2264" i="1"/>
  <c r="K2262" i="1"/>
  <c r="J2262" i="1"/>
  <c r="I2262" i="1"/>
  <c r="H2262" i="1"/>
  <c r="G2262" i="1"/>
  <c r="F2262" i="1"/>
  <c r="K2257" i="1"/>
  <c r="J2257" i="1"/>
  <c r="I2257" i="1"/>
  <c r="H2257" i="1"/>
  <c r="G2257" i="1"/>
  <c r="F2257" i="1"/>
  <c r="K2251" i="1"/>
  <c r="J2251" i="1"/>
  <c r="I2251" i="1"/>
  <c r="H2251" i="1"/>
  <c r="G2251" i="1"/>
  <c r="F2251" i="1"/>
  <c r="K2249" i="1"/>
  <c r="J2249" i="1"/>
  <c r="I2249" i="1"/>
  <c r="H2249" i="1"/>
  <c r="G2249" i="1"/>
  <c r="F2249" i="1"/>
  <c r="K2247" i="1"/>
  <c r="J2247" i="1"/>
  <c r="I2247" i="1"/>
  <c r="H2247" i="1"/>
  <c r="G2247" i="1"/>
  <c r="F2247" i="1"/>
  <c r="K2245" i="1"/>
  <c r="J2245" i="1"/>
  <c r="I2245" i="1"/>
  <c r="H2245" i="1"/>
  <c r="G2245" i="1"/>
  <c r="F2245" i="1"/>
  <c r="K2243" i="1"/>
  <c r="J2243" i="1"/>
  <c r="I2243" i="1"/>
  <c r="H2243" i="1"/>
  <c r="G2243" i="1"/>
  <c r="F2243" i="1"/>
  <c r="K2238" i="1"/>
  <c r="J2238" i="1"/>
  <c r="I2238" i="1"/>
  <c r="H2238" i="1"/>
  <c r="G2238" i="1"/>
  <c r="F2238" i="1"/>
  <c r="E2234" i="1"/>
  <c r="E2235" i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115" i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K2101" i="1"/>
  <c r="J2101" i="1"/>
  <c r="I2101" i="1"/>
  <c r="H2101" i="1"/>
  <c r="G2101" i="1"/>
  <c r="F2101" i="1"/>
  <c r="K2092" i="1"/>
  <c r="J2092" i="1"/>
  <c r="I2092" i="1"/>
  <c r="H2092" i="1"/>
  <c r="G2092" i="1"/>
  <c r="F2092" i="1"/>
  <c r="K2051" i="1"/>
  <c r="J2051" i="1"/>
  <c r="I2051" i="1"/>
  <c r="H2051" i="1"/>
  <c r="G2051" i="1"/>
  <c r="F2051" i="1"/>
  <c r="E2051" i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K29" i="1"/>
  <c r="F29" i="1"/>
  <c r="J29" i="1"/>
  <c r="I29" i="1"/>
  <c r="H29" i="1"/>
  <c r="G29" i="1"/>
  <c r="M409" i="1" l="1"/>
  <c r="Q1182" i="1"/>
  <c r="Q1181" i="1" s="1"/>
  <c r="Q1608" i="1"/>
  <c r="Q1607" i="1" s="1"/>
  <c r="Q409" i="1"/>
  <c r="N409" i="1"/>
  <c r="N482" i="1"/>
  <c r="N481" i="1" s="1"/>
  <c r="O409" i="1"/>
  <c r="M482" i="1"/>
  <c r="M481" i="1" s="1"/>
  <c r="O434" i="1"/>
  <c r="O433" i="1" s="1"/>
  <c r="L409" i="1"/>
  <c r="P482" i="1"/>
  <c r="P481" i="1" s="1"/>
  <c r="L756" i="1"/>
  <c r="L751" i="1"/>
  <c r="L752" i="1"/>
  <c r="L753" i="1"/>
  <c r="L754" i="1"/>
  <c r="L755" i="1"/>
  <c r="N755" i="1"/>
  <c r="N756" i="1"/>
  <c r="N751" i="1"/>
  <c r="N752" i="1"/>
  <c r="N753" i="1"/>
  <c r="N754" i="1"/>
  <c r="M434" i="1"/>
  <c r="M433" i="1" s="1"/>
  <c r="G2315" i="1"/>
  <c r="K2235" i="1"/>
  <c r="K2254" i="1"/>
  <c r="J2315" i="1"/>
  <c r="K2296" i="1"/>
  <c r="K2315" i="1"/>
  <c r="H2053" i="1"/>
  <c r="J2057" i="1"/>
  <c r="F1518" i="1"/>
  <c r="G2301" i="1"/>
  <c r="G2240" i="1"/>
  <c r="G2259" i="1"/>
  <c r="G1518" i="1"/>
  <c r="H1518" i="1"/>
  <c r="I2053" i="1"/>
  <c r="K2057" i="1"/>
  <c r="J1518" i="1"/>
  <c r="K2053" i="1"/>
  <c r="I2315" i="1"/>
  <c r="K1518" i="1"/>
  <c r="I1518" i="1"/>
  <c r="I2235" i="1"/>
  <c r="I2102" i="1"/>
  <c r="J2053" i="1"/>
  <c r="H2240" i="1"/>
  <c r="H2315" i="1"/>
  <c r="I2084" i="1"/>
  <c r="G2106" i="1"/>
  <c r="H2077" i="1"/>
  <c r="H2102" i="1"/>
  <c r="J2106" i="1"/>
  <c r="I2077" i="1"/>
  <c r="K2106" i="1"/>
  <c r="J2077" i="1"/>
  <c r="J2102" i="1"/>
  <c r="H2279" i="1"/>
  <c r="K2077" i="1"/>
  <c r="K2102" i="1"/>
  <c r="F2057" i="1"/>
  <c r="G2057" i="1"/>
  <c r="F2053" i="1"/>
  <c r="H2057" i="1"/>
  <c r="F2301" i="1"/>
  <c r="G2053" i="1"/>
  <c r="I2057" i="1"/>
  <c r="F2084" i="1"/>
  <c r="F2240" i="1"/>
  <c r="F2296" i="1"/>
  <c r="H2301" i="1"/>
  <c r="F2315" i="1"/>
  <c r="G2084" i="1"/>
  <c r="G2296" i="1"/>
  <c r="G2295" i="1" s="1"/>
  <c r="I2301" i="1"/>
  <c r="H2084" i="1"/>
  <c r="F2106" i="1"/>
  <c r="H2296" i="1"/>
  <c r="G2235" i="1"/>
  <c r="I2259" i="1"/>
  <c r="I2296" i="1"/>
  <c r="F2077" i="1"/>
  <c r="J2084" i="1"/>
  <c r="F2102" i="1"/>
  <c r="H2106" i="1"/>
  <c r="H2235" i="1"/>
  <c r="H2254" i="1"/>
  <c r="J2296" i="1"/>
  <c r="G2077" i="1"/>
  <c r="K2084" i="1"/>
  <c r="G2102" i="1"/>
  <c r="I2106" i="1"/>
  <c r="F2235" i="1"/>
  <c r="J2235" i="1"/>
  <c r="H2313" i="1"/>
  <c r="K2313" i="1"/>
  <c r="J2313" i="1"/>
  <c r="I2313" i="1"/>
  <c r="G2313" i="1"/>
  <c r="F2313" i="1"/>
  <c r="I2273" i="1"/>
  <c r="F2279" i="1"/>
  <c r="K2276" i="1"/>
  <c r="K2279" i="1"/>
  <c r="I2279" i="1"/>
  <c r="G2273" i="1"/>
  <c r="H2276" i="1"/>
  <c r="G2279" i="1"/>
  <c r="J2273" i="1"/>
  <c r="G2276" i="1"/>
  <c r="J2279" i="1"/>
  <c r="K2301" i="1"/>
  <c r="J2240" i="1"/>
  <c r="F2254" i="1"/>
  <c r="I2254" i="1"/>
  <c r="H2259" i="1"/>
  <c r="K2259" i="1"/>
  <c r="F2273" i="1"/>
  <c r="K2273" i="1"/>
  <c r="J2276" i="1"/>
  <c r="J2301" i="1"/>
  <c r="I2240" i="1"/>
  <c r="K2240" i="1"/>
  <c r="G2254" i="1"/>
  <c r="J2254" i="1"/>
  <c r="F2259" i="1"/>
  <c r="J2259" i="1"/>
  <c r="H2273" i="1"/>
  <c r="F2276" i="1"/>
  <c r="K2094" i="1"/>
  <c r="J2094" i="1"/>
  <c r="I2094" i="1"/>
  <c r="H2094" i="1"/>
  <c r="G2094" i="1"/>
  <c r="F2094" i="1"/>
  <c r="H2061" i="1"/>
  <c r="G2061" i="1"/>
  <c r="F2061" i="1"/>
  <c r="K2061" i="1"/>
  <c r="J2061" i="1"/>
  <c r="I2061" i="1"/>
  <c r="F2223" i="1"/>
  <c r="G2223" i="1"/>
  <c r="H2223" i="1"/>
  <c r="I2223" i="1"/>
  <c r="J2223" i="1"/>
  <c r="K2223" i="1"/>
  <c r="F2213" i="1"/>
  <c r="G2213" i="1"/>
  <c r="H2213" i="1"/>
  <c r="I2213" i="1"/>
  <c r="J2213" i="1"/>
  <c r="K2213" i="1"/>
  <c r="K2189" i="1"/>
  <c r="H2189" i="1"/>
  <c r="G2165" i="1"/>
  <c r="H2165" i="1"/>
  <c r="F2189" i="1"/>
  <c r="J2165" i="1"/>
  <c r="G2189" i="1"/>
  <c r="J2189" i="1"/>
  <c r="K2165" i="1"/>
  <c r="I2189" i="1"/>
  <c r="F2165" i="1"/>
  <c r="I2165" i="1"/>
  <c r="J2114" i="1"/>
  <c r="I2114" i="1"/>
  <c r="F2114" i="1"/>
  <c r="G2114" i="1"/>
  <c r="H2114" i="1"/>
  <c r="K2114" i="1"/>
  <c r="J2030" i="1"/>
  <c r="I2030" i="1"/>
  <c r="H2030" i="1"/>
  <c r="G2030" i="1"/>
  <c r="F2030" i="1"/>
  <c r="J2027" i="1"/>
  <c r="I2027" i="1"/>
  <c r="H2027" i="1"/>
  <c r="G2027" i="1"/>
  <c r="F2027" i="1"/>
  <c r="E1904" i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K1901" i="1"/>
  <c r="J1901" i="1"/>
  <c r="I1901" i="1"/>
  <c r="H1901" i="1"/>
  <c r="G1901" i="1"/>
  <c r="K1899" i="1"/>
  <c r="J1899" i="1"/>
  <c r="I1899" i="1"/>
  <c r="H1899" i="1"/>
  <c r="G1899" i="1"/>
  <c r="K1897" i="1"/>
  <c r="J1897" i="1"/>
  <c r="I1897" i="1"/>
  <c r="H1897" i="1"/>
  <c r="G1897" i="1"/>
  <c r="K1895" i="1"/>
  <c r="J1895" i="1"/>
  <c r="I1895" i="1"/>
  <c r="H1895" i="1"/>
  <c r="G1895" i="1"/>
  <c r="K1889" i="1"/>
  <c r="J1889" i="1"/>
  <c r="I1889" i="1"/>
  <c r="H1889" i="1"/>
  <c r="G1889" i="1"/>
  <c r="J1886" i="1"/>
  <c r="F1901" i="1"/>
  <c r="F1899" i="1"/>
  <c r="F1897" i="1"/>
  <c r="F1895" i="1"/>
  <c r="F1889" i="1"/>
  <c r="K1883" i="1"/>
  <c r="J1883" i="1"/>
  <c r="I1883" i="1"/>
  <c r="H1883" i="1"/>
  <c r="G1883" i="1"/>
  <c r="K1881" i="1"/>
  <c r="J1881" i="1"/>
  <c r="I1881" i="1"/>
  <c r="H1881" i="1"/>
  <c r="G1881" i="1"/>
  <c r="K1879" i="1"/>
  <c r="J1879" i="1"/>
  <c r="I1879" i="1"/>
  <c r="H1879" i="1"/>
  <c r="G1879" i="1"/>
  <c r="K1877" i="1"/>
  <c r="J1877" i="1"/>
  <c r="I1877" i="1"/>
  <c r="H1877" i="1"/>
  <c r="G1877" i="1"/>
  <c r="K1875" i="1"/>
  <c r="J1875" i="1"/>
  <c r="I1875" i="1"/>
  <c r="H1875" i="1"/>
  <c r="G1875" i="1"/>
  <c r="K1873" i="1"/>
  <c r="J1873" i="1"/>
  <c r="I1873" i="1"/>
  <c r="H1873" i="1"/>
  <c r="G1873" i="1"/>
  <c r="K1869" i="1"/>
  <c r="F1883" i="1"/>
  <c r="F1881" i="1"/>
  <c r="F1879" i="1"/>
  <c r="F1877" i="1"/>
  <c r="F1875" i="1"/>
  <c r="F1873" i="1"/>
  <c r="F1866" i="1"/>
  <c r="K1860" i="1"/>
  <c r="J1860" i="1"/>
  <c r="I1860" i="1"/>
  <c r="H1860" i="1"/>
  <c r="G1860" i="1"/>
  <c r="F1860" i="1"/>
  <c r="K1858" i="1"/>
  <c r="J1858" i="1"/>
  <c r="I1858" i="1"/>
  <c r="H1858" i="1"/>
  <c r="G1858" i="1"/>
  <c r="F1858" i="1"/>
  <c r="K1856" i="1"/>
  <c r="J1856" i="1"/>
  <c r="I1856" i="1"/>
  <c r="H1856" i="1"/>
  <c r="G1856" i="1"/>
  <c r="F1856" i="1"/>
  <c r="K1854" i="1"/>
  <c r="J1854" i="1"/>
  <c r="I1854" i="1"/>
  <c r="H1854" i="1"/>
  <c r="G1854" i="1"/>
  <c r="F1854" i="1"/>
  <c r="K1852" i="1"/>
  <c r="J1852" i="1"/>
  <c r="I1852" i="1"/>
  <c r="H1852" i="1"/>
  <c r="G1852" i="1"/>
  <c r="F1852" i="1"/>
  <c r="K1847" i="1"/>
  <c r="J1847" i="1"/>
  <c r="I1847" i="1"/>
  <c r="H1847" i="1"/>
  <c r="G1847" i="1"/>
  <c r="F1847" i="1"/>
  <c r="E1824" i="1"/>
  <c r="K1841" i="1"/>
  <c r="J1841" i="1"/>
  <c r="I1841" i="1"/>
  <c r="H1841" i="1"/>
  <c r="G1841" i="1"/>
  <c r="K1839" i="1"/>
  <c r="J1839" i="1"/>
  <c r="I1839" i="1"/>
  <c r="H1839" i="1"/>
  <c r="G1839" i="1"/>
  <c r="K1837" i="1"/>
  <c r="J1837" i="1"/>
  <c r="I1837" i="1"/>
  <c r="H1837" i="1"/>
  <c r="G1837" i="1"/>
  <c r="K1835" i="1"/>
  <c r="J1835" i="1"/>
  <c r="I1835" i="1"/>
  <c r="H1835" i="1"/>
  <c r="G1835" i="1"/>
  <c r="K1833" i="1"/>
  <c r="J1833" i="1"/>
  <c r="I1833" i="1"/>
  <c r="H1833" i="1"/>
  <c r="G1833" i="1"/>
  <c r="K1828" i="1"/>
  <c r="J1828" i="1"/>
  <c r="I1828" i="1"/>
  <c r="H1828" i="1"/>
  <c r="G1828" i="1"/>
  <c r="F1841" i="1"/>
  <c r="F1839" i="1"/>
  <c r="F1837" i="1"/>
  <c r="F1835" i="1"/>
  <c r="F1833" i="1"/>
  <c r="F1828" i="1"/>
  <c r="E1825" i="1"/>
  <c r="E1826" i="1" s="1"/>
  <c r="E1827" i="1" s="1"/>
  <c r="E1828" i="1" s="1"/>
  <c r="E1829" i="1" s="1"/>
  <c r="E1830" i="1" s="1"/>
  <c r="E1831" i="1" s="1"/>
  <c r="E1832" i="1" s="1"/>
  <c r="E1833" i="1" s="1"/>
  <c r="E1834" i="1" s="1"/>
  <c r="E1760" i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K2295" i="1" l="1"/>
  <c r="K2234" i="1"/>
  <c r="K2253" i="1"/>
  <c r="G2234" i="1"/>
  <c r="I2253" i="1"/>
  <c r="G2253" i="1"/>
  <c r="G2233" i="1" s="1"/>
  <c r="I2234" i="1"/>
  <c r="I2233" i="1" s="1"/>
  <c r="F2295" i="1"/>
  <c r="J2050" i="1"/>
  <c r="G2050" i="1"/>
  <c r="H2253" i="1"/>
  <c r="H2295" i="1"/>
  <c r="J2295" i="1"/>
  <c r="H2234" i="1"/>
  <c r="K2050" i="1"/>
  <c r="H2272" i="1"/>
  <c r="F2234" i="1"/>
  <c r="I2295" i="1"/>
  <c r="K2233" i="1"/>
  <c r="I2050" i="1"/>
  <c r="F2050" i="1"/>
  <c r="H2050" i="1"/>
  <c r="J2234" i="1"/>
  <c r="H2233" i="1"/>
  <c r="J2272" i="1"/>
  <c r="F2253" i="1"/>
  <c r="F2272" i="1"/>
  <c r="K2272" i="1"/>
  <c r="J2253" i="1"/>
  <c r="I2272" i="1"/>
  <c r="G2272" i="1"/>
  <c r="I1863" i="1"/>
  <c r="F1863" i="1"/>
  <c r="F1891" i="1"/>
  <c r="G1978" i="1"/>
  <c r="H1886" i="1"/>
  <c r="I1886" i="1"/>
  <c r="I2022" i="1"/>
  <c r="J2024" i="1"/>
  <c r="J2022" i="1"/>
  <c r="F2022" i="1"/>
  <c r="F2024" i="1"/>
  <c r="G2022" i="1"/>
  <c r="G2024" i="1"/>
  <c r="H2022" i="1"/>
  <c r="H2024" i="1"/>
  <c r="I2024" i="1"/>
  <c r="K2030" i="1"/>
  <c r="K2027" i="1"/>
  <c r="K2024" i="1"/>
  <c r="F1886" i="1"/>
  <c r="K1891" i="1"/>
  <c r="K1886" i="1"/>
  <c r="H2012" i="1"/>
  <c r="J2012" i="1"/>
  <c r="I2012" i="1"/>
  <c r="K2012" i="1"/>
  <c r="G2012" i="1"/>
  <c r="F2012" i="1"/>
  <c r="K2002" i="1"/>
  <c r="J2002" i="1"/>
  <c r="I2002" i="1"/>
  <c r="H2002" i="1"/>
  <c r="G2002" i="1"/>
  <c r="F2002" i="1"/>
  <c r="F1978" i="1"/>
  <c r="I1978" i="1"/>
  <c r="H1978" i="1"/>
  <c r="J1978" i="1"/>
  <c r="K1978" i="1"/>
  <c r="K1954" i="1"/>
  <c r="G1954" i="1"/>
  <c r="H1954" i="1"/>
  <c r="I1954" i="1"/>
  <c r="J1954" i="1"/>
  <c r="F1954" i="1"/>
  <c r="G1903" i="1"/>
  <c r="H1903" i="1"/>
  <c r="I1903" i="1"/>
  <c r="J1903" i="1"/>
  <c r="K1903" i="1"/>
  <c r="F1903" i="1"/>
  <c r="G1891" i="1"/>
  <c r="H1891" i="1"/>
  <c r="I1891" i="1"/>
  <c r="J1891" i="1"/>
  <c r="J1885" i="1" s="1"/>
  <c r="G1886" i="1"/>
  <c r="K1866" i="1"/>
  <c r="K1844" i="1"/>
  <c r="F1869" i="1"/>
  <c r="I1866" i="1"/>
  <c r="G1863" i="1"/>
  <c r="H1863" i="1"/>
  <c r="J1863" i="1"/>
  <c r="K1863" i="1"/>
  <c r="G1869" i="1"/>
  <c r="H1869" i="1"/>
  <c r="I1869" i="1"/>
  <c r="J1869" i="1"/>
  <c r="G1866" i="1"/>
  <c r="H1866" i="1"/>
  <c r="J1866" i="1"/>
  <c r="F1830" i="1"/>
  <c r="I1844" i="1"/>
  <c r="K1849" i="1"/>
  <c r="J1844" i="1"/>
  <c r="F1849" i="1"/>
  <c r="G1849" i="1"/>
  <c r="F1844" i="1"/>
  <c r="F1843" i="1" s="1"/>
  <c r="H1849" i="1"/>
  <c r="G1844" i="1"/>
  <c r="I1849" i="1"/>
  <c r="H1844" i="1"/>
  <c r="J1849" i="1"/>
  <c r="I1830" i="1"/>
  <c r="F1825" i="1"/>
  <c r="K1830" i="1"/>
  <c r="E1835" i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J1830" i="1"/>
  <c r="G1825" i="1"/>
  <c r="H1825" i="1"/>
  <c r="G1830" i="1"/>
  <c r="H1830" i="1"/>
  <c r="J1825" i="1"/>
  <c r="I1825" i="1"/>
  <c r="K1825" i="1"/>
  <c r="F2233" i="1" l="1"/>
  <c r="K2022" i="1"/>
  <c r="J2233" i="1"/>
  <c r="K1885" i="1"/>
  <c r="F1885" i="1"/>
  <c r="H1885" i="1"/>
  <c r="F1862" i="1"/>
  <c r="I1862" i="1"/>
  <c r="H1843" i="1"/>
  <c r="K1843" i="1"/>
  <c r="K1862" i="1"/>
  <c r="G1843" i="1"/>
  <c r="I1885" i="1"/>
  <c r="I1843" i="1"/>
  <c r="G1885" i="1"/>
  <c r="G1862" i="1"/>
  <c r="J1862" i="1"/>
  <c r="H1862" i="1"/>
  <c r="F1824" i="1"/>
  <c r="F1823" i="1" s="1"/>
  <c r="J1843" i="1"/>
  <c r="K1824" i="1"/>
  <c r="I1824" i="1"/>
  <c r="J1824" i="1"/>
  <c r="H1824" i="1"/>
  <c r="G1824" i="1"/>
  <c r="K1823" i="1" l="1"/>
  <c r="J1823" i="1"/>
  <c r="H1823" i="1"/>
  <c r="G1823" i="1"/>
  <c r="I1823" i="1"/>
  <c r="G1811" i="1"/>
  <c r="K1811" i="1"/>
  <c r="J1811" i="1"/>
  <c r="I1811" i="1"/>
  <c r="K1810" i="1"/>
  <c r="J1810" i="1"/>
  <c r="I1810" i="1"/>
  <c r="H1810" i="1"/>
  <c r="G1810" i="1"/>
  <c r="F1810" i="1"/>
  <c r="K1801" i="1"/>
  <c r="J1801" i="1"/>
  <c r="I1801" i="1"/>
  <c r="F1801" i="1"/>
  <c r="H1801" i="1"/>
  <c r="G1801" i="1"/>
  <c r="I1786" i="1"/>
  <c r="K1766" i="1"/>
  <c r="F1762" i="1"/>
  <c r="K1762" i="1"/>
  <c r="J1762" i="1"/>
  <c r="I1762" i="1"/>
  <c r="K1760" i="1"/>
  <c r="I1760" i="1"/>
  <c r="H1760" i="1"/>
  <c r="G1760" i="1"/>
  <c r="J1760" i="1"/>
  <c r="F1760" i="1"/>
  <c r="G1815" i="1" l="1"/>
  <c r="H1811" i="1"/>
  <c r="K1803" i="1"/>
  <c r="I1793" i="1"/>
  <c r="J1815" i="1"/>
  <c r="H1762" i="1"/>
  <c r="K1786" i="1"/>
  <c r="J1793" i="1"/>
  <c r="G1793" i="1"/>
  <c r="I1803" i="1"/>
  <c r="H1793" i="1"/>
  <c r="K1815" i="1"/>
  <c r="J1766" i="1"/>
  <c r="J1786" i="1"/>
  <c r="K1793" i="1"/>
  <c r="H1815" i="1"/>
  <c r="F1766" i="1"/>
  <c r="J1803" i="1"/>
  <c r="I1766" i="1"/>
  <c r="H1766" i="1"/>
  <c r="G1803" i="1"/>
  <c r="F1815" i="1"/>
  <c r="G1762" i="1"/>
  <c r="F1793" i="1"/>
  <c r="F1803" i="1"/>
  <c r="F1811" i="1"/>
  <c r="F1770" i="1"/>
  <c r="H1786" i="1"/>
  <c r="H1803" i="1"/>
  <c r="I1815" i="1"/>
  <c r="H1770" i="1"/>
  <c r="I1770" i="1"/>
  <c r="J1770" i="1"/>
  <c r="G1770" i="1"/>
  <c r="K1770" i="1"/>
  <c r="G1766" i="1"/>
  <c r="F1786" i="1"/>
  <c r="G1786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39" i="1"/>
  <c r="J1739" i="1"/>
  <c r="I1739" i="1"/>
  <c r="H1739" i="1"/>
  <c r="G1739" i="1"/>
  <c r="I1738" i="1"/>
  <c r="H1738" i="1"/>
  <c r="G1738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29" i="1"/>
  <c r="J1729" i="1"/>
  <c r="I1729" i="1"/>
  <c r="H1729" i="1"/>
  <c r="G1729" i="1"/>
  <c r="I1728" i="1"/>
  <c r="H1728" i="1"/>
  <c r="G1728" i="1"/>
  <c r="I1727" i="1"/>
  <c r="H1727" i="1"/>
  <c r="G1727" i="1"/>
  <c r="K1722" i="1"/>
  <c r="J1722" i="1"/>
  <c r="I1722" i="1"/>
  <c r="H1722" i="1"/>
  <c r="G1722" i="1"/>
  <c r="K1721" i="1"/>
  <c r="J1721" i="1"/>
  <c r="I1721" i="1"/>
  <c r="H1721" i="1"/>
  <c r="G1721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2" i="1"/>
  <c r="J1712" i="1"/>
  <c r="I1712" i="1"/>
  <c r="H1712" i="1"/>
  <c r="G1712" i="1"/>
  <c r="F1741" i="1"/>
  <c r="E1743" i="1"/>
  <c r="F1743" i="1"/>
  <c r="E1744" i="1"/>
  <c r="F1744" i="1"/>
  <c r="E1745" i="1"/>
  <c r="F1745" i="1"/>
  <c r="E1746" i="1"/>
  <c r="F1746" i="1"/>
  <c r="E1747" i="1"/>
  <c r="E1748" i="1"/>
  <c r="F1748" i="1"/>
  <c r="E1749" i="1"/>
  <c r="F1749" i="1"/>
  <c r="E1750" i="1"/>
  <c r="F1750" i="1"/>
  <c r="E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42" i="1"/>
  <c r="F1715" i="1"/>
  <c r="F1716" i="1"/>
  <c r="F1717" i="1"/>
  <c r="F1718" i="1"/>
  <c r="F1719" i="1"/>
  <c r="F1721" i="1"/>
  <c r="F1722" i="1"/>
  <c r="F1727" i="1"/>
  <c r="F1728" i="1"/>
  <c r="F1729" i="1"/>
  <c r="F1732" i="1"/>
  <c r="F1733" i="1"/>
  <c r="F1734" i="1"/>
  <c r="F1738" i="1"/>
  <c r="F1739" i="1"/>
  <c r="F1712" i="1"/>
  <c r="E1712" i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J1707" i="1"/>
  <c r="G12" i="4" s="1"/>
  <c r="I1707" i="1"/>
  <c r="F12" i="4" s="1"/>
  <c r="H1707" i="1"/>
  <c r="E12" i="4" s="1"/>
  <c r="F1707" i="1"/>
  <c r="C12" i="4" s="1"/>
  <c r="H1759" i="1" l="1"/>
  <c r="J1759" i="1"/>
  <c r="I1759" i="1"/>
  <c r="G1759" i="1"/>
  <c r="K1759" i="1"/>
  <c r="F1759" i="1"/>
  <c r="G1707" i="1"/>
  <c r="D12" i="4" s="1"/>
  <c r="K1707" i="1"/>
  <c r="H12" i="4" s="1"/>
  <c r="K1710" i="1" l="1"/>
  <c r="J1710" i="1"/>
  <c r="I1710" i="1"/>
  <c r="H1710" i="1"/>
  <c r="G1710" i="1"/>
  <c r="F1710" i="1"/>
  <c r="K1649" i="1"/>
  <c r="H6" i="4"/>
  <c r="G6" i="4"/>
  <c r="F6" i="4"/>
  <c r="E6" i="4"/>
  <c r="D6" i="4"/>
  <c r="C6" i="4"/>
  <c r="K1702" i="1"/>
  <c r="J1702" i="1"/>
  <c r="I1702" i="1"/>
  <c r="H1702" i="1"/>
  <c r="G1702" i="1"/>
  <c r="F1702" i="1"/>
  <c r="E1703" i="1"/>
  <c r="E1704" i="1" s="1"/>
  <c r="E1705" i="1" s="1"/>
  <c r="K1692" i="1"/>
  <c r="J1692" i="1"/>
  <c r="I1692" i="1"/>
  <c r="H1692" i="1"/>
  <c r="G1692" i="1"/>
  <c r="F1692" i="1"/>
  <c r="H1688" i="1"/>
  <c r="J1688" i="1"/>
  <c r="I1688" i="1"/>
  <c r="G1688" i="1"/>
  <c r="K1688" i="1"/>
  <c r="F1688" i="1"/>
  <c r="E1689" i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631" i="1"/>
  <c r="E1632" i="1" s="1"/>
  <c r="E1633" i="1" s="1"/>
  <c r="E1634" i="1" s="1"/>
  <c r="E1635" i="1" s="1"/>
  <c r="E1636" i="1" s="1"/>
  <c r="E1637" i="1" s="1"/>
  <c r="E1638" i="1" s="1"/>
  <c r="E1639" i="1" s="1"/>
  <c r="E1671" i="1"/>
  <c r="G1687" i="1"/>
  <c r="K1685" i="1"/>
  <c r="I1684" i="1"/>
  <c r="G1683" i="1"/>
  <c r="K1681" i="1"/>
  <c r="I1680" i="1"/>
  <c r="G1679" i="1"/>
  <c r="E1675" i="1"/>
  <c r="E1668" i="1"/>
  <c r="J1649" i="1"/>
  <c r="I1649" i="1"/>
  <c r="H1649" i="1"/>
  <c r="G1649" i="1"/>
  <c r="F1649" i="1"/>
  <c r="E1646" i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J1641" i="1"/>
  <c r="H1653" i="1" l="1"/>
  <c r="G1653" i="1"/>
  <c r="I1653" i="1"/>
  <c r="F1653" i="1"/>
  <c r="E1658" i="1"/>
  <c r="E1663" i="1"/>
  <c r="E1659" i="1"/>
  <c r="E1660" i="1" s="1"/>
  <c r="E1661" i="1" s="1"/>
  <c r="E1662" i="1" s="1"/>
  <c r="E1664" i="1"/>
  <c r="E1665" i="1"/>
  <c r="G1645" i="1"/>
  <c r="F1679" i="1"/>
  <c r="H1680" i="1"/>
  <c r="J1681" i="1"/>
  <c r="F1683" i="1"/>
  <c r="H1684" i="1"/>
  <c r="J1685" i="1"/>
  <c r="F1687" i="1"/>
  <c r="F1678" i="1"/>
  <c r="H1679" i="1"/>
  <c r="J1680" i="1"/>
  <c r="F1682" i="1"/>
  <c r="H1683" i="1"/>
  <c r="J1684" i="1"/>
  <c r="F1686" i="1"/>
  <c r="H1687" i="1"/>
  <c r="G1678" i="1"/>
  <c r="I1679" i="1"/>
  <c r="K1680" i="1"/>
  <c r="G1682" i="1"/>
  <c r="I1683" i="1"/>
  <c r="K1684" i="1"/>
  <c r="G1686" i="1"/>
  <c r="I1687" i="1"/>
  <c r="H1678" i="1"/>
  <c r="J1679" i="1"/>
  <c r="F1681" i="1"/>
  <c r="H1682" i="1"/>
  <c r="J1683" i="1"/>
  <c r="F1685" i="1"/>
  <c r="H1686" i="1"/>
  <c r="J1687" i="1"/>
  <c r="K1645" i="1"/>
  <c r="I1678" i="1"/>
  <c r="K1679" i="1"/>
  <c r="G1681" i="1"/>
  <c r="I1682" i="1"/>
  <c r="K1683" i="1"/>
  <c r="G1685" i="1"/>
  <c r="I1686" i="1"/>
  <c r="K1687" i="1"/>
  <c r="J1678" i="1"/>
  <c r="F1680" i="1"/>
  <c r="H1681" i="1"/>
  <c r="J1682" i="1"/>
  <c r="F1684" i="1"/>
  <c r="H1685" i="1"/>
  <c r="J1686" i="1"/>
  <c r="K1678" i="1"/>
  <c r="G1680" i="1"/>
  <c r="I1681" i="1"/>
  <c r="K1682" i="1"/>
  <c r="G1684" i="1"/>
  <c r="I1685" i="1"/>
  <c r="K1686" i="1"/>
  <c r="F1645" i="1"/>
  <c r="F1641" i="1"/>
  <c r="G1641" i="1"/>
  <c r="H1641" i="1"/>
  <c r="J1645" i="1"/>
  <c r="H1645" i="1"/>
  <c r="I1641" i="1"/>
  <c r="K1641" i="1"/>
  <c r="I1645" i="1"/>
  <c r="J1640" i="1" l="1"/>
  <c r="I1640" i="1"/>
  <c r="F1640" i="1"/>
  <c r="K1640" i="1"/>
  <c r="H1640" i="1"/>
  <c r="G1640" i="1"/>
  <c r="E1642" i="1" l="1"/>
  <c r="E1643" i="1" s="1"/>
  <c r="E1644" i="1" s="1"/>
  <c r="K1614" i="1"/>
  <c r="J1614" i="1"/>
  <c r="I1614" i="1"/>
  <c r="H1614" i="1"/>
  <c r="G1614" i="1"/>
  <c r="F1614" i="1"/>
  <c r="K1597" i="1"/>
  <c r="J1597" i="1"/>
  <c r="I1597" i="1"/>
  <c r="H1597" i="1"/>
  <c r="G1597" i="1"/>
  <c r="F1597" i="1"/>
  <c r="E1594" i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547" i="1"/>
  <c r="E1548" i="1" s="1"/>
  <c r="E1549" i="1" s="1"/>
  <c r="E1550" i="1" s="1"/>
  <c r="K1567" i="1"/>
  <c r="J1567" i="1"/>
  <c r="I1567" i="1"/>
  <c r="H1567" i="1"/>
  <c r="G1567" i="1"/>
  <c r="F1567" i="1"/>
  <c r="K1550" i="1"/>
  <c r="J1550" i="1"/>
  <c r="I1550" i="1"/>
  <c r="F1550" i="1"/>
  <c r="F1571" i="1" l="1"/>
  <c r="I1571" i="1"/>
  <c r="F1618" i="1"/>
  <c r="G1618" i="1"/>
  <c r="H1618" i="1"/>
  <c r="I1618" i="1"/>
  <c r="H1571" i="1"/>
  <c r="G1571" i="1"/>
  <c r="K1599" i="1"/>
  <c r="K1590" i="1"/>
  <c r="I1573" i="1"/>
  <c r="K1592" i="1"/>
  <c r="J1584" i="1"/>
  <c r="F1586" i="1"/>
  <c r="H1587" i="1"/>
  <c r="J1588" i="1"/>
  <c r="F1590" i="1"/>
  <c r="H1591" i="1"/>
  <c r="J1592" i="1"/>
  <c r="H1547" i="1"/>
  <c r="G1594" i="1"/>
  <c r="I1606" i="1"/>
  <c r="I1631" i="1"/>
  <c r="G1552" i="1"/>
  <c r="K1636" i="1"/>
  <c r="F1592" i="1"/>
  <c r="K1635" i="1"/>
  <c r="G1592" i="1"/>
  <c r="K1552" i="1"/>
  <c r="H1573" i="1"/>
  <c r="H1592" i="1"/>
  <c r="J1599" i="1"/>
  <c r="J1633" i="1"/>
  <c r="I1584" i="1"/>
  <c r="K1585" i="1"/>
  <c r="G1587" i="1"/>
  <c r="I1588" i="1"/>
  <c r="K1589" i="1"/>
  <c r="G1591" i="1"/>
  <c r="J1635" i="1"/>
  <c r="K1584" i="1"/>
  <c r="G1586" i="1"/>
  <c r="I1587" i="1"/>
  <c r="K1588" i="1"/>
  <c r="G1590" i="1"/>
  <c r="I1591" i="1"/>
  <c r="J1573" i="1"/>
  <c r="J1632" i="1"/>
  <c r="F1585" i="1"/>
  <c r="H1586" i="1"/>
  <c r="J1587" i="1"/>
  <c r="F1589" i="1"/>
  <c r="H1590" i="1"/>
  <c r="J1591" i="1"/>
  <c r="K1573" i="1"/>
  <c r="G1585" i="1"/>
  <c r="I1586" i="1"/>
  <c r="K1587" i="1"/>
  <c r="G1589" i="1"/>
  <c r="I1590" i="1"/>
  <c r="K1591" i="1"/>
  <c r="J1594" i="1"/>
  <c r="J1547" i="1"/>
  <c r="F1584" i="1"/>
  <c r="H1585" i="1"/>
  <c r="J1586" i="1"/>
  <c r="F1588" i="1"/>
  <c r="H1589" i="1"/>
  <c r="J1590" i="1"/>
  <c r="G1584" i="1"/>
  <c r="I1585" i="1"/>
  <c r="K1586" i="1"/>
  <c r="G1588" i="1"/>
  <c r="I1589" i="1"/>
  <c r="F1573" i="1"/>
  <c r="F1606" i="1"/>
  <c r="H1637" i="1"/>
  <c r="G1632" i="1"/>
  <c r="H1634" i="1"/>
  <c r="I1636" i="1"/>
  <c r="I1637" i="1"/>
  <c r="J1639" i="1"/>
  <c r="H1584" i="1"/>
  <c r="J1585" i="1"/>
  <c r="F1587" i="1"/>
  <c r="H1588" i="1"/>
  <c r="J1589" i="1"/>
  <c r="F1591" i="1"/>
  <c r="I1592" i="1"/>
  <c r="G1573" i="1"/>
  <c r="F1594" i="1"/>
  <c r="H1606" i="1"/>
  <c r="K1637" i="1"/>
  <c r="J1634" i="1"/>
  <c r="F1639" i="1"/>
  <c r="H1594" i="1"/>
  <c r="F1599" i="1"/>
  <c r="K1633" i="1"/>
  <c r="F1637" i="1"/>
  <c r="G1639" i="1"/>
  <c r="I1594" i="1"/>
  <c r="G1599" i="1"/>
  <c r="K1606" i="1"/>
  <c r="K1632" i="1"/>
  <c r="G1637" i="1"/>
  <c r="H1599" i="1"/>
  <c r="F1633" i="1"/>
  <c r="F1634" i="1"/>
  <c r="K1594" i="1"/>
  <c r="F1632" i="1"/>
  <c r="G1633" i="1"/>
  <c r="I1638" i="1"/>
  <c r="G1606" i="1"/>
  <c r="I1634" i="1"/>
  <c r="K1634" i="1"/>
  <c r="G1631" i="1"/>
  <c r="G1620" i="1"/>
  <c r="I1632" i="1"/>
  <c r="I1633" i="1"/>
  <c r="J1636" i="1"/>
  <c r="K1638" i="1"/>
  <c r="F1638" i="1"/>
  <c r="K1631" i="1"/>
  <c r="K1620" i="1"/>
  <c r="F1635" i="1"/>
  <c r="F1636" i="1"/>
  <c r="G1638" i="1"/>
  <c r="H1639" i="1"/>
  <c r="G1635" i="1"/>
  <c r="G1636" i="1"/>
  <c r="J1606" i="1"/>
  <c r="F1631" i="1"/>
  <c r="F1620" i="1"/>
  <c r="G1634" i="1"/>
  <c r="H1635" i="1"/>
  <c r="H1636" i="1"/>
  <c r="H1638" i="1"/>
  <c r="I1639" i="1"/>
  <c r="J1631" i="1"/>
  <c r="J1620" i="1"/>
  <c r="I1599" i="1"/>
  <c r="H1631" i="1"/>
  <c r="H1620" i="1"/>
  <c r="H1632" i="1"/>
  <c r="H1633" i="1"/>
  <c r="I1635" i="1"/>
  <c r="J1637" i="1"/>
  <c r="J1638" i="1"/>
  <c r="K1639" i="1"/>
  <c r="I1620" i="1"/>
  <c r="I1552" i="1"/>
  <c r="F1552" i="1"/>
  <c r="K1547" i="1"/>
  <c r="H1552" i="1"/>
  <c r="J1552" i="1"/>
  <c r="F1547" i="1"/>
  <c r="G1547" i="1"/>
  <c r="I1559" i="1"/>
  <c r="J1559" i="1"/>
  <c r="I1547" i="1"/>
  <c r="K1559" i="1"/>
  <c r="F1559" i="1"/>
  <c r="G1559" i="1"/>
  <c r="H1550" i="1"/>
  <c r="H1559" i="1"/>
  <c r="G1550" i="1"/>
  <c r="E1551" i="1"/>
  <c r="F1603" i="1" l="1"/>
  <c r="I1603" i="1"/>
  <c r="G1610" i="1"/>
  <c r="H1556" i="1"/>
  <c r="H1563" i="1"/>
  <c r="H1610" i="1"/>
  <c r="G1556" i="1"/>
  <c r="I1556" i="1"/>
  <c r="F1563" i="1"/>
  <c r="I1610" i="1"/>
  <c r="F1556" i="1"/>
  <c r="G1563" i="1"/>
  <c r="I1563" i="1"/>
  <c r="G1603" i="1"/>
  <c r="H1603" i="1"/>
  <c r="F1610" i="1"/>
  <c r="F1593" i="1"/>
  <c r="H1593" i="1"/>
  <c r="I1593" i="1"/>
  <c r="G1593" i="1"/>
  <c r="K1593" i="1"/>
  <c r="J1593" i="1"/>
  <c r="I1546" i="1"/>
  <c r="H1546" i="1"/>
  <c r="G1546" i="1"/>
  <c r="E1552" i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F1546" i="1"/>
  <c r="K1546" i="1"/>
  <c r="J1546" i="1"/>
  <c r="E1519" i="1" l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K1541" i="1" l="1"/>
  <c r="J1541" i="1"/>
  <c r="I1541" i="1"/>
  <c r="H1541" i="1"/>
  <c r="G1541" i="1"/>
  <c r="F1541" i="1"/>
  <c r="K1545" i="1"/>
  <c r="J1545" i="1"/>
  <c r="I1545" i="1"/>
  <c r="H1545" i="1"/>
  <c r="G1545" i="1"/>
  <c r="F1545" i="1"/>
  <c r="K1544" i="1"/>
  <c r="J1544" i="1"/>
  <c r="I1544" i="1"/>
  <c r="H1544" i="1"/>
  <c r="G1544" i="1"/>
  <c r="F1544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G1537" i="1"/>
  <c r="H1537" i="1"/>
  <c r="I1537" i="1"/>
  <c r="J1537" i="1"/>
  <c r="K1537" i="1"/>
  <c r="G1538" i="1"/>
  <c r="H1538" i="1"/>
  <c r="I1538" i="1"/>
  <c r="J1538" i="1"/>
  <c r="K1538" i="1"/>
  <c r="G1539" i="1"/>
  <c r="H1539" i="1"/>
  <c r="I1539" i="1"/>
  <c r="J1539" i="1"/>
  <c r="K1539" i="1"/>
  <c r="G1540" i="1"/>
  <c r="H1540" i="1"/>
  <c r="I1540" i="1"/>
  <c r="J1540" i="1"/>
  <c r="K1540" i="1"/>
  <c r="F1540" i="1"/>
  <c r="F1539" i="1"/>
  <c r="F1538" i="1"/>
  <c r="F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F1536" i="1"/>
  <c r="F1535" i="1"/>
  <c r="F1534" i="1"/>
  <c r="F1533" i="1"/>
  <c r="E1498" i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14" i="1" s="1"/>
  <c r="E1515" i="1" s="1"/>
  <c r="E1516" i="1" s="1"/>
  <c r="E1517" i="1" s="1"/>
  <c r="E1496" i="1"/>
  <c r="K1493" i="1"/>
  <c r="J1493" i="1"/>
  <c r="I1493" i="1"/>
  <c r="H1493" i="1"/>
  <c r="G1493" i="1"/>
  <c r="F1493" i="1"/>
  <c r="F1491" i="1"/>
  <c r="F1490" i="1" s="1"/>
  <c r="E1489" i="1"/>
  <c r="K1486" i="1"/>
  <c r="J1486" i="1"/>
  <c r="I1486" i="1"/>
  <c r="H1486" i="1"/>
  <c r="G1486" i="1"/>
  <c r="F1486" i="1"/>
  <c r="K1491" i="1"/>
  <c r="K1490" i="1" s="1"/>
  <c r="J1491" i="1"/>
  <c r="J1490" i="1" s="1"/>
  <c r="I1491" i="1"/>
  <c r="I1490" i="1" s="1"/>
  <c r="H1491" i="1"/>
  <c r="H1490" i="1" s="1"/>
  <c r="G1491" i="1"/>
  <c r="G1490" i="1" s="1"/>
  <c r="K1484" i="1"/>
  <c r="K1483" i="1" s="1"/>
  <c r="J1484" i="1"/>
  <c r="J1483" i="1" s="1"/>
  <c r="I1484" i="1"/>
  <c r="I1483" i="1" s="1"/>
  <c r="H1484" i="1"/>
  <c r="H1483" i="1" s="1"/>
  <c r="G1484" i="1"/>
  <c r="G1483" i="1" s="1"/>
  <c r="F1484" i="1"/>
  <c r="F1483" i="1" s="1"/>
  <c r="E1436" i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K1498" i="1" l="1"/>
  <c r="I1498" i="1"/>
  <c r="K1503" i="1"/>
  <c r="G1498" i="1"/>
  <c r="F1503" i="1"/>
  <c r="J1503" i="1"/>
  <c r="I1503" i="1"/>
  <c r="H1503" i="1"/>
  <c r="J1498" i="1"/>
  <c r="G1503" i="1"/>
  <c r="F1508" i="1"/>
  <c r="G1508" i="1"/>
  <c r="H1508" i="1"/>
  <c r="I1508" i="1"/>
  <c r="J1508" i="1"/>
  <c r="K1508" i="1"/>
  <c r="E1509" i="1"/>
  <c r="E1510" i="1" s="1"/>
  <c r="E1511" i="1" s="1"/>
  <c r="E1512" i="1" s="1"/>
  <c r="F1498" i="1"/>
  <c r="H1498" i="1"/>
  <c r="I1489" i="1"/>
  <c r="H1496" i="1"/>
  <c r="E1513" i="1"/>
  <c r="J1489" i="1"/>
  <c r="I1496" i="1"/>
  <c r="K1489" i="1"/>
  <c r="J1496" i="1"/>
  <c r="K1496" i="1"/>
  <c r="F1489" i="1"/>
  <c r="G1489" i="1"/>
  <c r="F1496" i="1"/>
  <c r="H1489" i="1"/>
  <c r="G1496" i="1"/>
  <c r="F1471" i="1"/>
  <c r="K1477" i="1"/>
  <c r="G1481" i="1"/>
  <c r="H1481" i="1"/>
  <c r="I1471" i="1"/>
  <c r="H1462" i="1"/>
  <c r="J1475" i="1"/>
  <c r="G1469" i="1"/>
  <c r="F1463" i="1"/>
  <c r="H1466" i="1"/>
  <c r="K1469" i="1"/>
  <c r="G1480" i="1"/>
  <c r="G1477" i="1"/>
  <c r="F1464" i="1"/>
  <c r="G1464" i="1"/>
  <c r="J1471" i="1"/>
  <c r="K1461" i="1"/>
  <c r="I1468" i="1"/>
  <c r="H1425" i="1"/>
  <c r="I1475" i="1"/>
  <c r="F1475" i="1"/>
  <c r="H1474" i="1"/>
  <c r="H1479" i="1"/>
  <c r="H1470" i="1"/>
  <c r="I1466" i="1"/>
  <c r="J1468" i="1"/>
  <c r="H1480" i="1"/>
  <c r="F1462" i="1"/>
  <c r="J1466" i="1"/>
  <c r="K1468" i="1"/>
  <c r="G1471" i="1"/>
  <c r="F1478" i="1"/>
  <c r="I1480" i="1"/>
  <c r="I1425" i="1"/>
  <c r="G1462" i="1"/>
  <c r="F1469" i="1"/>
  <c r="G1478" i="1"/>
  <c r="G1400" i="1"/>
  <c r="H1464" i="1"/>
  <c r="H1471" i="1"/>
  <c r="J1473" i="1"/>
  <c r="K1475" i="1"/>
  <c r="H1478" i="1"/>
  <c r="K1480" i="1"/>
  <c r="I1464" i="1"/>
  <c r="I1478" i="1"/>
  <c r="K1425" i="1"/>
  <c r="I1462" i="1"/>
  <c r="J1464" i="1"/>
  <c r="J1478" i="1"/>
  <c r="J1462" i="1"/>
  <c r="H1469" i="1"/>
  <c r="K1462" i="1"/>
  <c r="F1465" i="1"/>
  <c r="I1469" i="1"/>
  <c r="G1474" i="1"/>
  <c r="J1469" i="1"/>
  <c r="I1476" i="1"/>
  <c r="I1481" i="1"/>
  <c r="G1473" i="1"/>
  <c r="G1463" i="1"/>
  <c r="F1470" i="1"/>
  <c r="G1472" i="1"/>
  <c r="J1481" i="1"/>
  <c r="F1477" i="1"/>
  <c r="K1481" i="1"/>
  <c r="G1482" i="1"/>
  <c r="H1475" i="1"/>
  <c r="K1472" i="1"/>
  <c r="K1479" i="1"/>
  <c r="J1482" i="1"/>
  <c r="F1480" i="1"/>
  <c r="K1482" i="1"/>
  <c r="G1460" i="1"/>
  <c r="K1473" i="1"/>
  <c r="F1481" i="1"/>
  <c r="F1467" i="1"/>
  <c r="K1464" i="1"/>
  <c r="G1467" i="1"/>
  <c r="F1474" i="1"/>
  <c r="G1476" i="1"/>
  <c r="K1478" i="1"/>
  <c r="I1473" i="1"/>
  <c r="F1460" i="1"/>
  <c r="F1435" i="1"/>
  <c r="H1435" i="1"/>
  <c r="F1406" i="1"/>
  <c r="I1435" i="1"/>
  <c r="I1460" i="1"/>
  <c r="H1467" i="1"/>
  <c r="K1471" i="1"/>
  <c r="H1476" i="1"/>
  <c r="F1479" i="1"/>
  <c r="J1480" i="1"/>
  <c r="G1406" i="1"/>
  <c r="J1435" i="1"/>
  <c r="J1460" i="1"/>
  <c r="G1465" i="1"/>
  <c r="F1472" i="1"/>
  <c r="G1479" i="1"/>
  <c r="H1400" i="1"/>
  <c r="H1460" i="1"/>
  <c r="K1476" i="1"/>
  <c r="J1400" i="1"/>
  <c r="K1466" i="1"/>
  <c r="I1467" i="1"/>
  <c r="I1465" i="1"/>
  <c r="J1474" i="1"/>
  <c r="K1406" i="1"/>
  <c r="G1411" i="1"/>
  <c r="H1463" i="1"/>
  <c r="J1465" i="1"/>
  <c r="K1467" i="1"/>
  <c r="H1472" i="1"/>
  <c r="F1482" i="1"/>
  <c r="F1476" i="1"/>
  <c r="H1406" i="1"/>
  <c r="H1465" i="1"/>
  <c r="K1435" i="1"/>
  <c r="K1460" i="1"/>
  <c r="I1474" i="1"/>
  <c r="I1406" i="1"/>
  <c r="J1425" i="1"/>
  <c r="J1406" i="1"/>
  <c r="J1467" i="1"/>
  <c r="G1461" i="1"/>
  <c r="F1468" i="1"/>
  <c r="I1472" i="1"/>
  <c r="I1479" i="1"/>
  <c r="H1473" i="1"/>
  <c r="K1400" i="1"/>
  <c r="F1461" i="1"/>
  <c r="G1470" i="1"/>
  <c r="K1474" i="1"/>
  <c r="H1411" i="1"/>
  <c r="I1411" i="1"/>
  <c r="I1463" i="1"/>
  <c r="K1465" i="1"/>
  <c r="I1470" i="1"/>
  <c r="J1472" i="1"/>
  <c r="H1482" i="1"/>
  <c r="J1411" i="1"/>
  <c r="H1461" i="1"/>
  <c r="F1466" i="1"/>
  <c r="G1468" i="1"/>
  <c r="J1470" i="1"/>
  <c r="G1475" i="1"/>
  <c r="H1477" i="1"/>
  <c r="J1479" i="1"/>
  <c r="I1482" i="1"/>
  <c r="I1400" i="1"/>
  <c r="K1411" i="1"/>
  <c r="F1425" i="1"/>
  <c r="I1461" i="1"/>
  <c r="J1463" i="1"/>
  <c r="G1466" i="1"/>
  <c r="K1470" i="1"/>
  <c r="F1473" i="1"/>
  <c r="I1477" i="1"/>
  <c r="J1476" i="1"/>
  <c r="F1411" i="1"/>
  <c r="F1400" i="1"/>
  <c r="G1425" i="1"/>
  <c r="J1461" i="1"/>
  <c r="K1463" i="1"/>
  <c r="H1468" i="1"/>
  <c r="J1477" i="1"/>
  <c r="G1435" i="1"/>
  <c r="H1429" i="1" l="1"/>
  <c r="H1512" i="1"/>
  <c r="G1429" i="1"/>
  <c r="I1512" i="1"/>
  <c r="G1512" i="1"/>
  <c r="I1429" i="1"/>
  <c r="I1415" i="1"/>
  <c r="F1415" i="1"/>
  <c r="H1415" i="1"/>
  <c r="F1429" i="1"/>
  <c r="G1415" i="1"/>
  <c r="F1512" i="1"/>
  <c r="K1497" i="1"/>
  <c r="I1497" i="1"/>
  <c r="J1497" i="1"/>
  <c r="H1497" i="1"/>
  <c r="F1497" i="1"/>
  <c r="G1497" i="1"/>
  <c r="G1399" i="1"/>
  <c r="H1399" i="1"/>
  <c r="F1399" i="1"/>
  <c r="J1399" i="1"/>
  <c r="I1399" i="1"/>
  <c r="K1399" i="1"/>
  <c r="E1352" i="1" l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K1322" i="1" l="1"/>
  <c r="J1388" i="1"/>
  <c r="H1395" i="1"/>
  <c r="J1398" i="1"/>
  <c r="G1382" i="1"/>
  <c r="I1385" i="1"/>
  <c r="K1388" i="1"/>
  <c r="I1395" i="1"/>
  <c r="K1398" i="1"/>
  <c r="H1382" i="1"/>
  <c r="J1385" i="1"/>
  <c r="J1395" i="1"/>
  <c r="I1382" i="1"/>
  <c r="K1385" i="1"/>
  <c r="I1392" i="1"/>
  <c r="K1395" i="1"/>
  <c r="J1382" i="1"/>
  <c r="H1389" i="1"/>
  <c r="J1392" i="1"/>
  <c r="F1396" i="1"/>
  <c r="K1382" i="1"/>
  <c r="I1389" i="1"/>
  <c r="K1392" i="1"/>
  <c r="G1396" i="1"/>
  <c r="F1383" i="1"/>
  <c r="J1389" i="1"/>
  <c r="F1393" i="1"/>
  <c r="H1396" i="1"/>
  <c r="G1383" i="1"/>
  <c r="I1386" i="1"/>
  <c r="K1389" i="1"/>
  <c r="I1396" i="1"/>
  <c r="J1351" i="1"/>
  <c r="H1383" i="1"/>
  <c r="J1386" i="1"/>
  <c r="J1396" i="1"/>
  <c r="I1383" i="1"/>
  <c r="K1386" i="1"/>
  <c r="I1393" i="1"/>
  <c r="K1396" i="1"/>
  <c r="J1383" i="1"/>
  <c r="F1387" i="1"/>
  <c r="J1393" i="1"/>
  <c r="F1397" i="1"/>
  <c r="K1383" i="1"/>
  <c r="I1390" i="1"/>
  <c r="K1393" i="1"/>
  <c r="G1397" i="1"/>
  <c r="J1390" i="1"/>
  <c r="H1397" i="1"/>
  <c r="I1387" i="1"/>
  <c r="K1390" i="1"/>
  <c r="G1394" i="1"/>
  <c r="I1397" i="1"/>
  <c r="F1381" i="1"/>
  <c r="H1384" i="1"/>
  <c r="J1387" i="1"/>
  <c r="H1394" i="1"/>
  <c r="J1397" i="1"/>
  <c r="G1381" i="1"/>
  <c r="I1384" i="1"/>
  <c r="K1387" i="1"/>
  <c r="G1391" i="1"/>
  <c r="I1394" i="1"/>
  <c r="K1397" i="1"/>
  <c r="H1381" i="1"/>
  <c r="J1384" i="1"/>
  <c r="J1394" i="1"/>
  <c r="I1381" i="1"/>
  <c r="K1384" i="1"/>
  <c r="I1391" i="1"/>
  <c r="K1394" i="1"/>
  <c r="G1398" i="1"/>
  <c r="J1381" i="1"/>
  <c r="J1391" i="1"/>
  <c r="H1398" i="1"/>
  <c r="K1381" i="1"/>
  <c r="G1385" i="1"/>
  <c r="I1388" i="1"/>
  <c r="K1391" i="1"/>
  <c r="G1395" i="1"/>
  <c r="I1398" i="1"/>
  <c r="H1392" i="1"/>
  <c r="H1385" i="1"/>
  <c r="H1386" i="1"/>
  <c r="H1393" i="1"/>
  <c r="H1390" i="1"/>
  <c r="H1387" i="1"/>
  <c r="H1391" i="1"/>
  <c r="H1388" i="1"/>
  <c r="G1392" i="1"/>
  <c r="G1389" i="1"/>
  <c r="G1386" i="1"/>
  <c r="G1393" i="1"/>
  <c r="G1390" i="1"/>
  <c r="G1387" i="1"/>
  <c r="G1384" i="1"/>
  <c r="G1322" i="1"/>
  <c r="G1388" i="1"/>
  <c r="F1385" i="1"/>
  <c r="F1395" i="1"/>
  <c r="F1382" i="1"/>
  <c r="F1392" i="1"/>
  <c r="F1389" i="1"/>
  <c r="F1386" i="1"/>
  <c r="F1390" i="1"/>
  <c r="F1384" i="1"/>
  <c r="F1394" i="1"/>
  <c r="F1391" i="1"/>
  <c r="F1388" i="1"/>
  <c r="F1398" i="1"/>
  <c r="K1351" i="1"/>
  <c r="F1351" i="1"/>
  <c r="G1351" i="1"/>
  <c r="H1351" i="1"/>
  <c r="I1351" i="1"/>
  <c r="F1322" i="1"/>
  <c r="J1322" i="1"/>
  <c r="H1322" i="1"/>
  <c r="I1322" i="1"/>
  <c r="K1341" i="1"/>
  <c r="G1341" i="1"/>
  <c r="H1341" i="1"/>
  <c r="F1341" i="1"/>
  <c r="I1341" i="1"/>
  <c r="J1341" i="1"/>
  <c r="K1327" i="1"/>
  <c r="F1327" i="1"/>
  <c r="J1327" i="1"/>
  <c r="I1327" i="1"/>
  <c r="H1327" i="1"/>
  <c r="G1327" i="1"/>
  <c r="I1345" i="1" l="1"/>
  <c r="G1331" i="1"/>
  <c r="H1345" i="1"/>
  <c r="G1345" i="1"/>
  <c r="H1331" i="1"/>
  <c r="F1345" i="1"/>
  <c r="I1331" i="1"/>
  <c r="F1331" i="1"/>
  <c r="K1380" i="1"/>
  <c r="J1380" i="1"/>
  <c r="I1380" i="1"/>
  <c r="H1380" i="1"/>
  <c r="G1380" i="1"/>
  <c r="F1380" i="1"/>
  <c r="K1379" i="1"/>
  <c r="J1379" i="1"/>
  <c r="I1379" i="1"/>
  <c r="H1379" i="1"/>
  <c r="G1379" i="1"/>
  <c r="F1379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F1316" i="1" l="1"/>
  <c r="F1315" i="1" s="1"/>
  <c r="F1376" i="1"/>
  <c r="G1316" i="1"/>
  <c r="G1315" i="1" s="1"/>
  <c r="G1376" i="1"/>
  <c r="H1316" i="1"/>
  <c r="H1315" i="1" s="1"/>
  <c r="H1376" i="1"/>
  <c r="I1316" i="1"/>
  <c r="I1315" i="1" s="1"/>
  <c r="I1376" i="1"/>
  <c r="J1316" i="1"/>
  <c r="J1315" i="1" s="1"/>
  <c r="J1376" i="1"/>
  <c r="K1316" i="1"/>
  <c r="K1315" i="1" s="1"/>
  <c r="K1376" i="1"/>
  <c r="E1265" i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214" i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F1213" i="1" l="1"/>
  <c r="G1213" i="1"/>
  <c r="H1213" i="1"/>
  <c r="I1213" i="1"/>
  <c r="J1213" i="1"/>
  <c r="K1213" i="1"/>
  <c r="K1299" i="1" l="1"/>
  <c r="J1299" i="1"/>
  <c r="I1299" i="1"/>
  <c r="H1299" i="1"/>
  <c r="G1299" i="1"/>
  <c r="F1299" i="1"/>
  <c r="F1314" i="1"/>
  <c r="F1313" i="1"/>
  <c r="F1312" i="1"/>
  <c r="F1311" i="1"/>
  <c r="F1310" i="1"/>
  <c r="E1181" i="1"/>
  <c r="E1182" i="1" s="1"/>
  <c r="E1183" i="1" s="1"/>
  <c r="E1184" i="1" s="1"/>
  <c r="E1158" i="1"/>
  <c r="E1159" i="1" s="1"/>
  <c r="E1160" i="1" s="1"/>
  <c r="E1161" i="1" s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F1309" i="1"/>
  <c r="K1308" i="1"/>
  <c r="J1308" i="1"/>
  <c r="I1308" i="1"/>
  <c r="H1308" i="1"/>
  <c r="G1308" i="1"/>
  <c r="F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8" i="1"/>
  <c r="J1298" i="1"/>
  <c r="I1298" i="1"/>
  <c r="H1298" i="1"/>
  <c r="G1298" i="1"/>
  <c r="F1298" i="1"/>
  <c r="K1297" i="1"/>
  <c r="J1297" i="1"/>
  <c r="I1297" i="1"/>
  <c r="H1297" i="1"/>
  <c r="G1297" i="1"/>
  <c r="F1297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71" i="1" l="1"/>
  <c r="J1272" i="1"/>
  <c r="F1277" i="1"/>
  <c r="J1271" i="1"/>
  <c r="K1272" i="1"/>
  <c r="G1277" i="1"/>
  <c r="F1273" i="1"/>
  <c r="F1274" i="1"/>
  <c r="H1277" i="1"/>
  <c r="G1273" i="1"/>
  <c r="G1274" i="1"/>
  <c r="I1277" i="1"/>
  <c r="F1270" i="1"/>
  <c r="H1273" i="1"/>
  <c r="H1274" i="1"/>
  <c r="J1277" i="1"/>
  <c r="G1270" i="1"/>
  <c r="I1273" i="1"/>
  <c r="I1274" i="1"/>
  <c r="K1277" i="1"/>
  <c r="H1270" i="1"/>
  <c r="J1273" i="1"/>
  <c r="J1274" i="1"/>
  <c r="I1270" i="1"/>
  <c r="K1273" i="1"/>
  <c r="K1274" i="1"/>
  <c r="J1270" i="1"/>
  <c r="F1275" i="1"/>
  <c r="K1270" i="1"/>
  <c r="G1275" i="1"/>
  <c r="F1271" i="1"/>
  <c r="H1275" i="1"/>
  <c r="G1271" i="1"/>
  <c r="I1275" i="1"/>
  <c r="H1271" i="1"/>
  <c r="J1275" i="1"/>
  <c r="I1271" i="1"/>
  <c r="K1275" i="1"/>
  <c r="F1276" i="1"/>
  <c r="G1276" i="1"/>
  <c r="F1272" i="1"/>
  <c r="H1276" i="1"/>
  <c r="G1272" i="1"/>
  <c r="I1276" i="1"/>
  <c r="H1272" i="1"/>
  <c r="J1276" i="1"/>
  <c r="I1272" i="1"/>
  <c r="K1276" i="1"/>
  <c r="K1203" i="1"/>
  <c r="K1180" i="1"/>
  <c r="H1203" i="1"/>
  <c r="J1203" i="1"/>
  <c r="F1180" i="1"/>
  <c r="H1180" i="1"/>
  <c r="J1180" i="1"/>
  <c r="F1203" i="1"/>
  <c r="I1180" i="1"/>
  <c r="G1203" i="1"/>
  <c r="G1180" i="1"/>
  <c r="I1203" i="1"/>
  <c r="F1207" i="1" l="1"/>
  <c r="H1184" i="1"/>
  <c r="H1207" i="1"/>
  <c r="F1184" i="1"/>
  <c r="G1184" i="1"/>
  <c r="I1207" i="1"/>
  <c r="G1207" i="1"/>
  <c r="I1184" i="1"/>
  <c r="J1314" i="1"/>
  <c r="K1314" i="1"/>
  <c r="G1314" i="1"/>
  <c r="I1314" i="1"/>
  <c r="H1314" i="1"/>
  <c r="K1287" i="1" l="1"/>
  <c r="J1287" i="1"/>
  <c r="I1287" i="1"/>
  <c r="H1287" i="1"/>
  <c r="G1287" i="1"/>
  <c r="F1287" i="1"/>
  <c r="K1286" i="1"/>
  <c r="J1286" i="1"/>
  <c r="I1286" i="1"/>
  <c r="H1286" i="1"/>
  <c r="G1286" i="1"/>
  <c r="F1286" i="1"/>
  <c r="K1285" i="1"/>
  <c r="J1285" i="1"/>
  <c r="I1285" i="1"/>
  <c r="H1285" i="1"/>
  <c r="G1285" i="1"/>
  <c r="F1285" i="1"/>
  <c r="F1284" i="1"/>
  <c r="G1284" i="1"/>
  <c r="H1284" i="1"/>
  <c r="I1284" i="1"/>
  <c r="J1284" i="1"/>
  <c r="K1284" i="1"/>
  <c r="J1283" i="1"/>
  <c r="I1283" i="1"/>
  <c r="H1283" i="1"/>
  <c r="G1283" i="1"/>
  <c r="F1283" i="1"/>
  <c r="K1282" i="1"/>
  <c r="J1282" i="1"/>
  <c r="I1282" i="1"/>
  <c r="H1282" i="1"/>
  <c r="G1282" i="1"/>
  <c r="F1282" i="1"/>
  <c r="K1281" i="1"/>
  <c r="J1281" i="1"/>
  <c r="I1281" i="1"/>
  <c r="H1281" i="1"/>
  <c r="G1281" i="1"/>
  <c r="F1281" i="1"/>
  <c r="J1157" i="1" l="1"/>
  <c r="G1157" i="1"/>
  <c r="H1157" i="1"/>
  <c r="F1157" i="1"/>
  <c r="I1157" i="1"/>
  <c r="K1157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K1278" i="1"/>
  <c r="J1278" i="1"/>
  <c r="I1278" i="1"/>
  <c r="H1278" i="1"/>
  <c r="G1278" i="1"/>
  <c r="F1278" i="1"/>
  <c r="K1269" i="1"/>
  <c r="J1269" i="1"/>
  <c r="I1269" i="1"/>
  <c r="H1269" i="1"/>
  <c r="G1269" i="1"/>
  <c r="F1269" i="1"/>
  <c r="K1268" i="1"/>
  <c r="J1268" i="1"/>
  <c r="I1268" i="1"/>
  <c r="H1268" i="1"/>
  <c r="G1268" i="1"/>
  <c r="F1268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J1265" i="1"/>
  <c r="I1265" i="1"/>
  <c r="H1265" i="1"/>
  <c r="G1265" i="1"/>
  <c r="F1265" i="1"/>
  <c r="H1161" i="1" l="1"/>
  <c r="I1161" i="1"/>
  <c r="G1161" i="1"/>
  <c r="F1161" i="1"/>
  <c r="K1137" i="1"/>
  <c r="K1265" i="1"/>
  <c r="J1137" i="1"/>
  <c r="F1137" i="1"/>
  <c r="I1137" i="1"/>
  <c r="G1137" i="1"/>
  <c r="H1137" i="1"/>
  <c r="K1152" i="1"/>
  <c r="H1152" i="1"/>
  <c r="J1152" i="1"/>
  <c r="G1152" i="1"/>
  <c r="I1152" i="1"/>
  <c r="F1152" i="1"/>
  <c r="G1131" i="1"/>
  <c r="G1130" i="1"/>
  <c r="G1129" i="1"/>
  <c r="G1128" i="1"/>
  <c r="K1136" i="1" l="1"/>
  <c r="H7" i="4" s="1"/>
  <c r="F1136" i="1"/>
  <c r="C7" i="4" s="1"/>
  <c r="H1136" i="1"/>
  <c r="E7" i="4" s="1"/>
  <c r="G1136" i="1"/>
  <c r="D7" i="4" s="1"/>
  <c r="I1136" i="1"/>
  <c r="F7" i="4" s="1"/>
  <c r="J1136" i="1"/>
  <c r="G7" i="4" s="1"/>
  <c r="K1079" i="1"/>
  <c r="J1079" i="1"/>
  <c r="I1079" i="1"/>
  <c r="H1079" i="1"/>
  <c r="G1079" i="1"/>
  <c r="F1079" i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G1073" i="1"/>
  <c r="H1073" i="1"/>
  <c r="I1073" i="1"/>
  <c r="J1073" i="1"/>
  <c r="K1073" i="1"/>
  <c r="F1073" i="1"/>
  <c r="K1065" i="1"/>
  <c r="J1065" i="1"/>
  <c r="I1065" i="1"/>
  <c r="H1065" i="1"/>
  <c r="G1065" i="1"/>
  <c r="F1065" i="1"/>
  <c r="J1060" i="1"/>
  <c r="H1060" i="1"/>
  <c r="G1060" i="1"/>
  <c r="F1060" i="1"/>
  <c r="K453" i="1"/>
  <c r="J453" i="1"/>
  <c r="I453" i="1"/>
  <c r="H453" i="1"/>
  <c r="G453" i="1"/>
  <c r="F453" i="1"/>
  <c r="K223" i="1"/>
  <c r="J223" i="1"/>
  <c r="I223" i="1"/>
  <c r="H223" i="1"/>
  <c r="G223" i="1"/>
  <c r="F223" i="1"/>
  <c r="C215" i="1"/>
  <c r="B215" i="1"/>
  <c r="C213" i="1"/>
  <c r="B213" i="1"/>
  <c r="C191" i="1"/>
  <c r="B191" i="1"/>
  <c r="E1036" i="1"/>
  <c r="E1037" i="1" s="1"/>
  <c r="K1040" i="1"/>
  <c r="J1040" i="1"/>
  <c r="I1040" i="1"/>
  <c r="H1040" i="1"/>
  <c r="G1040" i="1"/>
  <c r="F1040" i="1"/>
  <c r="K1038" i="1"/>
  <c r="J1038" i="1"/>
  <c r="I1038" i="1"/>
  <c r="H1038" i="1"/>
  <c r="G1038" i="1"/>
  <c r="F1038" i="1"/>
  <c r="K1031" i="1"/>
  <c r="J1031" i="1"/>
  <c r="I1031" i="1"/>
  <c r="H1031" i="1"/>
  <c r="G1031" i="1"/>
  <c r="F1031" i="1"/>
  <c r="K1026" i="1"/>
  <c r="J1026" i="1"/>
  <c r="I1026" i="1"/>
  <c r="H1026" i="1"/>
  <c r="G1026" i="1"/>
  <c r="F1026" i="1"/>
  <c r="G1028" i="1"/>
  <c r="H1028" i="1"/>
  <c r="I1028" i="1"/>
  <c r="J1028" i="1"/>
  <c r="K1028" i="1"/>
  <c r="F1028" i="1"/>
  <c r="K1023" i="1"/>
  <c r="J1023" i="1"/>
  <c r="I1023" i="1"/>
  <c r="H1023" i="1"/>
  <c r="G1023" i="1"/>
  <c r="F1023" i="1"/>
  <c r="F1120" i="1" l="1"/>
  <c r="K1120" i="1"/>
  <c r="J1120" i="1"/>
  <c r="I1120" i="1"/>
  <c r="H1120" i="1"/>
  <c r="G1120" i="1"/>
  <c r="F1122" i="1"/>
  <c r="I1086" i="1"/>
  <c r="G1122" i="1"/>
  <c r="H1122" i="1"/>
  <c r="K1086" i="1"/>
  <c r="I1122" i="1"/>
  <c r="J1122" i="1"/>
  <c r="K1122" i="1"/>
  <c r="I1072" i="1"/>
  <c r="I1098" i="1" s="1"/>
  <c r="H1103" i="1"/>
  <c r="J1103" i="1"/>
  <c r="F1088" i="1"/>
  <c r="G1088" i="1"/>
  <c r="H1088" i="1"/>
  <c r="I1088" i="1"/>
  <c r="F1103" i="1"/>
  <c r="J1088" i="1"/>
  <c r="I1103" i="1"/>
  <c r="K1088" i="1"/>
  <c r="G1103" i="1"/>
  <c r="K1103" i="1"/>
  <c r="K1060" i="1"/>
  <c r="I1060" i="1"/>
  <c r="H1062" i="1"/>
  <c r="I1062" i="1"/>
  <c r="F1062" i="1"/>
  <c r="K1072" i="1"/>
  <c r="K1098" i="1" s="1"/>
  <c r="J1072" i="1"/>
  <c r="J1098" i="1" s="1"/>
  <c r="G1072" i="1"/>
  <c r="G1098" i="1" s="1"/>
  <c r="G1062" i="1"/>
  <c r="H1072" i="1"/>
  <c r="H1098" i="1" s="1"/>
  <c r="J1062" i="1"/>
  <c r="K1062" i="1"/>
  <c r="F1072" i="1"/>
  <c r="F1098" i="1" s="1"/>
  <c r="I1037" i="1"/>
  <c r="G1037" i="1"/>
  <c r="K1037" i="1"/>
  <c r="F1037" i="1"/>
  <c r="H1037" i="1"/>
  <c r="J1037" i="1"/>
  <c r="F1025" i="1"/>
  <c r="F1022" i="1" s="1"/>
  <c r="G1025" i="1"/>
  <c r="G1022" i="1" s="1"/>
  <c r="H1025" i="1"/>
  <c r="H1022" i="1" s="1"/>
  <c r="I1025" i="1"/>
  <c r="I1022" i="1" s="1"/>
  <c r="J1025" i="1"/>
  <c r="J1022" i="1" s="1"/>
  <c r="K1025" i="1"/>
  <c r="K1022" i="1" s="1"/>
  <c r="F1093" i="1" l="1"/>
  <c r="G1093" i="1"/>
  <c r="I1093" i="1"/>
  <c r="H1093" i="1"/>
  <c r="J1093" i="1"/>
  <c r="K1093" i="1"/>
  <c r="G1086" i="1"/>
  <c r="G1099" i="1"/>
  <c r="G1132" i="1"/>
  <c r="K1099" i="1"/>
  <c r="K1132" i="1"/>
  <c r="J1101" i="1"/>
  <c r="J1133" i="1"/>
  <c r="I1101" i="1"/>
  <c r="I1133" i="1"/>
  <c r="F1101" i="1"/>
  <c r="F1133" i="1"/>
  <c r="J1086" i="1"/>
  <c r="I1105" i="1"/>
  <c r="I1135" i="1"/>
  <c r="F1105" i="1"/>
  <c r="F1135" i="1"/>
  <c r="F1086" i="1"/>
  <c r="K1105" i="1"/>
  <c r="K1135" i="1"/>
  <c r="G1101" i="1"/>
  <c r="G1133" i="1"/>
  <c r="H1105" i="1"/>
  <c r="H1135" i="1"/>
  <c r="J1105" i="1"/>
  <c r="J1135" i="1"/>
  <c r="F1099" i="1"/>
  <c r="F1132" i="1"/>
  <c r="H1101" i="1"/>
  <c r="H1133" i="1"/>
  <c r="G1105" i="1"/>
  <c r="G1135" i="1"/>
  <c r="J1099" i="1"/>
  <c r="J1132" i="1"/>
  <c r="I1099" i="1"/>
  <c r="I1132" i="1"/>
  <c r="H1099" i="1"/>
  <c r="H1132" i="1"/>
  <c r="K1101" i="1"/>
  <c r="K1133" i="1"/>
  <c r="H1086" i="1"/>
  <c r="K1016" i="1" l="1"/>
  <c r="K1017" i="1" s="1"/>
  <c r="K1114" i="1" s="1"/>
  <c r="J1016" i="1"/>
  <c r="J1017" i="1" s="1"/>
  <c r="J1114" i="1" s="1"/>
  <c r="I1016" i="1"/>
  <c r="I1017" i="1" s="1"/>
  <c r="I1114" i="1" s="1"/>
  <c r="H1016" i="1"/>
  <c r="H1017" i="1" s="1"/>
  <c r="H1114" i="1" s="1"/>
  <c r="G1016" i="1"/>
  <c r="G1017" i="1" s="1"/>
  <c r="G1114" i="1" s="1"/>
  <c r="F1016" i="1"/>
  <c r="F1017" i="1" s="1"/>
  <c r="F1114" i="1" s="1"/>
  <c r="G1021" i="1" l="1"/>
  <c r="G1020" i="1" s="1"/>
  <c r="G1119" i="1"/>
  <c r="H1021" i="1"/>
  <c r="H1020" i="1" s="1"/>
  <c r="H1119" i="1"/>
  <c r="I1021" i="1"/>
  <c r="I1020" i="1" s="1"/>
  <c r="I1119" i="1"/>
  <c r="J1021" i="1"/>
  <c r="J1020" i="1" s="1"/>
  <c r="J1119" i="1"/>
  <c r="K1021" i="1"/>
  <c r="K1020" i="1" s="1"/>
  <c r="K1119" i="1"/>
  <c r="F1021" i="1"/>
  <c r="F1020" i="1" s="1"/>
  <c r="F1119" i="1"/>
  <c r="K1036" i="1" l="1"/>
  <c r="J1036" i="1"/>
  <c r="J1033" i="1"/>
  <c r="J1034" i="1" s="1"/>
  <c r="I1033" i="1"/>
  <c r="I1034" i="1" s="1"/>
  <c r="H1033" i="1"/>
  <c r="H1034" i="1" s="1"/>
  <c r="F1033" i="1"/>
  <c r="F1034" i="1" s="1"/>
  <c r="G1033" i="1" l="1"/>
  <c r="G1034" i="1" s="1"/>
  <c r="K1033" i="1"/>
  <c r="K1034" i="1" s="1"/>
  <c r="H1036" i="1" l="1"/>
  <c r="I1036" i="1"/>
  <c r="F1036" i="1"/>
  <c r="G1036" i="1"/>
  <c r="G1057" i="1" l="1"/>
  <c r="J1057" i="1"/>
  <c r="K1057" i="1"/>
  <c r="F1057" i="1"/>
  <c r="H1057" i="1"/>
  <c r="I1057" i="1"/>
  <c r="H1083" i="1" l="1"/>
  <c r="F1083" i="1"/>
  <c r="J1083" i="1"/>
  <c r="G1083" i="1"/>
  <c r="K1083" i="1"/>
  <c r="I1083" i="1"/>
  <c r="K1112" i="1" l="1"/>
  <c r="J1112" i="1"/>
  <c r="I1112" i="1"/>
  <c r="H1112" i="1"/>
  <c r="G1112" i="1"/>
  <c r="F1112" i="1"/>
  <c r="G1111" i="1"/>
  <c r="H1111" i="1"/>
  <c r="I1111" i="1"/>
  <c r="J1111" i="1"/>
  <c r="K1111" i="1"/>
  <c r="G1125" i="1"/>
  <c r="H1125" i="1"/>
  <c r="I1125" i="1"/>
  <c r="J1125" i="1"/>
  <c r="K1125" i="1"/>
  <c r="F1111" i="1"/>
  <c r="K1123" i="1"/>
  <c r="J1123" i="1"/>
  <c r="I1123" i="1"/>
  <c r="H1123" i="1"/>
  <c r="G1123" i="1"/>
  <c r="K1110" i="1"/>
  <c r="J1110" i="1"/>
  <c r="I1110" i="1"/>
  <c r="H1110" i="1"/>
  <c r="G1110" i="1"/>
  <c r="K1109" i="1"/>
  <c r="J1109" i="1"/>
  <c r="I1109" i="1"/>
  <c r="H1109" i="1"/>
  <c r="G1109" i="1"/>
  <c r="F1123" i="1"/>
  <c r="F1110" i="1"/>
  <c r="F1109" i="1"/>
  <c r="K994" i="1" l="1"/>
  <c r="J994" i="1"/>
  <c r="F1124" i="1"/>
  <c r="F1113" i="1"/>
  <c r="G1113" i="1"/>
  <c r="G1124" i="1"/>
  <c r="H1113" i="1"/>
  <c r="H1124" i="1"/>
  <c r="I1113" i="1"/>
  <c r="I1124" i="1"/>
  <c r="J1113" i="1"/>
  <c r="J1124" i="1"/>
  <c r="K1113" i="1"/>
  <c r="K1124" i="1"/>
  <c r="F1127" i="1"/>
  <c r="G1127" i="1"/>
  <c r="H1127" i="1"/>
  <c r="I1127" i="1"/>
  <c r="J1127" i="1"/>
  <c r="F990" i="1"/>
  <c r="F1125" i="1"/>
  <c r="K1127" i="1"/>
  <c r="G997" i="1"/>
  <c r="F997" i="1"/>
  <c r="H997" i="1"/>
  <c r="K997" i="1"/>
  <c r="G994" i="1"/>
  <c r="G1014" i="1" s="1"/>
  <c r="G1011" i="1" s="1"/>
  <c r="H994" i="1"/>
  <c r="H1007" i="1" s="1"/>
  <c r="H1126" i="1" s="1"/>
  <c r="I994" i="1"/>
  <c r="I1005" i="1" s="1"/>
  <c r="I1002" i="1" s="1"/>
  <c r="I997" i="1"/>
  <c r="J997" i="1"/>
  <c r="F994" i="1"/>
  <c r="F1007" i="1" s="1"/>
  <c r="F1126" i="1" s="1"/>
  <c r="I977" i="1"/>
  <c r="F992" i="1"/>
  <c r="F993" i="1" s="1"/>
  <c r="J992" i="1"/>
  <c r="J993" i="1" s="1"/>
  <c r="J990" i="1"/>
  <c r="K992" i="1"/>
  <c r="K993" i="1" s="1"/>
  <c r="K990" i="1"/>
  <c r="I992" i="1"/>
  <c r="I993" i="1" s="1"/>
  <c r="I990" i="1"/>
  <c r="H992" i="1"/>
  <c r="H993" i="1" s="1"/>
  <c r="H990" i="1"/>
  <c r="G992" i="1"/>
  <c r="G993" i="1" s="1"/>
  <c r="G990" i="1"/>
  <c r="K987" i="1"/>
  <c r="K986" i="1" s="1"/>
  <c r="J987" i="1"/>
  <c r="J986" i="1" s="1"/>
  <c r="I987" i="1"/>
  <c r="I986" i="1" s="1"/>
  <c r="H987" i="1"/>
  <c r="H986" i="1" s="1"/>
  <c r="G987" i="1"/>
  <c r="G986" i="1" s="1"/>
  <c r="F987" i="1"/>
  <c r="F989" i="1" s="1"/>
  <c r="F988" i="1" s="1"/>
  <c r="K974" i="1"/>
  <c r="H977" i="1"/>
  <c r="J977" i="1"/>
  <c r="K977" i="1"/>
  <c r="G977" i="1"/>
  <c r="H974" i="1"/>
  <c r="I974" i="1"/>
  <c r="G974" i="1"/>
  <c r="J974" i="1"/>
  <c r="F977" i="1"/>
  <c r="F974" i="1"/>
  <c r="K1005" i="1" l="1"/>
  <c r="K1002" i="1" s="1"/>
  <c r="K1007" i="1"/>
  <c r="J1014" i="1"/>
  <c r="J1011" i="1" s="1"/>
  <c r="J1007" i="1"/>
  <c r="J1004" i="1"/>
  <c r="J1001" i="1" s="1"/>
  <c r="K1014" i="1"/>
  <c r="K1011" i="1" s="1"/>
  <c r="J1005" i="1"/>
  <c r="J1002" i="1" s="1"/>
  <c r="G1007" i="1"/>
  <c r="G1126" i="1" s="1"/>
  <c r="K1004" i="1"/>
  <c r="I1004" i="1"/>
  <c r="I1001" i="1" s="1"/>
  <c r="I1000" i="1" s="1"/>
  <c r="J1052" i="1"/>
  <c r="J1049" i="1" s="1"/>
  <c r="J1050" i="1" s="1"/>
  <c r="G1052" i="1"/>
  <c r="G1049" i="1" s="1"/>
  <c r="G1050" i="1" s="1"/>
  <c r="H1052" i="1"/>
  <c r="H1049" i="1" s="1"/>
  <c r="H1050" i="1" s="1"/>
  <c r="I1052" i="1"/>
  <c r="I1049" i="1" s="1"/>
  <c r="I1050" i="1" s="1"/>
  <c r="I1007" i="1"/>
  <c r="I1126" i="1" s="1"/>
  <c r="K1052" i="1"/>
  <c r="K1049" i="1" s="1"/>
  <c r="K1050" i="1" s="1"/>
  <c r="F1052" i="1"/>
  <c r="F1049" i="1" s="1"/>
  <c r="F1050" i="1" s="1"/>
  <c r="G1004" i="1"/>
  <c r="G1001" i="1" s="1"/>
  <c r="H1004" i="1"/>
  <c r="H1001" i="1" s="1"/>
  <c r="H1005" i="1"/>
  <c r="H1002" i="1" s="1"/>
  <c r="G1005" i="1"/>
  <c r="G1002" i="1" s="1"/>
  <c r="F1005" i="1"/>
  <c r="F1002" i="1" s="1"/>
  <c r="I1014" i="1"/>
  <c r="I1011" i="1" s="1"/>
  <c r="H1013" i="1"/>
  <c r="H1010" i="1" s="1"/>
  <c r="F1004" i="1"/>
  <c r="F1001" i="1" s="1"/>
  <c r="F1014" i="1"/>
  <c r="F1011" i="1" s="1"/>
  <c r="H1014" i="1"/>
  <c r="H1006" i="1"/>
  <c r="F1013" i="1"/>
  <c r="F1010" i="1" s="1"/>
  <c r="F1006" i="1"/>
  <c r="G989" i="1"/>
  <c r="G988" i="1" s="1"/>
  <c r="G984" i="1" s="1"/>
  <c r="J989" i="1"/>
  <c r="J988" i="1" s="1"/>
  <c r="J984" i="1" s="1"/>
  <c r="H989" i="1"/>
  <c r="H988" i="1" s="1"/>
  <c r="H984" i="1" s="1"/>
  <c r="K989" i="1"/>
  <c r="K988" i="1" s="1"/>
  <c r="K984" i="1" s="1"/>
  <c r="I989" i="1"/>
  <c r="I988" i="1" s="1"/>
  <c r="I984" i="1" s="1"/>
  <c r="F986" i="1"/>
  <c r="F984" i="1" s="1"/>
  <c r="K1126" i="1" l="1"/>
  <c r="K1006" i="1"/>
  <c r="K1013" i="1"/>
  <c r="K1010" i="1" s="1"/>
  <c r="K1009" i="1" s="1"/>
  <c r="J1126" i="1"/>
  <c r="J1006" i="1"/>
  <c r="J1013" i="1"/>
  <c r="K1003" i="1"/>
  <c r="K1001" i="1"/>
  <c r="K1000" i="1" s="1"/>
  <c r="I1003" i="1"/>
  <c r="J1000" i="1"/>
  <c r="K1012" i="1"/>
  <c r="G1006" i="1"/>
  <c r="G1013" i="1"/>
  <c r="G1012" i="1" s="1"/>
  <c r="J1003" i="1"/>
  <c r="I1006" i="1"/>
  <c r="I1013" i="1"/>
  <c r="I1012" i="1" s="1"/>
  <c r="F1000" i="1"/>
  <c r="G1000" i="1"/>
  <c r="F1009" i="1"/>
  <c r="H1000" i="1"/>
  <c r="H1003" i="1"/>
  <c r="G1003" i="1"/>
  <c r="H1012" i="1"/>
  <c r="H1011" i="1"/>
  <c r="H1009" i="1" s="1"/>
  <c r="F1003" i="1"/>
  <c r="F1012" i="1"/>
  <c r="J1010" i="1" l="1"/>
  <c r="J1009" i="1" s="1"/>
  <c r="J1012" i="1"/>
  <c r="G1010" i="1"/>
  <c r="G1009" i="1" s="1"/>
  <c r="I1010" i="1"/>
  <c r="I1009" i="1" s="1"/>
  <c r="K947" i="1"/>
  <c r="J947" i="1"/>
  <c r="I947" i="1"/>
  <c r="H969" i="1"/>
  <c r="G947" i="1"/>
  <c r="F947" i="1"/>
  <c r="K945" i="1"/>
  <c r="J945" i="1"/>
  <c r="I945" i="1"/>
  <c r="H945" i="1"/>
  <c r="G945" i="1"/>
  <c r="F945" i="1"/>
  <c r="K931" i="1"/>
  <c r="J931" i="1"/>
  <c r="I931" i="1"/>
  <c r="H931" i="1"/>
  <c r="G931" i="1"/>
  <c r="F931" i="1"/>
  <c r="H927" i="1"/>
  <c r="G927" i="1"/>
  <c r="F927" i="1"/>
  <c r="G915" i="1"/>
  <c r="H915" i="1"/>
  <c r="I915" i="1"/>
  <c r="J915" i="1"/>
  <c r="K915" i="1"/>
  <c r="F915" i="1"/>
  <c r="G913" i="1"/>
  <c r="G968" i="1" s="1"/>
  <c r="H913" i="1"/>
  <c r="I913" i="1"/>
  <c r="I968" i="1" s="1"/>
  <c r="J913" i="1"/>
  <c r="J968" i="1" s="1"/>
  <c r="K913" i="1"/>
  <c r="K968" i="1" s="1"/>
  <c r="F913" i="1"/>
  <c r="F968" i="1" s="1"/>
  <c r="J956" i="1"/>
  <c r="H956" i="1"/>
  <c r="F956" i="1"/>
  <c r="K805" i="1"/>
  <c r="J805" i="1"/>
  <c r="I805" i="1"/>
  <c r="H805" i="1"/>
  <c r="G805" i="1"/>
  <c r="F805" i="1"/>
  <c r="F803" i="1"/>
  <c r="G803" i="1"/>
  <c r="H803" i="1"/>
  <c r="I803" i="1"/>
  <c r="J803" i="1"/>
  <c r="K803" i="1"/>
  <c r="C710" i="1"/>
  <c r="B710" i="1"/>
  <c r="E712" i="1"/>
  <c r="C712" i="1"/>
  <c r="B712" i="1"/>
  <c r="H968" i="1" l="1"/>
  <c r="K927" i="1"/>
  <c r="H947" i="1"/>
  <c r="F959" i="1"/>
  <c r="G956" i="1"/>
  <c r="F949" i="1"/>
  <c r="G949" i="1"/>
  <c r="I956" i="1"/>
  <c r="H949" i="1"/>
  <c r="I949" i="1"/>
  <c r="I955" i="1"/>
  <c r="K956" i="1"/>
  <c r="G960" i="1"/>
  <c r="J949" i="1"/>
  <c r="J955" i="1"/>
  <c r="H960" i="1"/>
  <c r="K949" i="1"/>
  <c r="F969" i="1"/>
  <c r="I960" i="1"/>
  <c r="F951" i="1"/>
  <c r="K969" i="1"/>
  <c r="G951" i="1"/>
  <c r="J969" i="1"/>
  <c r="K960" i="1"/>
  <c r="H951" i="1"/>
  <c r="I969" i="1"/>
  <c r="I951" i="1"/>
  <c r="J951" i="1"/>
  <c r="G969" i="1"/>
  <c r="K951" i="1"/>
  <c r="H955" i="1"/>
  <c r="G955" i="1"/>
  <c r="F960" i="1"/>
  <c r="J960" i="1"/>
  <c r="F955" i="1"/>
  <c r="K955" i="1"/>
  <c r="I927" i="1"/>
  <c r="J933" i="1"/>
  <c r="F937" i="1"/>
  <c r="F933" i="1"/>
  <c r="H937" i="1"/>
  <c r="G933" i="1"/>
  <c r="J937" i="1"/>
  <c r="J927" i="1"/>
  <c r="K937" i="1"/>
  <c r="G937" i="1"/>
  <c r="I933" i="1"/>
  <c r="I937" i="1"/>
  <c r="K933" i="1"/>
  <c r="H933" i="1"/>
  <c r="F900" i="1"/>
  <c r="K712" i="1"/>
  <c r="J712" i="1"/>
  <c r="I712" i="1"/>
  <c r="H712" i="1"/>
  <c r="G712" i="1"/>
  <c r="F712" i="1"/>
  <c r="G710" i="1"/>
  <c r="H710" i="1"/>
  <c r="I710" i="1"/>
  <c r="J710" i="1"/>
  <c r="K710" i="1"/>
  <c r="F710" i="1"/>
  <c r="H713" i="1" l="1"/>
  <c r="F713" i="1"/>
  <c r="I713" i="1"/>
  <c r="J713" i="1"/>
  <c r="K713" i="1"/>
  <c r="G713" i="1"/>
  <c r="K739" i="1"/>
  <c r="J739" i="1"/>
  <c r="I739" i="1"/>
  <c r="H739" i="1"/>
  <c r="G739" i="1"/>
  <c r="F739" i="1"/>
  <c r="K723" i="1"/>
  <c r="J723" i="1"/>
  <c r="I723" i="1"/>
  <c r="H723" i="1"/>
  <c r="G723" i="1"/>
  <c r="F723" i="1"/>
  <c r="C715" i="1"/>
  <c r="C717" i="1" s="1"/>
  <c r="B715" i="1"/>
  <c r="B717" i="1" s="1"/>
  <c r="C714" i="1"/>
  <c r="C716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9" i="1" s="1"/>
  <c r="C740" i="1" s="1"/>
  <c r="C741" i="1" s="1"/>
  <c r="C742" i="1" s="1"/>
  <c r="C743" i="1" s="1"/>
  <c r="C744" i="1" s="1"/>
  <c r="B714" i="1"/>
  <c r="B716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9" i="1" s="1"/>
  <c r="B740" i="1" s="1"/>
  <c r="B741" i="1" s="1"/>
  <c r="B742" i="1" s="1"/>
  <c r="B743" i="1" s="1"/>
  <c r="B744" i="1" s="1"/>
  <c r="K715" i="1"/>
  <c r="J715" i="1"/>
  <c r="C699" i="1"/>
  <c r="C700" i="1" s="1"/>
  <c r="C701" i="1" s="1"/>
  <c r="C702" i="1" s="1"/>
  <c r="C703" i="1" s="1"/>
  <c r="C704" i="1" s="1"/>
  <c r="B699" i="1"/>
  <c r="B700" i="1" s="1"/>
  <c r="B701" i="1" s="1"/>
  <c r="B702" i="1" s="1"/>
  <c r="B703" i="1" s="1"/>
  <c r="B704" i="1" s="1"/>
  <c r="K684" i="1"/>
  <c r="J684" i="1"/>
  <c r="I684" i="1"/>
  <c r="H684" i="1"/>
  <c r="G684" i="1"/>
  <c r="F684" i="1"/>
  <c r="C680" i="1"/>
  <c r="C681" i="1" s="1"/>
  <c r="C683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B680" i="1"/>
  <c r="B681" i="1" s="1"/>
  <c r="B683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C663" i="1"/>
  <c r="C664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B663" i="1"/>
  <c r="B664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F715" i="1" l="1"/>
  <c r="G715" i="1"/>
  <c r="H715" i="1"/>
  <c r="I715" i="1"/>
  <c r="I732" i="1"/>
  <c r="B745" i="1"/>
  <c r="B746" i="1" s="1"/>
  <c r="B747" i="1" s="1"/>
  <c r="C745" i="1"/>
  <c r="C746" i="1" s="1"/>
  <c r="C747" i="1" s="1"/>
  <c r="F733" i="1"/>
  <c r="J701" i="1"/>
  <c r="J732" i="1"/>
  <c r="H686" i="1"/>
  <c r="F732" i="1"/>
  <c r="K717" i="1"/>
  <c r="K714" i="1" s="1"/>
  <c r="J730" i="1"/>
  <c r="I717" i="1"/>
  <c r="G732" i="1"/>
  <c r="H717" i="1"/>
  <c r="K732" i="1"/>
  <c r="B736" i="1"/>
  <c r="B737" i="1" s="1"/>
  <c r="B738" i="1" s="1"/>
  <c r="C736" i="1"/>
  <c r="C737" i="1" s="1"/>
  <c r="C738" i="1" s="1"/>
  <c r="G733" i="1"/>
  <c r="H732" i="1"/>
  <c r="H733" i="1"/>
  <c r="I733" i="1"/>
  <c r="J733" i="1"/>
  <c r="F717" i="1"/>
  <c r="K733" i="1"/>
  <c r="G717" i="1"/>
  <c r="F730" i="1"/>
  <c r="G730" i="1"/>
  <c r="H730" i="1"/>
  <c r="J717" i="1"/>
  <c r="J714" i="1" s="1"/>
  <c r="I730" i="1"/>
  <c r="K730" i="1"/>
  <c r="K701" i="1"/>
  <c r="H701" i="1"/>
  <c r="I700" i="1"/>
  <c r="G701" i="1"/>
  <c r="I686" i="1"/>
  <c r="J699" i="1"/>
  <c r="I701" i="1"/>
  <c r="G699" i="1"/>
  <c r="I699" i="1"/>
  <c r="H700" i="1"/>
  <c r="J680" i="1"/>
  <c r="F700" i="1"/>
  <c r="G700" i="1"/>
  <c r="J700" i="1"/>
  <c r="G695" i="1"/>
  <c r="F699" i="1"/>
  <c r="F701" i="1"/>
  <c r="K699" i="1"/>
  <c r="K700" i="1"/>
  <c r="G686" i="1"/>
  <c r="H699" i="1"/>
  <c r="C705" i="1"/>
  <c r="B705" i="1"/>
  <c r="F680" i="1"/>
  <c r="J695" i="1"/>
  <c r="I695" i="1"/>
  <c r="K686" i="1"/>
  <c r="F695" i="1"/>
  <c r="B682" i="1"/>
  <c r="H695" i="1"/>
  <c r="G680" i="1"/>
  <c r="K695" i="1"/>
  <c r="F686" i="1"/>
  <c r="K680" i="1"/>
  <c r="H680" i="1"/>
  <c r="I680" i="1"/>
  <c r="J686" i="1"/>
  <c r="C682" i="1"/>
  <c r="B665" i="1"/>
  <c r="C665" i="1"/>
  <c r="C684" i="1"/>
  <c r="C685" i="1" s="1"/>
  <c r="B684" i="1"/>
  <c r="B685" i="1" s="1"/>
  <c r="F714" i="1" l="1"/>
  <c r="G714" i="1"/>
  <c r="H714" i="1"/>
  <c r="I714" i="1"/>
  <c r="H741" i="1"/>
  <c r="H735" i="1" s="1"/>
  <c r="H736" i="1" s="1" a="1"/>
  <c r="H736" i="1" s="1"/>
  <c r="F741" i="1"/>
  <c r="F735" i="1" s="1"/>
  <c r="F736" i="1" s="1" a="1"/>
  <c r="F736" i="1" s="1"/>
  <c r="I741" i="1"/>
  <c r="I735" i="1" s="1"/>
  <c r="I736" i="1" s="1" a="1"/>
  <c r="I736" i="1" s="1"/>
  <c r="J741" i="1"/>
  <c r="J735" i="1" s="1"/>
  <c r="F731" i="1"/>
  <c r="C748" i="1"/>
  <c r="C749" i="1" s="1"/>
  <c r="C750" i="1" s="1"/>
  <c r="C751" i="1"/>
  <c r="C752" i="1" s="1"/>
  <c r="C753" i="1" s="1"/>
  <c r="F725" i="1"/>
  <c r="F722" i="1" s="1"/>
  <c r="F721" i="1" s="1"/>
  <c r="B748" i="1"/>
  <c r="B749" i="1" s="1"/>
  <c r="B750" i="1" s="1"/>
  <c r="B751" i="1"/>
  <c r="B752" i="1" s="1"/>
  <c r="B753" i="1" s="1"/>
  <c r="G741" i="1"/>
  <c r="G735" i="1" s="1"/>
  <c r="G736" i="1" s="1" a="1"/>
  <c r="G736" i="1" s="1"/>
  <c r="I731" i="1"/>
  <c r="J731" i="1"/>
  <c r="K741" i="1"/>
  <c r="K735" i="1" s="1"/>
  <c r="I725" i="1"/>
  <c r="I722" i="1" s="1"/>
  <c r="I721" i="1" s="1"/>
  <c r="H725" i="1"/>
  <c r="H722" i="1" s="1"/>
  <c r="H721" i="1" s="1"/>
  <c r="K731" i="1"/>
  <c r="G731" i="1"/>
  <c r="K725" i="1"/>
  <c r="K722" i="1" s="1"/>
  <c r="K721" i="1" s="1"/>
  <c r="J725" i="1"/>
  <c r="J722" i="1" s="1"/>
  <c r="J721" i="1" s="1"/>
  <c r="G725" i="1"/>
  <c r="G722" i="1" s="1"/>
  <c r="G721" i="1" s="1"/>
  <c r="H731" i="1"/>
  <c r="H679" i="1"/>
  <c r="E11" i="4" s="1"/>
  <c r="K679" i="1"/>
  <c r="H11" i="4" s="1"/>
  <c r="I679" i="1"/>
  <c r="F11" i="4" s="1"/>
  <c r="F679" i="1"/>
  <c r="C11" i="4" s="1"/>
  <c r="J679" i="1"/>
  <c r="G11" i="4" s="1"/>
  <c r="G679" i="1"/>
  <c r="D11" i="4" s="1"/>
  <c r="K736" i="1" l="1" a="1"/>
  <c r="K736" i="1" s="1"/>
  <c r="K738" i="1" a="1"/>
  <c r="K738" i="1" s="1"/>
  <c r="J738" i="1" a="1"/>
  <c r="J738" i="1" s="1"/>
  <c r="J758" i="1" s="1"/>
  <c r="J736" i="1" a="1"/>
  <c r="J736" i="1" s="1"/>
  <c r="J745" i="1" s="1"/>
  <c r="I747" i="1"/>
  <c r="H752" i="1"/>
  <c r="H749" i="1"/>
  <c r="F734" i="1"/>
  <c r="F748" i="1"/>
  <c r="J734" i="1"/>
  <c r="H758" i="1"/>
  <c r="H734" i="1"/>
  <c r="H755" i="1"/>
  <c r="H751" i="1"/>
  <c r="H762" i="1"/>
  <c r="H754" i="1"/>
  <c r="H761" i="1"/>
  <c r="F755" i="1"/>
  <c r="I759" i="1"/>
  <c r="I757" i="1"/>
  <c r="I754" i="1"/>
  <c r="I755" i="1"/>
  <c r="I751" i="1"/>
  <c r="I761" i="1"/>
  <c r="H759" i="1"/>
  <c r="I758" i="1"/>
  <c r="I734" i="1"/>
  <c r="H756" i="1"/>
  <c r="H753" i="1"/>
  <c r="F756" i="1"/>
  <c r="F760" i="1"/>
  <c r="F753" i="1"/>
  <c r="F754" i="1"/>
  <c r="F757" i="1"/>
  <c r="F759" i="1"/>
  <c r="F751" i="1"/>
  <c r="F761" i="1"/>
  <c r="F758" i="1"/>
  <c r="F752" i="1"/>
  <c r="F762" i="1"/>
  <c r="H760" i="1"/>
  <c r="H757" i="1"/>
  <c r="I756" i="1"/>
  <c r="I753" i="1"/>
  <c r="I752" i="1"/>
  <c r="I762" i="1"/>
  <c r="I760" i="1"/>
  <c r="K734" i="1"/>
  <c r="C754" i="1"/>
  <c r="C755" i="1" s="1"/>
  <c r="C756" i="1" s="1"/>
  <c r="C757" i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B754" i="1"/>
  <c r="B755" i="1" s="1"/>
  <c r="B756" i="1" s="1"/>
  <c r="B757" i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G734" i="1"/>
  <c r="G755" i="1"/>
  <c r="G745" i="1"/>
  <c r="G758" i="1"/>
  <c r="G748" i="1"/>
  <c r="G762" i="1"/>
  <c r="G752" i="1"/>
  <c r="G761" i="1"/>
  <c r="G751" i="1"/>
  <c r="G754" i="1"/>
  <c r="G757" i="1"/>
  <c r="G747" i="1"/>
  <c r="G759" i="1"/>
  <c r="G749" i="1"/>
  <c r="G760" i="1"/>
  <c r="G750" i="1"/>
  <c r="G753" i="1"/>
  <c r="G756" i="1"/>
  <c r="G746" i="1"/>
  <c r="E601" i="1"/>
  <c r="E602" i="1" s="1"/>
  <c r="E603" i="1" s="1"/>
  <c r="F746" i="1" l="1"/>
  <c r="H750" i="1"/>
  <c r="H746" i="1"/>
  <c r="F745" i="1"/>
  <c r="H748" i="1"/>
  <c r="H747" i="1"/>
  <c r="I748" i="1"/>
  <c r="F747" i="1"/>
  <c r="H745" i="1"/>
  <c r="F749" i="1"/>
  <c r="F750" i="1"/>
  <c r="I750" i="1"/>
  <c r="I749" i="1"/>
  <c r="I745" i="1"/>
  <c r="I746" i="1"/>
  <c r="J759" i="1"/>
  <c r="J762" i="1"/>
  <c r="J747" i="1"/>
  <c r="J748" i="1"/>
  <c r="J761" i="1"/>
  <c r="J760" i="1"/>
  <c r="J757" i="1"/>
  <c r="J737" i="1"/>
  <c r="J749" i="1"/>
  <c r="J746" i="1"/>
  <c r="J750" i="1"/>
  <c r="B781" i="1"/>
  <c r="B782" i="1" s="1"/>
  <c r="B783" i="1" s="1"/>
  <c r="B780" i="1"/>
  <c r="C781" i="1"/>
  <c r="C782" i="1" s="1"/>
  <c r="C783" i="1" s="1"/>
  <c r="C780" i="1"/>
  <c r="K761" i="1"/>
  <c r="K758" i="1"/>
  <c r="K757" i="1"/>
  <c r="K760" i="1"/>
  <c r="K759" i="1"/>
  <c r="K762" i="1"/>
  <c r="K737" i="1"/>
  <c r="K748" i="1"/>
  <c r="K747" i="1"/>
  <c r="K750" i="1"/>
  <c r="K745" i="1"/>
  <c r="K746" i="1"/>
  <c r="K749" i="1"/>
  <c r="J658" i="1"/>
  <c r="J641" i="1"/>
  <c r="K658" i="1"/>
  <c r="F659" i="1"/>
  <c r="G659" i="1"/>
  <c r="F656" i="1"/>
  <c r="H659" i="1"/>
  <c r="G656" i="1"/>
  <c r="I659" i="1"/>
  <c r="H656" i="1"/>
  <c r="J659" i="1"/>
  <c r="I656" i="1"/>
  <c r="K659" i="1"/>
  <c r="J656" i="1"/>
  <c r="F651" i="1"/>
  <c r="F660" i="1"/>
  <c r="K656" i="1"/>
  <c r="G651" i="1"/>
  <c r="G660" i="1"/>
  <c r="F657" i="1"/>
  <c r="H651" i="1"/>
  <c r="H660" i="1"/>
  <c r="K641" i="1"/>
  <c r="G657" i="1"/>
  <c r="I651" i="1"/>
  <c r="I660" i="1"/>
  <c r="H657" i="1"/>
  <c r="J651" i="1"/>
  <c r="J660" i="1"/>
  <c r="I657" i="1"/>
  <c r="K651" i="1"/>
  <c r="K660" i="1"/>
  <c r="J657" i="1"/>
  <c r="F661" i="1"/>
  <c r="K657" i="1"/>
  <c r="G661" i="1"/>
  <c r="G591" i="1"/>
  <c r="F658" i="1"/>
  <c r="H661" i="1"/>
  <c r="G658" i="1"/>
  <c r="I661" i="1"/>
  <c r="H658" i="1"/>
  <c r="J661" i="1"/>
  <c r="I658" i="1"/>
  <c r="K661" i="1"/>
  <c r="F646" i="1"/>
  <c r="H646" i="1"/>
  <c r="G646" i="1"/>
  <c r="I646" i="1"/>
  <c r="K646" i="1"/>
  <c r="J646" i="1"/>
  <c r="F641" i="1"/>
  <c r="H631" i="1"/>
  <c r="G641" i="1"/>
  <c r="J631" i="1"/>
  <c r="I641" i="1"/>
  <c r="H641" i="1"/>
  <c r="H636" i="1"/>
  <c r="G636" i="1"/>
  <c r="K636" i="1"/>
  <c r="I636" i="1"/>
  <c r="F636" i="1"/>
  <c r="J636" i="1"/>
  <c r="G626" i="1"/>
  <c r="H626" i="1"/>
  <c r="I626" i="1"/>
  <c r="J626" i="1"/>
  <c r="F626" i="1"/>
  <c r="K626" i="1"/>
  <c r="F631" i="1"/>
  <c r="G631" i="1"/>
  <c r="I631" i="1"/>
  <c r="K631" i="1"/>
  <c r="F587" i="1"/>
  <c r="F586" i="1" s="1"/>
  <c r="G613" i="1"/>
  <c r="F601" i="1"/>
  <c r="G601" i="1"/>
  <c r="H591" i="1"/>
  <c r="F605" i="1"/>
  <c r="I591" i="1"/>
  <c r="F599" i="1"/>
  <c r="H599" i="1"/>
  <c r="G599" i="1"/>
  <c r="G598" i="1"/>
  <c r="I598" i="1"/>
  <c r="I608" i="1"/>
  <c r="J598" i="1"/>
  <c r="I613" i="1"/>
  <c r="H598" i="1"/>
  <c r="G587" i="1"/>
  <c r="G586" i="1" s="1"/>
  <c r="J591" i="1"/>
  <c r="K591" i="1"/>
  <c r="K598" i="1"/>
  <c r="G605" i="1"/>
  <c r="J599" i="1"/>
  <c r="K599" i="1"/>
  <c r="F608" i="1"/>
  <c r="I599" i="1"/>
  <c r="H605" i="1"/>
  <c r="I587" i="1"/>
  <c r="I586" i="1" s="1"/>
  <c r="J587" i="1"/>
  <c r="J586" i="1" s="1"/>
  <c r="K587" i="1"/>
  <c r="K586" i="1" s="1"/>
  <c r="F613" i="1"/>
  <c r="G594" i="1"/>
  <c r="F598" i="1"/>
  <c r="H587" i="1"/>
  <c r="H586" i="1" s="1"/>
  <c r="H594" i="1"/>
  <c r="H601" i="1"/>
  <c r="I594" i="1"/>
  <c r="I601" i="1"/>
  <c r="J601" i="1"/>
  <c r="K601" i="1"/>
  <c r="H613" i="1"/>
  <c r="K613" i="1"/>
  <c r="J613" i="1"/>
  <c r="I605" i="1"/>
  <c r="F612" i="1"/>
  <c r="J605" i="1"/>
  <c r="G612" i="1"/>
  <c r="K605" i="1"/>
  <c r="H612" i="1"/>
  <c r="I612" i="1"/>
  <c r="J612" i="1"/>
  <c r="K612" i="1"/>
  <c r="J594" i="1"/>
  <c r="K594" i="1"/>
  <c r="J608" i="1"/>
  <c r="K608" i="1"/>
  <c r="G608" i="1"/>
  <c r="H608" i="1"/>
  <c r="F594" i="1"/>
  <c r="F591" i="1"/>
  <c r="J634" i="1" l="1"/>
  <c r="J752" i="1"/>
  <c r="J751" i="1"/>
  <c r="J754" i="1"/>
  <c r="J755" i="1"/>
  <c r="J753" i="1"/>
  <c r="J756" i="1"/>
  <c r="K624" i="1"/>
  <c r="J624" i="1"/>
  <c r="C785" i="1"/>
  <c r="C786" i="1" s="1"/>
  <c r="C784" i="1"/>
  <c r="B785" i="1"/>
  <c r="B786" i="1" s="1"/>
  <c r="B784" i="1"/>
  <c r="K634" i="1"/>
  <c r="K751" i="1"/>
  <c r="K754" i="1"/>
  <c r="K753" i="1"/>
  <c r="K755" i="1"/>
  <c r="K756" i="1"/>
  <c r="K752" i="1"/>
  <c r="G644" i="1"/>
  <c r="H634" i="1"/>
  <c r="F624" i="1"/>
  <c r="I624" i="1"/>
  <c r="F644" i="1"/>
  <c r="G624" i="1"/>
  <c r="F634" i="1"/>
  <c r="G590" i="1"/>
  <c r="I634" i="1"/>
  <c r="G634" i="1"/>
  <c r="H644" i="1"/>
  <c r="H624" i="1"/>
  <c r="J644" i="1"/>
  <c r="I644" i="1"/>
  <c r="K644" i="1"/>
  <c r="H590" i="1"/>
  <c r="I590" i="1"/>
  <c r="J604" i="1"/>
  <c r="F604" i="1"/>
  <c r="K604" i="1"/>
  <c r="I604" i="1"/>
  <c r="H604" i="1"/>
  <c r="G604" i="1"/>
  <c r="J590" i="1"/>
  <c r="K590" i="1"/>
  <c r="F590" i="1"/>
  <c r="H10" i="4" l="1"/>
  <c r="C10" i="4"/>
  <c r="G10" i="4"/>
  <c r="F10" i="4"/>
  <c r="E10" i="4"/>
  <c r="D10" i="4"/>
  <c r="B788" i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787" i="1"/>
  <c r="C788" i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787" i="1"/>
  <c r="C882" i="1" l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17" i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B882" i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17" i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K506" i="1"/>
  <c r="J506" i="1"/>
  <c r="I506" i="1"/>
  <c r="H506" i="1"/>
  <c r="G506" i="1"/>
  <c r="F506" i="1"/>
  <c r="B897" i="1" l="1"/>
  <c r="B898" i="1" s="1"/>
  <c r="B899" i="1" s="1"/>
  <c r="B896" i="1"/>
  <c r="C897" i="1"/>
  <c r="C898" i="1" s="1"/>
  <c r="C899" i="1" s="1"/>
  <c r="C896" i="1"/>
  <c r="B855" i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926" i="1"/>
  <c r="B927" i="1" s="1"/>
  <c r="B928" i="1" s="1"/>
  <c r="B929" i="1" s="1"/>
  <c r="B930" i="1" s="1"/>
  <c r="B931" i="1" s="1"/>
  <c r="B932" i="1" s="1"/>
  <c r="B933" i="1" s="1"/>
  <c r="B934" i="1" s="1"/>
  <c r="C855" i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926" i="1"/>
  <c r="C927" i="1" s="1"/>
  <c r="C928" i="1" s="1"/>
  <c r="C929" i="1" s="1"/>
  <c r="C930" i="1" s="1"/>
  <c r="C931" i="1" s="1"/>
  <c r="C932" i="1" s="1"/>
  <c r="C933" i="1" s="1"/>
  <c r="C934" i="1" s="1"/>
  <c r="C936" i="1" l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35" i="1"/>
  <c r="B936" i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35" i="1"/>
  <c r="C901" i="1"/>
  <c r="C902" i="1" s="1"/>
  <c r="C900" i="1"/>
  <c r="B901" i="1"/>
  <c r="B902" i="1" s="1"/>
  <c r="B900" i="1"/>
  <c r="B955" i="1" l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C955" i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B904" i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03" i="1"/>
  <c r="C904" i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03" i="1"/>
  <c r="B922" i="1" l="1"/>
  <c r="B923" i="1" s="1"/>
  <c r="B924" i="1" s="1"/>
  <c r="B925" i="1" s="1"/>
  <c r="B920" i="1"/>
  <c r="B921" i="1" s="1"/>
  <c r="C922" i="1"/>
  <c r="C923" i="1" s="1"/>
  <c r="C924" i="1" s="1"/>
  <c r="C972" i="1" s="1"/>
  <c r="C973" i="1" s="1"/>
  <c r="C920" i="1"/>
  <c r="C921" i="1" s="1"/>
  <c r="C925" i="1" l="1"/>
  <c r="B972" i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C974" i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B1038" i="1" l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036" i="1"/>
  <c r="B1037" i="1" s="1"/>
  <c r="C1038" i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036" i="1"/>
  <c r="C1037" i="1" s="1"/>
  <c r="F961" i="1"/>
  <c r="G961" i="1"/>
  <c r="H961" i="1"/>
  <c r="I961" i="1"/>
  <c r="J961" i="1"/>
  <c r="K961" i="1"/>
  <c r="C1109" i="1" l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B1109" i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J921" i="1"/>
  <c r="J920" i="1" s="1"/>
  <c r="I921" i="1"/>
  <c r="I920" i="1" s="1"/>
  <c r="H921" i="1"/>
  <c r="H920" i="1" s="1"/>
  <c r="G921" i="1"/>
  <c r="G920" i="1" s="1"/>
  <c r="F921" i="1"/>
  <c r="F920" i="1" s="1"/>
  <c r="K921" i="1"/>
  <c r="K920" i="1" s="1"/>
  <c r="J814" i="1"/>
  <c r="I814" i="1"/>
  <c r="H814" i="1"/>
  <c r="G814" i="1"/>
  <c r="F814" i="1"/>
  <c r="K814" i="1"/>
  <c r="B1152" i="1" l="1"/>
  <c r="B1153" i="1" s="1"/>
  <c r="B1154" i="1" s="1"/>
  <c r="B1155" i="1" s="1"/>
  <c r="B1156" i="1" s="1"/>
  <c r="B1157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47" i="1"/>
  <c r="B1148" i="1" s="1"/>
  <c r="B1149" i="1" s="1"/>
  <c r="B1150" i="1" s="1"/>
  <c r="B1151" i="1" s="1"/>
  <c r="C1152" i="1"/>
  <c r="C1153" i="1" s="1"/>
  <c r="C1154" i="1" s="1"/>
  <c r="C1155" i="1" s="1"/>
  <c r="C1156" i="1" s="1"/>
  <c r="C1157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47" i="1"/>
  <c r="C1148" i="1" s="1"/>
  <c r="C1149" i="1" s="1"/>
  <c r="C1150" i="1" s="1"/>
  <c r="C1151" i="1" s="1"/>
  <c r="F971" i="1"/>
  <c r="J971" i="1"/>
  <c r="H971" i="1"/>
  <c r="K971" i="1"/>
  <c r="G971" i="1"/>
  <c r="I971" i="1"/>
  <c r="K959" i="1"/>
  <c r="F894" i="1"/>
  <c r="G959" i="1"/>
  <c r="H959" i="1"/>
  <c r="I959" i="1"/>
  <c r="J959" i="1"/>
  <c r="B1158" i="1" l="1"/>
  <c r="B1159" i="1" s="1"/>
  <c r="B1160" i="1" s="1"/>
  <c r="B1161" i="1" s="1"/>
  <c r="C1158" i="1"/>
  <c r="C1159" i="1" s="1"/>
  <c r="C1160" i="1" s="1"/>
  <c r="C1161" i="1" s="1"/>
  <c r="C1185" i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181" i="1"/>
  <c r="C1182" i="1" s="1"/>
  <c r="C1183" i="1" s="1"/>
  <c r="C1184" i="1" s="1"/>
  <c r="B1185" i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181" i="1"/>
  <c r="B1182" i="1" s="1"/>
  <c r="B1183" i="1" s="1"/>
  <c r="B1184" i="1" s="1"/>
  <c r="J894" i="1"/>
  <c r="J900" i="1"/>
  <c r="I894" i="1"/>
  <c r="I900" i="1"/>
  <c r="H894" i="1"/>
  <c r="H900" i="1"/>
  <c r="G894" i="1"/>
  <c r="G900" i="1"/>
  <c r="K894" i="1"/>
  <c r="K900" i="1"/>
  <c r="B1208" i="1" l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204" i="1"/>
  <c r="B1205" i="1" s="1"/>
  <c r="B1206" i="1" s="1"/>
  <c r="B1207" i="1" s="1"/>
  <c r="C1208" i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204" i="1"/>
  <c r="C1205" i="1" s="1"/>
  <c r="C1206" i="1" s="1"/>
  <c r="C1207" i="1" s="1"/>
  <c r="C1490" i="1" l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486" i="1"/>
  <c r="C1487" i="1" s="1"/>
  <c r="C1488" i="1" s="1"/>
  <c r="C1489" i="1" s="1"/>
  <c r="B1490" i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486" i="1"/>
  <c r="B1487" i="1" s="1"/>
  <c r="B1488" i="1" s="1"/>
  <c r="B1489" i="1" s="1"/>
  <c r="F614" i="1"/>
  <c r="F655" i="1"/>
  <c r="G614" i="1"/>
  <c r="G655" i="1"/>
  <c r="H655" i="1"/>
  <c r="H614" i="1"/>
  <c r="I655" i="1"/>
  <c r="I614" i="1"/>
  <c r="J655" i="1"/>
  <c r="J614" i="1"/>
  <c r="K614" i="1"/>
  <c r="K655" i="1"/>
  <c r="B1508" i="1" l="1"/>
  <c r="B1513" i="1"/>
  <c r="C1508" i="1"/>
  <c r="C1513" i="1"/>
  <c r="C1514" i="1" l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509" i="1"/>
  <c r="C1510" i="1" s="1"/>
  <c r="C1511" i="1" s="1"/>
  <c r="C1512" i="1" s="1"/>
  <c r="B1514" i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509" i="1"/>
  <c r="B1510" i="1" s="1"/>
  <c r="B1511" i="1" s="1"/>
  <c r="B1512" i="1" s="1"/>
  <c r="B1658" i="1" l="1"/>
  <c r="B1663" i="1"/>
  <c r="C1658" i="1"/>
  <c r="C1663" i="1"/>
  <c r="B1659" i="1"/>
  <c r="B1660" i="1" s="1"/>
  <c r="B1661" i="1" s="1"/>
  <c r="B1662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664" i="1"/>
  <c r="C1659" i="1"/>
  <c r="C1664" i="1"/>
  <c r="B1665" i="1"/>
  <c r="C1660" i="1"/>
  <c r="C1661" i="1" s="1"/>
  <c r="C1662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66" i="1" s="1"/>
  <c r="C1767" i="1" s="1"/>
  <c r="C1768" i="1" s="1"/>
  <c r="C1769" i="1" s="1"/>
  <c r="C1770" i="1" s="1"/>
  <c r="C1665" i="1"/>
  <c r="K583" i="1"/>
  <c r="J583" i="1"/>
  <c r="I583" i="1"/>
  <c r="H583" i="1"/>
  <c r="G583" i="1"/>
  <c r="F583" i="1"/>
  <c r="C1758" i="1" l="1"/>
  <c r="B1766" i="1"/>
  <c r="B1767" i="1" s="1"/>
  <c r="B1768" i="1" s="1"/>
  <c r="B1769" i="1" s="1"/>
  <c r="B1770" i="1" s="1"/>
  <c r="B1759" i="1"/>
  <c r="B1760" i="1" s="1"/>
  <c r="B1761" i="1" s="1"/>
  <c r="B1762" i="1" s="1"/>
  <c r="B1763" i="1" s="1"/>
  <c r="B1764" i="1" s="1"/>
  <c r="B1765" i="1" s="1"/>
  <c r="C1759" i="1"/>
  <c r="C1760" i="1" s="1"/>
  <c r="C1761" i="1" s="1"/>
  <c r="C1762" i="1" s="1"/>
  <c r="C1763" i="1" s="1"/>
  <c r="C1764" i="1" s="1"/>
  <c r="C1765" i="1" s="1"/>
  <c r="C1771" i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B1771" i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G443" i="1"/>
  <c r="F443" i="1"/>
  <c r="H443" i="1"/>
  <c r="I443" i="1"/>
  <c r="J443" i="1"/>
  <c r="K443" i="1"/>
  <c r="C1787" i="1" l="1"/>
  <c r="C1788" i="1" s="1"/>
  <c r="C1789" i="1" s="1"/>
  <c r="C1790" i="1" s="1"/>
  <c r="C1791" i="1" s="1"/>
  <c r="C1792" i="1" s="1"/>
  <c r="B1787" i="1"/>
  <c r="B1788" i="1" s="1"/>
  <c r="B1789" i="1" s="1"/>
  <c r="B1790" i="1" s="1"/>
  <c r="B1791" i="1" s="1"/>
  <c r="B1792" i="1" s="1"/>
  <c r="F892" i="1"/>
  <c r="G892" i="1"/>
  <c r="H892" i="1"/>
  <c r="I892" i="1"/>
  <c r="J892" i="1"/>
  <c r="K892" i="1"/>
  <c r="B1793" i="1" l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11" i="1" s="1"/>
  <c r="B1812" i="1" s="1"/>
  <c r="B1809" i="1" s="1"/>
  <c r="C1793" i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11" i="1" s="1"/>
  <c r="C1812" i="1" s="1"/>
  <c r="C1809" i="1" s="1"/>
  <c r="G891" i="1"/>
  <c r="G888" i="1" s="1"/>
  <c r="G889" i="1"/>
  <c r="H891" i="1"/>
  <c r="H888" i="1" s="1"/>
  <c r="H889" i="1"/>
  <c r="I889" i="1"/>
  <c r="I891" i="1"/>
  <c r="I888" i="1" s="1"/>
  <c r="K889" i="1"/>
  <c r="K891" i="1"/>
  <c r="K888" i="1" s="1"/>
  <c r="F891" i="1"/>
  <c r="F888" i="1" s="1"/>
  <c r="F889" i="1"/>
  <c r="J889" i="1"/>
  <c r="J891" i="1"/>
  <c r="J888" i="1" s="1"/>
  <c r="C1813" i="1" l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1810" i="1"/>
  <c r="B1810" i="1"/>
  <c r="B1813" i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I887" i="1"/>
  <c r="I958" i="1"/>
  <c r="F887" i="1"/>
  <c r="F958" i="1"/>
  <c r="J887" i="1"/>
  <c r="J958" i="1"/>
  <c r="K887" i="1"/>
  <c r="K958" i="1"/>
  <c r="H887" i="1"/>
  <c r="H958" i="1"/>
  <c r="G887" i="1"/>
  <c r="G958" i="1"/>
  <c r="K511" i="1"/>
  <c r="J511" i="1"/>
  <c r="I511" i="1"/>
  <c r="H511" i="1"/>
  <c r="G511" i="1"/>
  <c r="F511" i="1"/>
  <c r="B1814" i="1" l="1"/>
  <c r="B1815" i="1" s="1"/>
  <c r="B1816" i="1" s="1"/>
  <c r="B1817" i="1" s="1"/>
  <c r="B1818" i="1" s="1"/>
  <c r="B1819" i="1" s="1"/>
  <c r="B1820" i="1" s="1"/>
  <c r="B1821" i="1" s="1"/>
  <c r="B1822" i="1" s="1"/>
  <c r="B1885" i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C1814" i="1"/>
  <c r="C1815" i="1" s="1"/>
  <c r="C1816" i="1" s="1"/>
  <c r="C1817" i="1" s="1"/>
  <c r="C1818" i="1" s="1"/>
  <c r="C1819" i="1" s="1"/>
  <c r="C1820" i="1" s="1"/>
  <c r="C1821" i="1" s="1"/>
  <c r="C1822" i="1" s="1"/>
  <c r="C1885" i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K923" i="1"/>
  <c r="J923" i="1"/>
  <c r="I923" i="1"/>
  <c r="H923" i="1"/>
  <c r="G923" i="1"/>
  <c r="F923" i="1"/>
  <c r="K817" i="1"/>
  <c r="J817" i="1"/>
  <c r="I817" i="1"/>
  <c r="H817" i="1"/>
  <c r="G817" i="1"/>
  <c r="F817" i="1"/>
  <c r="K812" i="1"/>
  <c r="J812" i="1"/>
  <c r="I812" i="1"/>
  <c r="H812" i="1"/>
  <c r="G812" i="1"/>
  <c r="F812" i="1"/>
  <c r="K790" i="1"/>
  <c r="J790" i="1"/>
  <c r="I790" i="1"/>
  <c r="H790" i="1"/>
  <c r="G790" i="1"/>
  <c r="F790" i="1"/>
  <c r="B2233" i="1" l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34" i="1"/>
  <c r="C2233" i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34" i="1"/>
  <c r="B1903" i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2114" i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C1903" i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2114" i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B1823" i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24" i="1"/>
  <c r="C1823" i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24" i="1"/>
  <c r="K917" i="1"/>
  <c r="K882" i="1" s="1"/>
  <c r="H5" i="4" s="1"/>
  <c r="K970" i="1"/>
  <c r="J917" i="1"/>
  <c r="J882" i="1" s="1"/>
  <c r="G5" i="4" s="1"/>
  <c r="J970" i="1"/>
  <c r="G917" i="1"/>
  <c r="G970" i="1"/>
  <c r="F917" i="1"/>
  <c r="F970" i="1"/>
  <c r="H917" i="1"/>
  <c r="H882" i="1" s="1"/>
  <c r="E5" i="4" s="1"/>
  <c r="H970" i="1"/>
  <c r="I917" i="1"/>
  <c r="I970" i="1"/>
  <c r="F808" i="1"/>
  <c r="F810" i="1" s="1"/>
  <c r="G808" i="1"/>
  <c r="G810" i="1" s="1"/>
  <c r="I882" i="1"/>
  <c r="F5" i="4" s="1"/>
  <c r="I808" i="1"/>
  <c r="I810" i="1" s="1"/>
  <c r="K808" i="1"/>
  <c r="K810" i="1" s="1"/>
  <c r="H808" i="1"/>
  <c r="H810" i="1" s="1"/>
  <c r="J808" i="1"/>
  <c r="J810" i="1" s="1"/>
  <c r="B1954" i="1" l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165" i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C1954" i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165" i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G882" i="1"/>
  <c r="D5" i="4" s="1"/>
  <c r="F882" i="1"/>
  <c r="C5" i="4" s="1"/>
  <c r="B2022" i="1" l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313" i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C2022" i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313" i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I844" i="1"/>
  <c r="I877" i="1"/>
  <c r="G844" i="1"/>
  <c r="G877" i="1"/>
  <c r="F846" i="1"/>
  <c r="F878" i="1"/>
  <c r="H844" i="1"/>
  <c r="H877" i="1"/>
  <c r="K844" i="1"/>
  <c r="K877" i="1"/>
  <c r="G846" i="1"/>
  <c r="G878" i="1"/>
  <c r="I846" i="1"/>
  <c r="I878" i="1"/>
  <c r="J846" i="1"/>
  <c r="J878" i="1"/>
  <c r="F848" i="1"/>
  <c r="F879" i="1"/>
  <c r="J848" i="1"/>
  <c r="J879" i="1"/>
  <c r="F844" i="1"/>
  <c r="F877" i="1"/>
  <c r="J844" i="1"/>
  <c r="J877" i="1"/>
  <c r="H846" i="1"/>
  <c r="H878" i="1"/>
  <c r="K846" i="1"/>
  <c r="K878" i="1"/>
  <c r="G848" i="1"/>
  <c r="G879" i="1"/>
  <c r="H848" i="1"/>
  <c r="H879" i="1"/>
  <c r="I848" i="1"/>
  <c r="I879" i="1"/>
  <c r="K848" i="1"/>
  <c r="K879" i="1"/>
  <c r="F830" i="1"/>
  <c r="F866" i="1"/>
  <c r="G830" i="1"/>
  <c r="G866" i="1"/>
  <c r="H830" i="1"/>
  <c r="H866" i="1"/>
  <c r="J830" i="1"/>
  <c r="J866" i="1"/>
  <c r="K830" i="1"/>
  <c r="K866" i="1"/>
  <c r="I830" i="1"/>
  <c r="I866" i="1"/>
  <c r="F708" i="1" l="1"/>
  <c r="I703" i="1"/>
  <c r="J703" i="1"/>
  <c r="K703" i="1"/>
  <c r="G705" i="1"/>
  <c r="H705" i="1"/>
  <c r="I705" i="1"/>
  <c r="J705" i="1"/>
  <c r="K705" i="1"/>
  <c r="F703" i="1"/>
  <c r="F705" i="1"/>
  <c r="J708" i="1" l="1"/>
  <c r="I708" i="1"/>
  <c r="G708" i="1"/>
  <c r="K708" i="1"/>
  <c r="H708" i="1"/>
  <c r="H672" i="1"/>
  <c r="H703" i="1"/>
  <c r="G672" i="1"/>
  <c r="G703" i="1"/>
  <c r="H702" i="1"/>
  <c r="F702" i="1"/>
  <c r="K702" i="1"/>
  <c r="J702" i="1"/>
  <c r="F694" i="1"/>
  <c r="F691" i="1" s="1"/>
  <c r="I702" i="1"/>
  <c r="G694" i="1" l="1"/>
  <c r="G691" i="1" s="1"/>
  <c r="H694" i="1"/>
  <c r="H691" i="1" s="1"/>
  <c r="J676" i="1"/>
  <c r="J662" i="1" s="1"/>
  <c r="J704" i="1"/>
  <c r="I676" i="1"/>
  <c r="I662" i="1" s="1"/>
  <c r="I704" i="1"/>
  <c r="K676" i="1"/>
  <c r="K662" i="1" s="1"/>
  <c r="K704" i="1"/>
  <c r="F676" i="1"/>
  <c r="F662" i="1" s="1"/>
  <c r="F704" i="1"/>
  <c r="H676" i="1"/>
  <c r="H662" i="1" s="1"/>
  <c r="H704" i="1"/>
  <c r="G676" i="1"/>
  <c r="G662" i="1" s="1"/>
  <c r="G704" i="1"/>
  <c r="G693" i="1"/>
  <c r="G690" i="1" s="1"/>
  <c r="G702" i="1"/>
  <c r="F672" i="1"/>
  <c r="J672" i="1"/>
  <c r="J694" i="1"/>
  <c r="J691" i="1" s="1"/>
  <c r="I672" i="1"/>
  <c r="I694" i="1"/>
  <c r="I691" i="1" s="1"/>
  <c r="K672" i="1"/>
  <c r="K694" i="1"/>
  <c r="K691" i="1" s="1"/>
  <c r="J671" i="1"/>
  <c r="G692" i="1" l="1"/>
  <c r="G689" i="1" s="1"/>
  <c r="G673" i="1"/>
  <c r="G670" i="1" s="1"/>
  <c r="G671" i="1"/>
  <c r="J673" i="1"/>
  <c r="J670" i="1" s="1"/>
  <c r="J693" i="1"/>
  <c r="K673" i="1"/>
  <c r="K670" i="1" s="1"/>
  <c r="K693" i="1"/>
  <c r="F673" i="1"/>
  <c r="F670" i="1" s="1"/>
  <c r="F693" i="1"/>
  <c r="H673" i="1"/>
  <c r="H670" i="1" s="1"/>
  <c r="H693" i="1"/>
  <c r="I671" i="1"/>
  <c r="I693" i="1"/>
  <c r="I673" i="1"/>
  <c r="I670" i="1" s="1"/>
  <c r="F671" i="1"/>
  <c r="H671" i="1"/>
  <c r="K671" i="1"/>
  <c r="I692" i="1" l="1"/>
  <c r="I689" i="1" s="1"/>
  <c r="I690" i="1"/>
  <c r="H692" i="1"/>
  <c r="H689" i="1" s="1"/>
  <c r="H690" i="1"/>
  <c r="J692" i="1"/>
  <c r="J689" i="1" s="1"/>
  <c r="J690" i="1"/>
  <c r="F692" i="1"/>
  <c r="F689" i="1" s="1"/>
  <c r="F690" i="1"/>
  <c r="K692" i="1"/>
  <c r="K689" i="1" s="1"/>
  <c r="K690" i="1"/>
  <c r="K777" i="1" l="1"/>
  <c r="J777" i="1"/>
  <c r="I777" i="1"/>
  <c r="H777" i="1"/>
  <c r="G777" i="1" l="1"/>
  <c r="F777" i="1"/>
  <c r="K859" i="1" l="1"/>
  <c r="J859" i="1"/>
  <c r="I859" i="1"/>
  <c r="H859" i="1"/>
  <c r="G859" i="1"/>
  <c r="F859" i="1"/>
  <c r="G850" i="1" l="1"/>
  <c r="G880" i="1"/>
  <c r="F850" i="1"/>
  <c r="F880" i="1"/>
  <c r="I850" i="1"/>
  <c r="I880" i="1"/>
  <c r="K850" i="1"/>
  <c r="K880" i="1"/>
  <c r="H850" i="1"/>
  <c r="H880" i="1"/>
  <c r="J850" i="1"/>
  <c r="J880" i="1"/>
  <c r="J864" i="1"/>
  <c r="K864" i="1"/>
  <c r="H864" i="1"/>
  <c r="G864" i="1"/>
  <c r="F864" i="1"/>
  <c r="I864" i="1"/>
  <c r="K75" i="1" l="1"/>
  <c r="J75" i="1"/>
  <c r="I75" i="1"/>
  <c r="H75" i="1"/>
  <c r="G75" i="1"/>
  <c r="K957" i="1" l="1"/>
  <c r="J957" i="1"/>
  <c r="I957" i="1"/>
  <c r="H957" i="1"/>
  <c r="G957" i="1"/>
  <c r="F957" i="1"/>
  <c r="F876" i="1"/>
  <c r="H832" i="1"/>
  <c r="K765" i="1"/>
  <c r="K858" i="1" s="1"/>
  <c r="J765" i="1"/>
  <c r="J858" i="1" s="1"/>
  <c r="I765" i="1"/>
  <c r="I858" i="1" s="1"/>
  <c r="H765" i="1"/>
  <c r="H858" i="1" s="1"/>
  <c r="G765" i="1"/>
  <c r="G858" i="1" s="1"/>
  <c r="F765" i="1"/>
  <c r="F858" i="1" s="1"/>
  <c r="G832" i="1" l="1"/>
  <c r="F832" i="1"/>
  <c r="F852" i="1"/>
  <c r="F881" i="1"/>
  <c r="H852" i="1"/>
  <c r="H881" i="1"/>
  <c r="J852" i="1"/>
  <c r="J881" i="1"/>
  <c r="I832" i="1"/>
  <c r="K852" i="1"/>
  <c r="K881" i="1"/>
  <c r="G852" i="1"/>
  <c r="G881" i="1"/>
  <c r="I852" i="1"/>
  <c r="I881" i="1"/>
  <c r="K854" i="1"/>
  <c r="G823" i="1"/>
  <c r="I823" i="1"/>
  <c r="J823" i="1"/>
  <c r="F826" i="1"/>
  <c r="H823" i="1"/>
  <c r="K823" i="1"/>
  <c r="G826" i="1"/>
  <c r="H826" i="1"/>
  <c r="I826" i="1"/>
  <c r="J826" i="1"/>
  <c r="K826" i="1"/>
  <c r="J832" i="1"/>
  <c r="F854" i="1"/>
  <c r="K832" i="1"/>
  <c r="G854" i="1"/>
  <c r="H854" i="1"/>
  <c r="I854" i="1"/>
  <c r="F823" i="1"/>
  <c r="J854" i="1"/>
  <c r="F75" i="1"/>
  <c r="J860" i="1" l="1"/>
  <c r="J819" i="1"/>
  <c r="I860" i="1"/>
  <c r="I819" i="1"/>
  <c r="H860" i="1"/>
  <c r="H819" i="1"/>
  <c r="F860" i="1"/>
  <c r="F819" i="1"/>
  <c r="G860" i="1"/>
  <c r="G819" i="1"/>
  <c r="K860" i="1"/>
  <c r="K819" i="1"/>
  <c r="G775" i="1" l="1"/>
  <c r="G770" i="1" s="1"/>
  <c r="G862" i="1" s="1"/>
  <c r="G771" i="1" l="1"/>
  <c r="G768" i="1" s="1"/>
  <c r="G773" i="1"/>
  <c r="G769" i="1" s="1"/>
  <c r="G861" i="1" s="1"/>
  <c r="G784" i="1" l="1"/>
  <c r="G763" i="1"/>
  <c r="D4" i="4" s="1"/>
  <c r="D3" i="4" s="1"/>
  <c r="G785" i="1"/>
  <c r="G863" i="1"/>
  <c r="G781" i="1"/>
  <c r="G865" i="1" s="1"/>
  <c r="F863" i="1" l="1"/>
  <c r="I863" i="1"/>
  <c r="K863" i="1"/>
  <c r="F784" i="1"/>
  <c r="K775" i="1"/>
  <c r="K770" i="1" s="1"/>
  <c r="K862" i="1" s="1"/>
  <c r="J775" i="1"/>
  <c r="J770" i="1" s="1"/>
  <c r="J862" i="1" s="1"/>
  <c r="I775" i="1"/>
  <c r="I770" i="1" s="1"/>
  <c r="I862" i="1" s="1"/>
  <c r="H775" i="1"/>
  <c r="H770" i="1" s="1"/>
  <c r="H862" i="1" s="1"/>
  <c r="F775" i="1"/>
  <c r="F770" i="1" s="1"/>
  <c r="F862" i="1" s="1"/>
  <c r="I784" i="1" l="1"/>
  <c r="K784" i="1"/>
  <c r="H784" i="1"/>
  <c r="J784" i="1"/>
  <c r="J863" i="1"/>
  <c r="H785" i="1"/>
  <c r="H863" i="1"/>
  <c r="J781" i="1"/>
  <c r="J865" i="1" s="1"/>
  <c r="K781" i="1"/>
  <c r="K865" i="1" s="1"/>
  <c r="I785" i="1"/>
  <c r="I781" i="1"/>
  <c r="I865" i="1" s="1"/>
  <c r="F781" i="1"/>
  <c r="F865" i="1" s="1"/>
  <c r="J785" i="1"/>
  <c r="H781" i="1"/>
  <c r="H865" i="1" s="1"/>
  <c r="K785" i="1"/>
  <c r="H773" i="1"/>
  <c r="H769" i="1" s="1"/>
  <c r="H861" i="1" s="1"/>
  <c r="H771" i="1"/>
  <c r="H768" i="1" s="1"/>
  <c r="H763" i="1" s="1"/>
  <c r="E4" i="4" s="1"/>
  <c r="E3" i="4" s="1"/>
  <c r="I771" i="1"/>
  <c r="I768" i="1" s="1"/>
  <c r="I773" i="1"/>
  <c r="I769" i="1" s="1"/>
  <c r="I861" i="1" s="1"/>
  <c r="J773" i="1"/>
  <c r="J769" i="1" s="1"/>
  <c r="J861" i="1" s="1"/>
  <c r="J771" i="1"/>
  <c r="J768" i="1" s="1"/>
  <c r="F771" i="1"/>
  <c r="F768" i="1" s="1"/>
  <c r="F773" i="1"/>
  <c r="F769" i="1" s="1"/>
  <c r="F861" i="1" s="1"/>
  <c r="K773" i="1"/>
  <c r="K769" i="1" s="1"/>
  <c r="K861" i="1" s="1"/>
  <c r="K771" i="1"/>
  <c r="K768" i="1" s="1"/>
  <c r="F785" i="1"/>
  <c r="K763" i="1" l="1"/>
  <c r="H4" i="4" s="1"/>
  <c r="H3" i="4" s="1"/>
  <c r="F763" i="1"/>
  <c r="C4" i="4" s="1"/>
  <c r="C3" i="4" s="1"/>
  <c r="J763" i="1"/>
  <c r="G4" i="4" s="1"/>
  <c r="G3" i="4" s="1"/>
  <c r="I763" i="1"/>
  <c r="F4" i="4" s="1"/>
  <c r="F3" i="4" s="1"/>
  <c r="E519" i="1" l="1"/>
  <c r="E518" i="1"/>
  <c r="E514" i="1"/>
  <c r="E513" i="1"/>
  <c r="E512" i="1"/>
  <c r="E511" i="1"/>
  <c r="E510" i="1"/>
  <c r="E509" i="1"/>
  <c r="E498" i="1"/>
  <c r="E497" i="1"/>
  <c r="E496" i="1"/>
  <c r="E488" i="1"/>
  <c r="E487" i="1"/>
  <c r="E486" i="1"/>
  <c r="E485" i="1"/>
  <c r="E477" i="1"/>
  <c r="E476" i="1"/>
  <c r="E475" i="1"/>
  <c r="E491" i="1" s="1"/>
  <c r="E474" i="1"/>
  <c r="C409" i="1"/>
  <c r="B409" i="1"/>
  <c r="F389" i="1" l="1"/>
  <c r="G389" i="1"/>
  <c r="I389" i="1"/>
  <c r="H389" i="1"/>
  <c r="J389" i="1"/>
  <c r="K389" i="1"/>
  <c r="K461" i="1"/>
  <c r="J461" i="1"/>
  <c r="I461" i="1"/>
  <c r="H461" i="1"/>
  <c r="G461" i="1"/>
  <c r="F461" i="1"/>
  <c r="K459" i="1" l="1"/>
  <c r="J459" i="1"/>
  <c r="I459" i="1"/>
  <c r="H459" i="1"/>
  <c r="G459" i="1"/>
  <c r="F459" i="1"/>
  <c r="K457" i="1" l="1"/>
  <c r="J457" i="1"/>
  <c r="I457" i="1"/>
  <c r="H457" i="1"/>
  <c r="G457" i="1"/>
  <c r="F457" i="1"/>
  <c r="K455" i="1"/>
  <c r="J455" i="1"/>
  <c r="I455" i="1"/>
  <c r="H455" i="1"/>
  <c r="G455" i="1"/>
  <c r="F455" i="1"/>
  <c r="K447" i="1"/>
  <c r="J447" i="1"/>
  <c r="I447" i="1"/>
  <c r="H447" i="1"/>
  <c r="G447" i="1"/>
  <c r="F447" i="1"/>
  <c r="F445" i="1" l="1"/>
  <c r="F442" i="1" s="1"/>
  <c r="F441" i="1" s="1"/>
  <c r="G445" i="1"/>
  <c r="G442" i="1" s="1"/>
  <c r="G441" i="1" s="1"/>
  <c r="H445" i="1"/>
  <c r="H442" i="1" s="1"/>
  <c r="H441" i="1" s="1"/>
  <c r="I445" i="1"/>
  <c r="I442" i="1" s="1"/>
  <c r="I441" i="1" s="1"/>
  <c r="J445" i="1"/>
  <c r="J442" i="1" s="1"/>
  <c r="J441" i="1" s="1"/>
  <c r="K445" i="1"/>
  <c r="K442" i="1" s="1"/>
  <c r="K441" i="1" s="1"/>
  <c r="F452" i="1"/>
  <c r="F451" i="1" s="1"/>
  <c r="F449" i="1"/>
  <c r="G452" i="1"/>
  <c r="G451" i="1" s="1"/>
  <c r="G449" i="1"/>
  <c r="H452" i="1"/>
  <c r="H451" i="1" s="1"/>
  <c r="H449" i="1"/>
  <c r="I452" i="1"/>
  <c r="I451" i="1" s="1"/>
  <c r="I449" i="1"/>
  <c r="J449" i="1"/>
  <c r="J452" i="1"/>
  <c r="J451" i="1" s="1"/>
  <c r="K449" i="1"/>
  <c r="K452" i="1"/>
  <c r="K451" i="1" s="1"/>
  <c r="I440" i="1" l="1"/>
  <c r="G440" i="1"/>
  <c r="H440" i="1"/>
  <c r="F440" i="1"/>
  <c r="K440" i="1"/>
  <c r="J440" i="1"/>
  <c r="K387" i="1" l="1"/>
  <c r="I387" i="1" l="1"/>
  <c r="J387" i="1"/>
  <c r="F387" i="1"/>
  <c r="G387" i="1"/>
  <c r="H387" i="1"/>
  <c r="G401" i="1" l="1"/>
  <c r="H401" i="1"/>
  <c r="I401" i="1"/>
  <c r="J401" i="1"/>
  <c r="K401" i="1"/>
  <c r="F401" i="1" l="1"/>
  <c r="G526" i="1" l="1"/>
  <c r="H526" i="1"/>
  <c r="I526" i="1"/>
  <c r="J526" i="1"/>
  <c r="K526" i="1"/>
  <c r="F526" i="1"/>
  <c r="K292" i="1"/>
  <c r="J292" i="1"/>
  <c r="I292" i="1"/>
  <c r="H292" i="1"/>
  <c r="G292" i="1"/>
  <c r="F292" i="1"/>
  <c r="K911" i="1"/>
  <c r="K907" i="1" s="1"/>
  <c r="J911" i="1"/>
  <c r="J907" i="1" s="1"/>
  <c r="I911" i="1"/>
  <c r="I907" i="1" s="1"/>
  <c r="H911" i="1"/>
  <c r="H907" i="1" s="1"/>
  <c r="G911" i="1"/>
  <c r="G907" i="1" s="1"/>
  <c r="F911" i="1"/>
  <c r="F907" i="1" s="1"/>
  <c r="E288" i="1"/>
  <c r="K1046" i="1"/>
  <c r="J1046" i="1"/>
  <c r="I1046" i="1"/>
  <c r="E282" i="1"/>
  <c r="E279" i="1"/>
  <c r="K276" i="1"/>
  <c r="J276" i="1"/>
  <c r="I276" i="1"/>
  <c r="H276" i="1"/>
  <c r="G276" i="1"/>
  <c r="F276" i="1"/>
  <c r="G1044" i="1"/>
  <c r="I1045" i="1"/>
  <c r="J1045" i="1"/>
  <c r="F1045" i="1"/>
  <c r="E258" i="1"/>
  <c r="E257" i="1"/>
  <c r="E256" i="1"/>
  <c r="E255" i="1"/>
  <c r="E109" i="1"/>
  <c r="E110" i="1"/>
  <c r="E111" i="1"/>
  <c r="E112" i="1"/>
  <c r="E113" i="1"/>
  <c r="K78" i="1"/>
  <c r="J78" i="1"/>
  <c r="I78" i="1"/>
  <c r="H78" i="1"/>
  <c r="G78" i="1"/>
  <c r="F78" i="1"/>
  <c r="G184" i="1"/>
  <c r="H184" i="1"/>
  <c r="I184" i="1"/>
  <c r="J184" i="1"/>
  <c r="K184" i="1"/>
  <c r="K801" i="1"/>
  <c r="J801" i="1"/>
  <c r="I801" i="1"/>
  <c r="H801" i="1"/>
  <c r="G801" i="1"/>
  <c r="F801" i="1"/>
  <c r="G294" i="1" l="1"/>
  <c r="H294" i="1"/>
  <c r="H1045" i="1"/>
  <c r="F294" i="1"/>
  <c r="G1045" i="1"/>
  <c r="K294" i="1"/>
  <c r="K1044" i="1"/>
  <c r="J1044" i="1"/>
  <c r="J1043" i="1" s="1"/>
  <c r="I1044" i="1"/>
  <c r="I1043" i="1" s="1"/>
  <c r="H1044" i="1"/>
  <c r="F1046" i="1"/>
  <c r="F1044" i="1"/>
  <c r="G1046" i="1"/>
  <c r="K1045" i="1"/>
  <c r="H1046" i="1"/>
  <c r="F912" i="1"/>
  <c r="F967" i="1" s="1"/>
  <c r="K912" i="1"/>
  <c r="K967" i="1" s="1"/>
  <c r="I912" i="1"/>
  <c r="I967" i="1" s="1"/>
  <c r="H912" i="1"/>
  <c r="H967" i="1" s="1"/>
  <c r="J912" i="1"/>
  <c r="J967" i="1" s="1"/>
  <c r="G912" i="1"/>
  <c r="G967" i="1" s="1"/>
  <c r="F281" i="1"/>
  <c r="F798" i="1"/>
  <c r="J281" i="1"/>
  <c r="J798" i="1"/>
  <c r="K281" i="1"/>
  <c r="K798" i="1"/>
  <c r="I281" i="1"/>
  <c r="I798" i="1"/>
  <c r="G281" i="1"/>
  <c r="G798" i="1"/>
  <c r="F799" i="1"/>
  <c r="F800" i="1"/>
  <c r="H281" i="1"/>
  <c r="H798" i="1"/>
  <c r="J799" i="1"/>
  <c r="J800" i="1"/>
  <c r="I799" i="1"/>
  <c r="I800" i="1"/>
  <c r="H799" i="1"/>
  <c r="H800" i="1"/>
  <c r="G799" i="1"/>
  <c r="G800" i="1"/>
  <c r="K799" i="1"/>
  <c r="K800" i="1"/>
  <c r="F288" i="1"/>
  <c r="J294" i="1"/>
  <c r="G288" i="1"/>
  <c r="I294" i="1"/>
  <c r="H288" i="1"/>
  <c r="H304" i="1"/>
  <c r="J288" i="1"/>
  <c r="I304" i="1"/>
  <c r="K288" i="1"/>
  <c r="I288" i="1"/>
  <c r="G412" i="1"/>
  <c r="G303" i="1"/>
  <c r="I303" i="1"/>
  <c r="H303" i="1"/>
  <c r="F303" i="1"/>
  <c r="J303" i="1"/>
  <c r="K303" i="1"/>
  <c r="G70" i="1"/>
  <c r="I70" i="1"/>
  <c r="K70" i="1"/>
  <c r="H70" i="1"/>
  <c r="J70" i="1"/>
  <c r="F70" i="1"/>
  <c r="K795" i="1"/>
  <c r="J795" i="1"/>
  <c r="I795" i="1"/>
  <c r="H795" i="1"/>
  <c r="G795" i="1"/>
  <c r="F795" i="1"/>
  <c r="K1043" i="1" l="1"/>
  <c r="H1043" i="1"/>
  <c r="G1043" i="1"/>
  <c r="F1043" i="1"/>
  <c r="F1095" i="1" s="1"/>
  <c r="I1096" i="1"/>
  <c r="I1095" i="1"/>
  <c r="I1097" i="1"/>
  <c r="J1095" i="1"/>
  <c r="J1097" i="1"/>
  <c r="J1096" i="1"/>
  <c r="I1047" i="1"/>
  <c r="I1071" i="1"/>
  <c r="I1070" i="1"/>
  <c r="I1069" i="1"/>
  <c r="J1047" i="1"/>
  <c r="J1070" i="1"/>
  <c r="J1069" i="1"/>
  <c r="J1071" i="1"/>
  <c r="F940" i="1"/>
  <c r="F963" i="1" s="1"/>
  <c r="G943" i="1"/>
  <c r="G966" i="1" s="1"/>
  <c r="F943" i="1"/>
  <c r="F966" i="1" s="1"/>
  <c r="H939" i="1"/>
  <c r="H962" i="1" s="1"/>
  <c r="K942" i="1"/>
  <c r="K965" i="1" s="1"/>
  <c r="I939" i="1"/>
  <c r="I962" i="1" s="1"/>
  <c r="J939" i="1"/>
  <c r="J962" i="1" s="1"/>
  <c r="J942" i="1"/>
  <c r="J965" i="1" s="1"/>
  <c r="I942" i="1"/>
  <c r="I965" i="1" s="1"/>
  <c r="K939" i="1"/>
  <c r="K962" i="1" s="1"/>
  <c r="K943" i="1"/>
  <c r="K966" i="1" s="1"/>
  <c r="F939" i="1"/>
  <c r="F962" i="1" s="1"/>
  <c r="G939" i="1"/>
  <c r="G962" i="1" s="1"/>
  <c r="G942" i="1"/>
  <c r="G965" i="1" s="1"/>
  <c r="I940" i="1"/>
  <c r="I963" i="1" s="1"/>
  <c r="I941" i="1"/>
  <c r="I964" i="1" s="1"/>
  <c r="G941" i="1"/>
  <c r="G964" i="1" s="1"/>
  <c r="J940" i="1"/>
  <c r="J963" i="1" s="1"/>
  <c r="F941" i="1"/>
  <c r="F964" i="1" s="1"/>
  <c r="H940" i="1"/>
  <c r="H963" i="1" s="1"/>
  <c r="H942" i="1"/>
  <c r="H965" i="1" s="1"/>
  <c r="J943" i="1"/>
  <c r="J966" i="1" s="1"/>
  <c r="H941" i="1"/>
  <c r="H964" i="1" s="1"/>
  <c r="J941" i="1"/>
  <c r="J964" i="1" s="1"/>
  <c r="F942" i="1"/>
  <c r="F965" i="1" s="1"/>
  <c r="H943" i="1"/>
  <c r="H966" i="1" s="1"/>
  <c r="K941" i="1"/>
  <c r="K964" i="1" s="1"/>
  <c r="I943" i="1"/>
  <c r="I966" i="1" s="1"/>
  <c r="K940" i="1"/>
  <c r="K963" i="1" s="1"/>
  <c r="G940" i="1"/>
  <c r="G963" i="1" s="1"/>
  <c r="H412" i="1"/>
  <c r="G282" i="1"/>
  <c r="H282" i="1"/>
  <c r="I282" i="1"/>
  <c r="F282" i="1"/>
  <c r="J282" i="1"/>
  <c r="K282" i="1"/>
  <c r="I412" i="1"/>
  <c r="G527" i="1"/>
  <c r="G304" i="1"/>
  <c r="G417" i="1"/>
  <c r="K412" i="1"/>
  <c r="K304" i="1"/>
  <c r="J412" i="1"/>
  <c r="J304" i="1"/>
  <c r="E268" i="1"/>
  <c r="E267" i="1"/>
  <c r="E266" i="1"/>
  <c r="E247" i="1"/>
  <c r="E246" i="1"/>
  <c r="E245" i="1"/>
  <c r="E261" i="1" s="1"/>
  <c r="E244" i="1"/>
  <c r="E289" i="1"/>
  <c r="E291" i="1" s="1"/>
  <c r="E284" i="1"/>
  <c r="E283" i="1"/>
  <c r="E281" i="1"/>
  <c r="E280" i="1"/>
  <c r="K1095" i="1" l="1"/>
  <c r="K1096" i="1"/>
  <c r="K1097" i="1"/>
  <c r="H1097" i="1"/>
  <c r="H1096" i="1"/>
  <c r="H1095" i="1"/>
  <c r="H1047" i="1"/>
  <c r="H1069" i="1"/>
  <c r="G1070" i="1"/>
  <c r="G1097" i="1"/>
  <c r="G1096" i="1"/>
  <c r="G1095" i="1"/>
  <c r="G1047" i="1"/>
  <c r="G1071" i="1"/>
  <c r="K1047" i="1"/>
  <c r="K1070" i="1"/>
  <c r="K1071" i="1"/>
  <c r="K1069" i="1"/>
  <c r="H1070" i="1"/>
  <c r="H1071" i="1"/>
  <c r="G1069" i="1"/>
  <c r="F1097" i="1"/>
  <c r="F1047" i="1"/>
  <c r="F1096" i="1"/>
  <c r="F1071" i="1"/>
  <c r="F1070" i="1"/>
  <c r="F1069" i="1"/>
  <c r="G415" i="1"/>
  <c r="G414" i="1" s="1"/>
  <c r="G416" i="1"/>
  <c r="H417" i="1"/>
  <c r="H527" i="1"/>
  <c r="I527" i="1"/>
  <c r="I417" i="1"/>
  <c r="K527" i="1"/>
  <c r="J527" i="1"/>
  <c r="K417" i="1"/>
  <c r="J417" i="1"/>
  <c r="E65" i="1"/>
  <c r="E67" i="1" s="1"/>
  <c r="E68" i="1" s="1"/>
  <c r="E69" i="1" s="1"/>
  <c r="E75" i="1" s="1"/>
  <c r="I48" i="1"/>
  <c r="I1737" i="1" s="1"/>
  <c r="H48" i="1"/>
  <c r="H1737" i="1" s="1"/>
  <c r="G48" i="1"/>
  <c r="G1737" i="1" s="1"/>
  <c r="F48" i="1"/>
  <c r="F1737" i="1" s="1"/>
  <c r="I47" i="1"/>
  <c r="H47" i="1"/>
  <c r="G47" i="1"/>
  <c r="F47" i="1"/>
  <c r="H1617" i="1" l="1"/>
  <c r="H1570" i="1"/>
  <c r="H1428" i="1"/>
  <c r="H1344" i="1"/>
  <c r="H1343" i="1" s="1"/>
  <c r="H1342" i="1" s="1"/>
  <c r="H1206" i="1"/>
  <c r="G1570" i="1"/>
  <c r="G1617" i="1"/>
  <c r="G1428" i="1"/>
  <c r="G1427" i="1" s="1"/>
  <c r="G1426" i="1" s="1"/>
  <c r="G1344" i="1"/>
  <c r="G1343" i="1" s="1"/>
  <c r="G1342" i="1" s="1"/>
  <c r="G1206" i="1"/>
  <c r="G1205" i="1" s="1"/>
  <c r="G1204" i="1" s="1"/>
  <c r="F1617" i="1"/>
  <c r="F1570" i="1"/>
  <c r="F1569" i="1" s="1"/>
  <c r="F1568" i="1" s="1"/>
  <c r="F1428" i="1"/>
  <c r="F1344" i="1"/>
  <c r="F1206" i="1"/>
  <c r="I1570" i="1"/>
  <c r="I1617" i="1"/>
  <c r="I1428" i="1"/>
  <c r="I1427" i="1" s="1"/>
  <c r="I1426" i="1" s="1"/>
  <c r="I1344" i="1"/>
  <c r="I1343" i="1" s="1"/>
  <c r="I1342" i="1" s="1"/>
  <c r="I1206" i="1"/>
  <c r="I1205" i="1" s="1"/>
  <c r="I1204" i="1" s="1"/>
  <c r="F1616" i="1"/>
  <c r="F1615" i="1" s="1"/>
  <c r="F1427" i="1"/>
  <c r="F1426" i="1" s="1"/>
  <c r="F1343" i="1"/>
  <c r="F1342" i="1" s="1"/>
  <c r="F1205" i="1"/>
  <c r="F1204" i="1" s="1"/>
  <c r="H1616" i="1"/>
  <c r="H1615" i="1" s="1"/>
  <c r="H1569" i="1"/>
  <c r="H1568" i="1" s="1"/>
  <c r="I1616" i="1"/>
  <c r="I1615" i="1" s="1"/>
  <c r="I1569" i="1"/>
  <c r="I1568" i="1" s="1"/>
  <c r="H1427" i="1"/>
  <c r="H1426" i="1" s="1"/>
  <c r="H1205" i="1"/>
  <c r="H1204" i="1" s="1"/>
  <c r="G1616" i="1"/>
  <c r="G1615" i="1" s="1"/>
  <c r="G1569" i="1"/>
  <c r="G1568" i="1" s="1"/>
  <c r="F1736" i="1"/>
  <c r="G1736" i="1"/>
  <c r="H1736" i="1"/>
  <c r="I1736" i="1"/>
  <c r="F46" i="1"/>
  <c r="F1735" i="1" s="1"/>
  <c r="H46" i="1"/>
  <c r="H1735" i="1" s="1"/>
  <c r="G46" i="1"/>
  <c r="G1735" i="1" s="1"/>
  <c r="I46" i="1"/>
  <c r="I1735" i="1" s="1"/>
  <c r="J415" i="1"/>
  <c r="J414" i="1" s="1"/>
  <c r="J416" i="1"/>
  <c r="K415" i="1"/>
  <c r="K414" i="1" s="1"/>
  <c r="K416" i="1"/>
  <c r="I415" i="1"/>
  <c r="I414" i="1" s="1"/>
  <c r="I416" i="1"/>
  <c r="H415" i="1"/>
  <c r="H414" i="1" s="1"/>
  <c r="H416" i="1"/>
  <c r="E131" i="1"/>
  <c r="E132" i="1" s="1"/>
  <c r="E83" i="1" s="1"/>
  <c r="E84" i="1" s="1"/>
  <c r="E85" i="1" s="1"/>
  <c r="E86" i="1" s="1"/>
  <c r="E152" i="1" s="1"/>
  <c r="E133" i="1" s="1"/>
  <c r="E134" i="1" s="1"/>
  <c r="E76" i="1" s="1"/>
  <c r="E87" i="1" s="1"/>
  <c r="E170" i="1" s="1"/>
  <c r="E78" i="1"/>
  <c r="E74" i="1"/>
  <c r="E66" i="1"/>
  <c r="K47" i="1"/>
  <c r="J47" i="1"/>
  <c r="J1736" i="1" l="1"/>
  <c r="K1736" i="1"/>
  <c r="K46" i="1"/>
  <c r="K1735" i="1" s="1"/>
  <c r="J46" i="1"/>
  <c r="J1735" i="1" s="1"/>
  <c r="E153" i="1"/>
  <c r="E167" i="1" s="1"/>
  <c r="E183" i="1" s="1"/>
  <c r="E108" i="1" s="1"/>
  <c r="E211" i="1"/>
  <c r="E82" i="1"/>
  <c r="E182" i="1"/>
  <c r="E79" i="1"/>
  <c r="K49" i="1"/>
  <c r="K1428" i="1" s="1"/>
  <c r="J49" i="1"/>
  <c r="J1570" i="1" s="1"/>
  <c r="J1344" i="1" l="1"/>
  <c r="K1206" i="1"/>
  <c r="K1207" i="1"/>
  <c r="K1618" i="1"/>
  <c r="K1429" i="1"/>
  <c r="K1345" i="1"/>
  <c r="K1571" i="1"/>
  <c r="J1206" i="1"/>
  <c r="J1617" i="1"/>
  <c r="K1617" i="1"/>
  <c r="J1571" i="1"/>
  <c r="J1207" i="1"/>
  <c r="J1618" i="1"/>
  <c r="J1429" i="1"/>
  <c r="J1345" i="1"/>
  <c r="J1428" i="1"/>
  <c r="K1344" i="1"/>
  <c r="K1570" i="1"/>
  <c r="K1738" i="1"/>
  <c r="J1738" i="1"/>
  <c r="J48" i="1"/>
  <c r="J1737" i="1" s="1"/>
  <c r="K48" i="1"/>
  <c r="K1737" i="1" s="1"/>
  <c r="E210" i="1"/>
  <c r="E269" i="1" s="1"/>
  <c r="E160" i="1"/>
  <c r="E162" i="1" s="1"/>
  <c r="E278" i="1"/>
  <c r="E277" i="1"/>
  <c r="E107" i="1"/>
  <c r="J1569" i="1" l="1"/>
  <c r="J1568" i="1" s="1"/>
  <c r="K1569" i="1"/>
  <c r="K1568" i="1" s="1"/>
  <c r="K1616" i="1"/>
  <c r="K1615" i="1" s="1"/>
  <c r="J1616" i="1"/>
  <c r="J1615" i="1" s="1"/>
  <c r="K1427" i="1"/>
  <c r="K1426" i="1" s="1"/>
  <c r="J1427" i="1"/>
  <c r="J1426" i="1" s="1"/>
  <c r="J1205" i="1"/>
  <c r="J1204" i="1" s="1"/>
  <c r="J1343" i="1"/>
  <c r="J1342" i="1" s="1"/>
  <c r="K1343" i="1"/>
  <c r="K1342" i="1" s="1"/>
  <c r="K1205" i="1"/>
  <c r="K1204" i="1" s="1"/>
  <c r="E174" i="1"/>
  <c r="E163" i="1"/>
  <c r="E176" i="1"/>
  <c r="E251" i="1" l="1"/>
  <c r="E223" i="1"/>
  <c r="E99" i="1"/>
  <c r="E241" i="1"/>
  <c r="E287" i="1" s="1"/>
  <c r="E220" i="1"/>
  <c r="E222" i="1"/>
  <c r="E225" i="1"/>
  <c r="E252" i="1"/>
  <c r="E229" i="1"/>
  <c r="E231" i="1"/>
  <c r="E101" i="1"/>
  <c r="E254" i="1"/>
  <c r="E228" i="1"/>
  <c r="E248" i="1" s="1"/>
  <c r="E243" i="1"/>
  <c r="E164" i="1"/>
  <c r="E177" i="1"/>
  <c r="E259" i="1" l="1"/>
  <c r="E290" i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260" i="1"/>
  <c r="E263" i="1"/>
  <c r="E102" i="1"/>
  <c r="E232" i="1"/>
  <c r="E250" i="1" s="1"/>
  <c r="E230" i="1"/>
  <c r="E249" i="1" s="1"/>
  <c r="E165" i="1"/>
  <c r="E178" i="1"/>
  <c r="E396" i="1" l="1"/>
  <c r="E397" i="1" s="1"/>
  <c r="E440" i="1"/>
  <c r="E499" i="1" s="1"/>
  <c r="E411" i="1"/>
  <c r="E508" i="1" s="1"/>
  <c r="E264" i="1"/>
  <c r="E103" i="1"/>
  <c r="E166" i="1"/>
  <c r="E179" i="1"/>
  <c r="E273" i="1" s="1"/>
  <c r="E398" i="1" l="1"/>
  <c r="E443" i="1" s="1"/>
  <c r="E409" i="1"/>
  <c r="E265" i="1"/>
  <c r="E104" i="1"/>
  <c r="E88" i="1"/>
  <c r="E89" i="1" s="1"/>
  <c r="E77" i="1" s="1"/>
  <c r="E154" i="1" s="1"/>
  <c r="E180" i="1"/>
  <c r="E169" i="1"/>
  <c r="E181" i="1" s="1"/>
  <c r="E276" i="1" s="1"/>
  <c r="E506" i="1" l="1"/>
  <c r="E505" i="1"/>
  <c r="E399" i="1"/>
  <c r="E441" i="1"/>
  <c r="E410" i="1"/>
  <c r="E507" i="1" s="1"/>
  <c r="E155" i="1"/>
  <c r="E135" i="1" s="1"/>
  <c r="E136" i="1" s="1"/>
  <c r="E171" i="1" s="1"/>
  <c r="E168" i="1"/>
  <c r="E275" i="1"/>
  <c r="E106" i="1"/>
  <c r="E274" i="1"/>
  <c r="E105" i="1"/>
  <c r="E445" i="1" l="1"/>
  <c r="E466" i="1"/>
  <c r="E234" i="1"/>
  <c r="E236" i="1"/>
  <c r="E137" i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400" i="1"/>
  <c r="E468" i="1" s="1"/>
  <c r="E444" i="1"/>
  <c r="E442" i="1"/>
  <c r="E515" i="1" s="1"/>
  <c r="E464" i="1"/>
  <c r="E463" i="1"/>
  <c r="E500" i="1" s="1"/>
  <c r="E212" i="1"/>
  <c r="E285" i="1" s="1"/>
  <c r="E214" i="1"/>
  <c r="E90" i="1"/>
  <c r="E91" i="1" s="1"/>
  <c r="E92" i="1" s="1"/>
  <c r="E233" i="1"/>
  <c r="E270" i="1" s="1"/>
  <c r="E161" i="1"/>
  <c r="E175" i="1" s="1"/>
  <c r="E262" i="1" s="1"/>
  <c r="E80" i="1" l="1"/>
  <c r="E401" i="1"/>
  <c r="E451" i="1" s="1"/>
  <c r="E467" i="1"/>
  <c r="E465" i="1"/>
  <c r="E501" i="1" s="1"/>
  <c r="E446" i="1"/>
  <c r="E516" i="1" s="1"/>
  <c r="E447" i="1"/>
  <c r="E253" i="1"/>
  <c r="E227" i="1"/>
  <c r="E242" i="1"/>
  <c r="E100" i="1"/>
  <c r="E226" i="1"/>
  <c r="E224" i="1"/>
  <c r="E156" i="1"/>
  <c r="E93" i="1" s="1"/>
  <c r="E94" i="1" s="1"/>
  <c r="E157" i="1" s="1"/>
  <c r="E95" i="1" s="1"/>
  <c r="E96" i="1" s="1"/>
  <c r="E158" i="1" s="1"/>
  <c r="E172" i="1" s="1"/>
  <c r="E81" i="1"/>
  <c r="E73" i="1" s="1"/>
  <c r="E215" i="1" l="1"/>
  <c r="E238" i="1"/>
  <c r="E217" i="1"/>
  <c r="E213" i="1"/>
  <c r="E402" i="1"/>
  <c r="E453" i="1" s="1"/>
  <c r="E469" i="1"/>
  <c r="E502" i="1" s="1"/>
  <c r="E449" i="1"/>
  <c r="E470" i="1"/>
  <c r="E448" i="1"/>
  <c r="E235" i="1"/>
  <c r="E271" i="1" s="1"/>
  <c r="E237" i="1"/>
  <c r="E97" i="1"/>
  <c r="E159" i="1" s="1"/>
  <c r="E173" i="1" s="1"/>
  <c r="E216" i="1"/>
  <c r="E286" i="1" s="1"/>
  <c r="E240" i="1" l="1"/>
  <c r="E221" i="1"/>
  <c r="E403" i="1"/>
  <c r="E450" i="1"/>
  <c r="E482" i="1"/>
  <c r="E481" i="1"/>
  <c r="E455" i="1"/>
  <c r="E452" i="1"/>
  <c r="E471" i="1"/>
  <c r="E98" i="1"/>
  <c r="E219" i="1"/>
  <c r="E114" i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218" i="1"/>
  <c r="E239" i="1"/>
  <c r="E272" i="1" s="1"/>
  <c r="E489" i="1" l="1"/>
  <c r="E517" i="1"/>
  <c r="E404" i="1"/>
  <c r="E492" i="1"/>
  <c r="E483" i="1"/>
  <c r="E457" i="1"/>
  <c r="E456" i="1"/>
  <c r="E454" i="1"/>
  <c r="E472" i="1"/>
  <c r="E127" i="1"/>
  <c r="E128" i="1" s="1"/>
  <c r="E129" i="1" s="1"/>
  <c r="E130" i="1" s="1"/>
  <c r="E72" i="1"/>
  <c r="E58" i="1"/>
  <c r="E59" i="1" s="1"/>
  <c r="E60" i="1" s="1"/>
  <c r="E61" i="1" s="1"/>
  <c r="F35" i="1"/>
  <c r="I1726" i="1"/>
  <c r="H1726" i="1"/>
  <c r="G1726" i="1"/>
  <c r="F1726" i="1"/>
  <c r="I35" i="1"/>
  <c r="H35" i="1"/>
  <c r="G35" i="1"/>
  <c r="I34" i="1"/>
  <c r="H34" i="1"/>
  <c r="G34" i="1"/>
  <c r="F3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7" i="1" s="1"/>
  <c r="H1658" i="1" l="1"/>
  <c r="H1659" i="1" s="1"/>
  <c r="H1609" i="1"/>
  <c r="H1562" i="1"/>
  <c r="H1414" i="1"/>
  <c r="H1330" i="1"/>
  <c r="H1329" i="1" s="1"/>
  <c r="H1328" i="1" s="1"/>
  <c r="H1183" i="1"/>
  <c r="H1182" i="1" s="1"/>
  <c r="H1181" i="1" s="1"/>
  <c r="F1658" i="1"/>
  <c r="F1659" i="1" s="1"/>
  <c r="F1562" i="1"/>
  <c r="F1609" i="1"/>
  <c r="F1414" i="1"/>
  <c r="F1330" i="1"/>
  <c r="F1183" i="1"/>
  <c r="G1658" i="1"/>
  <c r="G1659" i="1" s="1"/>
  <c r="G1562" i="1"/>
  <c r="G1609" i="1"/>
  <c r="G1414" i="1"/>
  <c r="G1330" i="1"/>
  <c r="G1183" i="1"/>
  <c r="G1652" i="1"/>
  <c r="G1602" i="1"/>
  <c r="G1555" i="1"/>
  <c r="G1511" i="1"/>
  <c r="G1160" i="1"/>
  <c r="G1159" i="1" s="1"/>
  <c r="G1158" i="1" s="1"/>
  <c r="H1652" i="1"/>
  <c r="H1651" i="1" s="1"/>
  <c r="H1555" i="1"/>
  <c r="H1554" i="1" s="1"/>
  <c r="H1553" i="1" s="1"/>
  <c r="H1602" i="1"/>
  <c r="H1601" i="1" s="1"/>
  <c r="H1600" i="1" s="1"/>
  <c r="H1511" i="1"/>
  <c r="H1510" i="1" s="1"/>
  <c r="H1509" i="1" s="1"/>
  <c r="H1160" i="1"/>
  <c r="H1159" i="1" s="1"/>
  <c r="H1158" i="1" s="1"/>
  <c r="I1652" i="1"/>
  <c r="I1555" i="1"/>
  <c r="I1602" i="1"/>
  <c r="I1511" i="1"/>
  <c r="I1160" i="1"/>
  <c r="I1658" i="1"/>
  <c r="I1659" i="1" s="1"/>
  <c r="I1562" i="1"/>
  <c r="I1561" i="1" s="1"/>
  <c r="I1560" i="1" s="1"/>
  <c r="I1609" i="1"/>
  <c r="I1608" i="1" s="1"/>
  <c r="I1607" i="1" s="1"/>
  <c r="I1414" i="1"/>
  <c r="I1413" i="1" s="1"/>
  <c r="I1412" i="1" s="1"/>
  <c r="I1330" i="1"/>
  <c r="I1329" i="1" s="1"/>
  <c r="I1328" i="1" s="1"/>
  <c r="I1183" i="1"/>
  <c r="I1182" i="1" s="1"/>
  <c r="I1181" i="1" s="1"/>
  <c r="F1652" i="1"/>
  <c r="F1602" i="1"/>
  <c r="F1555" i="1"/>
  <c r="F1511" i="1"/>
  <c r="F1160" i="1"/>
  <c r="G1561" i="1"/>
  <c r="G1560" i="1" s="1"/>
  <c r="G1608" i="1"/>
  <c r="G1607" i="1" s="1"/>
  <c r="G1413" i="1"/>
  <c r="G1412" i="1" s="1"/>
  <c r="G1329" i="1"/>
  <c r="G1328" i="1" s="1"/>
  <c r="G1182" i="1"/>
  <c r="G1181" i="1" s="1"/>
  <c r="I1510" i="1"/>
  <c r="I1509" i="1" s="1"/>
  <c r="F1608" i="1"/>
  <c r="F1607" i="1" s="1"/>
  <c r="F1561" i="1"/>
  <c r="F1560" i="1" s="1"/>
  <c r="F1413" i="1"/>
  <c r="F1412" i="1" s="1"/>
  <c r="F1329" i="1"/>
  <c r="F1328" i="1" s="1"/>
  <c r="F1182" i="1"/>
  <c r="F1181" i="1" s="1"/>
  <c r="H1608" i="1"/>
  <c r="H1607" i="1" s="1"/>
  <c r="I1651" i="1"/>
  <c r="I1554" i="1"/>
  <c r="I1553" i="1" s="1"/>
  <c r="I1601" i="1"/>
  <c r="I1600" i="1" s="1"/>
  <c r="I1159" i="1"/>
  <c r="I1158" i="1" s="1"/>
  <c r="F1651" i="1"/>
  <c r="F1601" i="1"/>
  <c r="F1600" i="1" s="1"/>
  <c r="F1554" i="1"/>
  <c r="F1553" i="1" s="1"/>
  <c r="F1510" i="1"/>
  <c r="F1509" i="1" s="1"/>
  <c r="F1159" i="1"/>
  <c r="F1158" i="1" s="1"/>
  <c r="H1561" i="1"/>
  <c r="H1560" i="1" s="1"/>
  <c r="H1413" i="1"/>
  <c r="H1412" i="1" s="1"/>
  <c r="G1651" i="1"/>
  <c r="G1554" i="1"/>
  <c r="G1553" i="1" s="1"/>
  <c r="G1601" i="1"/>
  <c r="G1600" i="1" s="1"/>
  <c r="G1510" i="1"/>
  <c r="G1509" i="1" s="1"/>
  <c r="F33" i="1"/>
  <c r="F1723" i="1" s="1"/>
  <c r="H33" i="1"/>
  <c r="H1723" i="1" s="1"/>
  <c r="G33" i="1"/>
  <c r="G1723" i="1" s="1"/>
  <c r="I33" i="1"/>
  <c r="I1723" i="1" s="1"/>
  <c r="H1725" i="1"/>
  <c r="I1725" i="1"/>
  <c r="F1725" i="1"/>
  <c r="H1724" i="1"/>
  <c r="G1725" i="1"/>
  <c r="F1724" i="1"/>
  <c r="G1724" i="1"/>
  <c r="I1724" i="1"/>
  <c r="E405" i="1"/>
  <c r="E461" i="1"/>
  <c r="E484" i="1"/>
  <c r="E459" i="1"/>
  <c r="E458" i="1"/>
  <c r="E478" i="1" s="1"/>
  <c r="E473" i="1"/>
  <c r="E62" i="1"/>
  <c r="E64" i="1" s="1"/>
  <c r="E71" i="1"/>
  <c r="E70" i="1"/>
  <c r="K42" i="1"/>
  <c r="C24" i="1"/>
  <c r="C25" i="1" s="1"/>
  <c r="C26" i="1" s="1"/>
  <c r="C27" i="1" s="1"/>
  <c r="C43" i="1" s="1"/>
  <c r="C44" i="1" s="1"/>
  <c r="C50" i="1" s="1"/>
  <c r="C29" i="1" s="1"/>
  <c r="C23" i="1"/>
  <c r="A24" i="1"/>
  <c r="A25" i="1" s="1"/>
  <c r="A26" i="1" s="1"/>
  <c r="A27" i="1" s="1"/>
  <c r="A28" i="1" s="1"/>
  <c r="A41" i="1" s="1"/>
  <c r="A23" i="1"/>
  <c r="B24" i="1"/>
  <c r="B25" i="1" s="1"/>
  <c r="B26" i="1" s="1"/>
  <c r="B27" i="1" s="1"/>
  <c r="B43" i="1" s="1"/>
  <c r="B44" i="1" s="1"/>
  <c r="B50" i="1" s="1"/>
  <c r="B29" i="1" s="1"/>
  <c r="B23" i="1"/>
  <c r="G42" i="1"/>
  <c r="F42" i="1"/>
  <c r="K23" i="1"/>
  <c r="K1714" i="1" s="1"/>
  <c r="F23" i="1"/>
  <c r="F1714" i="1" s="1"/>
  <c r="G23" i="1"/>
  <c r="G1714" i="1" s="1"/>
  <c r="H42" i="1"/>
  <c r="J42" i="1"/>
  <c r="I42" i="1"/>
  <c r="H23" i="1"/>
  <c r="H1714" i="1" s="1"/>
  <c r="I23" i="1"/>
  <c r="I1714" i="1" s="1"/>
  <c r="J23" i="1"/>
  <c r="J1714" i="1" s="1"/>
  <c r="J8" i="1"/>
  <c r="J1747" i="1" s="1"/>
  <c r="H8" i="1"/>
  <c r="H1747" i="1" s="1"/>
  <c r="G8" i="1"/>
  <c r="G1747" i="1" s="1"/>
  <c r="G51" i="1"/>
  <c r="H51" i="1"/>
  <c r="J51" i="1"/>
  <c r="K51" i="1"/>
  <c r="K58" i="1"/>
  <c r="F58" i="1"/>
  <c r="J58" i="1"/>
  <c r="I58" i="1"/>
  <c r="H58" i="1"/>
  <c r="G58" i="1"/>
  <c r="F51" i="1"/>
  <c r="I51" i="1"/>
  <c r="J35" i="1"/>
  <c r="J34" i="1"/>
  <c r="K34" i="1"/>
  <c r="K35" i="1"/>
  <c r="I1720" i="1"/>
  <c r="K1720" i="1"/>
  <c r="H1720" i="1"/>
  <c r="G1720" i="1"/>
  <c r="J1720" i="1"/>
  <c r="F1720" i="1"/>
  <c r="F8" i="1"/>
  <c r="F1747" i="1" s="1"/>
  <c r="K8" i="1"/>
  <c r="K1747" i="1" s="1"/>
  <c r="H3" i="1"/>
  <c r="H1742" i="1" s="1"/>
  <c r="I3" i="1"/>
  <c r="I1742" i="1" s="1"/>
  <c r="J3" i="1"/>
  <c r="J1742" i="1" s="1"/>
  <c r="K3" i="1"/>
  <c r="K1742" i="1" s="1"/>
  <c r="F3" i="1"/>
  <c r="F1742" i="1" s="1"/>
  <c r="G3" i="1"/>
  <c r="G1742" i="1" s="1"/>
  <c r="J1160" i="1" l="1"/>
  <c r="F1740" i="1"/>
  <c r="K1652" i="1"/>
  <c r="K1555" i="1"/>
  <c r="K1602" i="1"/>
  <c r="K1511" i="1"/>
  <c r="K1160" i="1"/>
  <c r="G1657" i="1"/>
  <c r="I1657" i="1"/>
  <c r="H1657" i="1"/>
  <c r="K33" i="1"/>
  <c r="K1723" i="1" s="1"/>
  <c r="J33" i="1"/>
  <c r="J1723" i="1" s="1"/>
  <c r="J41" i="1"/>
  <c r="J1730" i="1" s="1"/>
  <c r="J1731" i="1"/>
  <c r="I57" i="1"/>
  <c r="F16" i="4" s="1"/>
  <c r="I1740" i="1"/>
  <c r="G57" i="1"/>
  <c r="D16" i="4" s="1"/>
  <c r="G1740" i="1"/>
  <c r="J57" i="1"/>
  <c r="G16" i="4" s="1"/>
  <c r="J1740" i="1"/>
  <c r="J1725" i="1"/>
  <c r="H41" i="1"/>
  <c r="H1730" i="1" s="1"/>
  <c r="H1731" i="1"/>
  <c r="F41" i="1"/>
  <c r="F1730" i="1" s="1"/>
  <c r="F1731" i="1"/>
  <c r="K57" i="1"/>
  <c r="H16" i="4" s="1"/>
  <c r="K1740" i="1"/>
  <c r="H57" i="1"/>
  <c r="E16" i="4" s="1"/>
  <c r="H1740" i="1"/>
  <c r="F57" i="1"/>
  <c r="C16" i="4" s="1"/>
  <c r="J1724" i="1"/>
  <c r="I41" i="1"/>
  <c r="I1730" i="1" s="1"/>
  <c r="I1731" i="1"/>
  <c r="G41" i="1"/>
  <c r="G1730" i="1" s="1"/>
  <c r="G1731" i="1"/>
  <c r="K1725" i="1"/>
  <c r="K41" i="1"/>
  <c r="K1730" i="1" s="1"/>
  <c r="K1731" i="1"/>
  <c r="K1724" i="1"/>
  <c r="H1650" i="1"/>
  <c r="I1650" i="1"/>
  <c r="G1650" i="1"/>
  <c r="F1650" i="1"/>
  <c r="J39" i="1"/>
  <c r="J1602" i="1" s="1"/>
  <c r="K39" i="1"/>
  <c r="E520" i="1"/>
  <c r="E490" i="1"/>
  <c r="E406" i="1"/>
  <c r="E493" i="1"/>
  <c r="E462" i="1"/>
  <c r="E480" i="1" s="1"/>
  <c r="E460" i="1"/>
  <c r="E479" i="1" s="1"/>
  <c r="A43" i="1"/>
  <c r="A44" i="1" s="1"/>
  <c r="A50" i="1" s="1"/>
  <c r="A29" i="1" s="1"/>
  <c r="A33" i="1" s="1"/>
  <c r="A37" i="1" s="1"/>
  <c r="A30" i="1" s="1"/>
  <c r="A31" i="1" s="1"/>
  <c r="A34" i="1" s="1"/>
  <c r="A35" i="1" s="1"/>
  <c r="A38" i="1" s="1"/>
  <c r="A39" i="1" s="1"/>
  <c r="A51" i="1" s="1"/>
  <c r="A52" i="1" s="1"/>
  <c r="A53" i="1" s="1"/>
  <c r="A54" i="1" s="1"/>
  <c r="A55" i="1" s="1"/>
  <c r="A57" i="1" s="1"/>
  <c r="A58" i="1" s="1"/>
  <c r="A59" i="1" s="1"/>
  <c r="A60" i="1" s="1"/>
  <c r="A61" i="1" s="1"/>
  <c r="C28" i="1"/>
  <c r="C41" i="1" s="1"/>
  <c r="B28" i="1"/>
  <c r="B41" i="1" s="1"/>
  <c r="G22" i="1"/>
  <c r="K22" i="1"/>
  <c r="F22" i="1"/>
  <c r="C33" i="1"/>
  <c r="C37" i="1" s="1"/>
  <c r="C30" i="1" s="1"/>
  <c r="C31" i="1" s="1"/>
  <c r="C42" i="1"/>
  <c r="B33" i="1"/>
  <c r="B37" i="1" s="1"/>
  <c r="B30" i="1" s="1"/>
  <c r="B31" i="1" s="1"/>
  <c r="B42" i="1"/>
  <c r="J22" i="1"/>
  <c r="I22" i="1"/>
  <c r="H22" i="1"/>
  <c r="J38" i="1"/>
  <c r="J1414" i="1" s="1"/>
  <c r="K38" i="1"/>
  <c r="K1562" i="1" s="1"/>
  <c r="K1414" i="1" l="1"/>
  <c r="K1658" i="1"/>
  <c r="K1659" i="1" s="1"/>
  <c r="K1183" i="1"/>
  <c r="J1183" i="1"/>
  <c r="J1511" i="1"/>
  <c r="J1331" i="1"/>
  <c r="J1563" i="1"/>
  <c r="J1415" i="1"/>
  <c r="J1184" i="1"/>
  <c r="J1610" i="1"/>
  <c r="K1330" i="1"/>
  <c r="K1609" i="1"/>
  <c r="J1330" i="1"/>
  <c r="J1562" i="1"/>
  <c r="J1609" i="1"/>
  <c r="J1658" i="1"/>
  <c r="J1659" i="1" s="1"/>
  <c r="K1556" i="1"/>
  <c r="K1653" i="1"/>
  <c r="K1161" i="1"/>
  <c r="K1603" i="1"/>
  <c r="K1512" i="1"/>
  <c r="J1556" i="1"/>
  <c r="J1653" i="1"/>
  <c r="J1603" i="1"/>
  <c r="J1161" i="1"/>
  <c r="J1512" i="1"/>
  <c r="J1555" i="1"/>
  <c r="K1563" i="1"/>
  <c r="K1331" i="1"/>
  <c r="K1610" i="1"/>
  <c r="K1184" i="1"/>
  <c r="K1415" i="1"/>
  <c r="J1652" i="1"/>
  <c r="J37" i="1"/>
  <c r="J1726" i="1" s="1"/>
  <c r="K37" i="1"/>
  <c r="K1726" i="1" s="1"/>
  <c r="B34" i="1"/>
  <c r="B35" i="1" s="1"/>
  <c r="B32" i="1"/>
  <c r="C34" i="1"/>
  <c r="C35" i="1" s="1"/>
  <c r="C32" i="1"/>
  <c r="K1728" i="1"/>
  <c r="H20" i="1"/>
  <c r="E15" i="4" s="1"/>
  <c r="H1713" i="1"/>
  <c r="I20" i="1"/>
  <c r="F15" i="4" s="1"/>
  <c r="I1713" i="1"/>
  <c r="J20" i="1"/>
  <c r="G15" i="4" s="1"/>
  <c r="J1713" i="1"/>
  <c r="F20" i="1"/>
  <c r="C15" i="4" s="1"/>
  <c r="F1713" i="1"/>
  <c r="K20" i="1"/>
  <c r="H15" i="4" s="1"/>
  <c r="K1713" i="1"/>
  <c r="J1728" i="1"/>
  <c r="G20" i="1"/>
  <c r="D15" i="4" s="1"/>
  <c r="G1713" i="1"/>
  <c r="J1727" i="1"/>
  <c r="K1727" i="1"/>
  <c r="I1656" i="1"/>
  <c r="G1656" i="1"/>
  <c r="H1656" i="1"/>
  <c r="E407" i="1"/>
  <c r="E494" i="1"/>
  <c r="A42" i="1"/>
  <c r="A62" i="1"/>
  <c r="A63" i="1" s="1"/>
  <c r="A64" i="1" s="1"/>
  <c r="A65" i="1" s="1"/>
  <c r="A66" i="1" s="1"/>
  <c r="A67" i="1" s="1"/>
  <c r="A68" i="1" s="1"/>
  <c r="A69" i="1" s="1"/>
  <c r="A74" i="1" s="1"/>
  <c r="A75" i="1" s="1"/>
  <c r="A76" i="1" s="1"/>
  <c r="A78" i="1" s="1"/>
  <c r="A70" i="1"/>
  <c r="A71" i="1" s="1"/>
  <c r="A72" i="1" s="1"/>
  <c r="A73" i="1" s="1"/>
  <c r="A56" i="1"/>
  <c r="A45" i="1"/>
  <c r="J1657" i="1" l="1"/>
  <c r="C38" i="1"/>
  <c r="C39" i="1" s="1"/>
  <c r="C36" i="1"/>
  <c r="B38" i="1"/>
  <c r="B39" i="1" s="1"/>
  <c r="B36" i="1"/>
  <c r="K1554" i="1"/>
  <c r="K1553" i="1" s="1"/>
  <c r="J1159" i="1"/>
  <c r="J1158" i="1" s="1"/>
  <c r="J1601" i="1"/>
  <c r="J1600" i="1" s="1"/>
  <c r="K1651" i="1"/>
  <c r="K1650" i="1" s="1"/>
  <c r="K1601" i="1"/>
  <c r="K1600" i="1" s="1"/>
  <c r="K1608" i="1"/>
  <c r="K1607" i="1" s="1"/>
  <c r="J1608" i="1"/>
  <c r="J1607" i="1" s="1"/>
  <c r="J1651" i="1"/>
  <c r="K1159" i="1"/>
  <c r="K1158" i="1" s="1"/>
  <c r="J1554" i="1"/>
  <c r="J1553" i="1" s="1"/>
  <c r="K1329" i="1"/>
  <c r="K1328" i="1" s="1"/>
  <c r="J1413" i="1"/>
  <c r="J1412" i="1" s="1"/>
  <c r="K1413" i="1"/>
  <c r="K1412" i="1" s="1"/>
  <c r="K1561" i="1"/>
  <c r="K1560" i="1" s="1"/>
  <c r="J1510" i="1"/>
  <c r="J1509" i="1" s="1"/>
  <c r="J1561" i="1"/>
  <c r="J1560" i="1" s="1"/>
  <c r="K1510" i="1"/>
  <c r="K1509" i="1" s="1"/>
  <c r="J1182" i="1"/>
  <c r="J1181" i="1" s="1"/>
  <c r="J1329" i="1"/>
  <c r="J1328" i="1" s="1"/>
  <c r="K1182" i="1"/>
  <c r="K1181" i="1" s="1"/>
  <c r="E408" i="1"/>
  <c r="E504" i="1" s="1"/>
  <c r="E503" i="1"/>
  <c r="E495" i="1"/>
  <c r="A77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46" i="1"/>
  <c r="A48" i="1" s="1"/>
  <c r="B45" i="1" l="1"/>
  <c r="B46" i="1" s="1"/>
  <c r="B47" i="1" s="1"/>
  <c r="B49" i="1" s="1"/>
  <c r="B51" i="1"/>
  <c r="B52" i="1" s="1"/>
  <c r="B53" i="1" s="1"/>
  <c r="B54" i="1" s="1"/>
  <c r="B55" i="1" s="1"/>
  <c r="B40" i="1"/>
  <c r="C40" i="1"/>
  <c r="C51" i="1"/>
  <c r="C52" i="1" s="1"/>
  <c r="C53" i="1" s="1"/>
  <c r="C54" i="1" s="1"/>
  <c r="C55" i="1" s="1"/>
  <c r="C45" i="1"/>
  <c r="C46" i="1" s="1"/>
  <c r="J1650" i="1"/>
  <c r="J1656" i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9" i="1" s="1"/>
  <c r="A170" i="1" s="1"/>
  <c r="A167" i="1" s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B48" i="1"/>
  <c r="A47" i="1"/>
  <c r="A49" i="1" s="1"/>
  <c r="B57" i="1" l="1"/>
  <c r="B58" i="1" s="1"/>
  <c r="B59" i="1" s="1"/>
  <c r="B60" i="1" s="1"/>
  <c r="B61" i="1" s="1"/>
  <c r="B56" i="1"/>
  <c r="C47" i="1"/>
  <c r="C49" i="1" s="1"/>
  <c r="C48" i="1"/>
  <c r="C57" i="1"/>
  <c r="C58" i="1" s="1"/>
  <c r="C59" i="1" s="1"/>
  <c r="C60" i="1" s="1"/>
  <c r="C61" i="1" s="1"/>
  <c r="C56" i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68" i="1"/>
  <c r="C62" i="1" l="1"/>
  <c r="C63" i="1" s="1"/>
  <c r="C64" i="1" s="1"/>
  <c r="C65" i="1" s="1"/>
  <c r="C66" i="1" s="1"/>
  <c r="C67" i="1" s="1"/>
  <c r="C68" i="1" s="1"/>
  <c r="C69" i="1" s="1"/>
  <c r="C74" i="1" s="1"/>
  <c r="C75" i="1" s="1"/>
  <c r="C76" i="1" s="1"/>
  <c r="C70" i="1"/>
  <c r="C71" i="1" s="1"/>
  <c r="C72" i="1" s="1"/>
  <c r="C73" i="1" s="1"/>
  <c r="B62" i="1"/>
  <c r="B63" i="1" s="1"/>
  <c r="B64" i="1" s="1"/>
  <c r="B65" i="1" s="1"/>
  <c r="B66" i="1" s="1"/>
  <c r="B67" i="1" s="1"/>
  <c r="B68" i="1" s="1"/>
  <c r="B69" i="1" s="1"/>
  <c r="B74" i="1" s="1"/>
  <c r="B75" i="1" s="1"/>
  <c r="B76" i="1" s="1"/>
  <c r="B70" i="1"/>
  <c r="B71" i="1" s="1"/>
  <c r="B72" i="1" s="1"/>
  <c r="B73" i="1" s="1"/>
  <c r="G552" i="1"/>
  <c r="F553" i="1"/>
  <c r="H552" i="1"/>
  <c r="K552" i="1"/>
  <c r="J553" i="1"/>
  <c r="F552" i="1"/>
  <c r="I552" i="1"/>
  <c r="J552" i="1"/>
  <c r="G553" i="1"/>
  <c r="H553" i="1"/>
  <c r="I553" i="1"/>
  <c r="K553" i="1"/>
  <c r="K206" i="1"/>
  <c r="J206" i="1"/>
  <c r="I206" i="1"/>
  <c r="H206" i="1"/>
  <c r="G206" i="1"/>
  <c r="F206" i="1"/>
  <c r="B77" i="1" l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78" i="1"/>
  <c r="C78" i="1"/>
  <c r="C77" i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F231" i="1"/>
  <c r="F581" i="1"/>
  <c r="G231" i="1"/>
  <c r="G581" i="1"/>
  <c r="H231" i="1"/>
  <c r="H581" i="1"/>
  <c r="I231" i="1"/>
  <c r="I581" i="1"/>
  <c r="J231" i="1"/>
  <c r="J581" i="1"/>
  <c r="K231" i="1"/>
  <c r="K581" i="1"/>
  <c r="C114" i="1" l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9" i="1" s="1"/>
  <c r="C170" i="1" s="1"/>
  <c r="C167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9" i="1" s="1"/>
  <c r="B170" i="1" s="1"/>
  <c r="B167" i="1" s="1"/>
  <c r="I229" i="1"/>
  <c r="I580" i="1"/>
  <c r="F229" i="1"/>
  <c r="F580" i="1"/>
  <c r="J229" i="1"/>
  <c r="J580" i="1"/>
  <c r="G229" i="1"/>
  <c r="G580" i="1"/>
  <c r="H229" i="1"/>
  <c r="H580" i="1"/>
  <c r="K229" i="1"/>
  <c r="K580" i="1"/>
  <c r="B171" i="1" l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68" i="1"/>
  <c r="C171" i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68" i="1"/>
  <c r="K796" i="1"/>
  <c r="J796" i="1"/>
  <c r="I796" i="1"/>
  <c r="H796" i="1"/>
  <c r="G796" i="1"/>
  <c r="F796" i="1"/>
  <c r="K208" i="1" l="1"/>
  <c r="J208" i="1"/>
  <c r="I208" i="1"/>
  <c r="H208" i="1"/>
  <c r="G208" i="1"/>
  <c r="F208" i="1"/>
  <c r="H438" i="1" l="1"/>
  <c r="F438" i="1"/>
  <c r="G438" i="1"/>
  <c r="I438" i="1"/>
  <c r="J533" i="1"/>
  <c r="K533" i="1"/>
  <c r="J438" i="1"/>
  <c r="K438" i="1"/>
  <c r="G225" i="1" l="1"/>
  <c r="G578" i="1"/>
  <c r="H225" i="1"/>
  <c r="H578" i="1"/>
  <c r="K225" i="1"/>
  <c r="K578" i="1"/>
  <c r="F225" i="1"/>
  <c r="F578" i="1"/>
  <c r="J225" i="1"/>
  <c r="J578" i="1"/>
  <c r="I225" i="1"/>
  <c r="I578" i="1"/>
  <c r="F564" i="1"/>
  <c r="J564" i="1"/>
  <c r="K564" i="1"/>
  <c r="G564" i="1"/>
  <c r="H564" i="1"/>
  <c r="I564" i="1"/>
  <c r="G533" i="1"/>
  <c r="I533" i="1"/>
  <c r="F533" i="1"/>
  <c r="H533" i="1"/>
  <c r="K794" i="1"/>
  <c r="J794" i="1"/>
  <c r="I794" i="1"/>
  <c r="H794" i="1"/>
  <c r="G794" i="1"/>
  <c r="G240" i="1" l="1"/>
  <c r="H240" i="1"/>
  <c r="I240" i="1"/>
  <c r="J240" i="1"/>
  <c r="K240" i="1"/>
  <c r="G197" i="1" l="1"/>
  <c r="K197" i="1"/>
  <c r="H197" i="1"/>
  <c r="I197" i="1"/>
  <c r="J197" i="1"/>
  <c r="F197" i="1"/>
  <c r="F196" i="1"/>
  <c r="F193" i="1" s="1"/>
  <c r="F103" i="1"/>
  <c r="F331" i="1" s="1"/>
  <c r="F347" i="1" s="1"/>
  <c r="F426" i="1" s="1"/>
  <c r="F423" i="1" s="1"/>
  <c r="H196" i="1"/>
  <c r="H193" i="1" s="1"/>
  <c r="H331" i="1"/>
  <c r="H347" i="1" s="1"/>
  <c r="H426" i="1" s="1"/>
  <c r="H423" i="1" s="1"/>
  <c r="G196" i="1"/>
  <c r="G193" i="1" s="1"/>
  <c r="G331" i="1"/>
  <c r="G347" i="1" s="1"/>
  <c r="G426" i="1" s="1"/>
  <c r="G423" i="1" s="1"/>
  <c r="I196" i="1"/>
  <c r="I193" i="1" s="1"/>
  <c r="I331" i="1"/>
  <c r="I347" i="1" s="1"/>
  <c r="I426" i="1" s="1"/>
  <c r="I423" i="1" s="1"/>
  <c r="K196" i="1"/>
  <c r="K193" i="1" s="1"/>
  <c r="K103" i="1"/>
  <c r="K331" i="1" s="1"/>
  <c r="K347" i="1" s="1"/>
  <c r="K426" i="1" s="1"/>
  <c r="K423" i="1" s="1"/>
  <c r="J196" i="1"/>
  <c r="J193" i="1" s="1"/>
  <c r="J103" i="1"/>
  <c r="J331" i="1" s="1"/>
  <c r="J347" i="1" s="1"/>
  <c r="J426" i="1" s="1"/>
  <c r="J423" i="1" s="1"/>
  <c r="J540" i="1" l="1"/>
  <c r="F540" i="1"/>
  <c r="H540" i="1"/>
  <c r="K540" i="1"/>
  <c r="G540" i="1"/>
  <c r="I540" i="1"/>
  <c r="F539" i="1"/>
  <c r="F538" i="1"/>
  <c r="J538" i="1"/>
  <c r="G538" i="1"/>
  <c r="H538" i="1"/>
  <c r="I538" i="1"/>
  <c r="K538" i="1"/>
  <c r="G269" i="1"/>
  <c r="G258" i="1" s="1"/>
  <c r="G338" i="1" l="1"/>
  <c r="G354" i="1" s="1"/>
  <c r="G499" i="1" s="1"/>
  <c r="G488" i="1" s="1"/>
  <c r="G336" i="1"/>
  <c r="G352" i="1" s="1"/>
  <c r="G497" i="1" s="1"/>
  <c r="G486" i="1" s="1"/>
  <c r="G267" i="1"/>
  <c r="G256" i="1" s="1"/>
  <c r="K108" i="1"/>
  <c r="K336" i="1" s="1"/>
  <c r="K352" i="1" s="1"/>
  <c r="K497" i="1" s="1"/>
  <c r="K486" i="1" s="1"/>
  <c r="K267" i="1"/>
  <c r="K256" i="1" s="1"/>
  <c r="F109" i="1"/>
  <c r="F337" i="1" s="1"/>
  <c r="F353" i="1" s="1"/>
  <c r="F498" i="1" s="1"/>
  <c r="F487" i="1" s="1"/>
  <c r="F268" i="1"/>
  <c r="F257" i="1" s="1"/>
  <c r="F108" i="1"/>
  <c r="F336" i="1" s="1"/>
  <c r="F352" i="1" s="1"/>
  <c r="F497" i="1" s="1"/>
  <c r="F486" i="1" s="1"/>
  <c r="F267" i="1"/>
  <c r="F256" i="1" s="1"/>
  <c r="J110" i="1"/>
  <c r="J338" i="1" s="1"/>
  <c r="J354" i="1" s="1"/>
  <c r="J499" i="1" s="1"/>
  <c r="J488" i="1" s="1"/>
  <c r="J269" i="1"/>
  <c r="J258" i="1" s="1"/>
  <c r="J108" i="1"/>
  <c r="J336" i="1" s="1"/>
  <c r="J352" i="1" s="1"/>
  <c r="J497" i="1" s="1"/>
  <c r="J486" i="1" s="1"/>
  <c r="J267" i="1"/>
  <c r="J256" i="1" s="1"/>
  <c r="F110" i="1"/>
  <c r="F338" i="1" s="1"/>
  <c r="F354" i="1" s="1"/>
  <c r="F499" i="1" s="1"/>
  <c r="F488" i="1" s="1"/>
  <c r="F269" i="1"/>
  <c r="F258" i="1" s="1"/>
  <c r="I336" i="1"/>
  <c r="I352" i="1" s="1"/>
  <c r="I497" i="1" s="1"/>
  <c r="I486" i="1" s="1"/>
  <c r="I267" i="1"/>
  <c r="I256" i="1" s="1"/>
  <c r="H338" i="1"/>
  <c r="H354" i="1" s="1"/>
  <c r="H499" i="1" s="1"/>
  <c r="H488" i="1" s="1"/>
  <c r="H269" i="1"/>
  <c r="H258" i="1" s="1"/>
  <c r="H336" i="1"/>
  <c r="H352" i="1" s="1"/>
  <c r="H497" i="1" s="1"/>
  <c r="H486" i="1" s="1"/>
  <c r="H267" i="1"/>
  <c r="H256" i="1" s="1"/>
  <c r="K110" i="1"/>
  <c r="K338" i="1" s="1"/>
  <c r="K354" i="1" s="1"/>
  <c r="K499" i="1" s="1"/>
  <c r="K488" i="1" s="1"/>
  <c r="K269" i="1"/>
  <c r="K258" i="1" s="1"/>
  <c r="I338" i="1"/>
  <c r="I354" i="1" s="1"/>
  <c r="I499" i="1" s="1"/>
  <c r="I488" i="1" s="1"/>
  <c r="I269" i="1"/>
  <c r="I258" i="1" s="1"/>
  <c r="K551" i="1" l="1"/>
  <c r="J551" i="1"/>
  <c r="I551" i="1"/>
  <c r="H551" i="1"/>
  <c r="G551" i="1"/>
  <c r="F551" i="1"/>
  <c r="F369" i="1" l="1"/>
  <c r="G369" i="1"/>
  <c r="H369" i="1"/>
  <c r="I369" i="1"/>
  <c r="J369" i="1"/>
  <c r="K369" i="1"/>
  <c r="K432" i="1" l="1"/>
  <c r="K435" i="1" s="1"/>
  <c r="J547" i="1"/>
  <c r="I432" i="1"/>
  <c r="I435" i="1" s="1"/>
  <c r="H547" i="1"/>
  <c r="G432" i="1"/>
  <c r="G435" i="1" s="1"/>
  <c r="F547" i="1"/>
  <c r="I202" i="1"/>
  <c r="I205" i="1" s="1"/>
  <c r="J148" i="1"/>
  <c r="J376" i="1" s="1"/>
  <c r="I148" i="1"/>
  <c r="I376" i="1" s="1"/>
  <c r="H202" i="1"/>
  <c r="H205" i="1" s="1"/>
  <c r="H148" i="1"/>
  <c r="H376" i="1" s="1"/>
  <c r="G202" i="1"/>
  <c r="G205" i="1" s="1"/>
  <c r="G148" i="1"/>
  <c r="G376" i="1" s="1"/>
  <c r="F202" i="1"/>
  <c r="F148" i="1"/>
  <c r="F376" i="1" s="1"/>
  <c r="K202" i="1"/>
  <c r="K205" i="1" s="1"/>
  <c r="K148" i="1"/>
  <c r="K376" i="1" s="1"/>
  <c r="J202" i="1"/>
  <c r="J205" i="1" s="1"/>
  <c r="F205" i="1" l="1"/>
  <c r="K547" i="1"/>
  <c r="H432" i="1"/>
  <c r="H435" i="1" s="1"/>
  <c r="F432" i="1"/>
  <c r="J432" i="1"/>
  <c r="J435" i="1" s="1"/>
  <c r="I547" i="1"/>
  <c r="G547" i="1"/>
  <c r="J427" i="1"/>
  <c r="H427" i="1"/>
  <c r="G427" i="1"/>
  <c r="K427" i="1"/>
  <c r="F427" i="1"/>
  <c r="I427" i="1"/>
  <c r="F436" i="1"/>
  <c r="K436" i="1"/>
  <c r="G436" i="1"/>
  <c r="I436" i="1"/>
  <c r="H436" i="1"/>
  <c r="J436" i="1"/>
  <c r="F435" i="1" l="1"/>
  <c r="J546" i="1"/>
  <c r="K546" i="1"/>
  <c r="H546" i="1"/>
  <c r="H550" i="1"/>
  <c r="F550" i="1"/>
  <c r="G550" i="1"/>
  <c r="I550" i="1"/>
  <c r="K550" i="1"/>
  <c r="J550" i="1"/>
  <c r="G546" i="1"/>
  <c r="I546" i="1"/>
  <c r="F546" i="1"/>
  <c r="K147" i="1"/>
  <c r="K368" i="1"/>
  <c r="K431" i="1" s="1"/>
  <c r="J147" i="1"/>
  <c r="J368" i="1"/>
  <c r="J431" i="1" s="1"/>
  <c r="I201" i="1"/>
  <c r="I204" i="1" s="1"/>
  <c r="I203" i="1" s="1"/>
  <c r="I368" i="1"/>
  <c r="I431" i="1" s="1"/>
  <c r="H147" i="1"/>
  <c r="H368" i="1"/>
  <c r="H431" i="1" s="1"/>
  <c r="F201" i="1"/>
  <c r="F368" i="1"/>
  <c r="G201" i="1"/>
  <c r="G200" i="1" s="1"/>
  <c r="G368" i="1"/>
  <c r="G431" i="1" s="1"/>
  <c r="G147" i="1"/>
  <c r="F147" i="1"/>
  <c r="K201" i="1"/>
  <c r="K204" i="1" s="1"/>
  <c r="K203" i="1" s="1"/>
  <c r="J201" i="1"/>
  <c r="J204" i="1" s="1"/>
  <c r="J203" i="1" s="1"/>
  <c r="I147" i="1"/>
  <c r="H201" i="1"/>
  <c r="H204" i="1" s="1"/>
  <c r="H203" i="1" s="1"/>
  <c r="F431" i="1" l="1"/>
  <c r="F204" i="1"/>
  <c r="F200" i="1"/>
  <c r="F430" i="1"/>
  <c r="F434" i="1"/>
  <c r="H430" i="1"/>
  <c r="H434" i="1"/>
  <c r="H433" i="1" s="1"/>
  <c r="I430" i="1"/>
  <c r="I434" i="1"/>
  <c r="I433" i="1" s="1"/>
  <c r="K430" i="1"/>
  <c r="K434" i="1"/>
  <c r="K433" i="1" s="1"/>
  <c r="G430" i="1"/>
  <c r="G434" i="1"/>
  <c r="G433" i="1" s="1"/>
  <c r="J430" i="1"/>
  <c r="J434" i="1"/>
  <c r="J433" i="1" s="1"/>
  <c r="J375" i="1"/>
  <c r="H375" i="1"/>
  <c r="I200" i="1"/>
  <c r="F375" i="1"/>
  <c r="K200" i="1"/>
  <c r="G204" i="1"/>
  <c r="G203" i="1" s="1"/>
  <c r="G375" i="1"/>
  <c r="I375" i="1"/>
  <c r="J200" i="1"/>
  <c r="K375" i="1"/>
  <c r="H200" i="1"/>
  <c r="F433" i="1" l="1"/>
  <c r="F203" i="1"/>
  <c r="K566" i="1"/>
  <c r="F566" i="1"/>
  <c r="H566" i="1"/>
  <c r="J566" i="1"/>
  <c r="G566" i="1"/>
  <c r="I566" i="1"/>
  <c r="G543" i="1"/>
  <c r="J543" i="1"/>
  <c r="K543" i="1"/>
  <c r="F543" i="1"/>
  <c r="H543" i="1"/>
  <c r="I543" i="1"/>
  <c r="G536" i="1"/>
  <c r="K536" i="1"/>
  <c r="I536" i="1"/>
  <c r="H536" i="1"/>
  <c r="J536" i="1"/>
  <c r="F536" i="1"/>
  <c r="F265" i="1"/>
  <c r="F254" i="1" s="1"/>
  <c r="G265" i="1"/>
  <c r="G254" i="1" s="1"/>
  <c r="H265" i="1"/>
  <c r="H254" i="1" s="1"/>
  <c r="I265" i="1"/>
  <c r="I254" i="1" s="1"/>
  <c r="K265" i="1"/>
  <c r="K254" i="1" s="1"/>
  <c r="J265" i="1"/>
  <c r="J254" i="1" s="1"/>
  <c r="F518" i="1" l="1"/>
  <c r="K397" i="1"/>
  <c r="K518" i="1"/>
  <c r="G397" i="1"/>
  <c r="G518" i="1"/>
  <c r="J397" i="1"/>
  <c r="J518" i="1"/>
  <c r="H397" i="1"/>
  <c r="H518" i="1"/>
  <c r="I397" i="1"/>
  <c r="I518" i="1"/>
  <c r="G113" i="1"/>
  <c r="G341" i="1" s="1"/>
  <c r="G357" i="1" s="1"/>
  <c r="G502" i="1" s="1"/>
  <c r="G491" i="1" s="1"/>
  <c r="G272" i="1"/>
  <c r="G261" i="1" s="1"/>
  <c r="I113" i="1"/>
  <c r="I341" i="1" s="1"/>
  <c r="I357" i="1" s="1"/>
  <c r="I502" i="1" s="1"/>
  <c r="I491" i="1" s="1"/>
  <c r="I272" i="1"/>
  <c r="I261" i="1" s="1"/>
  <c r="F113" i="1"/>
  <c r="F341" i="1" s="1"/>
  <c r="F357" i="1" s="1"/>
  <c r="F502" i="1" s="1"/>
  <c r="F491" i="1" s="1"/>
  <c r="F272" i="1"/>
  <c r="F261" i="1" s="1"/>
  <c r="K113" i="1"/>
  <c r="K341" i="1" s="1"/>
  <c r="K357" i="1" s="1"/>
  <c r="K502" i="1" s="1"/>
  <c r="K491" i="1" s="1"/>
  <c r="K272" i="1"/>
  <c r="K261" i="1" s="1"/>
  <c r="J113" i="1"/>
  <c r="J341" i="1" s="1"/>
  <c r="J357" i="1" s="1"/>
  <c r="J502" i="1" s="1"/>
  <c r="J491" i="1" s="1"/>
  <c r="J272" i="1"/>
  <c r="J261" i="1" s="1"/>
  <c r="H341" i="1"/>
  <c r="H357" i="1" s="1"/>
  <c r="H502" i="1" s="1"/>
  <c r="H491" i="1" s="1"/>
  <c r="H272" i="1"/>
  <c r="H261" i="1" s="1"/>
  <c r="I334" i="1"/>
  <c r="I350" i="1" s="1"/>
  <c r="I495" i="1" s="1"/>
  <c r="I484" i="1" s="1"/>
  <c r="G334" i="1"/>
  <c r="G350" i="1" s="1"/>
  <c r="G495" i="1" s="1"/>
  <c r="G484" i="1" s="1"/>
  <c r="H334" i="1"/>
  <c r="H350" i="1" s="1"/>
  <c r="H495" i="1" s="1"/>
  <c r="H484" i="1" s="1"/>
  <c r="J106" i="1"/>
  <c r="J334" i="1" s="1"/>
  <c r="J350" i="1" s="1"/>
  <c r="J495" i="1" s="1"/>
  <c r="J484" i="1" s="1"/>
  <c r="K106" i="1"/>
  <c r="K334" i="1" s="1"/>
  <c r="K350" i="1" s="1"/>
  <c r="K495" i="1" s="1"/>
  <c r="K484" i="1" s="1"/>
  <c r="F106" i="1"/>
  <c r="F334" i="1" s="1"/>
  <c r="F350" i="1" s="1"/>
  <c r="F495" i="1" s="1"/>
  <c r="F484" i="1" s="1"/>
  <c r="F565" i="1" l="1"/>
  <c r="H565" i="1"/>
  <c r="K565" i="1"/>
  <c r="J565" i="1"/>
  <c r="G565" i="1"/>
  <c r="I565" i="1"/>
  <c r="I367" i="1" l="1"/>
  <c r="I545" i="1"/>
  <c r="F367" i="1"/>
  <c r="F545" i="1"/>
  <c r="H146" i="1"/>
  <c r="H545" i="1"/>
  <c r="J367" i="1"/>
  <c r="J545" i="1"/>
  <c r="G146" i="1"/>
  <c r="G545" i="1"/>
  <c r="K146" i="1"/>
  <c r="K545" i="1"/>
  <c r="F549" i="1"/>
  <c r="F149" i="1"/>
  <c r="K149" i="1"/>
  <c r="J149" i="1"/>
  <c r="I149" i="1"/>
  <c r="H149" i="1"/>
  <c r="G149" i="1"/>
  <c r="K544" i="1"/>
  <c r="J544" i="1"/>
  <c r="I544" i="1"/>
  <c r="H544" i="1"/>
  <c r="G544" i="1"/>
  <c r="F544" i="1"/>
  <c r="I146" i="1" l="1"/>
  <c r="I374" i="1" s="1"/>
  <c r="H367" i="1"/>
  <c r="H374" i="1" s="1"/>
  <c r="F146" i="1"/>
  <c r="F374" i="1" s="1"/>
  <c r="J146" i="1"/>
  <c r="J374" i="1" s="1"/>
  <c r="G367" i="1"/>
  <c r="G374" i="1" s="1"/>
  <c r="K367" i="1"/>
  <c r="K374" i="1" s="1"/>
  <c r="G150" i="1"/>
  <c r="G549" i="1"/>
  <c r="I150" i="1"/>
  <c r="I549" i="1"/>
  <c r="F150" i="1"/>
  <c r="K150" i="1"/>
  <c r="K549" i="1"/>
  <c r="H150" i="1"/>
  <c r="H549" i="1"/>
  <c r="J150" i="1"/>
  <c r="J549" i="1"/>
  <c r="F130" i="1"/>
  <c r="J378" i="1" l="1"/>
  <c r="J371" i="1"/>
  <c r="H378" i="1"/>
  <c r="H371" i="1"/>
  <c r="K378" i="1"/>
  <c r="K371" i="1"/>
  <c r="F378" i="1"/>
  <c r="F371" i="1"/>
  <c r="I378" i="1"/>
  <c r="I371" i="1"/>
  <c r="G378" i="1"/>
  <c r="G371" i="1"/>
  <c r="K137" i="1"/>
  <c r="K366" i="1"/>
  <c r="J137" i="1"/>
  <c r="J366" i="1"/>
  <c r="I137" i="1"/>
  <c r="I366" i="1"/>
  <c r="H137" i="1"/>
  <c r="H366" i="1"/>
  <c r="G137" i="1"/>
  <c r="G366" i="1"/>
  <c r="F137" i="1"/>
  <c r="F366" i="1"/>
  <c r="K145" i="1"/>
  <c r="K144" i="1" s="1"/>
  <c r="J145" i="1"/>
  <c r="J144" i="1" s="1"/>
  <c r="I145" i="1"/>
  <c r="I144" i="1" s="1"/>
  <c r="H145" i="1"/>
  <c r="H144" i="1" s="1"/>
  <c r="G145" i="1"/>
  <c r="G144" i="1" s="1"/>
  <c r="F145" i="1"/>
  <c r="F144" i="1" s="1"/>
  <c r="G365" i="1" l="1"/>
  <c r="G373" i="1"/>
  <c r="I373" i="1"/>
  <c r="I365" i="1"/>
  <c r="K373" i="1"/>
  <c r="K365" i="1"/>
  <c r="F365" i="1"/>
  <c r="F373" i="1"/>
  <c r="H373" i="1"/>
  <c r="H365" i="1"/>
  <c r="J373" i="1"/>
  <c r="J365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159" i="1"/>
  <c r="J159" i="1"/>
  <c r="I159" i="1"/>
  <c r="H159" i="1"/>
  <c r="G159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4" i="1"/>
  <c r="J524" i="1"/>
  <c r="I524" i="1"/>
  <c r="H524" i="1"/>
  <c r="G524" i="1"/>
  <c r="K523" i="1"/>
  <c r="J523" i="1"/>
  <c r="I523" i="1"/>
  <c r="H523" i="1"/>
  <c r="G523" i="1"/>
  <c r="F159" i="1"/>
  <c r="F525" i="1"/>
  <c r="F524" i="1"/>
  <c r="F523" i="1"/>
  <c r="K556" i="1" l="1"/>
  <c r="I556" i="1"/>
  <c r="G556" i="1"/>
  <c r="H556" i="1"/>
  <c r="J556" i="1"/>
  <c r="I555" i="1"/>
  <c r="G555" i="1"/>
  <c r="J555" i="1"/>
  <c r="H555" i="1"/>
  <c r="K555" i="1"/>
  <c r="I542" i="1"/>
  <c r="G542" i="1"/>
  <c r="H542" i="1"/>
  <c r="K542" i="1"/>
  <c r="J542" i="1"/>
  <c r="K500" i="1"/>
  <c r="J500" i="1"/>
  <c r="I500" i="1"/>
  <c r="G500" i="1"/>
  <c r="H500" i="1"/>
  <c r="G539" i="1"/>
  <c r="I539" i="1"/>
  <c r="K539" i="1"/>
  <c r="H539" i="1"/>
  <c r="J539" i="1"/>
  <c r="J537" i="1"/>
  <c r="I537" i="1"/>
  <c r="K537" i="1"/>
  <c r="G537" i="1"/>
  <c r="H537" i="1"/>
  <c r="J64" i="1"/>
  <c r="J522" i="1"/>
  <c r="G64" i="1"/>
  <c r="G522" i="1"/>
  <c r="I64" i="1"/>
  <c r="I522" i="1"/>
  <c r="H64" i="1"/>
  <c r="H522" i="1"/>
  <c r="I379" i="1"/>
  <c r="H379" i="1"/>
  <c r="J379" i="1"/>
  <c r="G379" i="1"/>
  <c r="K379" i="1"/>
  <c r="G169" i="1"/>
  <c r="G168" i="1"/>
  <c r="G563" i="1" s="1"/>
  <c r="I169" i="1"/>
  <c r="I168" i="1"/>
  <c r="I563" i="1" s="1"/>
  <c r="H169" i="1"/>
  <c r="H168" i="1"/>
  <c r="H563" i="1" s="1"/>
  <c r="J169" i="1"/>
  <c r="J168" i="1"/>
  <c r="J563" i="1" s="1"/>
  <c r="K169" i="1"/>
  <c r="K168" i="1"/>
  <c r="K563" i="1" s="1"/>
  <c r="H328" i="1"/>
  <c r="H344" i="1" s="1"/>
  <c r="J100" i="1"/>
  <c r="J328" i="1" s="1"/>
  <c r="J344" i="1" s="1"/>
  <c r="G328" i="1"/>
  <c r="G344" i="1" s="1"/>
  <c r="H329" i="1"/>
  <c r="H345" i="1" s="1"/>
  <c r="G270" i="1"/>
  <c r="G259" i="1" s="1"/>
  <c r="I328" i="1"/>
  <c r="I344" i="1" s="1"/>
  <c r="K100" i="1"/>
  <c r="K328" i="1" s="1"/>
  <c r="K344" i="1" s="1"/>
  <c r="G329" i="1"/>
  <c r="G345" i="1" s="1"/>
  <c r="I329" i="1"/>
  <c r="I345" i="1" s="1"/>
  <c r="J101" i="1"/>
  <c r="J329" i="1" s="1"/>
  <c r="J345" i="1" s="1"/>
  <c r="J102" i="1"/>
  <c r="K102" i="1"/>
  <c r="H74" i="1"/>
  <c r="I74" i="1"/>
  <c r="G74" i="1"/>
  <c r="K74" i="1"/>
  <c r="G151" i="1"/>
  <c r="I173" i="1"/>
  <c r="F66" i="1"/>
  <c r="H327" i="1"/>
  <c r="H343" i="1" s="1"/>
  <c r="H151" i="1"/>
  <c r="G327" i="1"/>
  <c r="G343" i="1" s="1"/>
  <c r="I327" i="1"/>
  <c r="I343" i="1" s="1"/>
  <c r="I151" i="1"/>
  <c r="J74" i="1"/>
  <c r="J99" i="1"/>
  <c r="J327" i="1" s="1"/>
  <c r="J343" i="1" s="1"/>
  <c r="J151" i="1"/>
  <c r="K99" i="1"/>
  <c r="K327" i="1" s="1"/>
  <c r="K343" i="1" s="1"/>
  <c r="K151" i="1"/>
  <c r="G161" i="1"/>
  <c r="G173" i="1"/>
  <c r="F161" i="1"/>
  <c r="H161" i="1"/>
  <c r="H173" i="1"/>
  <c r="I161" i="1"/>
  <c r="J161" i="1"/>
  <c r="J173" i="1"/>
  <c r="K161" i="1"/>
  <c r="K173" i="1"/>
  <c r="K531" i="1"/>
  <c r="F12" i="1"/>
  <c r="F1751" i="1" s="1"/>
  <c r="F1711" i="1" s="1"/>
  <c r="K577" i="1"/>
  <c r="J577" i="1"/>
  <c r="I577" i="1"/>
  <c r="H577" i="1"/>
  <c r="G577" i="1"/>
  <c r="F577" i="1"/>
  <c r="K215" i="1"/>
  <c r="J215" i="1"/>
  <c r="I215" i="1"/>
  <c r="G215" i="1"/>
  <c r="F215" i="1"/>
  <c r="K188" i="1"/>
  <c r="J188" i="1"/>
  <c r="I188" i="1"/>
  <c r="H188" i="1"/>
  <c r="G188" i="1"/>
  <c r="F188" i="1"/>
  <c r="F573" i="1"/>
  <c r="F572" i="1"/>
  <c r="F571" i="1"/>
  <c r="F570" i="1"/>
  <c r="F569" i="1"/>
  <c r="F568" i="1"/>
  <c r="F567" i="1"/>
  <c r="F531" i="1"/>
  <c r="F530" i="1"/>
  <c r="F529" i="1"/>
  <c r="H575" i="1" l="1"/>
  <c r="H215" i="1"/>
  <c r="K797" i="1"/>
  <c r="F793" i="1"/>
  <c r="G793" i="1"/>
  <c r="J793" i="1"/>
  <c r="F377" i="1"/>
  <c r="F372" i="1" s="1"/>
  <c r="F797" i="1"/>
  <c r="H793" i="1"/>
  <c r="K793" i="1"/>
  <c r="G510" i="1"/>
  <c r="G509" i="1" s="1"/>
  <c r="G797" i="1"/>
  <c r="H503" i="1"/>
  <c r="H797" i="1"/>
  <c r="I793" i="1"/>
  <c r="I797" i="1"/>
  <c r="J510" i="1"/>
  <c r="J509" i="1" s="1"/>
  <c r="J797" i="1"/>
  <c r="G541" i="1"/>
  <c r="F217" i="1"/>
  <c r="F576" i="1"/>
  <c r="J512" i="1"/>
  <c r="I512" i="1"/>
  <c r="H512" i="1"/>
  <c r="F556" i="1"/>
  <c r="K512" i="1"/>
  <c r="G512" i="1"/>
  <c r="F555" i="1"/>
  <c r="I554" i="1"/>
  <c r="J554" i="1"/>
  <c r="K554" i="1"/>
  <c r="F512" i="1"/>
  <c r="H554" i="1"/>
  <c r="G554" i="1"/>
  <c r="K503" i="1"/>
  <c r="J541" i="1"/>
  <c r="K541" i="1"/>
  <c r="H541" i="1"/>
  <c r="I541" i="1"/>
  <c r="F542" i="1"/>
  <c r="F500" i="1"/>
  <c r="F537" i="1"/>
  <c r="K535" i="1"/>
  <c r="I535" i="1"/>
  <c r="K534" i="1"/>
  <c r="J535" i="1"/>
  <c r="I470" i="1"/>
  <c r="H534" i="1"/>
  <c r="G535" i="1"/>
  <c r="H535" i="1"/>
  <c r="I66" i="1"/>
  <c r="I525" i="1"/>
  <c r="F64" i="1"/>
  <c r="F522" i="1"/>
  <c r="J66" i="1"/>
  <c r="J525" i="1"/>
  <c r="K64" i="1"/>
  <c r="K522" i="1"/>
  <c r="K66" i="1"/>
  <c r="K525" i="1"/>
  <c r="H66" i="1"/>
  <c r="H525" i="1"/>
  <c r="G66" i="1"/>
  <c r="G525" i="1"/>
  <c r="F379" i="1"/>
  <c r="J234" i="1"/>
  <c r="K234" i="1"/>
  <c r="G234" i="1"/>
  <c r="H234" i="1"/>
  <c r="F184" i="1"/>
  <c r="I234" i="1"/>
  <c r="F234" i="1"/>
  <c r="G111" i="1"/>
  <c r="K358" i="1"/>
  <c r="K370" i="1"/>
  <c r="K377" i="1"/>
  <c r="K372" i="1" s="1"/>
  <c r="F370" i="1"/>
  <c r="J358" i="1"/>
  <c r="J370" i="1"/>
  <c r="J377" i="1"/>
  <c r="J372" i="1" s="1"/>
  <c r="F280" i="1"/>
  <c r="F279" i="1" s="1"/>
  <c r="F273" i="1"/>
  <c r="H280" i="1"/>
  <c r="H279" i="1" s="1"/>
  <c r="H273" i="1"/>
  <c r="I280" i="1"/>
  <c r="I279" i="1" s="1"/>
  <c r="I273" i="1"/>
  <c r="J280" i="1"/>
  <c r="J279" i="1" s="1"/>
  <c r="J273" i="1"/>
  <c r="K280" i="1"/>
  <c r="K279" i="1" s="1"/>
  <c r="K273" i="1"/>
  <c r="G280" i="1"/>
  <c r="G279" i="1" s="1"/>
  <c r="G273" i="1"/>
  <c r="K112" i="1"/>
  <c r="K271" i="1"/>
  <c r="K260" i="1" s="1"/>
  <c r="I112" i="1"/>
  <c r="I271" i="1"/>
  <c r="I260" i="1" s="1"/>
  <c r="I111" i="1"/>
  <c r="I270" i="1"/>
  <c r="I259" i="1" s="1"/>
  <c r="H112" i="1"/>
  <c r="H271" i="1"/>
  <c r="H260" i="1" s="1"/>
  <c r="G112" i="1"/>
  <c r="G271" i="1"/>
  <c r="G260" i="1" s="1"/>
  <c r="H111" i="1"/>
  <c r="H270" i="1"/>
  <c r="H259" i="1" s="1"/>
  <c r="J112" i="1"/>
  <c r="J271" i="1"/>
  <c r="J260" i="1" s="1"/>
  <c r="K111" i="1"/>
  <c r="K270" i="1"/>
  <c r="K259" i="1" s="1"/>
  <c r="J111" i="1"/>
  <c r="J270" i="1"/>
  <c r="J259" i="1" s="1"/>
  <c r="K109" i="1"/>
  <c r="K337" i="1" s="1"/>
  <c r="K353" i="1" s="1"/>
  <c r="K498" i="1" s="1"/>
  <c r="K487" i="1" s="1"/>
  <c r="K268" i="1"/>
  <c r="K257" i="1" s="1"/>
  <c r="I337" i="1"/>
  <c r="I353" i="1" s="1"/>
  <c r="I498" i="1" s="1"/>
  <c r="I487" i="1" s="1"/>
  <c r="I268" i="1"/>
  <c r="I257" i="1" s="1"/>
  <c r="I335" i="1"/>
  <c r="I351" i="1" s="1"/>
  <c r="I496" i="1" s="1"/>
  <c r="I485" i="1" s="1"/>
  <c r="I266" i="1"/>
  <c r="I255" i="1" s="1"/>
  <c r="G337" i="1"/>
  <c r="G353" i="1" s="1"/>
  <c r="G498" i="1" s="1"/>
  <c r="G487" i="1" s="1"/>
  <c r="G268" i="1"/>
  <c r="G257" i="1" s="1"/>
  <c r="J109" i="1"/>
  <c r="J337" i="1" s="1"/>
  <c r="J353" i="1" s="1"/>
  <c r="J498" i="1" s="1"/>
  <c r="J487" i="1" s="1"/>
  <c r="J268" i="1"/>
  <c r="J257" i="1" s="1"/>
  <c r="H337" i="1"/>
  <c r="H353" i="1" s="1"/>
  <c r="H498" i="1" s="1"/>
  <c r="H487" i="1" s="1"/>
  <c r="H268" i="1"/>
  <c r="H257" i="1" s="1"/>
  <c r="H335" i="1"/>
  <c r="H351" i="1" s="1"/>
  <c r="H496" i="1" s="1"/>
  <c r="H485" i="1" s="1"/>
  <c r="H266" i="1"/>
  <c r="H255" i="1" s="1"/>
  <c r="J107" i="1"/>
  <c r="J335" i="1" s="1"/>
  <c r="J351" i="1" s="1"/>
  <c r="J496" i="1" s="1"/>
  <c r="J485" i="1" s="1"/>
  <c r="J266" i="1"/>
  <c r="J255" i="1" s="1"/>
  <c r="K107" i="1"/>
  <c r="K335" i="1" s="1"/>
  <c r="K351" i="1" s="1"/>
  <c r="K496" i="1" s="1"/>
  <c r="K485" i="1" s="1"/>
  <c r="K266" i="1"/>
  <c r="K255" i="1" s="1"/>
  <c r="G335" i="1"/>
  <c r="G351" i="1" s="1"/>
  <c r="G496" i="1" s="1"/>
  <c r="G485" i="1" s="1"/>
  <c r="G266" i="1"/>
  <c r="G255" i="1" s="1"/>
  <c r="H222" i="1"/>
  <c r="H221" i="1" s="1"/>
  <c r="H219" i="1"/>
  <c r="K222" i="1"/>
  <c r="K221" i="1" s="1"/>
  <c r="K219" i="1"/>
  <c r="I222" i="1"/>
  <c r="I221" i="1" s="1"/>
  <c r="I219" i="1"/>
  <c r="J222" i="1"/>
  <c r="J221" i="1" s="1"/>
  <c r="J219" i="1"/>
  <c r="G222" i="1"/>
  <c r="G221" i="1" s="1"/>
  <c r="G219" i="1"/>
  <c r="F222" i="1"/>
  <c r="F221" i="1" s="1"/>
  <c r="F219" i="1"/>
  <c r="H214" i="1"/>
  <c r="H213" i="1" s="1"/>
  <c r="H211" i="1"/>
  <c r="G239" i="1"/>
  <c r="H239" i="1"/>
  <c r="I239" i="1"/>
  <c r="J239" i="1"/>
  <c r="K239" i="1"/>
  <c r="I195" i="1"/>
  <c r="K195" i="1"/>
  <c r="G195" i="1"/>
  <c r="H195" i="1"/>
  <c r="F169" i="1"/>
  <c r="F168" i="1"/>
  <c r="F563" i="1" s="1"/>
  <c r="G263" i="1"/>
  <c r="K263" i="1"/>
  <c r="J264" i="1"/>
  <c r="J253" i="1" s="1"/>
  <c r="I264" i="1"/>
  <c r="I253" i="1" s="1"/>
  <c r="F100" i="1"/>
  <c r="F328" i="1" s="1"/>
  <c r="F344" i="1" s="1"/>
  <c r="I263" i="1"/>
  <c r="G264" i="1"/>
  <c r="G253" i="1" s="1"/>
  <c r="K264" i="1"/>
  <c r="K253" i="1" s="1"/>
  <c r="F101" i="1"/>
  <c r="F329" i="1" s="1"/>
  <c r="F345" i="1" s="1"/>
  <c r="J195" i="1"/>
  <c r="F74" i="1"/>
  <c r="F195" i="1"/>
  <c r="H264" i="1"/>
  <c r="H253" i="1" s="1"/>
  <c r="F127" i="1"/>
  <c r="J263" i="1"/>
  <c r="H263" i="1"/>
  <c r="K101" i="1"/>
  <c r="K329" i="1" s="1"/>
  <c r="K345" i="1" s="1"/>
  <c r="F575" i="1"/>
  <c r="J575" i="1"/>
  <c r="F183" i="1"/>
  <c r="F239" i="1"/>
  <c r="F238" i="1" s="1"/>
  <c r="G183" i="1"/>
  <c r="I183" i="1"/>
  <c r="K183" i="1"/>
  <c r="F187" i="1"/>
  <c r="F186" i="1" s="1"/>
  <c r="H183" i="1"/>
  <c r="I187" i="1"/>
  <c r="I186" i="1" s="1"/>
  <c r="J183" i="1"/>
  <c r="I82" i="1"/>
  <c r="F99" i="1"/>
  <c r="F327" i="1" s="1"/>
  <c r="F343" i="1" s="1"/>
  <c r="F173" i="1"/>
  <c r="H187" i="1"/>
  <c r="H186" i="1" s="1"/>
  <c r="G82" i="1"/>
  <c r="I575" i="1"/>
  <c r="F151" i="1"/>
  <c r="G575" i="1"/>
  <c r="K187" i="1"/>
  <c r="K186" i="1" s="1"/>
  <c r="G187" i="1"/>
  <c r="G186" i="1" s="1"/>
  <c r="H82" i="1"/>
  <c r="K82" i="1"/>
  <c r="K575" i="1"/>
  <c r="J187" i="1"/>
  <c r="J186" i="1" s="1"/>
  <c r="J82" i="1"/>
  <c r="I12" i="1"/>
  <c r="I1751" i="1" s="1"/>
  <c r="I1711" i="1" s="1"/>
  <c r="J12" i="1"/>
  <c r="J1751" i="1" s="1"/>
  <c r="J1711" i="1" s="1"/>
  <c r="K12" i="1"/>
  <c r="K1751" i="1" s="1"/>
  <c r="K1711" i="1" s="1"/>
  <c r="G12" i="1"/>
  <c r="G1751" i="1" s="1"/>
  <c r="G1711" i="1" s="1"/>
  <c r="H12" i="1"/>
  <c r="H1751" i="1" s="1"/>
  <c r="H1711" i="1" s="1"/>
  <c r="I370" i="1" l="1"/>
  <c r="J470" i="1"/>
  <c r="I377" i="1"/>
  <c r="I372" i="1" s="1"/>
  <c r="I358" i="1"/>
  <c r="I340" i="1"/>
  <c r="I356" i="1" s="1"/>
  <c r="I501" i="1" s="1"/>
  <c r="I490" i="1" s="1"/>
  <c r="H340" i="1"/>
  <c r="H356" i="1" s="1"/>
  <c r="H501" i="1" s="1"/>
  <c r="H490" i="1" s="1"/>
  <c r="K340" i="1"/>
  <c r="K356" i="1" s="1"/>
  <c r="K501" i="1" s="1"/>
  <c r="K490" i="1" s="1"/>
  <c r="J339" i="1"/>
  <c r="J355" i="1" s="1"/>
  <c r="K339" i="1"/>
  <c r="K355" i="1" s="1"/>
  <c r="J340" i="1"/>
  <c r="J356" i="1" s="1"/>
  <c r="J501" i="1" s="1"/>
  <c r="J490" i="1" s="1"/>
  <c r="G339" i="1"/>
  <c r="G355" i="1" s="1"/>
  <c r="I339" i="1"/>
  <c r="I355" i="1" s="1"/>
  <c r="H339" i="1"/>
  <c r="H355" i="1" s="1"/>
  <c r="G340" i="1"/>
  <c r="G356" i="1" s="1"/>
  <c r="G501" i="1" s="1"/>
  <c r="G490" i="1" s="1"/>
  <c r="F358" i="1"/>
  <c r="I548" i="1"/>
  <c r="I503" i="1"/>
  <c r="I237" i="1"/>
  <c r="I236" i="1" s="1"/>
  <c r="I238" i="1"/>
  <c r="J237" i="1"/>
  <c r="J236" i="1" s="1"/>
  <c r="J238" i="1"/>
  <c r="G237" i="1"/>
  <c r="G236" i="1" s="1"/>
  <c r="G238" i="1"/>
  <c r="H237" i="1"/>
  <c r="H236" i="1" s="1"/>
  <c r="H238" i="1"/>
  <c r="K237" i="1"/>
  <c r="K236" i="1" s="1"/>
  <c r="K238" i="1"/>
  <c r="K192" i="1"/>
  <c r="K191" i="1" s="1"/>
  <c r="K194" i="1"/>
  <c r="F192" i="1"/>
  <c r="F191" i="1" s="1"/>
  <c r="F194" i="1"/>
  <c r="I192" i="1"/>
  <c r="I191" i="1" s="1"/>
  <c r="I194" i="1"/>
  <c r="J192" i="1"/>
  <c r="J191" i="1" s="1"/>
  <c r="J194" i="1"/>
  <c r="G192" i="1"/>
  <c r="G191" i="1" s="1"/>
  <c r="G194" i="1"/>
  <c r="H192" i="1"/>
  <c r="H191" i="1" s="1"/>
  <c r="H194" i="1"/>
  <c r="K792" i="1"/>
  <c r="K834" i="1" s="1"/>
  <c r="K867" i="1" s="1"/>
  <c r="J792" i="1"/>
  <c r="J834" i="1" s="1"/>
  <c r="J867" i="1" s="1"/>
  <c r="I792" i="1"/>
  <c r="I834" i="1" s="1"/>
  <c r="I867" i="1" s="1"/>
  <c r="H370" i="1"/>
  <c r="H792" i="1"/>
  <c r="H377" i="1"/>
  <c r="H372" i="1" s="1"/>
  <c r="G377" i="1"/>
  <c r="G372" i="1" s="1"/>
  <c r="F510" i="1"/>
  <c r="F509" i="1" s="1"/>
  <c r="G370" i="1"/>
  <c r="G792" i="1"/>
  <c r="G834" i="1" s="1"/>
  <c r="G867" i="1" s="1"/>
  <c r="G358" i="1"/>
  <c r="H358" i="1"/>
  <c r="G217" i="1"/>
  <c r="G576" i="1"/>
  <c r="J227" i="1"/>
  <c r="J579" i="1"/>
  <c r="K227" i="1"/>
  <c r="K579" i="1"/>
  <c r="G227" i="1"/>
  <c r="G579" i="1"/>
  <c r="F554" i="1"/>
  <c r="J217" i="1"/>
  <c r="J576" i="1"/>
  <c r="H227" i="1"/>
  <c r="H579" i="1"/>
  <c r="K217" i="1"/>
  <c r="K576" i="1"/>
  <c r="F227" i="1"/>
  <c r="F579" i="1"/>
  <c r="I217" i="1"/>
  <c r="I576" i="1"/>
  <c r="I227" i="1"/>
  <c r="I579" i="1"/>
  <c r="H217" i="1"/>
  <c r="H576" i="1"/>
  <c r="H548" i="1"/>
  <c r="H510" i="1"/>
  <c r="H509" i="1" s="1"/>
  <c r="J548" i="1"/>
  <c r="F541" i="1"/>
  <c r="G503" i="1"/>
  <c r="G548" i="1"/>
  <c r="J503" i="1"/>
  <c r="I510" i="1"/>
  <c r="I509" i="1" s="1"/>
  <c r="G470" i="1"/>
  <c r="K510" i="1"/>
  <c r="K509" i="1" s="1"/>
  <c r="G233" i="1"/>
  <c r="K548" i="1"/>
  <c r="I534" i="1"/>
  <c r="J63" i="1"/>
  <c r="G63" i="1"/>
  <c r="K470" i="1"/>
  <c r="G534" i="1"/>
  <c r="H470" i="1"/>
  <c r="I63" i="1"/>
  <c r="J534" i="1"/>
  <c r="K63" i="1"/>
  <c r="F535" i="1"/>
  <c r="H532" i="1"/>
  <c r="F418" i="1"/>
  <c r="J418" i="1"/>
  <c r="J411" i="1" s="1"/>
  <c r="J410" i="1" s="1"/>
  <c r="I418" i="1"/>
  <c r="I411" i="1" s="1"/>
  <c r="I410" i="1" s="1"/>
  <c r="K233" i="1"/>
  <c r="H63" i="1"/>
  <c r="J233" i="1"/>
  <c r="F305" i="1"/>
  <c r="H305" i="1"/>
  <c r="H298" i="1"/>
  <c r="I305" i="1"/>
  <c r="I298" i="1"/>
  <c r="G305" i="1"/>
  <c r="G298" i="1"/>
  <c r="I233" i="1"/>
  <c r="K305" i="1"/>
  <c r="K298" i="1"/>
  <c r="F417" i="1"/>
  <c r="F304" i="1"/>
  <c r="F298" i="1"/>
  <c r="H233" i="1"/>
  <c r="J305" i="1"/>
  <c r="J298" i="1"/>
  <c r="K330" i="1"/>
  <c r="K346" i="1" s="1"/>
  <c r="K532" i="1"/>
  <c r="G330" i="1"/>
  <c r="G346" i="1" s="1"/>
  <c r="G532" i="1"/>
  <c r="H310" i="1"/>
  <c r="G310" i="1"/>
  <c r="J310" i="1"/>
  <c r="I310" i="1"/>
  <c r="I330" i="1"/>
  <c r="I346" i="1" s="1"/>
  <c r="K310" i="1"/>
  <c r="H330" i="1"/>
  <c r="H346" i="1" s="1"/>
  <c r="J330" i="1"/>
  <c r="J346" i="1" s="1"/>
  <c r="J252" i="1"/>
  <c r="J251" i="1" s="1"/>
  <c r="J262" i="1"/>
  <c r="I252" i="1"/>
  <c r="I251" i="1" s="1"/>
  <c r="I262" i="1"/>
  <c r="K252" i="1"/>
  <c r="K251" i="1" s="1"/>
  <c r="K262" i="1"/>
  <c r="F112" i="1"/>
  <c r="F271" i="1"/>
  <c r="F260" i="1" s="1"/>
  <c r="G252" i="1"/>
  <c r="G251" i="1" s="1"/>
  <c r="G262" i="1"/>
  <c r="F111" i="1"/>
  <c r="F270" i="1"/>
  <c r="F259" i="1" s="1"/>
  <c r="H252" i="1"/>
  <c r="H251" i="1" s="1"/>
  <c r="H262" i="1"/>
  <c r="J104" i="1"/>
  <c r="J332" i="1" s="1"/>
  <c r="J348" i="1" s="1"/>
  <c r="J493" i="1" s="1"/>
  <c r="F107" i="1"/>
  <c r="F335" i="1" s="1"/>
  <c r="F351" i="1" s="1"/>
  <c r="F496" i="1" s="1"/>
  <c r="F485" i="1" s="1"/>
  <c r="F266" i="1"/>
  <c r="F255" i="1" s="1"/>
  <c r="J214" i="1"/>
  <c r="J213" i="1" s="1"/>
  <c r="J211" i="1"/>
  <c r="F214" i="1"/>
  <c r="F213" i="1" s="1"/>
  <c r="F211" i="1"/>
  <c r="I214" i="1"/>
  <c r="I213" i="1" s="1"/>
  <c r="I211" i="1"/>
  <c r="K214" i="1"/>
  <c r="K213" i="1" s="1"/>
  <c r="K211" i="1"/>
  <c r="G214" i="1"/>
  <c r="G213" i="1" s="1"/>
  <c r="G211" i="1"/>
  <c r="F102" i="1"/>
  <c r="F330" i="1" s="1"/>
  <c r="F346" i="1" s="1"/>
  <c r="G332" i="1"/>
  <c r="G348" i="1" s="1"/>
  <c r="G493" i="1" s="1"/>
  <c r="H332" i="1"/>
  <c r="H348" i="1" s="1"/>
  <c r="H493" i="1" s="1"/>
  <c r="H333" i="1"/>
  <c r="H349" i="1" s="1"/>
  <c r="H494" i="1" s="1"/>
  <c r="H483" i="1" s="1"/>
  <c r="F237" i="1"/>
  <c r="F236" i="1" s="1"/>
  <c r="K104" i="1"/>
  <c r="K332" i="1" s="1"/>
  <c r="K348" i="1" s="1"/>
  <c r="K493" i="1" s="1"/>
  <c r="J105" i="1"/>
  <c r="J333" i="1" s="1"/>
  <c r="J349" i="1" s="1"/>
  <c r="J494" i="1" s="1"/>
  <c r="J483" i="1" s="1"/>
  <c r="G333" i="1"/>
  <c r="G349" i="1" s="1"/>
  <c r="G494" i="1" s="1"/>
  <c r="G483" i="1" s="1"/>
  <c r="I98" i="1"/>
  <c r="I332" i="1"/>
  <c r="I348" i="1" s="1"/>
  <c r="I493" i="1" s="1"/>
  <c r="K98" i="1"/>
  <c r="I333" i="1"/>
  <c r="I349" i="1" s="1"/>
  <c r="I494" i="1" s="1"/>
  <c r="I483" i="1" s="1"/>
  <c r="G98" i="1"/>
  <c r="F264" i="1"/>
  <c r="F253" i="1" s="1"/>
  <c r="J98" i="1"/>
  <c r="H98" i="1"/>
  <c r="K105" i="1"/>
  <c r="K333" i="1" s="1"/>
  <c r="K349" i="1" s="1"/>
  <c r="K494" i="1" s="1"/>
  <c r="K483" i="1" s="1"/>
  <c r="F82" i="1"/>
  <c r="F63" i="1" s="1"/>
  <c r="F339" i="1" l="1"/>
  <c r="F355" i="1" s="1"/>
  <c r="F340" i="1"/>
  <c r="F356" i="1" s="1"/>
  <c r="F501" i="1" s="1"/>
  <c r="F490" i="1" s="1"/>
  <c r="K838" i="1"/>
  <c r="K871" i="1" s="1"/>
  <c r="F415" i="1"/>
  <c r="F414" i="1" s="1"/>
  <c r="F416" i="1"/>
  <c r="I838" i="1"/>
  <c r="I871" i="1" s="1"/>
  <c r="J838" i="1"/>
  <c r="J871" i="1" s="1"/>
  <c r="I876" i="1"/>
  <c r="I842" i="1"/>
  <c r="I875" i="1" s="1"/>
  <c r="I839" i="1"/>
  <c r="I872" i="1" s="1"/>
  <c r="I836" i="1"/>
  <c r="I869" i="1" s="1"/>
  <c r="I841" i="1"/>
  <c r="I874" i="1" s="1"/>
  <c r="I840" i="1"/>
  <c r="I873" i="1" s="1"/>
  <c r="I837" i="1"/>
  <c r="I870" i="1" s="1"/>
  <c r="I835" i="1"/>
  <c r="I868" i="1" s="1"/>
  <c r="H210" i="1"/>
  <c r="H182" i="1" s="1"/>
  <c r="H181" i="1" s="1"/>
  <c r="H876" i="1"/>
  <c r="H842" i="1"/>
  <c r="H875" i="1" s="1"/>
  <c r="H841" i="1"/>
  <c r="H874" i="1" s="1"/>
  <c r="H840" i="1"/>
  <c r="H873" i="1" s="1"/>
  <c r="H839" i="1"/>
  <c r="H872" i="1" s="1"/>
  <c r="H836" i="1"/>
  <c r="H869" i="1" s="1"/>
  <c r="H837" i="1"/>
  <c r="H870" i="1" s="1"/>
  <c r="H835" i="1"/>
  <c r="H868" i="1" s="1"/>
  <c r="J876" i="1"/>
  <c r="J842" i="1"/>
  <c r="J875" i="1" s="1"/>
  <c r="J839" i="1"/>
  <c r="J872" i="1" s="1"/>
  <c r="J841" i="1"/>
  <c r="J874" i="1" s="1"/>
  <c r="J840" i="1"/>
  <c r="J873" i="1" s="1"/>
  <c r="J836" i="1"/>
  <c r="J869" i="1" s="1"/>
  <c r="J837" i="1"/>
  <c r="J870" i="1" s="1"/>
  <c r="J835" i="1"/>
  <c r="J868" i="1" s="1"/>
  <c r="F548" i="1"/>
  <c r="H838" i="1"/>
  <c r="H871" i="1" s="1"/>
  <c r="H834" i="1"/>
  <c r="H867" i="1" s="1"/>
  <c r="F503" i="1"/>
  <c r="G876" i="1"/>
  <c r="G842" i="1"/>
  <c r="G875" i="1" s="1"/>
  <c r="G836" i="1"/>
  <c r="G869" i="1" s="1"/>
  <c r="G840" i="1"/>
  <c r="G873" i="1" s="1"/>
  <c r="G839" i="1"/>
  <c r="G872" i="1" s="1"/>
  <c r="G841" i="1"/>
  <c r="G874" i="1" s="1"/>
  <c r="G837" i="1"/>
  <c r="G870" i="1" s="1"/>
  <c r="G835" i="1"/>
  <c r="G868" i="1" s="1"/>
  <c r="K876" i="1"/>
  <c r="K842" i="1"/>
  <c r="K875" i="1" s="1"/>
  <c r="K836" i="1"/>
  <c r="K869" i="1" s="1"/>
  <c r="K841" i="1"/>
  <c r="K874" i="1" s="1"/>
  <c r="K840" i="1"/>
  <c r="K873" i="1" s="1"/>
  <c r="K839" i="1"/>
  <c r="K872" i="1" s="1"/>
  <c r="K837" i="1"/>
  <c r="K870" i="1" s="1"/>
  <c r="K835" i="1"/>
  <c r="K868" i="1" s="1"/>
  <c r="G838" i="1"/>
  <c r="G871" i="1" s="1"/>
  <c r="G210" i="1"/>
  <c r="G182" i="1" s="1"/>
  <c r="G181" i="1" s="1"/>
  <c r="K210" i="1"/>
  <c r="K182" i="1" s="1"/>
  <c r="K181" i="1" s="1"/>
  <c r="J210" i="1"/>
  <c r="J182" i="1" s="1"/>
  <c r="J181" i="1" s="1"/>
  <c r="F210" i="1"/>
  <c r="F182" i="1" s="1"/>
  <c r="I210" i="1"/>
  <c r="I182" i="1" s="1"/>
  <c r="I181" i="1" s="1"/>
  <c r="J532" i="1"/>
  <c r="I532" i="1"/>
  <c r="F425" i="1"/>
  <c r="I425" i="1"/>
  <c r="H418" i="1"/>
  <c r="H411" i="1" s="1"/>
  <c r="H410" i="1" s="1"/>
  <c r="F532" i="1"/>
  <c r="I464" i="1"/>
  <c r="I463" i="1" s="1"/>
  <c r="I409" i="1" s="1"/>
  <c r="I528" i="1"/>
  <c r="K464" i="1"/>
  <c r="K463" i="1" s="1"/>
  <c r="K528" i="1"/>
  <c r="G464" i="1"/>
  <c r="G463" i="1" s="1"/>
  <c r="G528" i="1"/>
  <c r="J464" i="1"/>
  <c r="J463" i="1" s="1"/>
  <c r="J409" i="1" s="1"/>
  <c r="J528" i="1"/>
  <c r="H464" i="1"/>
  <c r="H463" i="1" s="1"/>
  <c r="H528" i="1"/>
  <c r="F464" i="1"/>
  <c r="F528" i="1"/>
  <c r="F527" i="1"/>
  <c r="K302" i="1"/>
  <c r="K291" i="1" s="1"/>
  <c r="G302" i="1"/>
  <c r="G291" i="1" s="1"/>
  <c r="I302" i="1"/>
  <c r="I291" i="1" s="1"/>
  <c r="H302" i="1"/>
  <c r="H291" i="1" s="1"/>
  <c r="J302" i="1"/>
  <c r="J291" i="1" s="1"/>
  <c r="F302" i="1"/>
  <c r="K482" i="1"/>
  <c r="K481" i="1" s="1"/>
  <c r="K492" i="1"/>
  <c r="G482" i="1"/>
  <c r="G481" i="1" s="1"/>
  <c r="G492" i="1"/>
  <c r="H482" i="1"/>
  <c r="H481" i="1" s="1"/>
  <c r="H492" i="1"/>
  <c r="I482" i="1"/>
  <c r="I481" i="1" s="1"/>
  <c r="I492" i="1"/>
  <c r="J482" i="1"/>
  <c r="J481" i="1" s="1"/>
  <c r="J492" i="1"/>
  <c r="G425" i="1"/>
  <c r="J469" i="1"/>
  <c r="G469" i="1"/>
  <c r="H469" i="1"/>
  <c r="K469" i="1"/>
  <c r="I469" i="1"/>
  <c r="F412" i="1"/>
  <c r="F411" i="1" s="1"/>
  <c r="F469" i="1"/>
  <c r="K425" i="1"/>
  <c r="J342" i="1"/>
  <c r="J326" i="1" s="1"/>
  <c r="J425" i="1"/>
  <c r="K418" i="1"/>
  <c r="K411" i="1" s="1"/>
  <c r="K410" i="1" s="1"/>
  <c r="H342" i="1"/>
  <c r="H326" i="1" s="1"/>
  <c r="H425" i="1"/>
  <c r="G418" i="1"/>
  <c r="G411" i="1" s="1"/>
  <c r="G410" i="1" s="1"/>
  <c r="F397" i="1"/>
  <c r="K342" i="1"/>
  <c r="K326" i="1" s="1"/>
  <c r="I342" i="1"/>
  <c r="I326" i="1" s="1"/>
  <c r="G342" i="1"/>
  <c r="G326" i="1" s="1"/>
  <c r="F104" i="1"/>
  <c r="F114" i="1"/>
  <c r="F98" i="1" s="1"/>
  <c r="F105" i="1"/>
  <c r="F333" i="1" s="1"/>
  <c r="F349" i="1" s="1"/>
  <c r="F494" i="1" s="1"/>
  <c r="F483" i="1" s="1"/>
  <c r="F410" i="1" l="1"/>
  <c r="F9" i="4"/>
  <c r="F8" i="4" s="1"/>
  <c r="G9" i="4"/>
  <c r="G8" i="4" s="1"/>
  <c r="I467" i="1"/>
  <c r="I466" i="1" s="1"/>
  <c r="I468" i="1"/>
  <c r="F467" i="1"/>
  <c r="F466" i="1" s="1"/>
  <c r="F468" i="1"/>
  <c r="K467" i="1"/>
  <c r="K466" i="1" s="1"/>
  <c r="K468" i="1"/>
  <c r="G467" i="1"/>
  <c r="G466" i="1" s="1"/>
  <c r="G468" i="1"/>
  <c r="H467" i="1"/>
  <c r="H466" i="1" s="1"/>
  <c r="H468" i="1"/>
  <c r="J467" i="1"/>
  <c r="J466" i="1" s="1"/>
  <c r="J468" i="1"/>
  <c r="J422" i="1"/>
  <c r="J421" i="1" s="1"/>
  <c r="J424" i="1"/>
  <c r="K422" i="1"/>
  <c r="K421" i="1" s="1"/>
  <c r="K424" i="1"/>
  <c r="H422" i="1"/>
  <c r="H421" i="1" s="1"/>
  <c r="H424" i="1"/>
  <c r="I422" i="1"/>
  <c r="I421" i="1" s="1"/>
  <c r="I424" i="1"/>
  <c r="F422" i="1"/>
  <c r="F421" i="1" s="1"/>
  <c r="F424" i="1"/>
  <c r="G422" i="1"/>
  <c r="G421" i="1" s="1"/>
  <c r="G424" i="1"/>
  <c r="H409" i="1"/>
  <c r="E9" i="4" s="1"/>
  <c r="E8" i="4" s="1"/>
  <c r="G409" i="1"/>
  <c r="D9" i="4" s="1"/>
  <c r="D8" i="4" s="1"/>
  <c r="K409" i="1"/>
  <c r="H9" i="4" s="1"/>
  <c r="H8" i="4" s="1"/>
  <c r="J2" i="1"/>
  <c r="G14" i="4" l="1"/>
  <c r="G13" i="4"/>
  <c r="H2" i="1"/>
  <c r="K2" i="1"/>
  <c r="I2" i="1"/>
  <c r="G2" i="1"/>
  <c r="F2" i="1"/>
  <c r="F14" i="4" l="1"/>
  <c r="F13" i="4"/>
  <c r="C14" i="4"/>
  <c r="C13" i="4"/>
  <c r="H14" i="4"/>
  <c r="H13" i="4"/>
  <c r="D13" i="4"/>
  <c r="D14" i="4"/>
  <c r="E14" i="4"/>
  <c r="E13" i="4"/>
  <c r="F240" i="1"/>
  <c r="F233" i="1" s="1"/>
  <c r="F181" i="1" s="1"/>
  <c r="F263" i="1"/>
  <c r="F262" i="1" s="1"/>
  <c r="F794" i="1"/>
  <c r="F792" i="1" s="1"/>
  <c r="F252" i="1" l="1"/>
  <c r="F251" i="1" s="1"/>
  <c r="F837" i="1"/>
  <c r="F870" i="1" s="1"/>
  <c r="F834" i="1"/>
  <c r="F867" i="1" s="1"/>
  <c r="F835" i="1"/>
  <c r="F868" i="1" s="1"/>
  <c r="F840" i="1"/>
  <c r="F873" i="1" s="1"/>
  <c r="F842" i="1"/>
  <c r="F875" i="1" s="1"/>
  <c r="F839" i="1"/>
  <c r="F872" i="1" s="1"/>
  <c r="F836" i="1"/>
  <c r="F869" i="1" s="1"/>
  <c r="F841" i="1"/>
  <c r="F874" i="1" s="1"/>
  <c r="F838" i="1"/>
  <c r="F871" i="1" s="1"/>
  <c r="F534" i="1"/>
  <c r="F310" i="1"/>
  <c r="F332" i="1"/>
  <c r="F348" i="1" s="1"/>
  <c r="F291" i="1" l="1"/>
  <c r="F342" i="1"/>
  <c r="F326" i="1" s="1"/>
  <c r="F493" i="1"/>
  <c r="F492" i="1" s="1"/>
  <c r="F470" i="1"/>
  <c r="F463" i="1" s="1"/>
  <c r="F409" i="1" s="1"/>
  <c r="F482" i="1" l="1"/>
  <c r="F481" i="1" s="1"/>
  <c r="C9" i="4"/>
  <c r="C8" i="4" s="1"/>
  <c r="F1657" i="1"/>
  <c r="F1656" i="1" s="1"/>
  <c r="K1657" i="1"/>
  <c r="K16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<sst xmlns="http://schemas.openxmlformats.org/spreadsheetml/2006/main" count="5309" uniqueCount="2482">
  <si>
    <t>Model</t>
  </si>
  <si>
    <t>Scenario</t>
  </si>
  <si>
    <t>Region</t>
  </si>
  <si>
    <t>Variable</t>
  </si>
  <si>
    <t>Unit</t>
  </si>
  <si>
    <t>STEM</t>
  </si>
  <si>
    <t>SPS1</t>
  </si>
  <si>
    <t>CH</t>
  </si>
  <si>
    <t>PJ/yr.</t>
  </si>
  <si>
    <t>Primary Production|Wood|Wood residues</t>
  </si>
  <si>
    <t>Primary Production|Wood|Waste wood</t>
  </si>
  <si>
    <t>Primary Production|Wood|Wood from landscape maintenance</t>
  </si>
  <si>
    <t>Primary Production|Wood|Wood from Forest (hard wood)</t>
  </si>
  <si>
    <t>Primary Production|Waste|Non renewable waste</t>
  </si>
  <si>
    <t>Primary Production|Waste|Renewable waste</t>
  </si>
  <si>
    <t>Primary Production</t>
  </si>
  <si>
    <t>Primary Production|Hydro|Large hydro</t>
  </si>
  <si>
    <t>Primary Production|Hydro|Run-of-river hydro</t>
  </si>
  <si>
    <t>Primary Production|Hydro|Pump storage</t>
  </si>
  <si>
    <t>Imports</t>
  </si>
  <si>
    <t>Imports|Electricity|Austria</t>
  </si>
  <si>
    <t>Imports|Electricity|France</t>
  </si>
  <si>
    <t>Imports|Electricity|Germany</t>
  </si>
  <si>
    <t>Imports|Electricity|Italy</t>
  </si>
  <si>
    <t>Exports</t>
  </si>
  <si>
    <t>Exports|Electricity|Austria</t>
  </si>
  <si>
    <t>Exports|Electricity|France</t>
  </si>
  <si>
    <t>Exports|Electricity|Germany</t>
  </si>
  <si>
    <t>Exports|Electricity|Italy</t>
  </si>
  <si>
    <t>Electricity generation</t>
  </si>
  <si>
    <t>Electricity generation|Nuclear Fuel|Nuclear power plants</t>
  </si>
  <si>
    <t>Electricity generation|Hydro|Hydro Large</t>
  </si>
  <si>
    <t>Electricity generation|Hydro|Hydro Run of River</t>
  </si>
  <si>
    <t>Electricity generation|Hydro|Pump storage</t>
  </si>
  <si>
    <t>Electricity generation|Oil|Peak devices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</si>
  <si>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</si>
  <si>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</si>
  <si>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</si>
  <si>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</si>
  <si>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</si>
  <si>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generation|Oil|Industrial CHPs oil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</si>
  <si>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</si>
  <si>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</si>
  <si>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</si>
  <si>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</si>
  <si>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</si>
  <si>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</si>
  <si>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</si>
  <si>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generation|Wastes|Industrial CHPs wastes</t>
  </si>
  <si>
    <t>Electricity generation|Wastes|Industrial CHPs wastes CCS</t>
  </si>
  <si>
    <t>Electricity generation|Wastes|CHP Wastes (for District Heating) CCS</t>
  </si>
  <si>
    <t>Electricity generation|Wastes|CHP Wastes (for District Heating)</t>
  </si>
  <si>
    <t>Electricity generation|Wastes|Wastes Incineration (electric only) CCS</t>
  </si>
  <si>
    <t>Electricity generation|Wastes|Wastes Incineration (electric only)</t>
  </si>
  <si>
    <t>Electricity generation|Wastes|Non Renewable|Industrial CHPs wastes</t>
  </si>
  <si>
    <t>Electricity generation|Wastes|Non Renewable|Industrial CHPs wastes CCS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</si>
  <si>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</si>
  <si>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</si>
  <si>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</si>
  <si>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</si>
  <si>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</si>
  <si>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</si>
  <si>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</si>
  <si>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</si>
  <si>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</si>
  <si>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</si>
  <si>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</si>
  <si>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</si>
  <si>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</si>
  <si>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</si>
  <si>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</si>
  <si>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</si>
  <si>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generation|Wind|Wind turbines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</si>
  <si>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</si>
  <si>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</si>
  <si>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</si>
  <si>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</si>
  <si>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generation|Hydrogen|CHP Fuel Cell Hydrogen (for District Heating)</t>
  </si>
  <si>
    <t>Electricity generation|Hydrogen|Industrial CHPs fuel cells (hydrogen)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</si>
  <si>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</si>
  <si>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</si>
  <si>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</si>
  <si>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</si>
  <si>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multi-family houses</t>
  </si>
  <si>
    <t>Electricity generation|Gas|Services sectors CHPs (bio)gas</t>
  </si>
  <si>
    <t>Electricity generation|Gas|Services sectors CHPs gas</t>
  </si>
  <si>
    <t>Electricity generation|Solar|Solar PV (Services)</t>
  </si>
  <si>
    <t>Electricity generation|Electricity storage (non hydro)|Batteries in Services sector</t>
  </si>
  <si>
    <t>Electricity generation|Gas|Services sectors CHPs fuel cells (gas reformer)</t>
  </si>
  <si>
    <t>Electricity generation|Wastes|Renewable|Total</t>
  </si>
  <si>
    <t>Electricity generation|Geothermal|Deep geothermal</t>
  </si>
  <si>
    <t>Fuel input for electricity generation</t>
  </si>
  <si>
    <t>Fuel input for electricity generation|Nuclear Fuel|Nuclear power plants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</si>
  <si>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</si>
  <si>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</si>
  <si>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</si>
  <si>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generation|Oil|Peak devices</t>
  </si>
  <si>
    <t>Fuel input for electricity generation|Oil|Industrial CHPs oil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</si>
  <si>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</si>
  <si>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</si>
  <si>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</si>
  <si>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</si>
  <si>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</si>
  <si>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</si>
  <si>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</si>
  <si>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</si>
  <si>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</si>
  <si>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</si>
  <si>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</si>
  <si>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</si>
  <si>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</si>
  <si>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</si>
  <si>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</si>
  <si>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</si>
  <si>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</si>
  <si>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</si>
  <si>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</si>
  <si>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</si>
  <si>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</si>
  <si>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</si>
  <si>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</si>
  <si>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</si>
  <si>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</si>
  <si>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</si>
  <si>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</si>
  <si>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</si>
  <si>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</si>
  <si>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</si>
  <si>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</si>
  <si>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</si>
  <si>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</si>
  <si>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</si>
  <si>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</si>
  <si>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</si>
  <si>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</si>
  <si>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</si>
  <si>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</si>
  <si>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generation|Wind|Wind turbines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</si>
  <si>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</si>
  <si>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</si>
  <si>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</si>
  <si>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</si>
  <si>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</si>
  <si>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generation|Geothermal|Deep geothermal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</si>
  <si>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</si>
  <si>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</si>
  <si>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</si>
  <si>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</si>
  <si>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</si>
  <si>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</si>
  <si>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</si>
  <si>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</si>
  <si>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Heat generation from CHPs and heat plants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</si>
  <si>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</si>
  <si>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</si>
  <si>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</si>
  <si>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</si>
  <si>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</si>
  <si>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</si>
  <si>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</si>
  <si>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</si>
  <si>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heating|CHP|Wood|CHP Wood (for District Heating)</t>
  </si>
  <si>
    <t>Heat generation from CHPs and heat plants|District heating|CHP|Hydrogen|CHP Fuel Cell Hydrogen (for District Heating)</t>
  </si>
  <si>
    <t>Heat generation from CHPs and heat plants|District heating|Heat plants|Gas|Heat plant gas</t>
  </si>
  <si>
    <t>Heat generation from CHPs and heat plants|District heating|Heat plants|Nuclear fuel|Heat plant nuclear</t>
  </si>
  <si>
    <t>Heat generation from CHPs and heat plants|District heating|Heat plants|Oil|Heat plant oil</t>
  </si>
  <si>
    <t>Heat generation from CHPs and heat plants|District heating|Heat plants|Wood|Heat plant wood</t>
  </si>
  <si>
    <t>Heat generation from CHPs and heat plants|District heating|Heat plants|Solar|Heat plant solar</t>
  </si>
  <si>
    <t>Heat generation from CHPs and heat plants|On-site CHPs|Oil|Industrial CHPs oil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</si>
  <si>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</si>
  <si>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</si>
  <si>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</si>
  <si>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</si>
  <si>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</si>
  <si>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</si>
  <si>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</si>
  <si>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</si>
  <si>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</si>
  <si>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</si>
  <si>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</si>
  <si>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</si>
  <si>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</si>
  <si>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</si>
  <si>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</si>
  <si>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</si>
  <si>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</si>
  <si>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</si>
  <si>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</si>
  <si>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</si>
  <si>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CHPs|Hydrogen|Industrial CHPs fuel cells (hydrogen)</t>
  </si>
  <si>
    <t>Fuel input for heat generation from CHPs and heat plants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</si>
  <si>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</si>
  <si>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</si>
  <si>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</si>
  <si>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</si>
  <si>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</si>
  <si>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</si>
  <si>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</si>
  <si>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</si>
  <si>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heating|CHP|Wood|CHP Wood (for District Heating)</t>
  </si>
  <si>
    <t>Fuel input for heat generation from CHPs and heat plants|District heating|CHP|Hydrogen|CHP Fuel Cell Hydrogen (for District Heating)</t>
  </si>
  <si>
    <t>Fuel input for heat generation from CHPs and heat plants|District heating|Heat plants|Gas|Heat plant gas</t>
  </si>
  <si>
    <t>Fuel input for heat generation from CHPs and heat plants|District heating|Heat plants|Nuclear fuel|Heat plant nuclear</t>
  </si>
  <si>
    <t>Fuel input for heat generation from CHPs and heat plants|District heating|Heat plants|Oil|Heat plant oil</t>
  </si>
  <si>
    <t>Fuel input for heat generation from CHPs and heat plants|District heating|Heat plants|Wood|Heat plant wood</t>
  </si>
  <si>
    <t>Fuel input for heat generation from CHPs and heat plants|District heating|Heat plants|Solar|Heat plant solar</t>
  </si>
  <si>
    <t>Fuel input for heat generation from CHPs and heat plants|On-site CHPs|Oil|Industrial CHPs oil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</si>
  <si>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</si>
  <si>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</si>
  <si>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</si>
  <si>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</si>
  <si>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</si>
  <si>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</si>
  <si>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</si>
  <si>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</si>
  <si>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</si>
  <si>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</si>
  <si>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</si>
  <si>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</si>
  <si>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</si>
  <si>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</si>
  <si>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</si>
  <si>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</si>
  <si>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</si>
  <si>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</si>
  <si>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</si>
  <si>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</si>
  <si>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CHPs|Hydrogen|Industrial CHPs fuel cells (hydrogen)</t>
  </si>
  <si>
    <t>Electricity generation|Oil|CHP Oil (for District Heating)</t>
  </si>
  <si>
    <t>Heat generation from CHPs and heat plants|District heating|CHP|Oil|CHP Oil (for District Heating)</t>
  </si>
  <si>
    <t>Fuel input for electricity generation|Oil|CHP Oil (for District Heating)</t>
  </si>
  <si>
    <t>Fuel input for heat generation from CHPs and heat plants|District heating|CHP|Oil|CHP Oil (for District Heating)</t>
  </si>
  <si>
    <t>Fuel input for heat generation from CHPs and heat plants|District heating|Heat plants|Geothermal|Heat plant deep geothermal</t>
  </si>
  <si>
    <t>Heat generation from CHPs and heat plants|District heating|Heat plants|Geothermal|Heat plant deep geothermal</t>
  </si>
  <si>
    <t>Electricity generation|Hydrogen|Services sectors CHPs fuel cells (hydrogen)</t>
  </si>
  <si>
    <t>Heat generation from CHPs and heat plants|On-site CHPs|Wood|Services sectors CHPs wood</t>
  </si>
  <si>
    <t>Heat generation from CHPs and heat plants|On-site CHPs|Hydrogen|Services sectors CHPs fuel cells (hydrogen)</t>
  </si>
  <si>
    <t>Fuel input for electricity generation|Hydrogen|Services sectors CHPs fuel cells (hydrogen)</t>
  </si>
  <si>
    <t>Fuel input for heat generation from CHPs and heat plants|On-site CHPs|Wood|Services sectors CHPs wood</t>
  </si>
  <si>
    <t>Fuel input for heat generation from CHPs and heat plants|On-site CHPs|Hydrogen|Services sectors CHPs fuel cells (hydrogen)</t>
  </si>
  <si>
    <t>%</t>
  </si>
  <si>
    <t>Efficiency of power plants (electric)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</si>
  <si>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</si>
  <si>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</si>
  <si>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</si>
  <si>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</si>
  <si>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</si>
  <si>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</si>
  <si>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</si>
  <si>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</si>
  <si>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</si>
  <si>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</si>
  <si>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</si>
  <si>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</si>
  <si>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</si>
  <si>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</si>
  <si>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</si>
  <si>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</si>
  <si>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</si>
  <si>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</si>
  <si>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</si>
  <si>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</si>
  <si>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</si>
  <si>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</si>
  <si>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</si>
  <si>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</si>
  <si>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</si>
  <si>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</si>
  <si>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</si>
  <si>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</si>
  <si>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</si>
  <si>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</si>
  <si>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</si>
  <si>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</si>
  <si>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</si>
  <si>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</si>
  <si>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</si>
  <si>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</si>
  <si>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</si>
  <si>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</si>
  <si>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</si>
  <si>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</si>
  <si>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</si>
  <si>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</si>
  <si>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</si>
  <si>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</si>
  <si>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</si>
  <si>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</si>
  <si>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</si>
  <si>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</si>
  <si>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</si>
  <si>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</si>
  <si>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-</t>
  </si>
  <si>
    <t>Efficiency of power plants (electric)|Wood|Services sectors CHPs wood</t>
  </si>
  <si>
    <t>Fuel input for electricity generation|Wood|Services sectors CHPs wood</t>
  </si>
  <si>
    <t>Electricity generation|Wood|Services sectors CHPs wood</t>
  </si>
  <si>
    <t>Efficiency of heat plants (thermal)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</si>
  <si>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</si>
  <si>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</si>
  <si>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</si>
  <si>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</si>
  <si>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</si>
  <si>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</si>
  <si>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Domestic biodiesel production</t>
  </si>
  <si>
    <t>Domestic biodiesel production|Wood|Fischer Tropsch</t>
  </si>
  <si>
    <t>Domestic biodiesel production|Wood|Fischer Tropsch CCS</t>
  </si>
  <si>
    <t>Efficiency for domestic biodiesel production</t>
  </si>
  <si>
    <t>Heat from domestic biodiesel production|Wood|Fischer Tropsch</t>
  </si>
  <si>
    <t>Heat from domestic biodiesel production|Wood|Fischer Tropsch CCS</t>
  </si>
  <si>
    <t>Efficiency for domestic biodiesel production|Wood|Fischer Tropsch</t>
  </si>
  <si>
    <t>Efficiency for domestic biodiesel production|Wood|Fischer Tropsch CCS</t>
  </si>
  <si>
    <t>Efficiency for domestic ethanol production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</si>
  <si>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</si>
  <si>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</si>
  <si>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</si>
  <si>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production|Wastes|Renewable|Gasification</t>
  </si>
  <si>
    <t>Domestic biogas production|Wastes|Renewable|Gasification CCS</t>
  </si>
  <si>
    <t>Domestic biogas production|Wastes|Renewable|Hydrothermal gasification CCS</t>
  </si>
  <si>
    <t>Domestic biogas production|Wastes|Renewable|Hydrothermal gasification</t>
  </si>
  <si>
    <t>Domestic biogas production|Wood|Gasification</t>
  </si>
  <si>
    <t>Domestic biogas production|Wood|Gasification CCS</t>
  </si>
  <si>
    <t>Fuel input for domestic ethanol production|Wood|Ethanol reactor</t>
  </si>
  <si>
    <t>Fuel input for domestic ethanol production|Wood|Ethanol reactor CCS</t>
  </si>
  <si>
    <t>Fuel input for domestic ethanol production|Electricity|Ethanol reactor</t>
  </si>
  <si>
    <t>Fuel input for domestic ethanol production|Electricity|Ethanol reactor CCS</t>
  </si>
  <si>
    <t>Fuel input for domestic biodiesel production|Wood|Fischer Tropsch</t>
  </si>
  <si>
    <t>Fuel input for domestic biodiesel production|Wood|Fischer Tropsch CCS</t>
  </si>
  <si>
    <t>Fuel input for domestic biodiesel production|Electricity|Fischer Tropsch</t>
  </si>
  <si>
    <t>Fuel input for domestic biodiesel production|Electricity|Fischer Tropsch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</si>
  <si>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</si>
  <si>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</si>
  <si>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</si>
  <si>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</si>
  <si>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</si>
  <si>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</si>
  <si>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</si>
  <si>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</si>
  <si>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</si>
  <si>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</si>
  <si>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</si>
  <si>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</si>
  <si>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</si>
  <si>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</si>
  <si>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</si>
  <si>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</si>
  <si>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</si>
  <si>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</si>
  <si>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</si>
  <si>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</si>
  <si>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</si>
  <si>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</si>
  <si>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</si>
  <si>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</si>
  <si>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</si>
  <si>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</si>
  <si>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</si>
  <si>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</si>
  <si>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</si>
  <si>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Description</t>
  </si>
  <si>
    <t>Domestic primary production of resources</t>
  </si>
  <si>
    <t>Imports of energy carriers</t>
  </si>
  <si>
    <t>Exports of energy carriers</t>
  </si>
  <si>
    <t>Domestic electricity generation</t>
  </si>
  <si>
    <t xml:space="preserve">Domestic heat production from CHPs (District heating CHPs or onsite CHPs) and heat plants </t>
  </si>
  <si>
    <t>Fuel input allocated to domestic electricity generation only</t>
  </si>
  <si>
    <t>Fuel input allocated to domestic heat production from CHPs and heat plants only</t>
  </si>
  <si>
    <t>Average annual efficiency of power plants and CHPs for electricity production only</t>
  </si>
  <si>
    <t>Average annual efficiency of heat plants</t>
  </si>
  <si>
    <t>Comment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</si>
  <si>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</si>
  <si>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Heat from domestic biodiesel production</t>
  </si>
  <si>
    <t xml:space="preserve">Domestic production of biodiesel 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</si>
  <si>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</si>
  <si>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</si>
  <si>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</si>
  <si>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</si>
  <si>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</si>
  <si>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</si>
  <si>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</si>
  <si>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</si>
  <si>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</si>
  <si>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</si>
  <si>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</si>
  <si>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</si>
  <si>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</si>
  <si>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</si>
  <si>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</si>
  <si>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</si>
  <si>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</si>
  <si>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</si>
  <si>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</si>
  <si>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Domestic hydrogen production|Electricity|SOEC electrolysis</t>
  </si>
  <si>
    <t>Domestic hydrogen production|Gas|SMR-ATR Reforming</t>
  </si>
  <si>
    <t>Domestic hydrogen production|Gas|SMR-ATR Reforming CCS</t>
  </si>
  <si>
    <t>Domestic hydrogen production|Wood|Gasification</t>
  </si>
  <si>
    <t>Domestic hydrogen production|Wood|Gasification CCS</t>
  </si>
  <si>
    <t>Fuel input for hydrogen production|Electricity|SOEC electrolysis</t>
  </si>
  <si>
    <t>Fuel input for hydrogen production|Gas|SMR-ATR Reforming</t>
  </si>
  <si>
    <t>Fuel input for hydrogen production|Gas|SMR-ATR Reforming CCS</t>
  </si>
  <si>
    <t>Fuel input for hydrogen production|Wood|Gasification</t>
  </si>
  <si>
    <t>Fuel input for hydrogen production|Wood|Gasification CCS</t>
  </si>
  <si>
    <t>Fuel input for hydrogen production|Heat|SOEC electrolysis</t>
  </si>
  <si>
    <t>Domestic hydrogen production|Electricity|PEM electrolysis large scale</t>
  </si>
  <si>
    <t>Domestic hydrogen production|Electricity|PEM electrolysis small-medium scale</t>
  </si>
  <si>
    <t>Fuel input for hydrogen production|Electricity|PEM electrolysis small-medium scale</t>
  </si>
  <si>
    <t>Fuel input for hydrogen production|Electricity|PEM electrolysis large scale</t>
  </si>
  <si>
    <t>Fuel input for hydrogen production</t>
  </si>
  <si>
    <t>Fuel input for deomstic hydrogen production</t>
  </si>
  <si>
    <t>Efficiency for hydrogen production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</si>
  <si>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</si>
  <si>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</si>
  <si>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</si>
  <si>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</si>
  <si>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</si>
  <si>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</si>
  <si>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</si>
  <si>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Average annual efficiency for hydrogen production</t>
  </si>
  <si>
    <t>Including losses due to part load operation</t>
  </si>
  <si>
    <t>Production of domestic biomethane from biogas</t>
  </si>
  <si>
    <t>Use of biogas for upgrade to biomethane</t>
  </si>
  <si>
    <t>One technology only fuel input is biogas</t>
  </si>
  <si>
    <t>One technology only fuel output is biomethane</t>
  </si>
  <si>
    <t>Average annual efficiency of biogas to biomethane upgrade</t>
  </si>
  <si>
    <t>One technology only fuel input is biogas, fuel output is biomethane</t>
  </si>
  <si>
    <t>Biomethane production from biogas upgrade</t>
  </si>
  <si>
    <t>Fuel input for biogas upgrade to biomethane</t>
  </si>
  <si>
    <t>Efficiency for biomethane production from biogas upgrade</t>
  </si>
  <si>
    <t>Domestic PtG and PtL production|PtG|PtG gas</t>
  </si>
  <si>
    <t>Domestic PtG and PtL production|PtL|PtL Diesel</t>
  </si>
  <si>
    <t>Domestic PtG and PtL production|PtL|PtL Gasoline</t>
  </si>
  <si>
    <t>Domestic PtG and PtL production|PtL|PtL Kerosene</t>
  </si>
  <si>
    <t>Domestic PtG and PtL production</t>
  </si>
  <si>
    <t>Domestic production of power-to-gas and power-to-liquids</t>
  </si>
  <si>
    <t>Fuel input for domestic PtG and PtL production|Hydrogen|PtG|PtG gas</t>
  </si>
  <si>
    <t>Fuel input for domestic PtG and PtL production</t>
  </si>
  <si>
    <t>Fuel used for domestic PtG and PtL production (excl. CO2)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</si>
  <si>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</si>
  <si>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</si>
  <si>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</si>
  <si>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</si>
  <si>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Efficiency for domestic PtG and PtL production</t>
  </si>
  <si>
    <t>Average annual efficiency for PtG and PtL processes (excl. CO2 consumption)</t>
  </si>
  <si>
    <t>Mt/yr.</t>
  </si>
  <si>
    <t>CO2 input for domestic PtG and PtL production|CO2|Total</t>
  </si>
  <si>
    <t>CO2 input for domestic PtG and PtL production</t>
  </si>
  <si>
    <t>CO2 input for domestic PtG and PtL production|CO2|Biogenic source</t>
  </si>
  <si>
    <t>CO2 input for domestic PtG and PtL production|CO2|Fossil source</t>
  </si>
  <si>
    <t>The distinction of the source of CO2 (biogenic or fossil) is also provided and can be proportionally allocated to the technologies for PtG and 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</si>
  <si>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</si>
  <si>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</si>
  <si>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</si>
  <si>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CO2 input for domestic PtG and PtL production|CO2|Total|PtG|PtG gas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</si>
  <si>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</si>
  <si>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</si>
  <si>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</si>
  <si>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production|CO2|Direct air capture source</t>
  </si>
  <si>
    <t>CO2 input for domestic PtG and PtL production|CO2|Biogenic source|PtG|PtG gas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</si>
  <si>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</si>
  <si>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</si>
  <si>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</si>
  <si>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source|PtG|PtG gas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</si>
  <si>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</si>
  <si>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</si>
  <si>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</si>
  <si>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source|PtG|PtG gas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</si>
  <si>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</si>
  <si>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</si>
  <si>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</si>
  <si>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</si>
  <si>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</si>
  <si>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</si>
  <si>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</si>
  <si>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sectors|Gas|Total</t>
  </si>
  <si>
    <t>Fuel consumption in industry sectors|Gas|Total|Biogas boiler</t>
  </si>
  <si>
    <t>Domestic wood to pellet production</t>
  </si>
  <si>
    <t>Fuel input for wood to pellet production</t>
  </si>
  <si>
    <t>Efficiency for wood to pellet production</t>
  </si>
  <si>
    <t>Wood conversion to pellet domestic production output</t>
  </si>
  <si>
    <t>One technology only , input is wood output is pellet</t>
  </si>
  <si>
    <t>Wood conversion to pellet domestic production - input wood required</t>
  </si>
  <si>
    <t>Average annual efficiency of wood to pellet conversion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</si>
  <si>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</si>
  <si>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</si>
  <si>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</si>
  <si>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</si>
  <si>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</si>
  <si>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</si>
  <si>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</si>
  <si>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</si>
  <si>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</si>
  <si>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input for wood to pellet production|Wood</t>
  </si>
  <si>
    <t>Domestic wood to pellet production|Pellets</t>
  </si>
  <si>
    <t>Fuel consumption in industry sectors|Wastes|Total</t>
  </si>
  <si>
    <t>Fuel consumption in industry sectors|Wastes|Renewable|Wastes boiler</t>
  </si>
  <si>
    <t>Fuel consumption in industry sectors|Wastes|Non Renewable|Wastes boiler</t>
  </si>
  <si>
    <t>Fuel consumption in industry sectors|Wastes|Total|Wastes boiler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</si>
  <si>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</si>
  <si>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</si>
  <si>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</si>
  <si>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Fuel consumption in Services sectors|Oil|Total</t>
  </si>
  <si>
    <t>Fuel consumption in Services sectors|Oil|Total|Light fuel boiler</t>
  </si>
  <si>
    <t>Fuel consumption in Services sectors|Gas|Total</t>
  </si>
  <si>
    <t>Fuel consumption in Services sectors|Gas|Total|Biogas boiler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</si>
  <si>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</si>
  <si>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</si>
  <si>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</si>
  <si>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</si>
  <si>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sectors|Heat|On-site CHPs|Services sectors CHPs (bio)gas</t>
  </si>
  <si>
    <t>Fuel consumption in Services sectors|Electricity|Other electric appliances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</si>
  <si>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</si>
  <si>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</si>
  <si>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</si>
  <si>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</si>
  <si>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</si>
  <si>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</si>
  <si>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</si>
  <si>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</si>
  <si>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Heat generation from CHPs and heat plants|District heating|CHP|Oil|Fossil liquids|CHP Oil (for District Heating)</t>
  </si>
  <si>
    <t>Heat generation from CHPs and heat plants|District heating|Heat plants|Fossil liquids|Heat plant oil</t>
  </si>
  <si>
    <t>Heat generation from CHPs and heat plants|On-site CHPs|Oil|Fossil liquids|Industrial CHPs oil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</si>
  <si>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</si>
  <si>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</si>
  <si>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</si>
  <si>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heat generation from CHPs and heat plants|District heating|CHP|Oil|Fossil liquids|CHP Oil (for District Heating)</t>
  </si>
  <si>
    <t>Fuel input for heat generation from CHPs and heat plants|On-site CHPs|Oil|Fossil liquids|Industrial CHPs oil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</si>
  <si>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</si>
  <si>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</si>
  <si>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</si>
  <si>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Services sectors|Oil|Fossil liquids|Light fuel oil</t>
  </si>
  <si>
    <t>Fuel consumption in Services sectors|Oil|Fossil liquids|Light fuel oil|Light fuel oil boiler</t>
  </si>
  <si>
    <t>Imports|Oil|Synthetic liquids|Total|Motor diesel</t>
  </si>
  <si>
    <t>Imports|Oil|Synthetic liquids|Total|Motor Gasoline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</si>
  <si>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</si>
  <si>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</si>
  <si>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</si>
  <si>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liquids|PtL|PtL Diesel</t>
  </si>
  <si>
    <t>Imports|Oil|Synthetic liquids|PtL|PtL Gasoline</t>
  </si>
  <si>
    <t>Imports|Oil|Synthetic liquids|PtL|PtL Kerosene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</si>
  <si>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</si>
  <si>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</si>
  <si>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</si>
  <si>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Heat generation from CHPs and heat plants|District heating|CHP|Oil|Synthetic liquids|CHP Oil (for District Heating)</t>
  </si>
  <si>
    <t>Heat generation from CHPs and heat plants|District heating|Heat plants|Synthetic liquids|Heat plant oil</t>
  </si>
  <si>
    <t>Heat generation from CHPs and heat plants|On-site CHPs|Oil|Synthetic liquids|Industrial CHPs oil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</si>
  <si>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</si>
  <si>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</si>
  <si>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</si>
  <si>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heat generation from CHPs and heat plants|District heating|CHP|Oil|Synthetic liquids|CHP Oil (for District Heating)</t>
  </si>
  <si>
    <t>Fuel input for heat generation from CHPs and heat plants|On-site CHPs|Oil|Synthetic liquids|Industrial CHPs oil</t>
  </si>
  <si>
    <t>Imports|Gas|Fossil gases|Total</t>
  </si>
  <si>
    <t>Imports|Gas|Fossil gases|Natural gas</t>
  </si>
  <si>
    <t>Imports|Gas|Fossil gases|Liquified Natural Gas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</si>
  <si>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</si>
  <si>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</si>
  <si>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</si>
  <si>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</si>
  <si>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</si>
  <si>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</si>
  <si>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</si>
  <si>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</si>
  <si>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</si>
  <si>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</si>
  <si>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</si>
  <si>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</si>
  <si>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</si>
  <si>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</si>
  <si>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</si>
  <si>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</si>
  <si>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</si>
  <si>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</si>
  <si>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</si>
  <si>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</si>
  <si>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</si>
  <si>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</si>
  <si>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</si>
  <si>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</si>
  <si>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</si>
  <si>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</si>
  <si>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</si>
  <si>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</si>
  <si>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</si>
  <si>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</si>
  <si>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</si>
  <si>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</si>
  <si>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</si>
  <si>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</si>
  <si>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</si>
  <si>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</si>
  <si>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</si>
  <si>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</si>
  <si>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</si>
  <si>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</si>
  <si>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</si>
  <si>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</si>
  <si>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</si>
  <si>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</si>
  <si>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heating|Heat plants|Fossil gases|Heat plant gas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</si>
  <si>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</si>
  <si>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</si>
  <si>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</si>
  <si>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</si>
  <si>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</si>
  <si>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</si>
  <si>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</si>
  <si>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</si>
  <si>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</si>
  <si>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</si>
  <si>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Domestic hydrogen production|Gas|Fossil gases|SMR-ATR Reforming</t>
  </si>
  <si>
    <t>Domestic hydrogen production|Gas|Fossil gases|SMR-ATR Reforming CCS</t>
  </si>
  <si>
    <t>Fuel input for hydrogen production|Gas|Fossil gases|SMR-ATR Reforming</t>
  </si>
  <si>
    <t>Fuel input for hydrogen production|Gas|Fossil gases|SMR-ATR Reforming CCS</t>
  </si>
  <si>
    <t>Imports|Gas|Synthetic gases|Biogases|Biogas</t>
  </si>
  <si>
    <t>Imports|Gas|Synthetic gases|PtG|PtG gas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</si>
  <si>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</si>
  <si>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</si>
  <si>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</si>
  <si>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</si>
  <si>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</si>
  <si>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</si>
  <si>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</si>
  <si>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</si>
  <si>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</si>
  <si>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</si>
  <si>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</si>
  <si>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</si>
  <si>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</si>
  <si>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</si>
  <si>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</si>
  <si>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</si>
  <si>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</si>
  <si>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</si>
  <si>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</si>
  <si>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</si>
  <si>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</si>
  <si>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</si>
  <si>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</si>
  <si>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</si>
  <si>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</si>
  <si>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</si>
  <si>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</si>
  <si>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</si>
  <si>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</si>
  <si>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</si>
  <si>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</si>
  <si>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</si>
  <si>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</si>
  <si>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</si>
  <si>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</si>
  <si>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</si>
  <si>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</si>
  <si>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</si>
  <si>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</si>
  <si>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</si>
  <si>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</si>
  <si>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</si>
  <si>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</si>
  <si>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</si>
  <si>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heating|Heat plants|Synthetic gases|Heat plant gas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</si>
  <si>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</si>
  <si>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</si>
  <si>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</si>
  <si>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</si>
  <si>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</si>
  <si>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</si>
  <si>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</si>
  <si>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</si>
  <si>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</si>
  <si>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</si>
  <si>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Domestic hydrogen production|Gas|Synthetic gases|SMR-ATR Reforming</t>
  </si>
  <si>
    <t>Domestic hydrogen production|Gas|Synthetic gases|SMR-ATR Reforming CCS</t>
  </si>
  <si>
    <t>Fuel input for hydrogen production|Gas|Synthetic gases|SMR-ATR Reforming</t>
  </si>
  <si>
    <t>Fuel input for hydrogen production|Gas|Synthetic gases|SMR-ATR Reforming CCS</t>
  </si>
  <si>
    <t>Fuel consumption in industry sectors|Gas|Synthetic gases|Biogas boiler</t>
  </si>
  <si>
    <t>Fuel consumption in Services sectors|Gas|Synthetic gases|Biogas boiler</t>
  </si>
  <si>
    <t>Fuel consumption in Services sectors</t>
  </si>
  <si>
    <t>Fuel consumption in services sectors by fuel and technology</t>
  </si>
  <si>
    <t>Fuel consumption in Residential sector|Oil|Total</t>
  </si>
  <si>
    <t>Fuel consumption in Residential sector|Gas|Total</t>
  </si>
  <si>
    <t>Fuel consumption in industry sectors|Gas|Total|Gas boiler</t>
  </si>
  <si>
    <t>Fuel consumption in industry sectors|Gas|Fossil gases|Gas boiler</t>
  </si>
  <si>
    <t>Fuel consumption in industry sectors|Gas|Synthetic gases|Gas boiler</t>
  </si>
  <si>
    <t>Fuel consumption in Services sectors|Gas|Total|Gas boiler</t>
  </si>
  <si>
    <t>Fuel consumption in Services sectors|Gas|Fossil gases|Gas boiler</t>
  </si>
  <si>
    <t>Fuel consumption in Services sectors|Gas|Synthetic gases|Gas boiler</t>
  </si>
  <si>
    <t>Process and space heating production in industry sectors</t>
  </si>
  <si>
    <t>Energy service demand provided in the form of process and space heating in industry</t>
  </si>
  <si>
    <t>It is the annual marketed efficiency including part load efficiency losses and differs from the full load nominal technical efficiency; for heat pumps refers to COP</t>
  </si>
  <si>
    <t>Efficiency in industry sectors</t>
  </si>
  <si>
    <t>Boilers efficiency and COP of heat pumps in the industrial sectors</t>
  </si>
  <si>
    <t>Efficiency in Services sectors</t>
  </si>
  <si>
    <t>Boilers efficiency and COP of heat pumps in the Services sectors</t>
  </si>
  <si>
    <t>Space water and process heat production in Services sectors|Electricity|Other electric appliances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</si>
  <si>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</si>
  <si>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</si>
  <si>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</si>
  <si>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</si>
  <si>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</si>
  <si>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</t>
  </si>
  <si>
    <t>Production of energy service demand for space, water and process heat in Services sectors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</si>
  <si>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</si>
  <si>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</si>
  <si>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</si>
  <si>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</si>
  <si>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</si>
  <si>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</si>
  <si>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</si>
  <si>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</si>
  <si>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</si>
  <si>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Fuel consumption in Residential sector|Oil|Total|Space heating|Light fuel boiler</t>
  </si>
  <si>
    <t>Fuel consumption in Residential sector|Oil|Fossil liquids|Space heating|Light fuel boiler</t>
  </si>
  <si>
    <t>Fuel consumption in Residential sector|Oil|Synthetic liquids|Space heating|Light fuel boiler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</si>
  <si>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</si>
  <si>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</si>
  <si>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</si>
  <si>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</si>
  <si>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</si>
  <si>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heating|Gas boiler</t>
  </si>
  <si>
    <t>Fuel consumption in Residential sector|Gas|Synthetic gases|Space heating|Gas boiler</t>
  </si>
  <si>
    <t>Fuel consumption in Residential sector|Gas|Fossil gases|Water heating|Gas boiler</t>
  </si>
  <si>
    <t>Fuel consumption in Residential sector|Gas|Total|Water heating|Gas boiler</t>
  </si>
  <si>
    <t>Efficiency of heat plants (thermal)|District heating|Heat plants|Electricity|Centralised Heat pump</t>
  </si>
  <si>
    <t>Fuel consumption in industry sectors|Electricity|Heat pump electric</t>
  </si>
  <si>
    <t>Fuel consumption in industry sectors|Gas|Total|Heat pump gas</t>
  </si>
  <si>
    <t>Fuel consumption in industry sectors|Gas|Fossil gases|Heat pump gas</t>
  </si>
  <si>
    <t>Fuel consumption in industry sectors|Gas|Synthetic gases|Heat pump gas</t>
  </si>
  <si>
    <t>Fuel consumption in Services sectors|Electricity|Heat pump electric</t>
  </si>
  <si>
    <t>Fuel consumption in Services sectors|Gas|Total|Heat pump gas</t>
  </si>
  <si>
    <t>Fuel consumption in Services sectors|Gas|Fossil gases|Heat pump gas</t>
  </si>
  <si>
    <t>Fuel consumption in Services sectors|Gas|Synthetic gases|Heat pump gas</t>
  </si>
  <si>
    <t>Space water and process heat production in Services sectors|Electricity|Heat pump electric</t>
  </si>
  <si>
    <t>Efficiency in Services sectors|Electricity|Heat pump electric</t>
  </si>
  <si>
    <t>Efficiency in Services sectors|Gas|Total|Heat pump gas</t>
  </si>
  <si>
    <t>Fuel consumption in Residential sector|Electricity|Space heating|Heat pump electric</t>
  </si>
  <si>
    <t>Fuel consumption in Residential sector|Electricity|Water heating|Heat pump electric</t>
  </si>
  <si>
    <t>Fuel consumption in Residential sector|Gas|Fossil gases|Space heating|Heat pump gas</t>
  </si>
  <si>
    <t>Fuel consumption in Residential sector|Gas|Synthetic gases|Space heating|Heat pump gas</t>
  </si>
  <si>
    <t>Fuel consumption in Residential sector|Gas|Total|Water heating|Heat pump gas</t>
  </si>
  <si>
    <t>Fuel consumption in Residential sector|Gas|Fossil gases|Water heating|Heat pump gas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</si>
  <si>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</si>
  <si>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</si>
  <si>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</t>
  </si>
  <si>
    <t>Fuel consumption for residential space and water heating (differentiated) by fuel and technology</t>
  </si>
  <si>
    <t>Fuel consumption in Residential sector|Solar|Space heating|Solar thermal</t>
  </si>
  <si>
    <t>Fuel consumption in Residential sector|Solar|Water heating|Solar thermal</t>
  </si>
  <si>
    <t>Fuel consumption in Residential sector|Hydrogen|From hydrogen grid</t>
  </si>
  <si>
    <t>Fuel consumption in Residential sector|Hydrogen|From gas grid (mixed with methane)</t>
  </si>
  <si>
    <t>Fuel consumption in Services sectors|Hydrogen|From gas grid (mixed with methane)</t>
  </si>
  <si>
    <t>Fuel consumption in Services sectors|Hydrogen|From hydrogen grid</t>
  </si>
  <si>
    <t>Fuel consumption in Residential sector|Hydrogen|From hydrogen grid|Water heating|Hydrogen boiler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</si>
  <si>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</si>
  <si>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</si>
  <si>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</si>
  <si>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</si>
  <si>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</si>
  <si>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</si>
  <si>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</si>
  <si>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</t>
  </si>
  <si>
    <t>Space and water heat production by technology in residential sectors</t>
  </si>
  <si>
    <t>Fuel consumption in industry sectors|Electricity|Electric boiler</t>
  </si>
  <si>
    <t>Fuel consumption in Services sectors|Electricity|Electric boiler</t>
  </si>
  <si>
    <t>Space water and process heat production in Services sectors|Electricity|Electric boiler</t>
  </si>
  <si>
    <t>Efficiency in Services sectors|Electricity|Electric boiler</t>
  </si>
  <si>
    <t>Fuel consumption in Residential sector|Electricity|Space heating|Electric boiler</t>
  </si>
  <si>
    <t>Fuel consumption in Residential sector|Electricity|Water heating|Electric boiler</t>
  </si>
  <si>
    <t>Fuel consumption in Residential sector|Coal|Space heating|Coal boiler</t>
  </si>
  <si>
    <t>Fuel consumption in Residential sector|Coal|Water heating|Coal boiler</t>
  </si>
  <si>
    <t>Fuel consumption in Residential sector|Wood|Space heating|Wood boiler</t>
  </si>
  <si>
    <t>Fuel consumption in Residential sector|Wood|Water heating|Wood boiler</t>
  </si>
  <si>
    <t>Fuel consumption in Residential sector|Pellets|Space heating|Pellets boiler</t>
  </si>
  <si>
    <t>Fuel consumption in Residential sector|Pellets|Water heating|Pellets boiler</t>
  </si>
  <si>
    <t>Space and water heat production in Residential sector|Space heating</t>
  </si>
  <si>
    <t>Primary Production|Wood</t>
  </si>
  <si>
    <t>Primary Production|Waste</t>
  </si>
  <si>
    <t>Primary Production|Manure</t>
  </si>
  <si>
    <t>Primary Production|Hydro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</si>
  <si>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</si>
  <si>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</si>
  <si>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</si>
  <si>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</si>
  <si>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</si>
  <si>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</si>
  <si>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</si>
  <si>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Imports|Oil|Synthetic liquids</t>
  </si>
  <si>
    <t>Imports|Gas</t>
  </si>
  <si>
    <t>Imports|Gas|Synthetic gases</t>
  </si>
  <si>
    <t>Imports|Gas|Synthetic gases|Biogases</t>
  </si>
  <si>
    <t>Imports|Gas|Synthetic gases|PtG</t>
  </si>
  <si>
    <t>Imports|Nuclear fuel</t>
  </si>
  <si>
    <t>Imports|Electricity</t>
  </si>
  <si>
    <t>Imports|Hydrogen</t>
  </si>
  <si>
    <t>Exports|Electricity</t>
  </si>
  <si>
    <t>Electricity generation|Nuclear Fuel</t>
  </si>
  <si>
    <t>Electricity generation|Hydro</t>
  </si>
  <si>
    <t>Electricity generation|Oil</t>
  </si>
  <si>
    <t>Electricity generation|Oil|Fossil liquids</t>
  </si>
  <si>
    <t>Electricity generation|Oil|Synthetic liquids</t>
  </si>
  <si>
    <t>Electricity generation|Gas</t>
  </si>
  <si>
    <t>Electricity generation|Gas|Fossil gases</t>
  </si>
  <si>
    <t>Electricity generation|Gas|Synthetic gases</t>
  </si>
  <si>
    <t>Electricity generation|Wastes</t>
  </si>
  <si>
    <t>Electricity generation|Wastes|Non Renewable</t>
  </si>
  <si>
    <t>Electricity generation|Wood</t>
  </si>
  <si>
    <t>Electricity generation|Wind</t>
  </si>
  <si>
    <t>Electricity generation|Solar</t>
  </si>
  <si>
    <t>Electricity generation|Geothermal</t>
  </si>
  <si>
    <t>Electricity generation|Hydrogen</t>
  </si>
  <si>
    <t>Electricity generation|Electricity storage (non hydro)</t>
  </si>
  <si>
    <t>Heat generation from CHPs and heat plants|District heating</t>
  </si>
  <si>
    <t>Heat generation from CHPs and heat plants|District heating|CHP|Oil</t>
  </si>
  <si>
    <t>Heat generation from CHPs and heat plants|District heating|CHP|Gas</t>
  </si>
  <si>
    <t>Heat generation from CHPs and heat plants|District heating|CHP|Gas|Fossil gases</t>
  </si>
  <si>
    <t>Heat generation from CHPs and heat plants|District heating|CHP|Gas|Synthetic gases</t>
  </si>
  <si>
    <t>Heat generation from CHPs and heat plants|District heating|CHP|Wastes</t>
  </si>
  <si>
    <t>Heat generation from CHPs and heat plants|District heating|CHP|Wastes|Renewable</t>
  </si>
  <si>
    <t>Heat generation from CHPs and heat plants|District heating|CHP|Wastes|Non Renewable</t>
  </si>
  <si>
    <t>Heat generation from CHPs and heat plants|District heating|CHP|Wood</t>
  </si>
  <si>
    <t>Heat generation from CHPs and heat plants|District heating|CHP|Hydrogen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</si>
  <si>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</si>
  <si>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</si>
  <si>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plants|Gas|Fossil gases|Heat plant gas</t>
  </si>
  <si>
    <t>Heat generation from CHPs and heat plants|District heating|Heat plants|Gas|Synthetic gases|Heat plant gas</t>
  </si>
  <si>
    <t>Heat generation from CHPs and heat plants|District heating|Heat plants|Gas|Fossil gases</t>
  </si>
  <si>
    <t>Heat generation from CHPs and heat plants|District heating|CHP</t>
  </si>
  <si>
    <t>Heat generation from CHPs and heat plants|District heating|Heat plants|Gas|Synthetic gases</t>
  </si>
  <si>
    <t>Heat generation from CHPs and heat plants|District heating|Heat plants|Nuclear fuel</t>
  </si>
  <si>
    <t>Heat generation from CHPs and heat plants|District heating|Heat plants|Oil</t>
  </si>
  <si>
    <t>Heat generation from CHPs and heat plants|District heating|Heat plants|Fossil liquids</t>
  </si>
  <si>
    <t>Heat generation from CHPs and heat plants|District heating|Heat plants|Synthetic liquids</t>
  </si>
  <si>
    <t>Heat generation from CHPs and heat plants|District heating|Heat plants|Wood</t>
  </si>
  <si>
    <t>Heat generation from CHPs and heat plants|District heating|Heat plants|Solar</t>
  </si>
  <si>
    <t>Heat generation from CHPs and heat plants|District heating|Heat plants|Geothermal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</si>
  <si>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</si>
  <si>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</si>
  <si>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</si>
  <si>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</si>
  <si>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CHPs|Oil|Fossil liquids</t>
  </si>
  <si>
    <t>Heat generation from CHPs and heat plants|On-site CHPs|Oil|Synthetic liquids</t>
  </si>
  <si>
    <t>Heat generation from CHPs and heat plants|On-site CHPs|Gas</t>
  </si>
  <si>
    <t>Heat generation from CHPs and heat plants|On-site CHPs|Gas|Fossil gases</t>
  </si>
  <si>
    <t>Heat generation from CHPs and heat plants|On-site CHPs|Gas|Synthetic gases</t>
  </si>
  <si>
    <t>Heat generation from CHPs and heat plants|On-site CHPs|Wastes</t>
  </si>
  <si>
    <t>Heat generation from CHPs and heat plants|On-site CHPs|Wastes|Renewable</t>
  </si>
  <si>
    <t>Heat generation from CHPs and heat plants|On-site CHPs|Wastes|Non Renewable</t>
  </si>
  <si>
    <t>Heat generation from CHPs and heat plants|On-site CHPs|Wood</t>
  </si>
  <si>
    <t>Heat generation from CHPs and heat plants|On-site CHPs|Hydrogen</t>
  </si>
  <si>
    <t>Fuel input for electricity generation|Nuclear Fuel</t>
  </si>
  <si>
    <t>Fuel input for electricity generation|Hydro</t>
  </si>
  <si>
    <t>Fuel input for electricity generation|Oil</t>
  </si>
  <si>
    <t>Fuel input for electricity generation|Oil|Fossil liquids</t>
  </si>
  <si>
    <t>Fuel input for electricity generation|Oil|Synthetic liquids</t>
  </si>
  <si>
    <t>Fuel input for electricity generation|Gas</t>
  </si>
  <si>
    <t>Fuel input for electricity generation|Gas|Fossil gases</t>
  </si>
  <si>
    <t>Fuel input for electricity generation|Gas|Synthetic gases</t>
  </si>
  <si>
    <t>Fuel input for electricity generation|Wastes</t>
  </si>
  <si>
    <t>Fuel input for electricity generation|Wastes|Renewable</t>
  </si>
  <si>
    <t>Fuel input for electricity generation|Wastes|Non Renewable</t>
  </si>
  <si>
    <t>Fuel input for electricity generation|Wood</t>
  </si>
  <si>
    <t>Fuel input for electricity generation|Wind</t>
  </si>
  <si>
    <t>Fuel input for electricity generation|Solar</t>
  </si>
  <si>
    <t>Fuel input for electricity generation|Geothermal</t>
  </si>
  <si>
    <t>Fuel input for electricity generation|Hydrogen</t>
  </si>
  <si>
    <t>Fuel input for electricity generation|Electricity storage (non hydro)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</si>
  <si>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</si>
  <si>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</si>
  <si>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</si>
  <si>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heating|CHP|Oil|Fossil liquids</t>
  </si>
  <si>
    <t>Fuel input for heat generation from CHPs and heat plants|District heating|CHP|Oil|Synthetic liquids</t>
  </si>
  <si>
    <t>Fuel input for heat generation from CHPs and heat plants|District heating|CHP|Gas</t>
  </si>
  <si>
    <t>Fuel input for heat generation from CHPs and heat plants|District heating|CHP|Gas|Fossil gases</t>
  </si>
  <si>
    <t>Fuel input for heat generation from CHPs and heat plants|District heating|CHP|Gas|Synthetic gases</t>
  </si>
  <si>
    <t>Fuel input for heat generation from CHPs and heat plants|District heating|CHP|Wastes</t>
  </si>
  <si>
    <t>Fuel input for heat generation from CHPs and heat plants|District heating|CHP|Wastes|Renewable</t>
  </si>
  <si>
    <t>Fuel input for heat generation from CHPs and heat plants|District heating|CHP|Wastes|Non Renewable</t>
  </si>
  <si>
    <t>Fuel input for heat generation from CHPs and heat plants|District heating|CHP|Wood</t>
  </si>
  <si>
    <t>Fuel input for heat generation from CHPs and heat plants|District heating|CHP|Hydrogen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</si>
  <si>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</si>
  <si>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</si>
  <si>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plants|Fossil gases</t>
  </si>
  <si>
    <t>Fuel input for heat generation from CHPs and heat plants|District heating|Heat plants|Synthetic gases</t>
  </si>
  <si>
    <t>Fuel input for heat generation from CHPs and heat plants|District heating|Heat plants|Nuclear fuel</t>
  </si>
  <si>
    <t>Fuel input for heat generation from CHPs and heat plants|District heating|Heat plants|Oil</t>
  </si>
  <si>
    <t>Fuel input for heat generation from CHPs and heat plants|District heating|Heat plants|Oil|Fossil liquids|Heat plant oil</t>
  </si>
  <si>
    <t>Fuel input for heat generation from CHPs and heat plants|District heating|Heat plants|Oil|Fossil liquids</t>
  </si>
  <si>
    <t>Fuel input for heat generation from CHPs and heat plants|District heating|Heat plants|Oil|Synthetic liquids|Heat plant oil</t>
  </si>
  <si>
    <t>Fuel input for heat generation from CHPs and heat plants|District heating|Heat plants|Oil|Synthetic liquids</t>
  </si>
  <si>
    <t>Fuel input for heat generation from CHPs and heat plants|District heating|Heat plants|Wood</t>
  </si>
  <si>
    <t>Fuel input for heat generation from CHPs and heat plants|District heating|Heat plants|Solar</t>
  </si>
  <si>
    <t>Fuel input for heat generation from CHPs and heat plants|District heating|Heat plants|Geothermal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</si>
  <si>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</si>
  <si>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</si>
  <si>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</si>
  <si>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</si>
  <si>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CHPs|Gas</t>
  </si>
  <si>
    <t>Fuel input for heat generation from CHPs and heat plants|On-site CHPs|Oil|Fossil liquids</t>
  </si>
  <si>
    <t>Fuel input for heat generation from CHPs and heat plants|On-site CHPs|Oil|Synthetic liquids</t>
  </si>
  <si>
    <t>Fuel input for heat generation from CHPs and heat plants|On-site CHPs|Gas|Fossil gases</t>
  </si>
  <si>
    <t>Fuel input for heat generation from CHPs and heat plants|On-site CHPs|Gas|Synthetic gases</t>
  </si>
  <si>
    <t>Fuel input for heat generation from CHPs and heat plants|On-site CHPs|Wastes</t>
  </si>
  <si>
    <t>Fuel input for heat generation from CHPs and heat plants|On-site CHPs|Wastes|Renewable</t>
  </si>
  <si>
    <t>Fuel input for heat generation from CHPs and heat plants|On-site CHPs|Wastes|Non Renewable</t>
  </si>
  <si>
    <t>Fuel input for heat generation from CHPs and heat plants|On-site CHPs|Wood</t>
  </si>
  <si>
    <t>Fuel input for heat generation from CHPs and heat plants|On-site CHPs|Hydrogen</t>
  </si>
  <si>
    <t>Domestic biodiesel production|Wood</t>
  </si>
  <si>
    <t>Heat from domestic biodiesel production|Wood</t>
  </si>
  <si>
    <t>Fuel input for domestic biodiesel production|Wood</t>
  </si>
  <si>
    <t>Fuel input for domestic biodiesel production|Electricity</t>
  </si>
  <si>
    <t>Fuel input for domestic ethanol production|Wood</t>
  </si>
  <si>
    <t>Fuel input for domestic ethanol production|Electricity</t>
  </si>
  <si>
    <t>Domestic biogas production|Wastes|Renewable</t>
  </si>
  <si>
    <t>Domestic biogas production|Wood</t>
  </si>
  <si>
    <t>Electricity from domestic biogas production|Wood</t>
  </si>
  <si>
    <t>Heat from domestic biogas production|Wood</t>
  </si>
  <si>
    <t>Heat from domestic biogas production|Wastes|Renewable</t>
  </si>
  <si>
    <t>Fuel input for domestic biogas production|Wastes|Renewable</t>
  </si>
  <si>
    <t>Fuel input for domestic biogas production|Wood</t>
  </si>
  <si>
    <t>Domestic hydrogen production|Electricity</t>
  </si>
  <si>
    <t>Domestic hydrogen production|Gas</t>
  </si>
  <si>
    <t>Domestic hydrogen production|Gas|Fossil gases</t>
  </si>
  <si>
    <t>Domestic hydrogen production|Gas|Synthetic gases</t>
  </si>
  <si>
    <t>Domestic hydrogen production|Wood</t>
  </si>
  <si>
    <t>Fuel input for hydrogen production|Electricity</t>
  </si>
  <si>
    <t>Fuel input for hydrogen production|Heat</t>
  </si>
  <si>
    <t>Fuel input for hydrogen production|Gas</t>
  </si>
  <si>
    <t>Fuel input for hydrogen production|Gas|Fossil gases</t>
  </si>
  <si>
    <t>Fuel input for hydrogen production|Gas|Synthetic gases</t>
  </si>
  <si>
    <t>Fuel input for hydrogen production|Wood</t>
  </si>
  <si>
    <t>Domestic PtG and PtL production|PtG</t>
  </si>
  <si>
    <t>Domestic PtG and PtL production|PtL</t>
  </si>
  <si>
    <t>Fuel input for domestic PtG and PtL production|Hydrogen</t>
  </si>
  <si>
    <t>Fuel input for domestic PtG and PtL production|Hydrogen|PtG</t>
  </si>
  <si>
    <t>Fuel input for domestic PtG and PtL production|Hydrogen|PtL</t>
  </si>
  <si>
    <t>CO2 input for domestic PtG and PtL production|CO2|Total|PtG</t>
  </si>
  <si>
    <t>CO2 input for domestic PtG and PtL production|CO2|Total|PtL</t>
  </si>
  <si>
    <t>CO2 input for domestic PtG and PtL production|CO2|Biogenic source|PtG</t>
  </si>
  <si>
    <t>CO2 input for domestic PtG and PtL production|CO2|Biogenic source|PtL</t>
  </si>
  <si>
    <t>CO2 input for domestic PtG and PtL production|CO2|Fossil source|PtG</t>
  </si>
  <si>
    <t>CO2 input for domestic PtG and PtL production|CO2|Fossil source|PtL</t>
  </si>
  <si>
    <t>CO2 input for domestic PtG and PtL production|CO2|Direct air capture source source|PtG</t>
  </si>
  <si>
    <t>CO2 input for domestic PtG and PtL production|CO2|Direct air capture source source|PtL</t>
  </si>
  <si>
    <t>Fuel consumption in industry sectors|Electricity</t>
  </si>
  <si>
    <t>Fuel consumption in industry sectors|Oil|Fossil liquids</t>
  </si>
  <si>
    <t>Fuel consumption in industry sectors|Oil|Synthetic liquids</t>
  </si>
  <si>
    <t>Fuel consumption in industry sectors|Oil|Synthetic liquids|Light fuel oil boiler</t>
  </si>
  <si>
    <t>Fuel consumption in industry sectors|Oil|Fossil liquids|Heavy fuel oil|Heavy fuel oil boiler</t>
  </si>
  <si>
    <t>Fuel consumption in industry sectors|Gas|Fossil gases</t>
  </si>
  <si>
    <t>Fuel consumption in industry sectors|Gas|Synthetic gases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</si>
  <si>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</si>
  <si>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</si>
  <si>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</si>
  <si>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</si>
  <si>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</si>
  <si>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</si>
  <si>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</si>
  <si>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</si>
  <si>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</si>
  <si>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</si>
  <si>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</si>
  <si>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</si>
  <si>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</si>
  <si>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</si>
  <si>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</si>
  <si>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</si>
  <si>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Fuel consumption in Services sectors|Electricity</t>
  </si>
  <si>
    <t>Fuel consumption in Services sectors|Oil|Fossil liquids</t>
  </si>
  <si>
    <t>Fuel consumption in Services sectors|Oil|Synthetic liquids</t>
  </si>
  <si>
    <t>Fuel consumption in Services sectors|Oil|Synthetic liquids|Light fuel oil boiler</t>
  </si>
  <si>
    <t>Fuel consumption in Services sectors|Gas|Fossil gases</t>
  </si>
  <si>
    <t>Fuel consumption in Services sectors|Gas|Synthetic gases</t>
  </si>
  <si>
    <t>Fuel consumption in Services sectors|Heat</t>
  </si>
  <si>
    <t>Fuel consumption in Services sectors|Heat|On-site CHPs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</si>
  <si>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</si>
  <si>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</si>
  <si>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</si>
  <si>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</si>
  <si>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</si>
  <si>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</si>
  <si>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</si>
  <si>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</si>
  <si>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</si>
  <si>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</si>
  <si>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</si>
  <si>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</si>
  <si>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</si>
  <si>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</si>
  <si>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</si>
  <si>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</si>
  <si>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</si>
  <si>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</si>
  <si>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</si>
  <si>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</si>
  <si>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</si>
  <si>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</si>
  <si>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</si>
  <si>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</si>
  <si>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</si>
  <si>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</si>
  <si>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</si>
  <si>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</si>
  <si>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</si>
  <si>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</si>
  <si>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</si>
  <si>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</si>
  <si>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sector|Electricity|Water heating</t>
  </si>
  <si>
    <t>Fuel consumption in Residential sector|Electricity|Other appliances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</si>
  <si>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</si>
  <si>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</si>
  <si>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</si>
  <si>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sector|Oil|Fossil liquids|Space heating</t>
  </si>
  <si>
    <t>Fuel consumption in Residential sector|Oil|Synthetic liquids|Space heating</t>
  </si>
  <si>
    <t>Fuel consumption in Residential sector|Oil|Total|Water heating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</si>
  <si>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</si>
  <si>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</si>
  <si>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</si>
  <si>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sector|Gas|Fossil gases|Space heating</t>
  </si>
  <si>
    <t>Fuel consumption in Residential sector|Gas|Synthetic gases|Space heating</t>
  </si>
  <si>
    <t>Fuel consumption in Residential sector|Gas|Total|Water heating</t>
  </si>
  <si>
    <t>Fuel consumption in Residential sector|Gas|Fossil gases|Water heating</t>
  </si>
  <si>
    <t>Fuel consumption in Residential sector|Gas|Synthetic gases|Water heating</t>
  </si>
  <si>
    <t>Fuel consumption in Residential sector|Coal</t>
  </si>
  <si>
    <t>Fuel consumption in Residential sector|Coal|Space heating</t>
  </si>
  <si>
    <t>Fuel consumption in Residential sector|Coal|Water heating</t>
  </si>
  <si>
    <t>Fuel consumption in Residential sector|Wood</t>
  </si>
  <si>
    <t>Fuel consumption in Residential sector|Wood|Space heating</t>
  </si>
  <si>
    <t>Fuel consumption in Residential sector|Wood|Water heating</t>
  </si>
  <si>
    <t>Fuel consumption in Residential sector|Pellets</t>
  </si>
  <si>
    <t>Fuel consumption in Residential sector|Pellets|Space heating</t>
  </si>
  <si>
    <t>Fuel consumption in Residential sector|Pellets|Water heating</t>
  </si>
  <si>
    <t>Fuel consumption in Residential sector|Solar</t>
  </si>
  <si>
    <t>Fuel consumption in Residential sector|Solar|Space heating</t>
  </si>
  <si>
    <t>Fuel consumption in Residential sector|Solar|Water heating</t>
  </si>
  <si>
    <t>Fuel consumption in Residential sector|Hydrogen</t>
  </si>
  <si>
    <t>Fuel consumption in Residential sector|Hydrogen|From hydrogen grid|Space heating|Hydrogen boiler</t>
  </si>
  <si>
    <t>Fuel consumption in Residential sector|Hydrogen|From hydrogen grid|Space heating</t>
  </si>
  <si>
    <t>Fuel consumption in Residential sector|Hydrogen|From hydrogen grid|Water heating</t>
  </si>
  <si>
    <t>Fuel consumption in Residential sector|Heat</t>
  </si>
  <si>
    <t>Fuel consumption in Residential sector|Heat|On-site CHPs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</si>
  <si>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</si>
  <si>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</si>
  <si>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</si>
  <si>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heat|Water heating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</si>
  <si>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</si>
  <si>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</si>
  <si>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</si>
  <si>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</si>
  <si>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</si>
  <si>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</si>
  <si>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</si>
  <si>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</si>
  <si>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</si>
  <si>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</si>
  <si>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</si>
  <si>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</si>
  <si>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</si>
  <si>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</si>
  <si>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</si>
  <si>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</si>
  <si>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</si>
  <si>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</si>
  <si>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</si>
  <si>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</si>
  <si>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</si>
  <si>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</si>
  <si>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</si>
  <si>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</si>
  <si>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</si>
  <si>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</si>
  <si>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</si>
  <si>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</si>
  <si>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</si>
  <si>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</si>
  <si>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</si>
  <si>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</si>
  <si>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</si>
  <si>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</si>
  <si>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</si>
  <si>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</si>
  <si>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</si>
  <si>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</si>
  <si>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</si>
  <si>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</si>
  <si>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</si>
  <si>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</si>
  <si>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</si>
  <si>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</si>
  <si>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</si>
  <si>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</si>
  <si>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</si>
  <si>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</si>
  <si>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</si>
  <si>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</si>
  <si>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</si>
  <si>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</si>
  <si>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</si>
  <si>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</si>
  <si>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</si>
  <si>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</si>
  <si>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</si>
  <si>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</si>
  <si>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</si>
  <si>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</si>
  <si>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</si>
  <si>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</si>
  <si>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</si>
  <si>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</si>
  <si>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</si>
  <si>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</si>
  <si>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</si>
  <si>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</si>
  <si>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</si>
  <si>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</si>
  <si>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</si>
  <si>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</si>
  <si>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</si>
  <si>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</si>
  <si>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</si>
  <si>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</si>
  <si>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</si>
  <si>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</si>
  <si>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</si>
  <si>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</si>
  <si>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</si>
  <si>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Efficiency in Residential sector|Space heating|Electricty|Electric boiler</t>
  </si>
  <si>
    <t>Efficiency in Residential sector|Space heating|Electricty|Heat pump electric</t>
  </si>
  <si>
    <t>Efficiency in Residential sector|Water heating|Electricty|Electric boiler</t>
  </si>
  <si>
    <t>Efficiency in Residential sector|Water heating|Electricty|Heat pump electric</t>
  </si>
  <si>
    <t>Average annual efficiency of residential boilers including part load lossess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</si>
  <si>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</si>
  <si>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</si>
  <si>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</si>
  <si>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</si>
  <si>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Cars efficiency</t>
  </si>
  <si>
    <t>billion km/yr.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</si>
  <si>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</si>
  <si>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</si>
  <si>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</si>
  <si>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</si>
  <si>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</si>
  <si>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</si>
  <si>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</si>
  <si>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</si>
  <si>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</si>
  <si>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</si>
  <si>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</si>
  <si>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</si>
  <si>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</si>
  <si>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</si>
  <si>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</si>
  <si>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</si>
  <si>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</si>
  <si>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</si>
  <si>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</si>
  <si>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</si>
  <si>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</si>
  <si>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</si>
  <si>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</si>
  <si>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</si>
  <si>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</si>
  <si>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</si>
  <si>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</si>
  <si>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</si>
  <si>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</si>
  <si>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</si>
  <si>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</si>
  <si>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</si>
  <si>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</si>
  <si>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</si>
  <si>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</si>
  <si>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</si>
  <si>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</si>
  <si>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</si>
  <si>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</si>
  <si>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</si>
  <si>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</si>
  <si>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</si>
  <si>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</si>
  <si>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</si>
  <si>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</si>
  <si>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</si>
  <si>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</si>
  <si>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</si>
  <si>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</si>
  <si>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</si>
  <si>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</si>
  <si>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</si>
  <si>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</si>
  <si>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</si>
  <si>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</si>
  <si>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</si>
  <si>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</si>
  <si>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</si>
  <si>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</si>
  <si>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</si>
  <si>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</si>
  <si>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</si>
  <si>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</si>
  <si>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</si>
  <si>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</si>
  <si>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</si>
  <si>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</si>
  <si>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</si>
  <si>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</si>
  <si>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</si>
  <si>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</si>
  <si>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</si>
  <si>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</si>
  <si>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</si>
  <si>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</si>
  <si>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</si>
  <si>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</si>
  <si>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</si>
  <si>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</si>
  <si>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</si>
  <si>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</si>
  <si>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</si>
  <si>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</si>
  <si>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</si>
  <si>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</si>
  <si>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</si>
  <si>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</si>
  <si>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</si>
  <si>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</si>
  <si>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</si>
  <si>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</si>
  <si>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</si>
  <si>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</si>
  <si>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</si>
  <si>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</si>
  <si>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</si>
  <si>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</si>
  <si>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km/MJ</t>
  </si>
  <si>
    <t>Average annual efficiency across all the stock of the same car type</t>
  </si>
  <si>
    <t>Some extreme values are artefacts from the solution (very small numbers close to zero in consumption or mileage or both)</t>
  </si>
  <si>
    <t>Cars efficiency|Motor Gasoline|Total|Conventional gasoline hybrid existing</t>
  </si>
  <si>
    <t>Cars mileage|Motor Gasoline|Total|Conventional gasoline hybrid existing</t>
  </si>
  <si>
    <t>Cars efficiency|Motor Diesel|Total|Conventional diesel hybrid existing</t>
  </si>
  <si>
    <t>Cars mileage|Motor Diesel|Total|Conventional diesel hybrid existing</t>
  </si>
  <si>
    <t>Fuel consumption in cars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</si>
  <si>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</si>
  <si>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</si>
  <si>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</si>
  <si>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</si>
  <si>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</si>
  <si>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</si>
  <si>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</si>
  <si>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</si>
  <si>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</si>
  <si>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</si>
  <si>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</si>
  <si>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</si>
  <si>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</si>
  <si>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</si>
  <si>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</si>
  <si>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</si>
  <si>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</si>
  <si>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</si>
  <si>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</si>
  <si>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</si>
  <si>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</si>
  <si>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</si>
  <si>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</si>
  <si>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</si>
  <si>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</si>
  <si>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</si>
  <si>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</si>
  <si>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</si>
  <si>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</si>
  <si>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</si>
  <si>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</si>
  <si>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</si>
  <si>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</si>
  <si>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</si>
  <si>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</si>
  <si>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</si>
  <si>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</si>
  <si>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</si>
  <si>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</si>
  <si>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</si>
  <si>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</si>
  <si>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</si>
  <si>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</si>
  <si>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</si>
  <si>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</si>
  <si>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</si>
  <si>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</si>
  <si>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</si>
  <si>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</si>
  <si>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</si>
  <si>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</si>
  <si>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</si>
  <si>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</si>
  <si>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</si>
  <si>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</si>
  <si>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</si>
  <si>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</si>
  <si>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</si>
  <si>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</si>
  <si>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</si>
  <si>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</si>
  <si>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</si>
  <si>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</si>
  <si>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</si>
  <si>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</si>
  <si>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</si>
  <si>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</si>
  <si>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urban buses</t>
  </si>
  <si>
    <t>Fuel consumption in urban buses (not trolleybuses)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</si>
  <si>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</si>
  <si>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</si>
  <si>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</si>
  <si>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</si>
  <si>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</si>
  <si>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</si>
  <si>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</si>
  <si>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</si>
  <si>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</si>
  <si>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</si>
  <si>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</si>
  <si>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</si>
  <si>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</si>
  <si>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</si>
  <si>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liquids|PtL|PtL Diesel</t>
  </si>
  <si>
    <t>Fuel consumption in urban buses|Motor Diesel|Synthetic liquids|Bioliquids|Biodiesel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</si>
  <si>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</si>
  <si>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</si>
  <si>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</si>
  <si>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</si>
  <si>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</si>
  <si>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</si>
  <si>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</si>
  <si>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</si>
  <si>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</si>
  <si>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</si>
  <si>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</si>
  <si>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</si>
  <si>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</si>
  <si>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</si>
  <si>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</si>
  <si>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</si>
  <si>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</si>
  <si>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</si>
  <si>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</si>
  <si>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</si>
  <si>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</si>
  <si>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</si>
  <si>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</si>
  <si>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</si>
  <si>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</si>
  <si>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</si>
  <si>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Urban buses mileage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</si>
  <si>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</si>
  <si>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</si>
  <si>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</si>
  <si>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</si>
  <si>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</si>
  <si>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</si>
  <si>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</si>
  <si>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</si>
  <si>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</si>
  <si>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</si>
  <si>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</si>
  <si>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</si>
  <si>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</si>
  <si>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</si>
  <si>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</si>
  <si>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</si>
  <si>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</si>
  <si>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</si>
  <si>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</si>
  <si>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</si>
  <si>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</si>
  <si>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</si>
  <si>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</si>
  <si>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</si>
  <si>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</si>
  <si>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</si>
  <si>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</si>
  <si>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</si>
  <si>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</si>
  <si>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</si>
  <si>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</si>
  <si>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</si>
  <si>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</si>
  <si>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</si>
  <si>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</si>
  <si>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</si>
  <si>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</si>
  <si>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</si>
  <si>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</si>
  <si>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</si>
  <si>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</si>
  <si>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</si>
  <si>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</si>
  <si>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Coaches mileage</t>
  </si>
  <si>
    <t>Coaches efficiency</t>
  </si>
  <si>
    <t>Fuel consumption in coaches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</si>
  <si>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</si>
  <si>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</si>
  <si>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</si>
  <si>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</si>
  <si>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</si>
  <si>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</si>
  <si>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</si>
  <si>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</si>
  <si>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</si>
  <si>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</si>
  <si>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</si>
  <si>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</si>
  <si>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</si>
  <si>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</si>
  <si>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</si>
  <si>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</si>
  <si>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</si>
  <si>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</si>
  <si>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</si>
  <si>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</si>
  <si>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</si>
  <si>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</si>
  <si>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</si>
  <si>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</si>
  <si>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</si>
  <si>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</si>
  <si>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</si>
  <si>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</si>
  <si>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</si>
  <si>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</si>
  <si>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</si>
  <si>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</si>
  <si>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</si>
  <si>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</si>
  <si>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</si>
  <si>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</si>
  <si>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</si>
  <si>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</si>
  <si>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</si>
  <si>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</si>
  <si>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</si>
  <si>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</si>
  <si>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</si>
  <si>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</si>
  <si>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</si>
  <si>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</si>
  <si>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</si>
  <si>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</si>
  <si>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</si>
  <si>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</si>
  <si>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</si>
  <si>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</si>
  <si>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</si>
  <si>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</si>
  <si>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</si>
  <si>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</si>
  <si>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</si>
  <si>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</si>
  <si>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</si>
  <si>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</si>
  <si>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</si>
  <si>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</si>
  <si>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</si>
  <si>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</si>
  <si>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</si>
  <si>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</si>
  <si>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</si>
  <si>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</si>
  <si>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</si>
  <si>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</si>
  <si>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</si>
  <si>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</si>
  <si>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</si>
  <si>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</si>
  <si>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</si>
  <si>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Average annual efficiency across all the stock of the same coach type</t>
  </si>
  <si>
    <t>Average annual efficiency across all the stock of the same urban bus type</t>
  </si>
  <si>
    <t>Fuel consumption in trams</t>
  </si>
  <si>
    <t>Fuel consumption in trolleybuses</t>
  </si>
  <si>
    <t>Fuel consumption in trolleybuses|Electricity</t>
  </si>
  <si>
    <t>Fuel consumption in trolleybuses|Electricity|Existing trolleybuses</t>
  </si>
  <si>
    <t>Fuel consumption in trams|Electricity</t>
  </si>
  <si>
    <t>Fuel consumption in trams|Electricity|Existing trams</t>
  </si>
  <si>
    <t>Trolleybuses mileage</t>
  </si>
  <si>
    <t>Trolleybuses mileage|Electricity|Existing trolleybuses</t>
  </si>
  <si>
    <t>Trolleybuses efficiency</t>
  </si>
  <si>
    <t>Trolleybuses efficiency|Electricity|Existing trolleybuses</t>
  </si>
  <si>
    <t>Trams mileage</t>
  </si>
  <si>
    <t>Trams mileage|Electricity|Existing trams</t>
  </si>
  <si>
    <t>Trams efficiency</t>
  </si>
  <si>
    <t>Trams efficiency|Electricity|Existing trams</t>
  </si>
  <si>
    <t>Average annual efficiency across all the stock of the same trolleybus type</t>
  </si>
  <si>
    <t>Fuel consumption in motorised two wheelers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</si>
  <si>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</si>
  <si>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</si>
  <si>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</si>
  <si>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(50kW)</t>
  </si>
  <si>
    <t>Fuel consumption in motorised two wheelers|Electricity|New electric two wheelers (25kW)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</si>
  <si>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</si>
  <si>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</si>
  <si>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</si>
  <si>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</si>
  <si>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</si>
  <si>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</si>
  <si>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</si>
  <si>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</si>
  <si>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</si>
  <si>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</si>
  <si>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Motorised two wheelers mileage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</si>
  <si>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</si>
  <si>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</si>
  <si>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</si>
  <si>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</si>
  <si>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</si>
  <si>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</si>
  <si>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</si>
  <si>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</si>
  <si>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</si>
  <si>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</si>
  <si>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</si>
  <si>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</si>
  <si>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</si>
  <si>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>Billion km/yr.</t>
  </si>
  <si>
    <t>Motorised two wheelers efficiency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</si>
  <si>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</si>
  <si>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</si>
  <si>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</si>
  <si>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</si>
  <si>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</si>
  <si>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</si>
  <si>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</si>
  <si>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</si>
  <si>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 xml:space="preserve">- </t>
  </si>
  <si>
    <t>Fuel consumption in two wheelers by fuel and size</t>
  </si>
  <si>
    <t>Annual km driven by trams and fuel</t>
  </si>
  <si>
    <t>Annual km driven by trolleybus type and fuel</t>
  </si>
  <si>
    <t>Annual km driven per coach type and fuel</t>
  </si>
  <si>
    <t>Annual km driven per urban bus type and fuel</t>
  </si>
  <si>
    <t>Average annual efficiency across all the stock of the same two wheelers type</t>
  </si>
  <si>
    <t>Average annual efficiency across all the stock of the same tram type</t>
  </si>
  <si>
    <t>Fuel consumption in light duty vehicles</t>
  </si>
  <si>
    <t>Fuel consumption in light duty vehicles|Electricity</t>
  </si>
  <si>
    <t>Fuel consumption in light duty vehicles|Hydrogen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</si>
  <si>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</si>
  <si>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</si>
  <si>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</si>
  <si>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</si>
  <si>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</si>
  <si>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</si>
  <si>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</si>
  <si>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vehicles|Hydrogen|New fuel cell electric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</si>
  <si>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</si>
  <si>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</si>
  <si>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</si>
  <si>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</si>
  <si>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</si>
  <si>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</si>
  <si>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</si>
  <si>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</si>
  <si>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</si>
  <si>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</si>
  <si>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</si>
  <si>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</si>
  <si>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</si>
  <si>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</si>
  <si>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</si>
  <si>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</si>
  <si>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</si>
  <si>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</si>
  <si>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</si>
  <si>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</si>
  <si>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</si>
  <si>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</si>
  <si>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</si>
  <si>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</si>
  <si>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</si>
  <si>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</si>
  <si>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</si>
  <si>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</si>
  <si>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</si>
  <si>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</si>
  <si>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km/PJ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</si>
  <si>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</si>
  <si>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</si>
  <si>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</si>
  <si>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</si>
  <si>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</si>
  <si>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</si>
  <si>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</si>
  <si>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</si>
  <si>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</si>
  <si>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</si>
  <si>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vehicles|Motor Gasoline|Total|New gasoline light duty vehicles</t>
  </si>
  <si>
    <t>Fuel consumption in light duty vehicles|Motor Gasoline|Total|Existing gasoline light duty vehicles</t>
  </si>
  <si>
    <t>Mileage in light duty vehicles|Motor Gasoline|Total|Existing gasoline light duty vehicles</t>
  </si>
  <si>
    <t>Mileage in light duty vehicles|Motor Gasoline|Total|New gasoline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</si>
  <si>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</si>
  <si>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</si>
  <si>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Fuel consumption in light duty vehicles by fuel and size</t>
  </si>
  <si>
    <t>Average annual efficiency across all the stock of the same light duty vehicles type</t>
  </si>
  <si>
    <t>Annual km driven by type and fuel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</si>
  <si>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</si>
  <si>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</si>
  <si>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</si>
  <si>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</si>
  <si>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</si>
  <si>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</si>
  <si>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</si>
  <si>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</si>
  <si>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</si>
  <si>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</si>
  <si>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</si>
  <si>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</si>
  <si>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</si>
  <si>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</si>
  <si>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</si>
  <si>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</si>
  <si>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</si>
  <si>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</si>
  <si>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</si>
  <si>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</si>
  <si>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</si>
  <si>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</si>
  <si>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</si>
  <si>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</si>
  <si>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</si>
  <si>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</si>
  <si>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</si>
  <si>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</si>
  <si>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</si>
  <si>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</si>
  <si>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</si>
  <si>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</si>
  <si>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</si>
  <si>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</si>
  <si>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</si>
  <si>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</si>
  <si>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</si>
  <si>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</si>
  <si>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</si>
  <si>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</si>
  <si>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</si>
  <si>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</si>
  <si>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</si>
  <si>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</si>
  <si>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</si>
  <si>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</si>
  <si>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</si>
  <si>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 light duty vehicles</t>
  </si>
  <si>
    <t>Light duty vehicles mileage</t>
  </si>
  <si>
    <t>Light duty vehicles efficiency</t>
  </si>
  <si>
    <t>Fuel consumption in  heavy duty vehicles</t>
  </si>
  <si>
    <t>Fuel consumption in heavy duty vehicles by fuel and size</t>
  </si>
  <si>
    <t>Average annual efficiency across all the stock of the same heavy duty vehicles type</t>
  </si>
  <si>
    <t>Heavy duty vehicles mileage</t>
  </si>
  <si>
    <t>Heavy duty vehicles efficiency</t>
  </si>
  <si>
    <t>Fuel consumption in other transport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</si>
  <si>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</si>
  <si>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</si>
  <si>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</si>
  <si>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</si>
  <si>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</si>
  <si>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</si>
  <si>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</si>
  <si>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</si>
  <si>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</si>
  <si>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</si>
  <si>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</si>
  <si>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</si>
  <si>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</si>
  <si>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</si>
  <si>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</si>
  <si>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</si>
  <si>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</si>
  <si>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</si>
  <si>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</si>
  <si>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</si>
  <si>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</si>
  <si>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</si>
  <si>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Other transport mileage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</si>
  <si>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</si>
  <si>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</si>
  <si>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</si>
  <si>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</si>
  <si>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</si>
  <si>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</si>
  <si>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</si>
  <si>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</si>
  <si>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</si>
  <si>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</si>
  <si>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>Other transport efficiency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</si>
  <si>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</si>
  <si>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</si>
  <si>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</si>
  <si>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</si>
  <si>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</si>
  <si>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</si>
  <si>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</si>
  <si>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</si>
  <si>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</si>
  <si>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</si>
  <si>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Fuel consumption in  other transport</t>
  </si>
  <si>
    <t>Annual km driven in other transprot</t>
  </si>
  <si>
    <t>Average annual efficiency across all the stock of the same other transport type</t>
  </si>
  <si>
    <t>billion km/yr. or PJ/yr.</t>
  </si>
  <si>
    <t>km/MJ or %</t>
  </si>
  <si>
    <t>Direct CO2 emissions from fuel combustion and industrial processes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</si>
  <si>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</si>
  <si>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</si>
  <si>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</si>
  <si>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</si>
  <si>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</si>
  <si>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</si>
  <si>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</si>
  <si>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</si>
  <si>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</si>
  <si>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</si>
  <si>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</si>
  <si>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Direct CO2 emissions from fuel combustion and industrial processes|CO2|Industry|Industrial processes</t>
  </si>
  <si>
    <t>Direct CO2 emissions from fuel combustion and industrial processes|CO2|Industry|fuel combustion</t>
  </si>
  <si>
    <t>CO2 storage and utilisation</t>
  </si>
  <si>
    <t>CO2 storage and utilisation|CO2|Domestic sequestration</t>
  </si>
  <si>
    <t>CO2 storage and utilisation|CO2|Domestic utilisation</t>
  </si>
  <si>
    <t>CO2 storage and utilisation|CO2|Exported</t>
  </si>
  <si>
    <t>Final energy consumption</t>
  </si>
  <si>
    <t>Direct air capture</t>
  </si>
  <si>
    <t xml:space="preserve">Quantities of CO2 domestically stored or utilised, or exported </t>
  </si>
  <si>
    <t>Consumption for DAC (electricity, heat) and CO2 captured from DAC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</si>
  <si>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</si>
  <si>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</si>
  <si>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</si>
  <si>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</si>
  <si>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Industry</t>
  </si>
  <si>
    <t>Services</t>
  </si>
  <si>
    <t>Residential</t>
  </si>
  <si>
    <t>Transport</t>
  </si>
  <si>
    <t>Hydrogen production</t>
  </si>
  <si>
    <t>Electricity and heat</t>
  </si>
  <si>
    <t>Biofuel production</t>
  </si>
  <si>
    <t>DAC</t>
  </si>
  <si>
    <t>Fuel input to energy conversion and DAC</t>
  </si>
  <si>
    <t>Total Primary energy consumption</t>
  </si>
  <si>
    <t>Domestic production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</si>
  <si>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</si>
  <si>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</si>
  <si>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</si>
  <si>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</si>
  <si>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</si>
  <si>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</si>
  <si>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</si>
  <si>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</si>
  <si>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</si>
  <si>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</si>
  <si>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</si>
  <si>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</si>
  <si>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</si>
  <si>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</si>
  <si>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</si>
  <si>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</si>
  <si>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</si>
  <si>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</si>
  <si>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</si>
  <si>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</si>
  <si>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</si>
  <si>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</si>
  <si>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</si>
  <si>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</si>
  <si>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</si>
  <si>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</si>
  <si>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</si>
  <si>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</si>
  <si>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</si>
  <si>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</si>
  <si>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</si>
  <si>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</si>
  <si>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</si>
  <si>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</si>
  <si>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</si>
  <si>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</si>
  <si>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</si>
  <si>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</si>
  <si>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</si>
  <si>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</si>
  <si>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</si>
  <si>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</si>
  <si>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</si>
  <si>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</si>
  <si>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</si>
  <si>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</si>
  <si>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</si>
  <si>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</si>
  <si>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Total domestic energy consumption (= production + imports - exports)</t>
  </si>
  <si>
    <t>Net install electricity and CHP generatoin capacity</t>
  </si>
  <si>
    <t>Electricity generation capacity</t>
  </si>
  <si>
    <t xml:space="preserve">Electricity generation capacity 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</si>
  <si>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</si>
  <si>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</si>
  <si>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</si>
  <si>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</si>
  <si>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</si>
  <si>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</si>
  <si>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</si>
  <si>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</si>
  <si>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</si>
  <si>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</si>
  <si>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</si>
  <si>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</si>
  <si>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</si>
  <si>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</si>
  <si>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</si>
  <si>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</si>
  <si>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</si>
  <si>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</si>
  <si>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</si>
  <si>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</si>
  <si>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</si>
  <si>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</si>
  <si>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</si>
  <si>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</si>
  <si>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</si>
  <si>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</si>
  <si>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</si>
  <si>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</si>
  <si>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</si>
  <si>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</si>
  <si>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</si>
  <si>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</si>
  <si>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</si>
  <si>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</si>
  <si>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</si>
  <si>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</si>
  <si>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</si>
  <si>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</si>
  <si>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</si>
  <si>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</si>
  <si>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</si>
  <si>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</si>
  <si>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</si>
  <si>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</si>
  <si>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</si>
  <si>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</si>
  <si>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</si>
  <si>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</si>
  <si>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</si>
  <si>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</si>
  <si>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</si>
  <si>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</si>
  <si>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</si>
  <si>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</si>
  <si>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</si>
  <si>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</si>
  <si>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</si>
  <si>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</si>
  <si>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</si>
  <si>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</si>
  <si>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</si>
  <si>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</si>
  <si>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Electricity generation|Electricity storage (non hydro)|Batteries in residential single family houses</t>
  </si>
  <si>
    <t>Fuel input for electricity generation|Electricity storage (non hydro)|Batteries in residential single family houses</t>
  </si>
  <si>
    <t>Efficiency of power plants (electric)|Electricity storage (non hydro)|Batteries in residential single family houses</t>
  </si>
  <si>
    <t>Electricity generation capacity|Electricity storage (non hydro)|Batteries in residential single family houses</t>
  </si>
  <si>
    <t>Space heating boiler capacity in Residential sector</t>
  </si>
  <si>
    <t>GWe/yr.</t>
  </si>
  <si>
    <t>GWth/yr.</t>
  </si>
  <si>
    <t xml:space="preserve">Capacity of boilers and heat pumps in the residential sector for space heating </t>
  </si>
  <si>
    <t>Space and water heat boiler capacity in Residential sector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</si>
  <si>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</si>
  <si>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</si>
  <si>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</si>
  <si>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</si>
  <si>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</si>
  <si>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</si>
  <si>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</si>
  <si>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</si>
  <si>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</si>
  <si>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</si>
  <si>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</si>
  <si>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</si>
  <si>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</si>
  <si>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</si>
  <si>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</si>
  <si>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</si>
  <si>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</si>
  <si>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</si>
  <si>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</si>
  <si>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</si>
  <si>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</si>
  <si>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</si>
  <si>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</si>
  <si>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</si>
  <si>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</si>
  <si>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</si>
  <si>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</si>
  <si>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</si>
  <si>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</si>
  <si>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</si>
  <si>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</si>
  <si>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</si>
  <si>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</si>
  <si>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</si>
  <si>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</si>
  <si>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</si>
  <si>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</si>
  <si>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Space and water heat boiler capacity in Residential sector|Space heating</t>
  </si>
  <si>
    <t>Process and space heating capacity in industry sectors</t>
  </si>
  <si>
    <t>Space water and process heat boiler capacity in Services sectors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</si>
  <si>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</si>
  <si>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</si>
  <si>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</si>
  <si>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</si>
  <si>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</si>
  <si>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</si>
  <si>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</si>
  <si>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</si>
  <si>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</si>
  <si>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</si>
  <si>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</si>
  <si>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</si>
  <si>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</si>
  <si>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</si>
  <si>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</si>
  <si>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</si>
  <si>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</si>
  <si>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 xml:space="preserve">Capacity of industrial boilers and heat pumps for process and space heating production </t>
  </si>
  <si>
    <t>Capacity of boilers and heat pumps for process and space heating production in services sector</t>
  </si>
  <si>
    <t>Cars stock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</si>
  <si>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</si>
  <si>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</si>
  <si>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</si>
  <si>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</si>
  <si>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</si>
  <si>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</si>
  <si>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</si>
  <si>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</si>
  <si>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</si>
  <si>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</si>
  <si>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</si>
  <si>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</si>
  <si>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</si>
  <si>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</si>
  <si>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</si>
  <si>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</si>
  <si>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</si>
  <si>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</si>
  <si>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</si>
  <si>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</si>
  <si>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</si>
  <si>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</si>
  <si>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</si>
  <si>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</si>
  <si>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</si>
  <si>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</si>
  <si>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</si>
  <si>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</si>
  <si>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</si>
  <si>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</si>
  <si>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</si>
  <si>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</si>
  <si>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</si>
  <si>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</si>
  <si>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</si>
  <si>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</si>
  <si>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</si>
  <si>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</si>
  <si>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</si>
  <si>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</si>
  <si>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</si>
  <si>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</si>
  <si>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</si>
  <si>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</si>
  <si>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</si>
  <si>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</si>
  <si>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</si>
  <si>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</si>
  <si>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</si>
  <si>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</si>
  <si>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Stock of cars per engine type and size</t>
  </si>
  <si>
    <t>Million</t>
  </si>
  <si>
    <t>Urban buses stock</t>
  </si>
  <si>
    <t>Stock of urban buses per engine type and size</t>
  </si>
  <si>
    <t>Thousands</t>
  </si>
  <si>
    <t>Stock of coaches per engine type and size</t>
  </si>
  <si>
    <t>Coaches stock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</si>
  <si>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</si>
  <si>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</si>
  <si>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</si>
  <si>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</si>
  <si>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</si>
  <si>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</si>
  <si>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</si>
  <si>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</si>
  <si>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</si>
  <si>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</si>
  <si>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</si>
  <si>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</si>
  <si>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</si>
  <si>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</si>
  <si>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</si>
  <si>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</si>
  <si>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</si>
  <si>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</si>
  <si>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</si>
  <si>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</si>
  <si>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</si>
  <si>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>Thousand</t>
  </si>
  <si>
    <t>Fuel consumption in urban buses|Motor Diesel|Total|Existing ICE diesel urban buses</t>
  </si>
  <si>
    <t>Urban buses mileage|Motor Diesel|Total|Existing ICE diesel urban buses</t>
  </si>
  <si>
    <t>Urban buses efficiency|Motor Diesel|Total|Existing ICE diesel urban buses</t>
  </si>
  <si>
    <t>Urban buses stock|Motor Diesel|Total|Existing ICE diesel urban buses</t>
  </si>
  <si>
    <t>Fuel consumption in urban buses|Motor Gas|Total|Existing ICE Gas urban buses</t>
  </si>
  <si>
    <t>Urban buses mileage|Motor Gas|Total|Existing ICE Gas urban buses</t>
  </si>
  <si>
    <t>Urban buses efficiency|Motor Gas|Total|Existing ICE Gas urban buses</t>
  </si>
  <si>
    <t>Urban buses stock|Motor Gas|Total|Existing ICE Gas urban buses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</si>
  <si>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</si>
  <si>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</si>
  <si>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</si>
  <si>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</si>
  <si>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</si>
  <si>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</si>
  <si>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</si>
  <si>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</si>
  <si>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</si>
  <si>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</si>
  <si>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</si>
  <si>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</si>
  <si>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</si>
  <si>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</si>
  <si>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</si>
  <si>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</si>
  <si>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</si>
  <si>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</si>
  <si>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</si>
  <si>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</si>
  <si>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</si>
  <si>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</si>
  <si>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</si>
  <si>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</si>
  <si>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</si>
  <si>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</si>
  <si>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</si>
  <si>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</si>
  <si>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</si>
  <si>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</si>
  <si>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</si>
  <si>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</si>
  <si>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</si>
  <si>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</si>
  <si>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</si>
  <si>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</si>
  <si>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</si>
  <si>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</si>
  <si>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</si>
  <si>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</si>
  <si>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</si>
  <si>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</si>
  <si>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</si>
  <si>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</si>
  <si>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</si>
  <si>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</si>
  <si>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</si>
  <si>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</si>
  <si>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</si>
  <si>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</si>
  <si>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</si>
  <si>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</si>
  <si>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</si>
  <si>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</si>
  <si>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</si>
  <si>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</si>
  <si>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</si>
  <si>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</si>
  <si>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</si>
  <si>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</si>
  <si>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</si>
  <si>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</si>
  <si>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</si>
  <si>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</si>
  <si>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</si>
  <si>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</si>
  <si>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</si>
  <si>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</si>
  <si>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</si>
  <si>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</si>
  <si>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</si>
  <si>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</si>
  <si>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</si>
  <si>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</si>
  <si>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</si>
  <si>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</si>
  <si>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</si>
  <si>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</si>
  <si>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</si>
  <si>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</si>
  <si>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</si>
  <si>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</si>
  <si>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</si>
  <si>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</si>
  <si>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</si>
  <si>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</si>
  <si>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</si>
  <si>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</si>
  <si>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</si>
  <si>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</si>
  <si>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</si>
  <si>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</si>
  <si>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</si>
  <si>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</si>
  <si>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</si>
  <si>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</si>
  <si>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</si>
  <si>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</si>
  <si>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</si>
  <si>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</si>
  <si>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</si>
  <si>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</si>
  <si>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</si>
  <si>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</si>
  <si>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</si>
  <si>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</si>
  <si>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</si>
  <si>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Fuel consumption in coaches|Motor Diesel|Total|Existing ICE diesel coaches</t>
  </si>
  <si>
    <t>Coaches mileage|Motor Diesel|Total|Existing ICE diesel coaches</t>
  </si>
  <si>
    <t>Coaches efficiency|Motor Diesel|Total|Existing ICE diesel coaches</t>
  </si>
  <si>
    <t>Fuel consumption in coaches|Motor Gas|Total|Existing ICE Gas coaches</t>
  </si>
  <si>
    <t>Coaches mileage|Motor Gas|Total|Existing ICE Gas coaches</t>
  </si>
  <si>
    <t>Coaches efficiency|Motor Gas|Total|Existing ICE Gas coaches</t>
  </si>
  <si>
    <t>Light duty vehicles stock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</si>
  <si>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</si>
  <si>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</si>
  <si>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</si>
  <si>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</si>
  <si>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</si>
  <si>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</si>
  <si>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</si>
  <si>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</si>
  <si>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</si>
  <si>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Stock of light duty vehicles per engine type</t>
  </si>
  <si>
    <t>Stock of trucks (heavy duty vehicles) per engine type</t>
  </si>
  <si>
    <t>Heavy duty vehicles stock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</si>
  <si>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</si>
  <si>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</si>
  <si>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</si>
  <si>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</si>
  <si>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</si>
  <si>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</si>
  <si>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</si>
  <si>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</si>
  <si>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</si>
  <si>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</si>
  <si>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</si>
  <si>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</si>
  <si>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</si>
  <si>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</si>
  <si>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</si>
  <si>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</si>
  <si>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</si>
  <si>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</si>
  <si>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</si>
  <si>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</si>
  <si>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GW-H2/yr.</t>
  </si>
  <si>
    <t>Domestic hydrogen producton capacity by technology</t>
  </si>
  <si>
    <t>GW-output/yr.</t>
  </si>
  <si>
    <t>Other fuel synthesis capacity|Domestic biogas production|Wastes|Renewable|Gasification</t>
  </si>
  <si>
    <t>Other fuel synthesis capacity</t>
  </si>
  <si>
    <t>Production capacity for synthetic fuels (biogenic or e-fuels) in terms of output product</t>
  </si>
  <si>
    <t>Other fuel synthesis capacity|Domestic PtG and PtL production|PtL|PtL Gasoline</t>
  </si>
  <si>
    <t>Other fuel synthesis capacity|Domestic biogas production|Manure|Fermentation</t>
  </si>
  <si>
    <t>Other fuel synthesis capacity|Domestic biodiesel production|Wood|Fischer Tropsch</t>
  </si>
  <si>
    <t>Other fuel synthesis capacity|Domestic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</si>
  <si>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</si>
  <si>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</si>
  <si>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</si>
  <si>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</si>
  <si>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</si>
  <si>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</si>
  <si>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</si>
  <si>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</si>
  <si>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</si>
  <si>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</si>
  <si>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</si>
  <si>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</si>
  <si>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</si>
  <si>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</si>
  <si>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</si>
  <si>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</si>
  <si>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</si>
  <si>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</si>
  <si>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</si>
  <si>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</si>
  <si>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</si>
  <si>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</si>
  <si>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</si>
  <si>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</si>
  <si>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</si>
  <si>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</si>
  <si>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</si>
  <si>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</si>
  <si>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</si>
  <si>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</si>
  <si>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</si>
  <si>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</si>
  <si>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</si>
  <si>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</si>
  <si>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</si>
  <si>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</si>
  <si>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</si>
  <si>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</si>
  <si>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</si>
  <si>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</si>
  <si>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</si>
  <si>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</si>
  <si>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</si>
  <si>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</si>
  <si>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</si>
  <si>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</si>
  <si>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</si>
  <si>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</si>
  <si>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</si>
  <si>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</si>
  <si>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</si>
  <si>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</si>
  <si>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</si>
  <si>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</si>
  <si>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</si>
  <si>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</si>
  <si>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</si>
  <si>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</si>
  <si>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</si>
  <si>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</si>
  <si>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</si>
  <si>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</si>
  <si>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</si>
  <si>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</si>
  <si>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</si>
  <si>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</si>
  <si>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</si>
  <si>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</si>
  <si>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</si>
  <si>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</si>
  <si>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</si>
  <si>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</si>
  <si>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</si>
  <si>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</si>
  <si>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</si>
  <si>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</si>
  <si>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</si>
  <si>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</si>
  <si>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</si>
  <si>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 additions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</si>
  <si>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</si>
  <si>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</si>
  <si>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</si>
  <si>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</si>
  <si>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</si>
  <si>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</si>
  <si>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</si>
  <si>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</si>
  <si>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</si>
  <si>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</si>
  <si>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</si>
  <si>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</si>
  <si>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</si>
  <si>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</si>
  <si>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</si>
  <si>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</si>
  <si>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</si>
  <si>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</si>
  <si>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</si>
  <si>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</si>
  <si>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</si>
  <si>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</si>
  <si>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</si>
  <si>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</si>
  <si>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</si>
  <si>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</si>
  <si>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</si>
  <si>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</si>
  <si>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</si>
  <si>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</si>
  <si>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</si>
  <si>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</si>
  <si>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</si>
  <si>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</si>
  <si>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</si>
  <si>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</si>
  <si>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</si>
  <si>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</si>
  <si>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</si>
  <si>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</si>
  <si>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</si>
  <si>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</si>
  <si>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</si>
  <si>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</si>
  <si>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</si>
  <si>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</si>
  <si>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</si>
  <si>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</si>
  <si>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</si>
  <si>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</si>
  <si>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</si>
  <si>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</si>
  <si>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</si>
  <si>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</si>
  <si>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</si>
  <si>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</si>
  <si>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</si>
  <si>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</si>
  <si>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</si>
  <si>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</si>
  <si>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</si>
  <si>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</si>
  <si>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</si>
  <si>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</si>
  <si>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</si>
  <si>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</si>
  <si>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</si>
  <si>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</si>
  <si>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</si>
  <si>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</si>
  <si>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</si>
  <si>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</si>
  <si>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</si>
  <si>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</si>
  <si>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>Coaches stock additions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</si>
  <si>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</si>
  <si>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</si>
  <si>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</si>
  <si>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</si>
  <si>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</si>
  <si>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</si>
  <si>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</si>
  <si>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</si>
  <si>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</si>
  <si>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</si>
  <si>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</si>
  <si>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</si>
  <si>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</si>
  <si>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</si>
  <si>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</si>
  <si>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</si>
  <si>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</si>
  <si>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</si>
  <si>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</si>
  <si>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</si>
  <si>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</si>
  <si>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</si>
  <si>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</si>
  <si>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</si>
  <si>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</si>
  <si>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</si>
  <si>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</si>
  <si>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</si>
  <si>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</si>
  <si>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</si>
  <si>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</si>
  <si>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</si>
  <si>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</si>
  <si>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</si>
  <si>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</si>
  <si>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</si>
  <si>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</si>
  <si>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</si>
  <si>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</si>
  <si>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</si>
  <si>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</si>
  <si>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</si>
  <si>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</si>
  <si>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New car registrations - the number in a year is cummulative registrations for the period represented under this year</t>
  </si>
  <si>
    <t>New urban buses registrations - the number in a year is cummulative registrations for the period represented under this year</t>
  </si>
  <si>
    <t>New coaches registrations - the number in a year is cummulative registrations for the period represented under this year</t>
  </si>
  <si>
    <t>New light duty vehicle registrations - the number in a year is cummulative registrations for the period represented under this year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</si>
  <si>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</si>
  <si>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</si>
  <si>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</si>
  <si>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</si>
  <si>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</si>
  <si>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</si>
  <si>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</si>
  <si>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</si>
  <si>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</si>
  <si>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</si>
  <si>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</si>
  <si>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</si>
  <si>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</si>
  <si>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</si>
  <si>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</si>
  <si>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</si>
  <si>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</si>
  <si>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</si>
  <si>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</si>
  <si>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</si>
  <si>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</si>
  <si>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</si>
  <si>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</si>
  <si>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</si>
  <si>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</si>
  <si>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</si>
  <si>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</si>
  <si>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</si>
  <si>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</si>
  <si>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</si>
  <si>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</si>
  <si>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</si>
  <si>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</si>
  <si>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</si>
  <si>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</si>
  <si>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</si>
  <si>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</si>
  <si>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</si>
  <si>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</si>
  <si>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</si>
  <si>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</si>
  <si>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</si>
  <si>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</si>
  <si>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</si>
  <si>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</si>
  <si>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</si>
  <si>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</si>
  <si>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</si>
  <si>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</si>
  <si>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</si>
  <si>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</si>
  <si>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</si>
  <si>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</si>
  <si>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</si>
  <si>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</si>
  <si>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</si>
  <si>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</si>
  <si>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</si>
  <si>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</si>
  <si>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</si>
  <si>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</si>
  <si>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</si>
  <si>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</si>
  <si>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</si>
  <si>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</si>
  <si>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</si>
  <si>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</si>
  <si>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</si>
  <si>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</si>
  <si>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</si>
  <si>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</si>
  <si>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</si>
  <si>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</si>
  <si>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</si>
  <si>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</si>
  <si>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</si>
  <si>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</si>
  <si>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</si>
  <si>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</si>
  <si>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</si>
  <si>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</si>
  <si>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Newly installed capacity  - the capacity additions are reported for the whole period represented under the milestone year</t>
  </si>
  <si>
    <t>Domestic hydrogen production capacity additions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</si>
  <si>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</si>
  <si>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</si>
  <si>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</si>
  <si>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</si>
  <si>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</si>
  <si>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</si>
  <si>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</si>
  <si>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</si>
  <si>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</si>
  <si>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</si>
  <si>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</si>
  <si>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</si>
  <si>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</si>
  <si>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</si>
  <si>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</si>
  <si>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</si>
  <si>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</si>
  <si>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</si>
  <si>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</si>
  <si>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</si>
  <si>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</si>
  <si>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</si>
  <si>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</si>
  <si>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</si>
  <si>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</si>
  <si>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</si>
  <si>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</si>
  <si>
    <t>Imports|Oil|Synthetic liquids|Total|Kerosene</t>
  </si>
  <si>
    <t>Imports|Oil|Synthetic liquids|PtL|Total</t>
  </si>
  <si>
    <t>Imports|Oil|Synthetic liquids|Bioliquids|Biokerosene</t>
  </si>
  <si>
    <t>Fuel consumption in other transport|Jet Fuels|Fossil liquids|Kerosene</t>
  </si>
  <si>
    <t>Fuel consumption in other transport|Jet Fuels|Synthetic liquids|Bioliquids|Biokerosene</t>
  </si>
  <si>
    <t>Fuel consumption in other transport|Jet Fuels|Synthetic liquids|PtL|PtL 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</si>
</sst>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(* #,##0.00_);_(* \(#,##0.00\);_(* &quot;-&quot;??_);_(@_)"/>
    <numFmt numFmtId="164" formatCode="0.0"/>
    <numFmt numFmtId="165" formatCode="0.000"/>
    <numFmt numFmtId="166" formatCode="_-[$€-2]* #,##0.00_-;\-[$€-2]* #,##0.00_-;_-[$€-2]* &quot;-&quot;??_-"/>
    <numFmt numFmtId="167" formatCode="_-* #,##0.00_-;\-* #,##0.00_-;_-* &quot;-&quot;??_-;_-@_-"/>
  </numFmts>
  <fonts count="5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67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10" fillId="22" borderId="11" applyNumberFormat="0" applyFont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22" borderId="11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3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5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9" fontId="0" fillId="0" borderId="0" xfId="1" applyFont="1"/>
    <xf numFmtId="0" fontId="4" fillId="0" borderId="0" xfId="0" applyFont="1"/>
    <xf numFmtId="164" fontId="4" fillId="0" borderId="0" xfId="0" quotePrefix="1" applyNumberFormat="1" applyFont="1"/>
    <xf numFmtId="2" fontId="0" fillId="0" borderId="0" xfId="0" applyNumberFormat="1"/>
    <xf numFmtId="165" fontId="0" fillId="0" borderId="0" xfId="0" applyNumberFormat="1"/>
    <xf numFmtId="0" fontId="5" fillId="0" borderId="0" xfId="0" applyFont="1"/>
    <xf numFmtId="164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4" fontId="1" fillId="0" borderId="0" xfId="1" applyNumberFormat="1" applyFont="1"/>
    <xf numFmtId="164" fontId="2" fillId="0" borderId="0" xfId="1" applyNumberFormat="1" applyFont="1"/>
    <xf numFmtId="0" fontId="0" fillId="0" borderId="0" xfId="0" quotePrefix="1"/>
    <xf numFmtId="164" fontId="0" fillId="0" borderId="0" xfId="0" quotePrefix="1" applyNumberFormat="1"/>
    <xf numFmtId="164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5"/>
      <tableStyleElement type="headerRow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5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_2050"/>
      <sheetName val="Elc_Dispatch_2070"/>
      <sheetName val="Elc_Dispatch_Seasonal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Nuclear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2045</v>
          </cell>
          <cell r="L3" t="str">
            <v>2050</v>
          </cell>
          <cell r="M3" t="str">
            <v>2055</v>
          </cell>
          <cell r="N3" t="str">
            <v>2060</v>
          </cell>
          <cell r="O3" t="str">
            <v>2065</v>
          </cell>
          <cell r="P3" t="str">
            <v>2070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G4">
            <v>5.121408597620441E-3</v>
          </cell>
          <cell r="H4">
            <v>0.36638279505587656</v>
          </cell>
          <cell r="I4">
            <v>0.40152405190678525</v>
          </cell>
          <cell r="J4">
            <v>0.88656145214786231</v>
          </cell>
          <cell r="K4">
            <v>4.5440231764617183</v>
          </cell>
          <cell r="L4">
            <v>2.704304540503605</v>
          </cell>
          <cell r="M4">
            <v>5.8059700277984874</v>
          </cell>
          <cell r="N4">
            <v>5.9639958083736122</v>
          </cell>
          <cell r="O4">
            <v>5.8091694215881367</v>
          </cell>
          <cell r="P4">
            <v>5.8906909882882967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G5">
            <v>1.2980320979244268E-3</v>
          </cell>
          <cell r="H5">
            <v>0.29891127192881761</v>
          </cell>
          <cell r="I5">
            <v>0.24815244815954221</v>
          </cell>
          <cell r="J5">
            <v>0.25584866115991312</v>
          </cell>
          <cell r="K5">
            <v>1.3550227911073882</v>
          </cell>
          <cell r="L5">
            <v>0.75013896779699907</v>
          </cell>
          <cell r="M5">
            <v>1.4609578822654068</v>
          </cell>
          <cell r="N5">
            <v>1.4538067893194591</v>
          </cell>
          <cell r="O5">
            <v>1.1437261745338356</v>
          </cell>
          <cell r="P5">
            <v>1.0286413011096962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G6">
            <v>6.9399926288272573E-4</v>
          </cell>
          <cell r="H6">
            <v>1.6504377821824082E-2</v>
          </cell>
          <cell r="I6">
            <v>3.3403617760583315E-2</v>
          </cell>
          <cell r="J6">
            <v>0.13555968839725238</v>
          </cell>
          <cell r="K6">
            <v>0.73275043056776723</v>
          </cell>
          <cell r="L6">
            <v>0.4386820494589449</v>
          </cell>
          <cell r="M6">
            <v>1.0249587674835066</v>
          </cell>
          <cell r="N6">
            <v>1.0218482376281164</v>
          </cell>
          <cell r="O6">
            <v>1.0266245903615983</v>
          </cell>
          <cell r="P6">
            <v>1.0675441069768381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G7">
            <v>3.7743664536102789E-4</v>
          </cell>
          <cell r="H7">
            <v>6.2736881927102906E-4</v>
          </cell>
          <cell r="I7">
            <v>7.8025113576062576E-4</v>
          </cell>
          <cell r="J7">
            <v>7.2159560239944587E-4</v>
          </cell>
          <cell r="K7">
            <v>1.0064459425432009E-3</v>
          </cell>
          <cell r="L7">
            <v>1.2130472120173378E-3</v>
          </cell>
          <cell r="M7">
            <v>1.9152021056373953E-3</v>
          </cell>
          <cell r="N7">
            <v>1.9533210517276253E-3</v>
          </cell>
          <cell r="O7">
            <v>2.0449406115322301E-3</v>
          </cell>
          <cell r="P7">
            <v>2.3497967124279161E-3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G8">
            <v>7.0716503631044602E-4</v>
          </cell>
          <cell r="H8">
            <v>1.7875670973615213E-2</v>
          </cell>
          <cell r="I8">
            <v>3.4348433723395043E-2</v>
          </cell>
          <cell r="J8">
            <v>0.13824073746238555</v>
          </cell>
          <cell r="K8">
            <v>0.78577164505042818</v>
          </cell>
          <cell r="L8">
            <v>0.47469197909204303</v>
          </cell>
          <cell r="M8">
            <v>1.1230310788470661</v>
          </cell>
          <cell r="N8">
            <v>1.1174892516829245</v>
          </cell>
          <cell r="O8">
            <v>1.1063717856434501</v>
          </cell>
          <cell r="P8">
            <v>1.1591783931379482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G9">
            <v>7.0531289235039869E-4</v>
          </cell>
          <cell r="H9">
            <v>1.5095062984393197E-2</v>
          </cell>
          <cell r="I9">
            <v>2.5175007898974092E-2</v>
          </cell>
          <cell r="J9">
            <v>0.1446882860622809</v>
          </cell>
          <cell r="K9">
            <v>0.7751414957468834</v>
          </cell>
          <cell r="L9">
            <v>0.46926093417008086</v>
          </cell>
          <cell r="M9">
            <v>0.98783489869653307</v>
          </cell>
          <cell r="N9">
            <v>1.0534319839000013</v>
          </cell>
          <cell r="O9">
            <v>1.0580951766306179</v>
          </cell>
          <cell r="P9">
            <v>1.0808576966445151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G10">
            <v>6.4554759556763438E-4</v>
          </cell>
          <cell r="H10">
            <v>8.8732149791779559E-4</v>
          </cell>
          <cell r="I10">
            <v>2.6394044275452513E-2</v>
          </cell>
          <cell r="J10">
            <v>7.6016142500362094E-2</v>
          </cell>
          <cell r="K10">
            <v>0.16202728080416956</v>
          </cell>
          <cell r="L10">
            <v>0.13201183894777044</v>
          </cell>
          <cell r="M10">
            <v>0.18361772163207493</v>
          </cell>
          <cell r="N10">
            <v>0.29497137754127628</v>
          </cell>
          <cell r="O10">
            <v>0.446631219670444</v>
          </cell>
          <cell r="P10">
            <v>0.48660935642428543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G11">
            <v>6.9391506722378397E-4</v>
          </cell>
          <cell r="H11">
            <v>1.6481721030037172E-2</v>
          </cell>
          <cell r="I11">
            <v>3.3270248953077522E-2</v>
          </cell>
          <cell r="J11">
            <v>0.13548634096326873</v>
          </cell>
          <cell r="K11">
            <v>0.73230308724254067</v>
          </cell>
          <cell r="L11">
            <v>0.43830572382574878</v>
          </cell>
          <cell r="M11">
            <v>1.0236544767682609</v>
          </cell>
          <cell r="N11">
            <v>1.0204948472501045</v>
          </cell>
          <cell r="O11">
            <v>1.0256755341366592</v>
          </cell>
          <cell r="P11">
            <v>1.0655103372825854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F12">
            <v>1.7245186773913193E-2</v>
          </cell>
          <cell r="G12">
            <v>2.0430603791396634E-2</v>
          </cell>
          <cell r="H12">
            <v>2.0480205622736978E-2</v>
          </cell>
          <cell r="I12">
            <v>4.9937616954299949E-2</v>
          </cell>
          <cell r="J12">
            <v>5.2054412424322537E-2</v>
          </cell>
          <cell r="K12">
            <v>2.2572518939285939</v>
          </cell>
          <cell r="L12">
            <v>2.7090003964990848</v>
          </cell>
          <cell r="M12">
            <v>2.7089994383665092</v>
          </cell>
          <cell r="N12">
            <v>2.7089994883331214</v>
          </cell>
          <cell r="O12">
            <v>2.709000497004634</v>
          </cell>
          <cell r="P12">
            <v>2.7089985728650143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F13">
            <v>1.7245186773913193E-2</v>
          </cell>
          <cell r="G13">
            <v>2.0430603791396634E-2</v>
          </cell>
          <cell r="H13">
            <v>2.0480205622736978E-2</v>
          </cell>
          <cell r="I13">
            <v>4.9937616954299949E-2</v>
          </cell>
          <cell r="J13">
            <v>5.2054412424322537E-2</v>
          </cell>
          <cell r="K13">
            <v>2.2572518939285939</v>
          </cell>
          <cell r="L13">
            <v>2.7090003964990848</v>
          </cell>
          <cell r="M13">
            <v>2.7089994383665092</v>
          </cell>
          <cell r="N13">
            <v>2.7089994883331214</v>
          </cell>
          <cell r="O13">
            <v>2.709000497004634</v>
          </cell>
          <cell r="P13">
            <v>2.7089985728650143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F14">
            <v>2.1919434346239701E-3</v>
          </cell>
          <cell r="G14">
            <v>3.2547646464871501E-3</v>
          </cell>
          <cell r="H14">
            <v>5.45008323241821E-5</v>
          </cell>
          <cell r="I14">
            <v>0.30683976715464101</v>
          </cell>
          <cell r="J14">
            <v>1.5813881848891001E-3</v>
          </cell>
          <cell r="K14">
            <v>8.9478251061928503E-7</v>
          </cell>
          <cell r="L14">
            <v>5.8481680275398797E-6</v>
          </cell>
          <cell r="M14">
            <v>2.1636368905478699E-6</v>
          </cell>
          <cell r="N14">
            <v>1.0749448492575201E-5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F15">
            <v>2.1919434346239701E-3</v>
          </cell>
          <cell r="G15">
            <v>2.1919434346239701E-3</v>
          </cell>
          <cell r="H15">
            <v>2.1919434346239701E-3</v>
          </cell>
          <cell r="I15">
            <v>5.4598328557868402E-3</v>
          </cell>
          <cell r="J15">
            <v>5.5012089134353096E-3</v>
          </cell>
          <cell r="K15">
            <v>0.25824049264918703</v>
          </cell>
          <cell r="L15">
            <v>0.31392236425296499</v>
          </cell>
          <cell r="M15">
            <v>0.313923121548494</v>
          </cell>
          <cell r="N15">
            <v>0.313929628245944</v>
          </cell>
          <cell r="O15">
            <v>0.31393127084039402</v>
          </cell>
          <cell r="P15">
            <v>0.31394202028888601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E16">
            <v>3.2683080692501796</v>
          </cell>
          <cell r="F16">
            <v>3.8321176236617802</v>
          </cell>
          <cell r="G16">
            <v>3.7298277615648723</v>
          </cell>
          <cell r="H16">
            <v>3.8878598779635882</v>
          </cell>
          <cell r="I16">
            <v>4.0265065783331444</v>
          </cell>
          <cell r="J16">
            <v>4.1391144440324981</v>
          </cell>
          <cell r="K16">
            <v>4.2309798113268737</v>
          </cell>
          <cell r="L16">
            <v>4.315971227808479</v>
          </cell>
          <cell r="M16">
            <v>4.3784663671889188</v>
          </cell>
          <cell r="N16">
            <v>4.4499220800904276</v>
          </cell>
          <cell r="O16">
            <v>4.4499441985276764</v>
          </cell>
          <cell r="P16">
            <v>4.4500749271781466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E17">
            <v>3.2683080692501796</v>
          </cell>
          <cell r="F17">
            <v>3.8321176236617802</v>
          </cell>
          <cell r="G17">
            <v>3.7298277615648723</v>
          </cell>
          <cell r="H17">
            <v>3.8878598779635882</v>
          </cell>
          <cell r="I17">
            <v>4.0265065783331444</v>
          </cell>
          <cell r="J17">
            <v>4.1391144440324981</v>
          </cell>
          <cell r="K17">
            <v>4.2309798113268737</v>
          </cell>
          <cell r="L17">
            <v>4.315971227808479</v>
          </cell>
          <cell r="M17">
            <v>4.3784663671889188</v>
          </cell>
          <cell r="N17">
            <v>4.4499220800904276</v>
          </cell>
          <cell r="O17">
            <v>4.4499441985276764</v>
          </cell>
          <cell r="P17">
            <v>4.4500749271781466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E18">
            <v>0.67001684255090865</v>
          </cell>
          <cell r="F18">
            <v>8.7495518340792902E-2</v>
          </cell>
          <cell r="G18">
            <v>5.7993203522707246E-2</v>
          </cell>
          <cell r="H18">
            <v>7.9500090601235515E-2</v>
          </cell>
          <cell r="I18">
            <v>0.37850024734112181</v>
          </cell>
          <cell r="J18">
            <v>0.34920131357912637</v>
          </cell>
          <cell r="K18">
            <v>0.11083509762371957</v>
          </cell>
          <cell r="L18">
            <v>0.34073655659359986</v>
          </cell>
          <cell r="M18">
            <v>0.41985784906940149</v>
          </cell>
          <cell r="N18">
            <v>0.40118960602925774</v>
          </cell>
          <cell r="O18">
            <v>0.42186263315171951</v>
          </cell>
          <cell r="P18">
            <v>0.42195667442503498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E19">
            <v>2.0851870742345961</v>
          </cell>
          <cell r="F19">
            <v>0.25497838627874575</v>
          </cell>
          <cell r="G19">
            <v>0.15178317496656182</v>
          </cell>
          <cell r="H19">
            <v>0.16872898003725248</v>
          </cell>
          <cell r="I19">
            <v>0.61600589471837353</v>
          </cell>
          <cell r="J19">
            <v>0.39550823522249395</v>
          </cell>
          <cell r="K19">
            <v>0.12401733949957189</v>
          </cell>
          <cell r="L19">
            <v>0.37660356255082211</v>
          </cell>
          <cell r="M19">
            <v>0.46405341212933976</v>
          </cell>
          <cell r="N19">
            <v>0.4434200908744439</v>
          </cell>
          <cell r="O19">
            <v>0.46626922611506011</v>
          </cell>
          <cell r="P19">
            <v>0.46637316646977767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E20">
            <v>109.6287379215</v>
          </cell>
          <cell r="F20">
            <v>14.0711466597794</v>
          </cell>
          <cell r="G20">
            <v>9.4875086431289404</v>
          </cell>
          <cell r="H20">
            <v>12.492737062155401</v>
          </cell>
          <cell r="I20">
            <v>59.5997233262582</v>
          </cell>
          <cell r="J20">
            <v>55.146421453652501</v>
          </cell>
          <cell r="K20">
            <v>17.6769883348022</v>
          </cell>
          <cell r="L20">
            <v>53.601575785115898</v>
          </cell>
          <cell r="M20">
            <v>66.273022580551697</v>
          </cell>
          <cell r="N20">
            <v>63.072645622420097</v>
          </cell>
          <cell r="O20">
            <v>66.706665887995797</v>
          </cell>
          <cell r="P20">
            <v>67.229038078958595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E21">
            <v>1.9437719489627656</v>
          </cell>
          <cell r="F21">
            <v>0.24948841595353544</v>
          </cell>
          <cell r="G21">
            <v>0.1682182383533497</v>
          </cell>
          <cell r="H21">
            <v>0.22150243018006002</v>
          </cell>
          <cell r="I21">
            <v>1.0567326830896833</v>
          </cell>
          <cell r="J21">
            <v>0.97777343002930095</v>
          </cell>
          <cell r="K21">
            <v>0.31342177898585338</v>
          </cell>
          <cell r="L21">
            <v>0.9503825493814867</v>
          </cell>
          <cell r="M21">
            <v>1.1750535918537532</v>
          </cell>
          <cell r="N21">
            <v>1.1183093195464546</v>
          </cell>
          <cell r="O21">
            <v>1.182742302978649</v>
          </cell>
          <cell r="P21">
            <v>1.1920042212581299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F22">
            <v>2.3819755259836402E-6</v>
          </cell>
          <cell r="G22">
            <v>5.2868094791549097E-5</v>
          </cell>
          <cell r="H22">
            <v>5.8569897573825603E-3</v>
          </cell>
          <cell r="I22">
            <v>4.5682946387180998E-2</v>
          </cell>
          <cell r="J22">
            <v>6.8203340213843804E-6</v>
          </cell>
          <cell r="K22">
            <v>1.4639959816450801E-5</v>
          </cell>
          <cell r="L22">
            <v>2.35653942042288E-2</v>
          </cell>
          <cell r="M22">
            <v>2.4757635395406399E-2</v>
          </cell>
          <cell r="N22">
            <v>2.7119980189222702E-3</v>
          </cell>
          <cell r="O22">
            <v>1.4841500793031001E-2</v>
          </cell>
          <cell r="P22">
            <v>2.5477897425873901E-2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E23">
            <v>2.8086122082622803E-2</v>
          </cell>
          <cell r="F23">
            <v>2.0773721644841384E-2</v>
          </cell>
          <cell r="G23">
            <v>1.3783899206956933E-2</v>
          </cell>
          <cell r="H23">
            <v>1.0077307900467788E-2</v>
          </cell>
          <cell r="I23">
            <v>5.1587650105551219E-2</v>
          </cell>
          <cell r="J23">
            <v>5.1584020693588847E-2</v>
          </cell>
          <cell r="K23">
            <v>2.6336139385200203E-2</v>
          </cell>
          <cell r="L23">
            <v>4.9879978028414901E-2</v>
          </cell>
          <cell r="M23">
            <v>5.6317296832638801E-2</v>
          </cell>
          <cell r="N23">
            <v>5.1034799538890216E-2</v>
          </cell>
          <cell r="O23">
            <v>6.5864668189867207E-2</v>
          </cell>
          <cell r="P23">
            <v>6.7773941193434703E-2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E24">
            <v>6.7991262949183513</v>
          </cell>
          <cell r="F24">
            <v>1.7672304226866026E-3</v>
          </cell>
          <cell r="G24">
            <v>1.6124885778786078E-3</v>
          </cell>
          <cell r="H24">
            <v>8.6116725398142197E-4</v>
          </cell>
          <cell r="I24">
            <v>1.1172541259997213E-3</v>
          </cell>
          <cell r="J24">
            <v>1.0356937422593311E-3</v>
          </cell>
          <cell r="K24">
            <v>8.373520431984616E-4</v>
          </cell>
          <cell r="L24">
            <v>8.4234415944920555E-4</v>
          </cell>
          <cell r="M24">
            <v>7.864214255345897E-4</v>
          </cell>
          <cell r="N24">
            <v>9.4447049211957132E-4</v>
          </cell>
          <cell r="O24">
            <v>8.799762248519014E-4</v>
          </cell>
          <cell r="P24">
            <v>1.5479286890121686E-3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E25">
            <v>6.7991262949183513</v>
          </cell>
          <cell r="F25">
            <v>1.7672304226866026E-3</v>
          </cell>
          <cell r="G25">
            <v>1.6124885778786078E-3</v>
          </cell>
          <cell r="H25">
            <v>8.6116725398142197E-4</v>
          </cell>
          <cell r="I25">
            <v>1.1172541259997213E-3</v>
          </cell>
          <cell r="J25">
            <v>1.0356937422593311E-3</v>
          </cell>
          <cell r="K25">
            <v>8.373520431984616E-4</v>
          </cell>
          <cell r="L25">
            <v>8.4234415944920555E-4</v>
          </cell>
          <cell r="M25">
            <v>7.864214255345897E-4</v>
          </cell>
          <cell r="N25">
            <v>9.4447049211957132E-4</v>
          </cell>
          <cell r="O25">
            <v>8.799762248519014E-4</v>
          </cell>
          <cell r="P25">
            <v>1.5479286890121686E-3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E26">
            <v>1.5302130409374099E-5</v>
          </cell>
          <cell r="F26">
            <v>1.2566178114588901E-5</v>
          </cell>
          <cell r="G26">
            <v>1.46773885338253E-5</v>
          </cell>
          <cell r="H26">
            <v>1.1750714687805801E-5</v>
          </cell>
          <cell r="I26">
            <v>1.03942333717918E-5</v>
          </cell>
          <cell r="J26">
            <v>1.18160338015914E-5</v>
          </cell>
          <cell r="K26">
            <v>1.05130112760509E-5</v>
          </cell>
          <cell r="L26">
            <v>7.6178981088799604E-6</v>
          </cell>
          <cell r="M26">
            <v>1.19513982596763E-5</v>
          </cell>
          <cell r="N26">
            <v>1.27768325617809E-3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E27">
            <v>1.464006385001638</v>
          </cell>
          <cell r="F27">
            <v>1.9191869879000567E-3</v>
          </cell>
          <cell r="G27">
            <v>1.882693111189937E-3</v>
          </cell>
          <cell r="H27">
            <v>1.8609373250229044E-3</v>
          </cell>
          <cell r="I27">
            <v>1.8752952063694206E-3</v>
          </cell>
          <cell r="J27">
            <v>1.8723159142255419E-3</v>
          </cell>
          <cell r="K27">
            <v>1.8730093866761166E-3</v>
          </cell>
          <cell r="L27">
            <v>1.8727078435589739E-3</v>
          </cell>
          <cell r="M27">
            <v>1.8702758451514256E-3</v>
          </cell>
          <cell r="N27">
            <v>1.8704573345469377E-3</v>
          </cell>
          <cell r="O27">
            <v>1.8640546163937177E-3</v>
          </cell>
          <cell r="P27">
            <v>3.1270391818016829E-3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E28">
            <v>3.9294645417278229E-3</v>
          </cell>
          <cell r="F28">
            <v>3.9344353967231396E-3</v>
          </cell>
          <cell r="G28">
            <v>3.9912394271254831E-3</v>
          </cell>
          <cell r="H28">
            <v>7.3832380783928897E-2</v>
          </cell>
          <cell r="I28">
            <v>0.10705783148389064</v>
          </cell>
          <cell r="J28">
            <v>0.17274077891856082</v>
          </cell>
          <cell r="K28">
            <v>0.21074307799828149</v>
          </cell>
          <cell r="L28">
            <v>0.17552612431733483</v>
          </cell>
          <cell r="M28">
            <v>0.20301008895384298</v>
          </cell>
          <cell r="N28">
            <v>0.20959102198320229</v>
          </cell>
          <cell r="O28">
            <v>0.21565185162985562</v>
          </cell>
          <cell r="P28">
            <v>0.23688072576668157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E29">
            <v>3.9294645417278203E-3</v>
          </cell>
          <cell r="F29">
            <v>3.9344353967231353E-3</v>
          </cell>
          <cell r="G29">
            <v>3.9912394271254805E-3</v>
          </cell>
          <cell r="H29">
            <v>7.3832380783928828E-2</v>
          </cell>
          <cell r="I29">
            <v>0.10705783148389054</v>
          </cell>
          <cell r="J29">
            <v>0.17274077891856057</v>
          </cell>
          <cell r="K29">
            <v>0.21074307799828138</v>
          </cell>
          <cell r="L29">
            <v>0.17552612431733466</v>
          </cell>
          <cell r="M29">
            <v>0.20301008895384282</v>
          </cell>
          <cell r="N29">
            <v>0.20959102198320223</v>
          </cell>
          <cell r="O29">
            <v>0.21565185162985537</v>
          </cell>
          <cell r="P29">
            <v>0.23688072576668134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E30">
            <v>4.3549304979243197E-3</v>
          </cell>
          <cell r="F30">
            <v>4.3604275914630305E-3</v>
          </cell>
          <cell r="G30">
            <v>4.4212392443678103E-3</v>
          </cell>
          <cell r="H30">
            <v>8.1656098808583821E-2</v>
          </cell>
          <cell r="I30">
            <v>0.11839895508092489</v>
          </cell>
          <cell r="J30">
            <v>0.19103541437020791</v>
          </cell>
          <cell r="K30">
            <v>0.23306081910328214</v>
          </cell>
          <cell r="L30">
            <v>0.19411568455874401</v>
          </cell>
          <cell r="M30">
            <v>0.22450917874838505</v>
          </cell>
          <cell r="N30">
            <v>0.2317868009127669</v>
          </cell>
          <cell r="O30">
            <v>0.23848925905575008</v>
          </cell>
          <cell r="P30">
            <v>0.26196646053036909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E31">
            <v>4.3549304979243197E-3</v>
          </cell>
          <cell r="F31">
            <v>4.3604275914630305E-3</v>
          </cell>
          <cell r="G31">
            <v>4.4212392443678103E-3</v>
          </cell>
          <cell r="H31">
            <v>8.1656098808583821E-2</v>
          </cell>
          <cell r="I31">
            <v>0.11839895508092489</v>
          </cell>
          <cell r="J31">
            <v>0.19103541437020791</v>
          </cell>
          <cell r="K31">
            <v>0.23306081910328214</v>
          </cell>
          <cell r="L31">
            <v>0.19411568455874401</v>
          </cell>
          <cell r="M31">
            <v>0.22450917874838505</v>
          </cell>
          <cell r="N31">
            <v>0.2317868009127669</v>
          </cell>
          <cell r="O31">
            <v>0.23848925905575008</v>
          </cell>
          <cell r="P31">
            <v>0.26196646053036909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E32">
            <v>1.6052779758625299E-3</v>
          </cell>
          <cell r="F32">
            <v>3.5898393456485501E-6</v>
          </cell>
          <cell r="G32">
            <v>2.6734778110064102E-5</v>
          </cell>
          <cell r="H32">
            <v>2.9111973027598E-2</v>
          </cell>
          <cell r="I32">
            <v>1.47704789369841E-2</v>
          </cell>
          <cell r="J32">
            <v>5.00986054506532E-2</v>
          </cell>
          <cell r="K32">
            <v>2.8615163987659498E-2</v>
          </cell>
          <cell r="L32">
            <v>2.9577409306403599E-2</v>
          </cell>
          <cell r="M32">
            <v>4.0715743311680999E-2</v>
          </cell>
          <cell r="N32">
            <v>3.0014664842568699E-2</v>
          </cell>
          <cell r="O32">
            <v>5.1149949102843498E-2</v>
          </cell>
          <cell r="P32">
            <v>2.5662177885738099E-2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E33">
            <v>1.6075121138104202E-3</v>
          </cell>
          <cell r="F33">
            <v>1.6103346998865705E-3</v>
          </cell>
          <cell r="G33">
            <v>1.6351318120798085E-3</v>
          </cell>
          <cell r="H33">
            <v>3.0311839734552856E-2</v>
          </cell>
          <cell r="I33">
            <v>4.3892871126408613E-2</v>
          </cell>
          <cell r="J33">
            <v>7.0976226565296591E-2</v>
          </cell>
          <cell r="K33">
            <v>8.6370180608326325E-2</v>
          </cell>
          <cell r="L33">
            <v>7.5301248031627979E-2</v>
          </cell>
          <cell r="M33">
            <v>8.3161862687422983E-2</v>
          </cell>
          <cell r="N33">
            <v>8.587892377105788E-2</v>
          </cell>
          <cell r="O33">
            <v>8.8371662841615461E-2</v>
          </cell>
          <cell r="P33">
            <v>9.7060385191978571E-2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E34">
            <v>1.7266349775140279E-5</v>
          </cell>
          <cell r="F34">
            <v>2.4152194756927098E-4</v>
          </cell>
          <cell r="G34">
            <v>0.64162398831836409</v>
          </cell>
          <cell r="H34">
            <v>6.6022442663792216E-2</v>
          </cell>
          <cell r="I34">
            <v>0.71047662415653434</v>
          </cell>
          <cell r="J34">
            <v>6.7092556370764611E-2</v>
          </cell>
          <cell r="K34">
            <v>3.2742118666831502E-4</v>
          </cell>
          <cell r="L34">
            <v>3.376530985595043E-4</v>
          </cell>
          <cell r="M34">
            <v>6.6511256964116555E-2</v>
          </cell>
          <cell r="N34">
            <v>7.7537960176736614E-2</v>
          </cell>
          <cell r="O34">
            <v>9.7030948896919378E-2</v>
          </cell>
          <cell r="P34">
            <v>0.21571674039878083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E35">
            <v>1.7266349775140242E-5</v>
          </cell>
          <cell r="F35">
            <v>2.4132469622114604E-4</v>
          </cell>
          <cell r="G35">
            <v>0.64080559037408047</v>
          </cell>
          <cell r="H35">
            <v>6.6022442663792313E-2</v>
          </cell>
          <cell r="I35">
            <v>0.70968720568525023</v>
          </cell>
          <cell r="J35">
            <v>6.7092556370764667E-2</v>
          </cell>
          <cell r="K35">
            <v>3.2710143941570933E-4</v>
          </cell>
          <cell r="L35">
            <v>3.376530985595043E-4</v>
          </cell>
          <cell r="M35">
            <v>6.6511256964116555E-2</v>
          </cell>
          <cell r="N35">
            <v>7.7537960176736628E-2</v>
          </cell>
          <cell r="O35">
            <v>9.7030948896919406E-2</v>
          </cell>
          <cell r="P35">
            <v>0.21571674039878086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E36">
            <v>2.842197604629686E-5</v>
          </cell>
          <cell r="F36">
            <v>3.0092781686880089E-4</v>
          </cell>
          <cell r="G36">
            <v>0.76384518682580527</v>
          </cell>
          <cell r="H36">
            <v>7.5894970625307825E-2</v>
          </cell>
          <cell r="I36">
            <v>0.78942557677946834</v>
          </cell>
          <cell r="J36">
            <v>7.2149639226525064E-2</v>
          </cell>
          <cell r="K36">
            <v>3.2742118666831502E-4</v>
          </cell>
          <cell r="L36">
            <v>3.376530985595043E-4</v>
          </cell>
          <cell r="M36">
            <v>6.7190193337087062E-2</v>
          </cell>
          <cell r="N36">
            <v>7.8328277390244602E-2</v>
          </cell>
          <cell r="O36">
            <v>9.8018164986806031E-2</v>
          </cell>
          <cell r="P36">
            <v>0.21790280286727179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E37">
            <v>2.842197604629686E-5</v>
          </cell>
          <cell r="F37">
            <v>3.0092781686880089E-4</v>
          </cell>
          <cell r="G37">
            <v>0.76384518682580527</v>
          </cell>
          <cell r="H37">
            <v>7.5894970625307825E-2</v>
          </cell>
          <cell r="I37">
            <v>0.78942557677946834</v>
          </cell>
          <cell r="J37">
            <v>7.2149639226525064E-2</v>
          </cell>
          <cell r="K37">
            <v>3.2742118666831502E-4</v>
          </cell>
          <cell r="L37">
            <v>3.376530985595043E-4</v>
          </cell>
          <cell r="M37">
            <v>6.7190193337087062E-2</v>
          </cell>
          <cell r="N37">
            <v>7.8328277390244602E-2</v>
          </cell>
          <cell r="O37">
            <v>9.8018164986806031E-2</v>
          </cell>
          <cell r="P37">
            <v>0.21790280286727179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E38">
            <v>9.7567564824096904E-3</v>
          </cell>
          <cell r="F38">
            <v>1.5911990334867101E-4</v>
          </cell>
          <cell r="G38">
            <v>3.08057466355387E-2</v>
          </cell>
          <cell r="H38">
            <v>7.1787625659804397E-5</v>
          </cell>
          <cell r="I38">
            <v>1.2742414034016099E-2</v>
          </cell>
          <cell r="J38">
            <v>7.4103607305280397E-4</v>
          </cell>
          <cell r="K38">
            <v>1.0534221084927001E-4</v>
          </cell>
          <cell r="L38">
            <v>6.6020451013925402E-3</v>
          </cell>
          <cell r="M38">
            <v>1.7391715483954101E-3</v>
          </cell>
          <cell r="N38">
            <v>7.6711465628440502E-3</v>
          </cell>
          <cell r="O38">
            <v>2.5379754208303801E-3</v>
          </cell>
          <cell r="P38">
            <v>1.6393885202513801E-2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E39">
            <v>9.7567564824096904E-3</v>
          </cell>
          <cell r="F39">
            <v>9.901746698576807E-3</v>
          </cell>
          <cell r="G39">
            <v>4.0673761983523016E-2</v>
          </cell>
          <cell r="H39">
            <v>3.4738830961362092E-2</v>
          </cell>
          <cell r="I39">
            <v>4.4539474276011064E-2</v>
          </cell>
          <cell r="J39">
            <v>1.9905825812914547E-2</v>
          </cell>
          <cell r="K39">
            <v>7.2821067679574207E-3</v>
          </cell>
          <cell r="L39">
            <v>7.3334655632080322E-3</v>
          </cell>
          <cell r="M39">
            <v>8.4239537404445976E-3</v>
          </cell>
          <cell r="N39">
            <v>1.5872881511317698E-2</v>
          </cell>
          <cell r="O39">
            <v>1.2362038142884684E-2</v>
          </cell>
          <cell r="P39">
            <v>2.6479601398540106E-2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G40">
            <v>2.8871798493762335E-3</v>
          </cell>
          <cell r="H40">
            <v>2.4145629862373699E-3</v>
          </cell>
          <cell r="I40">
            <v>4.1876333581791544E-3</v>
          </cell>
          <cell r="J40">
            <v>2.6857413504452043E-3</v>
          </cell>
          <cell r="K40">
            <v>2.8923497268093681E-3</v>
          </cell>
          <cell r="L40">
            <v>4.2342792295632673E-3</v>
          </cell>
          <cell r="M40">
            <v>1.7758813257430757</v>
          </cell>
          <cell r="N40">
            <v>1.0233032545492111</v>
          </cell>
          <cell r="O40">
            <v>0.74000396289505721</v>
          </cell>
          <cell r="P40">
            <v>1.5418901726967094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G41">
            <v>7.8677614293676181E-4</v>
          </cell>
          <cell r="H41">
            <v>6.976691829465424E-4</v>
          </cell>
          <cell r="I41">
            <v>1.1058084461151654E-3</v>
          </cell>
          <cell r="J41">
            <v>6.7605130778884931E-4</v>
          </cell>
          <cell r="K41">
            <v>7.5031900663095094E-4</v>
          </cell>
          <cell r="L41">
            <v>1.056255718893073E-3</v>
          </cell>
          <cell r="M41">
            <v>0.33099875481505164</v>
          </cell>
          <cell r="N41">
            <v>0.18101765459461747</v>
          </cell>
          <cell r="O41">
            <v>0.11070147165973533</v>
          </cell>
          <cell r="P41">
            <v>0.2021309827231545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G42">
            <v>3.4240725561447813E-4</v>
          </cell>
          <cell r="H42">
            <v>2.6231318183547329E-4</v>
          </cell>
          <cell r="I42">
            <v>4.555242476978592E-4</v>
          </cell>
          <cell r="J42">
            <v>3.223411848821381E-4</v>
          </cell>
          <cell r="K42">
            <v>3.18558622781465E-4</v>
          </cell>
          <cell r="L42">
            <v>4.9620636346367464E-4</v>
          </cell>
          <cell r="M42">
            <v>5.7824678827140955E-4</v>
          </cell>
          <cell r="N42">
            <v>9.9225339151660171E-4</v>
          </cell>
          <cell r="O42">
            <v>7.1852384600588166E-4</v>
          </cell>
          <cell r="P42">
            <v>1.7415696892387419E-3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G43">
            <v>2.3203032426045482E-4</v>
          </cell>
          <cell r="H43">
            <v>1.8866776027244759E-4</v>
          </cell>
          <cell r="I43">
            <v>3.1959695188103592E-4</v>
          </cell>
          <cell r="J43">
            <v>2.3944369249780101E-4</v>
          </cell>
          <cell r="K43">
            <v>2.3372463447653889E-4</v>
          </cell>
          <cell r="L43">
            <v>3.6388240023617878E-4</v>
          </cell>
          <cell r="M43">
            <v>4.1785720123402016E-4</v>
          </cell>
          <cell r="N43">
            <v>6.1774418327110471E-4</v>
          </cell>
          <cell r="O43">
            <v>4.9364146294680802E-4</v>
          </cell>
          <cell r="P43">
            <v>9.355658167069336E-4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G44">
            <v>3.4988646911594058E-4</v>
          </cell>
          <cell r="H44">
            <v>2.683905303126546E-4</v>
          </cell>
          <cell r="I44">
            <v>4.6058979339083113E-4</v>
          </cell>
          <cell r="J44">
            <v>3.2291667919575809E-4</v>
          </cell>
          <cell r="K44">
            <v>3.1918243286094278E-4</v>
          </cell>
          <cell r="L44">
            <v>4.9738267421900126E-4</v>
          </cell>
          <cell r="M44">
            <v>5.7977440875306744E-4</v>
          </cell>
          <cell r="N44">
            <v>9.9642984914112315E-4</v>
          </cell>
          <cell r="O44">
            <v>7.2084033434032522E-4</v>
          </cell>
          <cell r="P44">
            <v>1.7471463403401493E-3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G45">
            <v>4.2539323261119255E-4</v>
          </cell>
          <cell r="H45">
            <v>4.0384876073181782E-4</v>
          </cell>
          <cell r="I45">
            <v>7.3977123377055864E-4</v>
          </cell>
          <cell r="J45">
            <v>4.1558101559820008E-4</v>
          </cell>
          <cell r="K45">
            <v>4.9088151758516785E-4</v>
          </cell>
          <cell r="L45">
            <v>6.8270468876476757E-4</v>
          </cell>
          <cell r="M45">
            <v>1.1265293492545938</v>
          </cell>
          <cell r="N45">
            <v>0.58478214619061808</v>
          </cell>
          <cell r="O45">
            <v>0.40072624595496292</v>
          </cell>
          <cell r="P45">
            <v>0.90647488395781584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G46">
            <v>4.0833053815574104E-4</v>
          </cell>
          <cell r="H46">
            <v>3.3142414812248138E-4</v>
          </cell>
          <cell r="I46">
            <v>6.5071164836071841E-4</v>
          </cell>
          <cell r="J46">
            <v>3.8708563159738291E-4</v>
          </cell>
          <cell r="K46">
            <v>4.6114886677459734E-4</v>
          </cell>
          <cell r="L46">
            <v>6.417037941743749E-4</v>
          </cell>
          <cell r="M46">
            <v>0.31619914808013805</v>
          </cell>
          <cell r="N46">
            <v>0.25390490244682939</v>
          </cell>
          <cell r="O46">
            <v>0.2259247963685293</v>
          </cell>
          <cell r="P46">
            <v>0.42711889696321065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G47">
            <v>3.4235588668166599E-4</v>
          </cell>
          <cell r="H47">
            <v>2.6224942201595499E-4</v>
          </cell>
          <cell r="I47">
            <v>4.5563103696298445E-4</v>
          </cell>
          <cell r="J47">
            <v>3.223218388850757E-4</v>
          </cell>
          <cell r="K47">
            <v>3.1853464569970587E-4</v>
          </cell>
          <cell r="L47">
            <v>4.9614358981219409E-4</v>
          </cell>
          <cell r="M47">
            <v>5.7819519503431811E-4</v>
          </cell>
          <cell r="N47">
            <v>9.92123893216976E-4</v>
          </cell>
          <cell r="O47">
            <v>7.1844326853622964E-4</v>
          </cell>
          <cell r="P47">
            <v>1.7411272062426676E-3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  <cell r="J48">
            <v>7.1146500961437306E-2</v>
          </cell>
          <cell r="K48">
            <v>6.5538510035238792E-2</v>
          </cell>
          <cell r="L48">
            <v>3.3641931469621758E-2</v>
          </cell>
          <cell r="M48">
            <v>1.8782935360770441</v>
          </cell>
          <cell r="N48">
            <v>2.4453276509494684</v>
          </cell>
          <cell r="O48">
            <v>2.4824052244807224</v>
          </cell>
          <cell r="P48">
            <v>2.5461824518009979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  <cell r="J49">
            <v>7.1865152486300307E-2</v>
          </cell>
          <cell r="K49">
            <v>6.6200515187109954E-2</v>
          </cell>
          <cell r="L49">
            <v>3.3981748959213923E-2</v>
          </cell>
          <cell r="M49">
            <v>1.8972661980576184</v>
          </cell>
          <cell r="N49">
            <v>2.4700279302519887</v>
          </cell>
          <cell r="O49">
            <v>2.5074800247280047</v>
          </cell>
          <cell r="P49">
            <v>2.5719014664656514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H50">
            <v>4.00806613879453E-6</v>
          </cell>
          <cell r="I50">
            <v>9.0334583250371292E-6</v>
          </cell>
          <cell r="J50">
            <v>5.6043717952475904E-3</v>
          </cell>
          <cell r="K50">
            <v>9.7689263363174699E-5</v>
          </cell>
          <cell r="L50">
            <v>1.19551000303479E-3</v>
          </cell>
          <cell r="M50">
            <v>9.3493442319199302E-2</v>
          </cell>
          <cell r="N50">
            <v>6.9828589935103894E-2</v>
          </cell>
          <cell r="O50">
            <v>1.5520911632771299E-3</v>
          </cell>
          <cell r="P50">
            <v>3.12623601199793E-2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H51">
            <v>4.00806613879453E-6</v>
          </cell>
          <cell r="I51">
            <v>1.3041524463831701E-5</v>
          </cell>
          <cell r="J51">
            <v>5.6174133197114196E-3</v>
          </cell>
          <cell r="K51">
            <v>5.7151025830745996E-3</v>
          </cell>
          <cell r="L51">
            <v>6.9106125861093902E-3</v>
          </cell>
          <cell r="M51">
            <v>0.100404054905309</v>
          </cell>
          <cell r="N51">
            <v>0.17023264484041301</v>
          </cell>
          <cell r="O51">
            <v>0.17178346539185199</v>
          </cell>
          <cell r="P51">
            <v>0.20304308805752999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E52">
            <v>4.0839504578957181E-3</v>
          </cell>
          <cell r="F52">
            <v>4.0906781668015712E-3</v>
          </cell>
          <cell r="G52">
            <v>4.1506881649692922E-3</v>
          </cell>
          <cell r="H52">
            <v>5.7167026211056154E-2</v>
          </cell>
          <cell r="I52">
            <v>0.10709312501141494</v>
          </cell>
          <cell r="J52">
            <v>0.16206354829272118</v>
          </cell>
          <cell r="K52">
            <v>0.13745626036703892</v>
          </cell>
          <cell r="L52">
            <v>0.20269194475935742</v>
          </cell>
          <cell r="M52">
            <v>0.22333449224048296</v>
          </cell>
          <cell r="N52">
            <v>0.26319859885045505</v>
          </cell>
          <cell r="O52">
            <v>0.27323271309361413</v>
          </cell>
          <cell r="P52">
            <v>0.27682394902113294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E53">
            <v>4.0839504578957164E-3</v>
          </cell>
          <cell r="F53">
            <v>4.0906781668015643E-3</v>
          </cell>
          <cell r="G53">
            <v>4.150688164969287E-3</v>
          </cell>
          <cell r="H53">
            <v>5.716702621105612E-2</v>
          </cell>
          <cell r="I53">
            <v>0.10709312501141476</v>
          </cell>
          <cell r="J53">
            <v>0.16206354829272107</v>
          </cell>
          <cell r="K53">
            <v>0.13745626036703879</v>
          </cell>
          <cell r="L53">
            <v>0.20269194475935717</v>
          </cell>
          <cell r="M53">
            <v>0.22333449224048271</v>
          </cell>
          <cell r="N53">
            <v>0.26319859885045488</v>
          </cell>
          <cell r="O53">
            <v>0.27323271309361391</v>
          </cell>
          <cell r="P53">
            <v>0.27682394902113255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E54">
            <v>4.5257710341439382E-3</v>
          </cell>
          <cell r="F54">
            <v>4.5332109705827645E-3</v>
          </cell>
          <cell r="G54">
            <v>4.5975679903741415E-3</v>
          </cell>
          <cell r="H54">
            <v>6.3226469867557353E-2</v>
          </cell>
          <cell r="I54">
            <v>0.11843798495055369</v>
          </cell>
          <cell r="J54">
            <v>0.17922784089845645</v>
          </cell>
          <cell r="K54">
            <v>0.15201550744750669</v>
          </cell>
          <cell r="L54">
            <v>0.22415745018508848</v>
          </cell>
          <cell r="M54">
            <v>0.2469852208501413</v>
          </cell>
          <cell r="N54">
            <v>0.29106953298852128</v>
          </cell>
          <cell r="O54">
            <v>0.30216590669270188</v>
          </cell>
          <cell r="P54">
            <v>0.30613840360636596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E55">
            <v>4.5257710341439382E-3</v>
          </cell>
          <cell r="F55">
            <v>4.5332109705827645E-3</v>
          </cell>
          <cell r="G55">
            <v>4.5975679903741415E-3</v>
          </cell>
          <cell r="H55">
            <v>6.3226469867557353E-2</v>
          </cell>
          <cell r="I55">
            <v>0.11843798495055369</v>
          </cell>
          <cell r="J55">
            <v>0.17922784089845645</v>
          </cell>
          <cell r="K55">
            <v>0.15201550744750669</v>
          </cell>
          <cell r="L55">
            <v>0.22415745018508848</v>
          </cell>
          <cell r="M55">
            <v>0.2469852208501413</v>
          </cell>
          <cell r="N55">
            <v>0.29106953298852128</v>
          </cell>
          <cell r="O55">
            <v>0.30216590669270188</v>
          </cell>
          <cell r="P55">
            <v>0.30613840360636596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E56">
            <v>1.6699396181148699E-3</v>
          </cell>
          <cell r="F56">
            <v>3.91969354601185E-6</v>
          </cell>
          <cell r="G56">
            <v>2.87696721107466E-5</v>
          </cell>
          <cell r="H56">
            <v>2.2255756074351801E-2</v>
          </cell>
          <cell r="I56">
            <v>2.1781492285083501E-2</v>
          </cell>
          <cell r="J56">
            <v>4.1535946877596097E-2</v>
          </cell>
          <cell r="K56">
            <v>3.6221356505992501E-3</v>
          </cell>
          <cell r="L56">
            <v>7.4766334109622898E-2</v>
          </cell>
          <cell r="M56">
            <v>1.50992931479091E-2</v>
          </cell>
          <cell r="N56">
            <v>5.4458805583325699E-2</v>
          </cell>
          <cell r="O56">
            <v>5.4864273642277799E-2</v>
          </cell>
          <cell r="P56">
            <v>2.18318664888194E-2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E57">
            <v>1.6719173570898345E-3</v>
          </cell>
          <cell r="F57">
            <v>1.675075704905687E-3</v>
          </cell>
          <cell r="G57">
            <v>1.7019570652825171E-3</v>
          </cell>
          <cell r="H57">
            <v>2.3505516515229204E-2</v>
          </cell>
          <cell r="I57">
            <v>4.4049034376453092E-2</v>
          </cell>
          <cell r="J57">
            <v>6.7984872833564025E-2</v>
          </cell>
          <cell r="K57">
            <v>5.6449780782485443E-2</v>
          </cell>
          <cell r="L57">
            <v>9.2572176683304475E-2</v>
          </cell>
          <cell r="M57">
            <v>9.1492208176886747E-2</v>
          </cell>
          <cell r="N57">
            <v>0.10785888504021791</v>
          </cell>
          <cell r="O57">
            <v>0.11199290726493076</v>
          </cell>
          <cell r="P57">
            <v>0.11344084060958434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  <cell r="J58">
            <v>1.229272633976489</v>
          </cell>
          <cell r="K58">
            <v>4.3378752817565527</v>
          </cell>
          <cell r="L58">
            <v>4.8959125208856538</v>
          </cell>
          <cell r="M58">
            <v>4.668355804919007</v>
          </cell>
          <cell r="N58">
            <v>4.5696789942372158</v>
          </cell>
          <cell r="O58">
            <v>4.564296030963888</v>
          </cell>
          <cell r="P58">
            <v>4.5691965017011915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  <cell r="J59">
            <v>315.58760453497524</v>
          </cell>
          <cell r="K59">
            <v>1113.6501627898544</v>
          </cell>
          <cell r="L59">
            <v>1256.9134476548065</v>
          </cell>
          <cell r="M59">
            <v>1198.4934707490729</v>
          </cell>
          <cell r="N59">
            <v>1173.1604588154353</v>
          </cell>
          <cell r="O59">
            <v>1171.7785062381347</v>
          </cell>
          <cell r="P59">
            <v>1173.0365899034953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  <cell r="J60">
            <v>-315.58760453497598</v>
          </cell>
          <cell r="K60">
            <v>-1113.6501627898499</v>
          </cell>
          <cell r="L60">
            <v>-1256.9134476548099</v>
          </cell>
          <cell r="M60">
            <v>-1198.49347074907</v>
          </cell>
          <cell r="N60">
            <v>-1173.1604588154401</v>
          </cell>
          <cell r="O60">
            <v>-1171.7785062381299</v>
          </cell>
          <cell r="P60">
            <v>-1173.03658990349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  <cell r="J61">
            <v>340.82354294909902</v>
          </cell>
          <cell r="K61">
            <v>1190.79516041185</v>
          </cell>
          <cell r="L61">
            <v>1330.8063082220799</v>
          </cell>
          <cell r="M61">
            <v>1268.95187111872</v>
          </cell>
          <cell r="N61">
            <v>1242.1295532014001</v>
          </cell>
          <cell r="O61">
            <v>1240.66635682064</v>
          </cell>
          <cell r="P61">
            <v>1241.9984021426601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  <cell r="J62">
            <v>3.6726674886756334</v>
          </cell>
          <cell r="K62">
            <v>12.83184440098972</v>
          </cell>
          <cell r="L62">
            <v>14.340585217910363</v>
          </cell>
          <cell r="M62">
            <v>13.674050335330989</v>
          </cell>
          <cell r="N62">
            <v>13.385016737084047</v>
          </cell>
          <cell r="O62">
            <v>13.36924953470518</v>
          </cell>
          <cell r="P62">
            <v>13.383603471364856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  <cell r="J63">
            <v>4.5854316019595498E-2</v>
          </cell>
          <cell r="K63">
            <v>0.140991249133913</v>
          </cell>
          <cell r="L63">
            <v>1.11327862362459E-5</v>
          </cell>
          <cell r="M63">
            <v>1.08858324787125E-6</v>
          </cell>
          <cell r="N63">
            <v>4.1481980576722701E-6</v>
          </cell>
          <cell r="O63">
            <v>5.9575575102864697E-6</v>
          </cell>
          <cell r="P63">
            <v>2.9465485852756702E-2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  <cell r="J64">
            <v>4.5854316019595498E-2</v>
          </cell>
          <cell r="K64">
            <v>0.18684516457465175</v>
          </cell>
          <cell r="L64">
            <v>0.18685553154315859</v>
          </cell>
          <cell r="M64">
            <v>0.18685499864056138</v>
          </cell>
          <cell r="N64">
            <v>0.18685706789321768</v>
          </cell>
          <cell r="O64">
            <v>0.17968315989171282</v>
          </cell>
          <cell r="P64">
            <v>0.17047047133610654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F65">
            <v>5.4479879406454997E-2</v>
          </cell>
          <cell r="G65">
            <v>7.1528424071797922E-2</v>
          </cell>
          <cell r="H65">
            <v>0.11354045398839129</v>
          </cell>
          <cell r="I65">
            <v>0.17686926387822091</v>
          </cell>
          <cell r="J65">
            <v>0.25173761007019407</v>
          </cell>
          <cell r="K65">
            <v>0.34418286857539537</v>
          </cell>
          <cell r="L65">
            <v>0.45636159126112441</v>
          </cell>
          <cell r="M65">
            <v>0.47964456063250721</v>
          </cell>
          <cell r="N65">
            <v>0.50411804524057424</v>
          </cell>
          <cell r="O65">
            <v>0.52984355918196524</v>
          </cell>
          <cell r="P65">
            <v>0.55690059158516525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E66">
            <v>2.3659369378479811</v>
          </cell>
          <cell r="F66">
            <v>3.827020094094943</v>
          </cell>
          <cell r="G66">
            <v>3.8174239301255719</v>
          </cell>
          <cell r="H66">
            <v>3.2421265976265188</v>
          </cell>
          <cell r="I66">
            <v>2.9583011973908238</v>
          </cell>
          <cell r="J66">
            <v>3.6136310779371317</v>
          </cell>
          <cell r="K66">
            <v>3.5255431314795254</v>
          </cell>
          <cell r="L66">
            <v>3.4962573251508022</v>
          </cell>
          <cell r="M66">
            <v>3.3586661262479809</v>
          </cell>
          <cell r="N66">
            <v>3.2129933997215647</v>
          </cell>
          <cell r="O66">
            <v>3.3175184790164791</v>
          </cell>
          <cell r="P66">
            <v>2.293684559325706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E67">
            <v>2.31581063558597</v>
          </cell>
          <cell r="F67">
            <v>3.5392125584064265</v>
          </cell>
          <cell r="G67">
            <v>3.4595159323752913</v>
          </cell>
          <cell r="H67">
            <v>1.7566757361161651</v>
          </cell>
          <cell r="I67">
            <v>3.1140425912159091</v>
          </cell>
          <cell r="J67">
            <v>2.8051452164458208</v>
          </cell>
          <cell r="K67">
            <v>2.6523833238687708</v>
          </cell>
          <cell r="L67">
            <v>2.5504172539748153</v>
          </cell>
          <cell r="M67">
            <v>2.3836535425988021</v>
          </cell>
          <cell r="N67">
            <v>1.8832971895431807</v>
          </cell>
          <cell r="O67">
            <v>2.2547111668876694</v>
          </cell>
          <cell r="P67">
            <v>2.1184920563224532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E68">
            <v>3.6583355613967776</v>
          </cell>
          <cell r="F68">
            <v>1.783538918696103</v>
          </cell>
          <cell r="G68">
            <v>1.7835403156450487</v>
          </cell>
          <cell r="H68">
            <v>1.7835411409095663</v>
          </cell>
          <cell r="I68">
            <v>1.7835431751810833</v>
          </cell>
          <cell r="J68">
            <v>1.7835458299932672</v>
          </cell>
          <cell r="K68">
            <v>1.7835492740853731</v>
          </cell>
          <cell r="L68">
            <v>1.7835542838694258</v>
          </cell>
          <cell r="M68">
            <v>1.7835610609666297</v>
          </cell>
          <cell r="N68">
            <v>1.7835709566641005</v>
          </cell>
          <cell r="O68">
            <v>1.7835991875872235</v>
          </cell>
          <cell r="P68">
            <v>1.783641498515705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F69">
            <v>0.35010945512751063</v>
          </cell>
          <cell r="G69">
            <v>0.3826409331148965</v>
          </cell>
          <cell r="H69">
            <v>0.44358203135049401</v>
          </cell>
          <cell r="I69">
            <v>0.51422978891430204</v>
          </cell>
          <cell r="J69">
            <v>0.59613008013948243</v>
          </cell>
          <cell r="K69">
            <v>0.69107586654078434</v>
          </cell>
          <cell r="L69">
            <v>0.80114481867313259</v>
          </cell>
          <cell r="M69">
            <v>0.92874498461054478</v>
          </cell>
          <cell r="N69">
            <v>1.0766729367982422</v>
          </cell>
          <cell r="O69">
            <v>1.2481596937549646</v>
          </cell>
          <cell r="P69">
            <v>1.4469798354539294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E70">
            <v>9.2188199435314537</v>
          </cell>
          <cell r="F70">
            <v>10.561037754840312</v>
          </cell>
          <cell r="G70">
            <v>10.493772959186858</v>
          </cell>
          <cell r="H70">
            <v>8.0648806819793197</v>
          </cell>
          <cell r="I70">
            <v>9.3572236554251855</v>
          </cell>
          <cell r="J70">
            <v>9.8718399238365926</v>
          </cell>
          <cell r="K70">
            <v>9.7777188450452464</v>
          </cell>
          <cell r="L70">
            <v>9.8407074204635219</v>
          </cell>
          <cell r="M70">
            <v>9.6745269477722395</v>
          </cell>
          <cell r="N70">
            <v>9.1616671935798504</v>
          </cell>
          <cell r="O70">
            <v>9.8906236252203552</v>
          </cell>
          <cell r="P70">
            <v>8.87909163907349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E71">
            <v>0.62767891150414101</v>
          </cell>
          <cell r="F71">
            <v>3.3196494532823598E-2</v>
          </cell>
          <cell r="G71">
            <v>2.2405409208456702E-3</v>
          </cell>
          <cell r="H71">
            <v>6.9759534952153297E-3</v>
          </cell>
          <cell r="I71">
            <v>1.3877565953831199E-2</v>
          </cell>
          <cell r="J71">
            <v>1.27862899680336E-2</v>
          </cell>
          <cell r="K71">
            <v>1.29492198867498E-2</v>
          </cell>
          <cell r="L71">
            <v>1.78805680961867E-2</v>
          </cell>
          <cell r="M71">
            <v>8.83015491442239E-3</v>
          </cell>
          <cell r="N71">
            <v>1.5426023699111601E-2</v>
          </cell>
          <cell r="O71">
            <v>1.0459457998018701E-2</v>
          </cell>
          <cell r="P71">
            <v>1.7657835692763101E-2</v>
          </cell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E72">
            <v>0.62767891150414101</v>
          </cell>
          <cell r="F72">
            <v>0.66087540603696404</v>
          </cell>
          <cell r="G72">
            <v>0.66311594695780995</v>
          </cell>
          <cell r="H72">
            <v>0.67009190045302502</v>
          </cell>
          <cell r="I72">
            <v>0.68396946640685596</v>
          </cell>
          <cell r="J72">
            <v>0.69675575637488996</v>
          </cell>
          <cell r="K72">
            <v>0.70970497626163997</v>
          </cell>
          <cell r="L72">
            <v>0.72758554435782696</v>
          </cell>
          <cell r="M72">
            <v>0.73641569927224904</v>
          </cell>
          <cell r="N72">
            <v>0.75184172297136098</v>
          </cell>
          <cell r="O72">
            <v>0.76230118096937904</v>
          </cell>
          <cell r="P72">
            <v>0.77995901666214296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E73">
            <v>2.3035438530244871E-2</v>
          </cell>
          <cell r="F73">
            <v>3.1323701091570092E-4</v>
          </cell>
          <cell r="G73">
            <v>1.2206082625931501E-2</v>
          </cell>
          <cell r="H73">
            <v>8.6246108414106196E-3</v>
          </cell>
          <cell r="I73">
            <v>4.0360660411964391E-3</v>
          </cell>
          <cell r="J73">
            <v>3.6400182226504628E-3</v>
          </cell>
          <cell r="K73">
            <v>2.3921359586378627E-4</v>
          </cell>
          <cell r="L73">
            <v>2.598262170261714E-4</v>
          </cell>
          <cell r="M73">
            <v>7.5726267187030917E-3</v>
          </cell>
          <cell r="N73">
            <v>9.3914946191008247E-3</v>
          </cell>
          <cell r="O73">
            <v>1.3620736327625799E-2</v>
          </cell>
          <cell r="P73">
            <v>2.6113571640295472E-2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E74">
            <v>2.3035438530244937E-2</v>
          </cell>
          <cell r="F74">
            <v>3.130283253654578E-4</v>
          </cell>
          <cell r="G74">
            <v>1.2193381187194867E-2</v>
          </cell>
          <cell r="H74">
            <v>8.6246108414106196E-3</v>
          </cell>
          <cell r="I74">
            <v>4.0323598281191324E-3</v>
          </cell>
          <cell r="J74">
            <v>3.6400182226504758E-3</v>
          </cell>
          <cell r="K74">
            <v>2.3901831945899977E-4</v>
          </cell>
          <cell r="L74">
            <v>2.5982621702617156E-4</v>
          </cell>
          <cell r="M74">
            <v>7.5726267187030995E-3</v>
          </cell>
          <cell r="N74">
            <v>9.3914946191008316E-3</v>
          </cell>
          <cell r="O74">
            <v>1.3620736327625813E-2</v>
          </cell>
          <cell r="P74">
            <v>2.6113571640295506E-2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E75">
            <v>3.0721023534615009E-2</v>
          </cell>
          <cell r="F75">
            <v>4.1925945620898623E-4</v>
          </cell>
          <cell r="G75">
            <v>1.5756889528018615E-2</v>
          </cell>
          <cell r="H75">
            <v>1.0787869046259467E-2</v>
          </cell>
          <cell r="I75">
            <v>4.8993067566665775E-3</v>
          </cell>
          <cell r="J75">
            <v>4.2894798741885095E-3</v>
          </cell>
          <cell r="K75">
            <v>1.9839655976751626E-4</v>
          </cell>
          <cell r="L75">
            <v>2.2236538532947861E-4</v>
          </cell>
          <cell r="M75">
            <v>8.4211351819660323E-3</v>
          </cell>
          <cell r="N75">
            <v>1.0442099515356512E-2</v>
          </cell>
          <cell r="O75">
            <v>1.514125696977201E-2</v>
          </cell>
          <cell r="P75">
            <v>2.902218509468556E-2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E76">
            <v>3.0721023534615009E-2</v>
          </cell>
          <cell r="F76">
            <v>4.1925945620898623E-4</v>
          </cell>
          <cell r="G76">
            <v>1.5756889528018615E-2</v>
          </cell>
          <cell r="H76">
            <v>1.0787869046259467E-2</v>
          </cell>
          <cell r="I76">
            <v>4.8993067566665775E-3</v>
          </cell>
          <cell r="J76">
            <v>4.2894798741885095E-3</v>
          </cell>
          <cell r="K76">
            <v>1.9839655976751626E-4</v>
          </cell>
          <cell r="L76">
            <v>2.2236538532947861E-4</v>
          </cell>
          <cell r="M76">
            <v>8.4211351819660323E-3</v>
          </cell>
          <cell r="N76">
            <v>1.0442099515356512E-2</v>
          </cell>
          <cell r="O76">
            <v>1.514125696977201E-2</v>
          </cell>
          <cell r="P76">
            <v>2.902218509468556E-2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E77">
            <v>7.9984280948346299E-3</v>
          </cell>
          <cell r="F77">
            <v>1.05164317108268E-4</v>
          </cell>
          <cell r="G77">
            <v>1.18766395185003E-4</v>
          </cell>
          <cell r="H77">
            <v>9.0992364247494294E-5</v>
          </cell>
          <cell r="I77">
            <v>5.6718393037317903E-3</v>
          </cell>
          <cell r="J77">
            <v>5.8464852294526403E-4</v>
          </cell>
          <cell r="K77">
            <v>1.3164335679756399E-4</v>
          </cell>
          <cell r="L77">
            <v>7.6215803805528802E-3</v>
          </cell>
          <cell r="M77">
            <v>7.81226896747067E-4</v>
          </cell>
          <cell r="N77">
            <v>7.6894019307754604E-3</v>
          </cell>
          <cell r="O77">
            <v>3.0254891012230999E-3</v>
          </cell>
          <cell r="P77">
            <v>1.5868528184088099E-2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E78">
            <v>7.9984280948346299E-3</v>
          </cell>
          <cell r="F78">
            <v>8.0877441010433031E-3</v>
          </cell>
          <cell r="G78">
            <v>8.1611363543445409E-3</v>
          </cell>
          <cell r="H78">
            <v>8.1493334499824679E-3</v>
          </cell>
          <cell r="I78">
            <v>7.8554652923462122E-3</v>
          </cell>
          <cell r="J78">
            <v>6.2895794130476829E-3</v>
          </cell>
          <cell r="K78">
            <v>6.2465863356381364E-3</v>
          </cell>
          <cell r="L78">
            <v>8.2215505801804239E-3</v>
          </cell>
          <cell r="M78">
            <v>8.4911368466510598E-3</v>
          </cell>
          <cell r="N78">
            <v>1.5952473996765734E-2</v>
          </cell>
          <cell r="O78">
            <v>1.2395675971019591E-2</v>
          </cell>
          <cell r="P78">
            <v>2.6459888824184135E-2</v>
          </cell>
        </row>
        <row r="79">
          <cell r="B79" t="str">
            <v>RHNS-CHPWOD</v>
          </cell>
          <cell r="C79" t="str">
            <v>VAR_fout</v>
          </cell>
          <cell r="D79" t="str">
            <v>RHNS_LTH_CHPWOD</v>
          </cell>
          <cell r="H79">
            <v>3.4330111100227254E-3</v>
          </cell>
          <cell r="I79">
            <v>6.4109392883681584E-3</v>
          </cell>
          <cell r="J79">
            <v>1.5288929453625659E-2</v>
          </cell>
          <cell r="K79">
            <v>1.2818232012125605E-2</v>
          </cell>
          <cell r="L79">
            <v>2.0001101971864107E-2</v>
          </cell>
          <cell r="M79">
            <v>1.0650822599259717E-2</v>
          </cell>
          <cell r="N79">
            <v>7.9883222071467867E-3</v>
          </cell>
          <cell r="O79">
            <v>8.1793851802003954E-3</v>
          </cell>
          <cell r="P79">
            <v>1.3419551282378001E-2</v>
          </cell>
        </row>
        <row r="80">
          <cell r="B80" t="str">
            <v>RHNS-CHPWOD</v>
          </cell>
          <cell r="C80" t="str">
            <v>VAR_fout</v>
          </cell>
          <cell r="D80" t="str">
            <v>RHNS_KEV_WOD_ELC_CHP</v>
          </cell>
          <cell r="H80">
            <v>1.271689150316701E-3</v>
          </cell>
          <cell r="I80">
            <v>2.4249033931583843E-3</v>
          </cell>
          <cell r="J80">
            <v>5.9075882081701028E-3</v>
          </cell>
          <cell r="K80">
            <v>5.0531809922677202E-3</v>
          </cell>
          <cell r="L80">
            <v>8.0477084968552572E-3</v>
          </cell>
          <cell r="M80">
            <v>4.2854996515260379E-3</v>
          </cell>
          <cell r="N80">
            <v>3.2142073268016567E-3</v>
          </cell>
          <cell r="O80">
            <v>3.2910840465864449E-3</v>
          </cell>
          <cell r="P80">
            <v>5.3995343372129695E-3</v>
          </cell>
        </row>
        <row r="81">
          <cell r="B81" t="str">
            <v>RHNS-CHPWOD</v>
          </cell>
          <cell r="C81" t="str">
            <v>VAR_fin</v>
          </cell>
          <cell r="D81" t="str">
            <v>RWOD</v>
          </cell>
          <cell r="H81">
            <v>7.5294651987425475E-3</v>
          </cell>
          <cell r="I81">
            <v>1.3509747014442783E-2</v>
          </cell>
          <cell r="J81">
            <v>2.5029764080284476E-2</v>
          </cell>
          <cell r="K81">
            <v>2.1023897523287746E-2</v>
          </cell>
          <cell r="L81">
            <v>3.1772360164098588E-2</v>
          </cell>
          <cell r="M81">
            <v>1.7935356986167578E-2</v>
          </cell>
          <cell r="N81">
            <v>1.4388891268972354E-2</v>
          </cell>
          <cell r="O81">
            <v>1.3968257092015865E-2</v>
          </cell>
          <cell r="P81">
            <v>2.5088202004536785E-2</v>
          </cell>
        </row>
        <row r="82">
          <cell r="B82" t="str">
            <v>RHNS-CHPWOD</v>
          </cell>
          <cell r="C82" t="str">
            <v>VAR_ncap</v>
          </cell>
          <cell r="D82" t="str">
            <v>-</v>
          </cell>
          <cell r="H82">
            <v>1.12406106569292E-4</v>
          </cell>
          <cell r="I82">
            <v>1.01717933927465E-4</v>
          </cell>
          <cell r="J82">
            <v>3.30974067945407E-4</v>
          </cell>
          <cell r="K82">
            <v>1.38585541576266E-5</v>
          </cell>
          <cell r="L82">
            <v>3.6949201962712899E-4</v>
          </cell>
          <cell r="M82">
            <v>1.7491590054683899E-6</v>
          </cell>
          <cell r="N82">
            <v>1.09105961760848E-5</v>
          </cell>
          <cell r="O82">
            <v>2.22807832955554E-4</v>
          </cell>
          <cell r="P82">
            <v>3.4237080288445102E-4</v>
          </cell>
        </row>
        <row r="83">
          <cell r="B83" t="str">
            <v>RHNS-CHPWOD</v>
          </cell>
          <cell r="C83" t="str">
            <v>VAR_cap</v>
          </cell>
          <cell r="D83" t="str">
            <v>-</v>
          </cell>
          <cell r="H83">
            <v>1.12406106569292E-4</v>
          </cell>
          <cell r="I83">
            <v>2.1402699577833414E-4</v>
          </cell>
          <cell r="J83">
            <v>5.2313379296891379E-4</v>
          </cell>
          <cell r="K83">
            <v>4.4610692620579613E-4</v>
          </cell>
          <cell r="L83">
            <v>7.1368713460305739E-4</v>
          </cell>
          <cell r="M83">
            <v>4.0701695228424311E-4</v>
          </cell>
          <cell r="N83">
            <v>3.8102049875955485E-4</v>
          </cell>
          <cell r="O83">
            <v>2.9936342844465679E-4</v>
          </cell>
          <cell r="P83">
            <v>5.7531292842466063E-4</v>
          </cell>
        </row>
        <row r="84">
          <cell r="B84" t="str">
            <v>D-ICOA</v>
          </cell>
          <cell r="C84" t="str">
            <v>VAR_fout</v>
          </cell>
          <cell r="D84" t="str">
            <v>ICOA</v>
          </cell>
          <cell r="E84">
            <v>3.56004273918029</v>
          </cell>
          <cell r="F84">
            <v>3.4647590848767336</v>
          </cell>
          <cell r="G84">
            <v>1.7091200775204762E-2</v>
          </cell>
          <cell r="H84">
            <v>1.3738607678468987E-3</v>
          </cell>
          <cell r="I84">
            <v>1.740733318647451E-3</v>
          </cell>
          <cell r="J84">
            <v>3.9947130196455504E-3</v>
          </cell>
          <cell r="K84">
            <v>1.9201830249886559E-3</v>
          </cell>
          <cell r="L84">
            <v>4.1694470104093183E-5</v>
          </cell>
          <cell r="M84">
            <v>1.1309141021156351E-4</v>
          </cell>
          <cell r="N84">
            <v>1.5727616072570364E-4</v>
          </cell>
          <cell r="O84">
            <v>1.5267060017638086E-4</v>
          </cell>
          <cell r="P84">
            <v>1.7477235583997954E-4</v>
          </cell>
        </row>
        <row r="85">
          <cell r="B85" t="str">
            <v>D-ICOA</v>
          </cell>
          <cell r="C85" t="str">
            <v>VAR_fout</v>
          </cell>
          <cell r="D85" t="str">
            <v>CO2</v>
          </cell>
          <cell r="E85">
            <v>330.01596192201299</v>
          </cell>
          <cell r="F85">
            <v>321.183167168073</v>
          </cell>
          <cell r="G85">
            <v>1.58435431186148</v>
          </cell>
          <cell r="H85">
            <v>0.12735689317940799</v>
          </cell>
          <cell r="I85">
            <v>0.16136597863861901</v>
          </cell>
          <cell r="J85">
            <v>0.37030989692114302</v>
          </cell>
          <cell r="K85">
            <v>0.178000966416448</v>
          </cell>
          <cell r="L85">
            <v>3.8650773786494401E-3</v>
          </cell>
          <cell r="M85">
            <v>1.04835737266119E-2</v>
          </cell>
          <cell r="N85">
            <v>1.45795000992727E-2</v>
          </cell>
          <cell r="O85">
            <v>1.4152564636350499E-2</v>
          </cell>
          <cell r="P85">
            <v>1.6201397386366102E-2</v>
          </cell>
        </row>
        <row r="86">
          <cell r="B86" t="str">
            <v>D-ICOA</v>
          </cell>
          <cell r="C86" t="str">
            <v>VAR_fin</v>
          </cell>
          <cell r="D86" t="str">
            <v>COA</v>
          </cell>
          <cell r="E86">
            <v>3.56004273918029</v>
          </cell>
          <cell r="F86">
            <v>3.4647590848767336</v>
          </cell>
          <cell r="G86">
            <v>1.7091200775204762E-2</v>
          </cell>
          <cell r="H86">
            <v>1.3738607678468987E-3</v>
          </cell>
          <cell r="I86">
            <v>1.740733318647451E-3</v>
          </cell>
          <cell r="J86">
            <v>3.9947130196455504E-3</v>
          </cell>
          <cell r="K86">
            <v>1.9201830249886559E-3</v>
          </cell>
          <cell r="L86">
            <v>4.1694470104093183E-5</v>
          </cell>
          <cell r="M86">
            <v>1.1309141021156351E-4</v>
          </cell>
          <cell r="N86">
            <v>1.5727616072570364E-4</v>
          </cell>
          <cell r="O86">
            <v>1.5267060017638086E-4</v>
          </cell>
          <cell r="P86">
            <v>1.7477235583997954E-4</v>
          </cell>
        </row>
        <row r="87">
          <cell r="B87" t="str">
            <v>RHNM-SHSTG-CHPWOD</v>
          </cell>
          <cell r="C87" t="str">
            <v>VAR_fout</v>
          </cell>
          <cell r="D87" t="str">
            <v>RHNM_LTH_CHPWOD</v>
          </cell>
          <cell r="E87">
            <v>1.0401287321490459E-4</v>
          </cell>
          <cell r="F87">
            <v>1.2749121000206858E-4</v>
          </cell>
          <cell r="G87">
            <v>1.4304632010581967E-4</v>
          </cell>
          <cell r="H87">
            <v>3.0180233259791732E-3</v>
          </cell>
          <cell r="I87">
            <v>5.5756736930538883E-3</v>
          </cell>
          <cell r="J87">
            <v>7.1810881767283693E-3</v>
          </cell>
          <cell r="K87">
            <v>6.3230577549319225E-3</v>
          </cell>
          <cell r="L87">
            <v>9.1059983557514653E-3</v>
          </cell>
          <cell r="M87">
            <v>1.0122405854080639E-2</v>
          </cell>
          <cell r="N87">
            <v>8.3679845837340439E-3</v>
          </cell>
          <cell r="O87">
            <v>1.4619878072178511E-2</v>
          </cell>
          <cell r="P87">
            <v>2.6441807875376248E-2</v>
          </cell>
        </row>
        <row r="88">
          <cell r="B88" t="str">
            <v>RHNM-SHSTG-CHPWOD</v>
          </cell>
          <cell r="C88" t="str">
            <v>VAR_fout</v>
          </cell>
          <cell r="D88" t="str">
            <v>AUX_RNM-CHPWOD_OUT</v>
          </cell>
          <cell r="E88">
            <v>1.0401287321490478E-4</v>
          </cell>
          <cell r="F88">
            <v>1.2740627248707744E-4</v>
          </cell>
          <cell r="G88">
            <v>1.4289746857605313E-4</v>
          </cell>
          <cell r="H88">
            <v>3.0180233259791732E-3</v>
          </cell>
          <cell r="I88">
            <v>5.5705536988453963E-3</v>
          </cell>
          <cell r="J88">
            <v>7.1810881767283953E-3</v>
          </cell>
          <cell r="K88">
            <v>6.3178960751319926E-3</v>
          </cell>
          <cell r="L88">
            <v>9.1059983557514757E-3</v>
          </cell>
          <cell r="M88">
            <v>1.0122405854080653E-2</v>
          </cell>
          <cell r="N88">
            <v>8.3679845837340526E-3</v>
          </cell>
          <cell r="O88">
            <v>1.461987807217853E-2</v>
          </cell>
          <cell r="P88">
            <v>2.6441807875376283E-2</v>
          </cell>
        </row>
        <row r="89">
          <cell r="B89" t="str">
            <v>RHNM-SHSTG-CHPWOD</v>
          </cell>
          <cell r="C89" t="str">
            <v>VAR_fin</v>
          </cell>
          <cell r="D89" t="str">
            <v>RHNM_LTH_CHPWOD</v>
          </cell>
          <cell r="E89">
            <v>8.183987495332938E-5</v>
          </cell>
          <cell r="F89">
            <v>8.4729498467566277E-5</v>
          </cell>
          <cell r="G89">
            <v>1.0481099086639965E-4</v>
          </cell>
          <cell r="H89">
            <v>3.7796346518817743E-3</v>
          </cell>
          <cell r="I89">
            <v>6.7654978498541503E-3</v>
          </cell>
          <cell r="J89">
            <v>8.4554445260968877E-3</v>
          </cell>
          <cell r="K89">
            <v>7.233457214546251E-3</v>
          </cell>
          <cell r="L89">
            <v>1.012488144533385E-2</v>
          </cell>
          <cell r="M89">
            <v>1.1254223110116189E-2</v>
          </cell>
          <cell r="N89">
            <v>9.3048661435740712E-3</v>
          </cell>
          <cell r="O89">
            <v>1.6251414463670733E-2</v>
          </cell>
          <cell r="P89">
            <v>2.9386892022349061E-2</v>
          </cell>
        </row>
        <row r="90">
          <cell r="B90" t="str">
            <v>RHNM-SHSTG-CHPWOD</v>
          </cell>
          <cell r="C90" t="str">
            <v>VAR_fin</v>
          </cell>
          <cell r="D90" t="str">
            <v>AUX_RNM-CHPWOD_IN</v>
          </cell>
          <cell r="E90">
            <v>8.183987495332938E-5</v>
          </cell>
          <cell r="F90">
            <v>8.4729498467566277E-5</v>
          </cell>
          <cell r="G90">
            <v>1.0481099086639965E-4</v>
          </cell>
          <cell r="H90">
            <v>3.7796346518817743E-3</v>
          </cell>
          <cell r="I90">
            <v>6.7654978498541503E-3</v>
          </cell>
          <cell r="J90">
            <v>8.4554445260968877E-3</v>
          </cell>
          <cell r="K90">
            <v>7.233457214546251E-3</v>
          </cell>
          <cell r="L90">
            <v>1.012488144533385E-2</v>
          </cell>
          <cell r="M90">
            <v>1.1254223110116189E-2</v>
          </cell>
          <cell r="N90">
            <v>9.3048661435740712E-3</v>
          </cell>
          <cell r="O90">
            <v>1.6251414463670733E-2</v>
          </cell>
          <cell r="P90">
            <v>2.9386892022349061E-2</v>
          </cell>
        </row>
        <row r="91">
          <cell r="B91" t="str">
            <v>RHNM-SHSTG-CHPWOD</v>
          </cell>
          <cell r="C91" t="str">
            <v>VAR_ncap</v>
          </cell>
          <cell r="D91" t="str">
            <v>-</v>
          </cell>
          <cell r="E91">
            <v>7.9840131284292706E-3</v>
          </cell>
          <cell r="F91">
            <v>1.9480335502341099E-4</v>
          </cell>
          <cell r="G91">
            <v>3.42008628114686E-4</v>
          </cell>
          <cell r="H91">
            <v>2.9606009463848998E-4</v>
          </cell>
          <cell r="I91">
            <v>9.1736855520415002E-3</v>
          </cell>
          <cell r="J91">
            <v>3.73792181969643E-3</v>
          </cell>
          <cell r="K91">
            <v>6.0041650921396905E-4</v>
          </cell>
          <cell r="L91">
            <v>1.4590919339194699E-2</v>
          </cell>
          <cell r="M91">
            <v>3.8808327188959499E-4</v>
          </cell>
          <cell r="N91">
            <v>1.04968934293796E-2</v>
          </cell>
          <cell r="O91">
            <v>6.2795894638280397E-3</v>
          </cell>
          <cell r="P91">
            <v>2.5030054318415599E-2</v>
          </cell>
        </row>
        <row r="92">
          <cell r="B92" t="str">
            <v>RHNM-SHSTG-CHPWOD</v>
          </cell>
          <cell r="C92" t="str">
            <v>VAR_cap</v>
          </cell>
          <cell r="D92" t="str">
            <v>-</v>
          </cell>
          <cell r="E92">
            <v>7.9840131284292706E-3</v>
          </cell>
          <cell r="F92">
            <v>8.1545704247535204E-3</v>
          </cell>
          <cell r="G92">
            <v>8.4353135028558211E-3</v>
          </cell>
          <cell r="H92">
            <v>8.633391965073945E-3</v>
          </cell>
          <cell r="I92">
            <v>1.1747117841098071E-2</v>
          </cell>
          <cell r="J92">
            <v>1.3071521560039174E-2</v>
          </cell>
          <cell r="K92">
            <v>1.3367558427000967E-2</v>
          </cell>
          <cell r="L92">
            <v>1.8775171529077539E-2</v>
          </cell>
          <cell r="M92">
            <v>1.5804029686696211E-2</v>
          </cell>
          <cell r="N92">
            <v>2.5255364467437289E-2</v>
          </cell>
          <cell r="O92">
            <v>1.9333255603863387E-2</v>
          </cell>
          <cell r="P92">
            <v>4.1611627334812891E-2</v>
          </cell>
        </row>
        <row r="93">
          <cell r="B93" t="str">
            <v>ENGA-CCS</v>
          </cell>
          <cell r="C93" t="str">
            <v>VAR_fout</v>
          </cell>
          <cell r="D93" t="str">
            <v>CO2_O</v>
          </cell>
          <cell r="J93"/>
          <cell r="K93">
            <v>8.1564265419214896E-2</v>
          </cell>
          <cell r="L93">
            <v>1.1994813817764198</v>
          </cell>
          <cell r="M93">
            <v>108.09725710078634</v>
          </cell>
          <cell r="N93">
            <v>213.46572716910717</v>
          </cell>
          <cell r="O93">
            <v>212.82215567538535</v>
          </cell>
          <cell r="P93">
            <v>211.81397822623589</v>
          </cell>
        </row>
        <row r="94">
          <cell r="B94" t="str">
            <v>ENGA-CCS</v>
          </cell>
          <cell r="C94" t="str">
            <v>VAR_fout</v>
          </cell>
          <cell r="D94" t="str">
            <v>CO2</v>
          </cell>
          <cell r="J94"/>
          <cell r="K94">
            <v>-8.1564265419214896E-2</v>
          </cell>
          <cell r="L94">
            <v>-1.1994813817764201</v>
          </cell>
          <cell r="M94">
            <v>-108.097257100786</v>
          </cell>
          <cell r="N94">
            <v>-213.465727169107</v>
          </cell>
          <cell r="O94">
            <v>-212.822155675386</v>
          </cell>
          <cell r="P94">
            <v>-211.813978226236</v>
          </cell>
        </row>
        <row r="95">
          <cell r="B95" t="str">
            <v>ENGA-CCS</v>
          </cell>
          <cell r="C95" t="str">
            <v>VAR_fout</v>
          </cell>
          <cell r="D95" t="str">
            <v>ELC13</v>
          </cell>
          <cell r="J95"/>
          <cell r="K95">
            <v>8.8962276313052499E-4</v>
          </cell>
          <cell r="L95">
            <v>1.3142775519504157E-2</v>
          </cell>
          <cell r="M95">
            <v>1.184426874759593</v>
          </cell>
          <cell r="N95">
            <v>2.338954298011974</v>
          </cell>
          <cell r="O95">
            <v>2.3319026540254604</v>
          </cell>
          <cell r="P95">
            <v>2.3208560049491966</v>
          </cell>
        </row>
        <row r="96">
          <cell r="B96" t="str">
            <v>ENGA-CCS</v>
          </cell>
          <cell r="C96" t="str">
            <v>VAR_fout</v>
          </cell>
          <cell r="D96" t="str">
            <v>CO2_E</v>
          </cell>
          <cell r="J96"/>
          <cell r="K96">
            <v>9.5480236661939694E-2</v>
          </cell>
          <cell r="L96">
            <v>1.4124272397567299</v>
          </cell>
          <cell r="M96">
            <v>121.95266267742301</v>
          </cell>
          <cell r="N96">
            <v>241.19796385804801</v>
          </cell>
          <cell r="O96">
            <v>240.86802899566101</v>
          </cell>
          <cell r="P96">
            <v>239.786806779926</v>
          </cell>
        </row>
        <row r="97">
          <cell r="B97" t="str">
            <v>ENGA-CCS</v>
          </cell>
          <cell r="C97" t="str">
            <v>VAR_fin</v>
          </cell>
          <cell r="D97" t="str">
            <v>ENGA</v>
          </cell>
          <cell r="J97"/>
          <cell r="K97">
            <v>1.6929119975521206E-3</v>
          </cell>
          <cell r="L97">
            <v>2.5043036165899445E-2</v>
          </cell>
          <cell r="M97">
            <v>2.162281253145792</v>
          </cell>
          <cell r="N97">
            <v>4.2765596428732042</v>
          </cell>
          <cell r="O97">
            <v>4.2707097339656199</v>
          </cell>
          <cell r="P97">
            <v>4.2515391273036478</v>
          </cell>
        </row>
        <row r="98">
          <cell r="B98" t="str">
            <v>ENGA-CCS</v>
          </cell>
          <cell r="C98" t="str">
            <v>VAR_fin</v>
          </cell>
          <cell r="D98" t="str">
            <v>GTC</v>
          </cell>
          <cell r="J98"/>
          <cell r="K98">
            <v>3.4306764508138898E-4</v>
          </cell>
          <cell r="L98">
            <v>7.1205505759212298E-4</v>
          </cell>
          <cell r="M98">
            <v>7.7962503959999457E-2</v>
          </cell>
          <cell r="N98">
            <v>0.1503624029633823</v>
          </cell>
          <cell r="O98">
            <v>0.17952912086675699</v>
          </cell>
          <cell r="P98">
            <v>0.17936668684882501</v>
          </cell>
        </row>
        <row r="99">
          <cell r="B99" t="str">
            <v>ENGA-CCS</v>
          </cell>
          <cell r="C99" t="str">
            <v>VAR_ncap</v>
          </cell>
          <cell r="D99" t="str">
            <v>-</v>
          </cell>
          <cell r="J99"/>
          <cell r="K99">
            <v>7.1251397699680303E-4</v>
          </cell>
          <cell r="L99"/>
          <cell r="M99">
            <v>0.14041532719216099</v>
          </cell>
          <cell r="N99">
            <v>3.8373068018431697E-2</v>
          </cell>
          <cell r="O99">
            <v>1.0925323654947701E-4</v>
          </cell>
        </row>
        <row r="100">
          <cell r="B100" t="str">
            <v>ENGA-CCS</v>
          </cell>
          <cell r="C100" t="str">
            <v>VAR_cap</v>
          </cell>
          <cell r="D100" t="str">
            <v>-</v>
          </cell>
          <cell r="J100"/>
          <cell r="K100">
            <v>3.4306764508138898E-4</v>
          </cell>
          <cell r="L100">
            <v>7.1205505759212319E-4</v>
          </cell>
          <cell r="M100">
            <v>7.7962503959999443E-2</v>
          </cell>
          <cell r="N100">
            <v>0.15036240296338207</v>
          </cell>
          <cell r="O100">
            <v>0.1795291208667571</v>
          </cell>
          <cell r="P100">
            <v>0.17936668684882426</v>
          </cell>
        </row>
        <row r="101">
          <cell r="B101" t="str">
            <v>CHPWSTCCS</v>
          </cell>
          <cell r="C101" t="str">
            <v>VAR_fout</v>
          </cell>
          <cell r="D101" t="str">
            <v>ELC35</v>
          </cell>
          <cell r="J101">
            <v>0.20570729139648691</v>
          </cell>
          <cell r="K101">
            <v>0.71020496673422029</v>
          </cell>
          <cell r="L101">
            <v>0.78411945264298111</v>
          </cell>
          <cell r="M101">
            <v>0.74769100015848666</v>
          </cell>
          <cell r="N101">
            <v>0.73187717119987128</v>
          </cell>
          <cell r="O101">
            <v>0.73102907335947009</v>
          </cell>
          <cell r="P101">
            <v>0.73180390132452322</v>
          </cell>
        </row>
        <row r="102">
          <cell r="B102" t="str">
            <v>CHPWSTCCS</v>
          </cell>
          <cell r="C102" t="str">
            <v>VAR_fout</v>
          </cell>
          <cell r="D102" t="str">
            <v>CO2_O</v>
          </cell>
          <cell r="J102">
            <v>352.17191049326573</v>
          </cell>
          <cell r="K102">
            <v>1150.1531603752035</v>
          </cell>
          <cell r="L102">
            <v>1199.296182086835</v>
          </cell>
          <cell r="M102">
            <v>1143.5795386127727</v>
          </cell>
          <cell r="N102">
            <v>1119.392580069255</v>
          </cell>
          <cell r="O102">
            <v>1118.0954301278771</v>
          </cell>
          <cell r="P102">
            <v>1119.28051515176</v>
          </cell>
        </row>
        <row r="103">
          <cell r="B103" t="str">
            <v>CHPWSTCCS</v>
          </cell>
          <cell r="C103" t="str">
            <v>VAR_fout</v>
          </cell>
          <cell r="D103" t="str">
            <v>CO2</v>
          </cell>
          <cell r="J103">
            <v>-352.17191049326601</v>
          </cell>
          <cell r="K103">
            <v>-1150.1531603752001</v>
          </cell>
          <cell r="L103">
            <v>-1199.29618208684</v>
          </cell>
          <cell r="M103">
            <v>-1143.57953861277</v>
          </cell>
          <cell r="N103">
            <v>-1119.39258006926</v>
          </cell>
          <cell r="O103">
            <v>-1118.09543012788</v>
          </cell>
          <cell r="P103">
            <v>-1119.28051515176</v>
          </cell>
        </row>
        <row r="104">
          <cell r="B104" t="str">
            <v>CHPWSTCCS</v>
          </cell>
          <cell r="C104" t="str">
            <v>VAR_fout</v>
          </cell>
          <cell r="D104" t="str">
            <v>LTH</v>
          </cell>
          <cell r="J104">
            <v>1.9300835429511787</v>
          </cell>
          <cell r="K104">
            <v>6.4780172669281226</v>
          </cell>
          <cell r="L104">
            <v>6.9472983504168138</v>
          </cell>
          <cell r="M104">
            <v>6.6245422614041924</v>
          </cell>
          <cell r="N104">
            <v>6.4844317368308628</v>
          </cell>
          <cell r="O104">
            <v>6.4769175899649039</v>
          </cell>
          <cell r="P104">
            <v>6.4837825657352779</v>
          </cell>
        </row>
        <row r="105">
          <cell r="B105" t="str">
            <v>CHPWSTCCS</v>
          </cell>
          <cell r="C105" t="str">
            <v>VAR_fout</v>
          </cell>
          <cell r="D105" t="str">
            <v>CO2_E</v>
          </cell>
          <cell r="J105">
            <v>395.69877583513102</v>
          </cell>
          <cell r="K105">
            <v>1289.2250360431899</v>
          </cell>
          <cell r="L105">
            <v>1347.5238000975701</v>
          </cell>
          <cell r="M105">
            <v>1284.9208299019899</v>
          </cell>
          <cell r="N105">
            <v>1257.74447198793</v>
          </cell>
          <cell r="O105">
            <v>1256.28700014368</v>
          </cell>
          <cell r="P105">
            <v>1257.61855635029</v>
          </cell>
        </row>
        <row r="106">
          <cell r="B106" t="str">
            <v>CHPWSTCCS</v>
          </cell>
          <cell r="C106" t="str">
            <v>VAR_fin</v>
          </cell>
          <cell r="D106" t="str">
            <v>EWST</v>
          </cell>
          <cell r="J106">
            <v>4.2639954292578688</v>
          </cell>
          <cell r="K106">
            <v>13.892511164258465</v>
          </cell>
          <cell r="L106">
            <v>14.520730604499649</v>
          </cell>
          <cell r="M106">
            <v>13.846129632564576</v>
          </cell>
          <cell r="N106">
            <v>13.553280948145762</v>
          </cell>
          <cell r="O106">
            <v>13.537575432582772</v>
          </cell>
          <cell r="P106">
            <v>13.551924098602301</v>
          </cell>
        </row>
        <row r="107">
          <cell r="B107" t="str">
            <v>CHPWSTCCS</v>
          </cell>
          <cell r="C107" t="str">
            <v>VAR_ncap</v>
          </cell>
          <cell r="D107" t="str">
            <v>-</v>
          </cell>
          <cell r="J107">
            <v>1.8944193355246001E-2</v>
          </cell>
          <cell r="K107">
            <v>2.3045792841892902E-2</v>
          </cell>
          <cell r="L107">
            <v>8.5302988389406899E-4</v>
          </cell>
          <cell r="M107">
            <v>3.10090024551049E-6</v>
          </cell>
          <cell r="N107">
            <v>7.2104582583562699E-3</v>
          </cell>
          <cell r="O107">
            <v>5.4353567020785001E-3</v>
          </cell>
          <cell r="P107">
            <v>2.0189019234246298E-2</v>
          </cell>
        </row>
        <row r="108">
          <cell r="B108" t="str">
            <v>CHPWSTCCS</v>
          </cell>
          <cell r="C108" t="str">
            <v>VAR_cap</v>
          </cell>
          <cell r="D108" t="str">
            <v>-</v>
          </cell>
          <cell r="J108">
            <v>1.8944193355246001E-2</v>
          </cell>
          <cell r="K108">
            <v>4.1989479270396833E-2</v>
          </cell>
          <cell r="L108">
            <v>4.2841582196146429E-2</v>
          </cell>
          <cell r="M108">
            <v>4.2843433450202723E-2</v>
          </cell>
          <cell r="N108">
            <v>5.0052468071627283E-2</v>
          </cell>
          <cell r="O108">
            <v>5.2520417027355611E-2</v>
          </cell>
          <cell r="P108">
            <v>5.672845156631931E-2</v>
          </cell>
        </row>
        <row r="109">
          <cell r="B109" t="str">
            <v>RHNS-CHPGFC</v>
          </cell>
          <cell r="C109" t="str">
            <v>VAR_fout</v>
          </cell>
          <cell r="D109" t="str">
            <v>CO2_R</v>
          </cell>
          <cell r="J109"/>
          <cell r="K109"/>
          <cell r="L109"/>
          <cell r="M109">
            <v>0.253856121994812</v>
          </cell>
          <cell r="N109">
            <v>0.42328309015815102</v>
          </cell>
          <cell r="O109">
            <v>0.42642329239851601</v>
          </cell>
          <cell r="P109">
            <v>0.87291900854473703</v>
          </cell>
        </row>
        <row r="110">
          <cell r="B110" t="str">
            <v>RHNS-CHPGFC</v>
          </cell>
          <cell r="C110" t="str">
            <v>VAR_fout</v>
          </cell>
          <cell r="D110" t="str">
            <v>RHNS_LTH_CHPNGA</v>
          </cell>
          <cell r="J110"/>
          <cell r="K110"/>
          <cell r="L110"/>
          <cell r="M110">
            <v>2.0254477818735018E-3</v>
          </cell>
          <cell r="N110">
            <v>3.3772586980703487E-3</v>
          </cell>
          <cell r="O110">
            <v>3.4023135031796435E-3</v>
          </cell>
          <cell r="P110">
            <v>6.9647793234952479E-3</v>
          </cell>
        </row>
        <row r="111">
          <cell r="B111" t="str">
            <v>RHNS-CHPGFC</v>
          </cell>
          <cell r="C111" t="str">
            <v>VAR_fout</v>
          </cell>
          <cell r="D111" t="str">
            <v>RHNS_NKEV_GAS_ELC_CHP</v>
          </cell>
          <cell r="J111"/>
          <cell r="K111"/>
          <cell r="L111"/>
          <cell r="M111">
            <v>2.0254477818735018E-3</v>
          </cell>
          <cell r="N111">
            <v>3.3772586980703487E-3</v>
          </cell>
          <cell r="O111">
            <v>3.4023135031796435E-3</v>
          </cell>
          <cell r="P111">
            <v>6.9647793234952479E-3</v>
          </cell>
        </row>
        <row r="112">
          <cell r="B112" t="str">
            <v>RHNS-CHPGFC</v>
          </cell>
          <cell r="C112" t="str">
            <v>VAR_fin</v>
          </cell>
          <cell r="D112" t="str">
            <v>RNGA</v>
          </cell>
          <cell r="J112"/>
          <cell r="K112"/>
          <cell r="L112"/>
          <cell r="M112">
            <v>4.5009950708299988E-3</v>
          </cell>
          <cell r="N112">
            <v>7.5050193290452216E-3</v>
          </cell>
          <cell r="O112">
            <v>7.5606966737325476E-3</v>
          </cell>
          <cell r="P112">
            <v>1.5477287385544981E-2</v>
          </cell>
        </row>
        <row r="113">
          <cell r="B113" t="str">
            <v>RHNS-CHPGFC</v>
          </cell>
          <cell r="C113" t="str">
            <v>VAR_ncap</v>
          </cell>
          <cell r="D113" t="str">
            <v>-</v>
          </cell>
          <cell r="J113"/>
          <cell r="K113"/>
          <cell r="L113"/>
          <cell r="M113">
            <v>1.7959265019406101E-4</v>
          </cell>
          <cell r="N113">
            <v>1.2192833305750301E-4</v>
          </cell>
          <cell r="O113">
            <v>2.1367912016639101E-6</v>
          </cell>
          <cell r="P113">
            <v>3.2082854883262897E-4</v>
          </cell>
        </row>
        <row r="114">
          <cell r="B114" t="str">
            <v>RHNS-CHPGFC</v>
          </cell>
          <cell r="C114" t="str">
            <v>VAR_cap</v>
          </cell>
          <cell r="D114" t="str">
            <v>-</v>
          </cell>
          <cell r="J114"/>
          <cell r="K114"/>
          <cell r="L114"/>
          <cell r="M114">
            <v>1.7959265019406101E-4</v>
          </cell>
          <cell r="N114">
            <v>3.0131289818412731E-4</v>
          </cell>
          <cell r="O114">
            <v>3.0284448383081968E-4</v>
          </cell>
          <cell r="P114">
            <v>6.2250452382869533E-4</v>
          </cell>
        </row>
        <row r="115">
          <cell r="B115" t="str">
            <v>D-ENGA</v>
          </cell>
          <cell r="C115" t="str">
            <v>VAR_fout</v>
          </cell>
          <cell r="D115" t="str">
            <v>CO2</v>
          </cell>
          <cell r="E115">
            <v>313.33530696937299</v>
          </cell>
          <cell r="F115">
            <v>142.06701895455899</v>
          </cell>
          <cell r="G115">
            <v>69.377940592179996</v>
          </cell>
          <cell r="J115"/>
          <cell r="K115"/>
          <cell r="L115"/>
        </row>
        <row r="116">
          <cell r="B116" t="str">
            <v>D-ENGA</v>
          </cell>
          <cell r="C116" t="str">
            <v>VAR_fout</v>
          </cell>
          <cell r="D116" t="str">
            <v>ENGA</v>
          </cell>
          <cell r="E116">
            <v>5.7508614639567304</v>
          </cell>
          <cell r="F116">
            <v>2.5113539902040909</v>
          </cell>
          <cell r="G116">
            <v>1.3469702403092421</v>
          </cell>
          <cell r="J116">
            <v>4.2557783379278477E-4</v>
          </cell>
          <cell r="K116">
            <v>7.6867200116315581E-4</v>
          </cell>
          <cell r="L116">
            <v>5.1210448067548792E-2</v>
          </cell>
          <cell r="M116">
            <v>2.1879372187680257</v>
          </cell>
          <cell r="N116">
            <v>4.3000934341156958</v>
          </cell>
          <cell r="O116">
            <v>4.3018153015349849</v>
          </cell>
          <cell r="P116">
            <v>4.3019013843639744</v>
          </cell>
        </row>
        <row r="117">
          <cell r="B117" t="str">
            <v>D-ENGA</v>
          </cell>
          <cell r="C117" t="str">
            <v>VAR_fout</v>
          </cell>
          <cell r="D117" t="str">
            <v>EH2</v>
          </cell>
          <cell r="J117">
            <v>4.7753448199801134E-5</v>
          </cell>
          <cell r="K117">
            <v>8.1785183413239475E-5</v>
          </cell>
          <cell r="L117">
            <v>1.1204033645138931E-3</v>
          </cell>
          <cell r="M117">
            <v>6.0462340623810305E-2</v>
          </cell>
          <cell r="N117">
            <v>8.3906614171854702E-2</v>
          </cell>
          <cell r="O117">
            <v>7.8171891413736191E-2</v>
          </cell>
          <cell r="P117">
            <v>7.0122278465732643E-2</v>
          </cell>
        </row>
        <row r="118">
          <cell r="B118" t="str">
            <v>D-ENGA</v>
          </cell>
          <cell r="C118" t="str">
            <v>VAR_fin</v>
          </cell>
          <cell r="D118" t="str">
            <v>NGA</v>
          </cell>
          <cell r="E118">
            <v>5.5555905491023552</v>
          </cell>
          <cell r="F118">
            <v>2.5189187757900529</v>
          </cell>
          <cell r="G118">
            <v>1.2301053296485818</v>
          </cell>
          <cell r="J118"/>
          <cell r="K118"/>
          <cell r="L118"/>
        </row>
        <row r="119">
          <cell r="B119" t="str">
            <v>D-ENGA</v>
          </cell>
          <cell r="C119" t="str">
            <v>VAR_fin</v>
          </cell>
          <cell r="D119" t="str">
            <v>BNGA</v>
          </cell>
          <cell r="E119">
            <v>0.21364272953536623</v>
          </cell>
          <cell r="F119">
            <v>3.8059408409726295E-4</v>
          </cell>
          <cell r="G119">
            <v>0.12105953230824015</v>
          </cell>
          <cell r="J119">
            <v>9.7835502041610677E-5</v>
          </cell>
          <cell r="K119">
            <v>1.4864391288087298E-4</v>
          </cell>
          <cell r="L119">
            <v>5.1321064838341833E-2</v>
          </cell>
          <cell r="M119">
            <v>2.1949360326962815</v>
          </cell>
          <cell r="N119">
            <v>4.3139929660975165</v>
          </cell>
          <cell r="O119">
            <v>4.3156318381100798</v>
          </cell>
          <cell r="P119">
            <v>4.3157360809705594</v>
          </cell>
        </row>
        <row r="120">
          <cell r="B120" t="str">
            <v>D-ENGA</v>
          </cell>
          <cell r="C120" t="str">
            <v>VAR_fin</v>
          </cell>
          <cell r="D120" t="str">
            <v>H2</v>
          </cell>
          <cell r="J120">
            <v>5.2018709383344203E-5</v>
          </cell>
          <cell r="K120">
            <v>5.3135456773157823E-5</v>
          </cell>
          <cell r="L120">
            <v>1.1215825258404223E-3</v>
          </cell>
          <cell r="M120">
            <v>6.0459772239856532E-2</v>
          </cell>
          <cell r="N120">
            <v>8.390654677053018E-2</v>
          </cell>
          <cell r="O120">
            <v>7.8172001180978487E-2</v>
          </cell>
          <cell r="P120">
            <v>7.0125412104488846E-2</v>
          </cell>
        </row>
        <row r="121">
          <cell r="B121" t="str">
            <v>D-ENGA</v>
          </cell>
          <cell r="C121" t="str">
            <v>VAR_ncap</v>
          </cell>
          <cell r="D121" t="str">
            <v>-</v>
          </cell>
          <cell r="E121">
            <v>1.6448965273123201E-5</v>
          </cell>
          <cell r="F121">
            <v>1.3299368838551101E-6</v>
          </cell>
          <cell r="G121">
            <v>1.4389309985167099E-6</v>
          </cell>
          <cell r="H121">
            <v>1.5616650227028899E-6</v>
          </cell>
          <cell r="I121">
            <v>3.5994488365352599E-6</v>
          </cell>
          <cell r="J121">
            <v>1.31693715004698E-5</v>
          </cell>
          <cell r="K121">
            <v>1.5504857967227299E-5</v>
          </cell>
          <cell r="L121">
            <v>1.93197519976671E-4</v>
          </cell>
          <cell r="M121">
            <v>5.9531207371386098E-5</v>
          </cell>
          <cell r="N121">
            <v>0.28593577026922101</v>
          </cell>
          <cell r="O121">
            <v>5.1020191620682297E-2</v>
          </cell>
          <cell r="P121">
            <v>9.8904323157894998E-3</v>
          </cell>
        </row>
        <row r="122">
          <cell r="B122" t="str">
            <v>D-ENGA</v>
          </cell>
          <cell r="C122" t="str">
            <v>VAR_cap</v>
          </cell>
          <cell r="D122" t="str">
            <v>-</v>
          </cell>
          <cell r="E122">
            <v>1.0275284435062533</v>
          </cell>
          <cell r="F122">
            <v>1.027529773443137</v>
          </cell>
          <cell r="G122">
            <v>1.0275312123741356</v>
          </cell>
          <cell r="H122">
            <v>1.0275327740391582</v>
          </cell>
          <cell r="I122">
            <v>1.0275363734879948</v>
          </cell>
          <cell r="J122">
            <v>1.0275495428594952</v>
          </cell>
          <cell r="K122">
            <v>1.0275650477174625</v>
          </cell>
          <cell r="L122">
            <v>0.72918134582009309</v>
          </cell>
          <cell r="M122">
            <v>0.25850847549256251</v>
          </cell>
          <cell r="N122">
            <v>0.286228720440249</v>
          </cell>
          <cell r="O122">
            <v>0.337242285757612</v>
          </cell>
          <cell r="P122">
            <v>0.34713139661134501</v>
          </cell>
        </row>
        <row r="123">
          <cell r="B123" t="str">
            <v>D-ILFO</v>
          </cell>
          <cell r="C123" t="str">
            <v>VAR_fout</v>
          </cell>
          <cell r="D123" t="str">
            <v>CO2</v>
          </cell>
          <cell r="E123">
            <v>690.34145766029906</v>
          </cell>
          <cell r="F123">
            <v>659.57743359546396</v>
          </cell>
          <cell r="G123">
            <v>602.559182724886</v>
          </cell>
          <cell r="H123">
            <v>518.827545680399</v>
          </cell>
          <cell r="I123">
            <v>359.98516456246699</v>
          </cell>
          <cell r="J123">
            <v>204.20776220591301</v>
          </cell>
          <cell r="K123">
            <v>100.281335936876</v>
          </cell>
          <cell r="L123">
            <v>1.1459695964495999E-3</v>
          </cell>
          <cell r="M123">
            <v>5.2555591769742503E-3</v>
          </cell>
          <cell r="N123">
            <v>6.3827571497409204E-3</v>
          </cell>
          <cell r="O123">
            <v>5.9861755070158198E-3</v>
          </cell>
          <cell r="P123">
            <v>6.6505710985618896E-3</v>
          </cell>
        </row>
        <row r="124">
          <cell r="B124" t="str">
            <v>D-ILFO</v>
          </cell>
          <cell r="C124" t="str">
            <v>VAR_fout</v>
          </cell>
          <cell r="D124" t="str">
            <v>ILFO</v>
          </cell>
          <cell r="E124">
            <v>9.2104742306187894</v>
          </cell>
          <cell r="F124">
            <v>8.8000233620882522</v>
          </cell>
          <cell r="G124">
            <v>8.0393030165742747</v>
          </cell>
          <cell r="H124">
            <v>7.1487503878603542</v>
          </cell>
          <cell r="I124">
            <v>5.0295511304600033</v>
          </cell>
          <cell r="J124">
            <v>2.95116459785228</v>
          </cell>
          <cell r="K124">
            <v>1.564587070639905</v>
          </cell>
          <cell r="L124">
            <v>0.22671585700284247</v>
          </cell>
          <cell r="M124">
            <v>0.23684265087664694</v>
          </cell>
          <cell r="N124">
            <v>0.2409317733568771</v>
          </cell>
          <cell r="O124">
            <v>0.24098469656173552</v>
          </cell>
          <cell r="P124">
            <v>0.25176990743495198</v>
          </cell>
        </row>
        <row r="125">
          <cell r="B125" t="str">
            <v>D-ILFO</v>
          </cell>
          <cell r="C125" t="str">
            <v>VAR_fin</v>
          </cell>
          <cell r="D125" t="str">
            <v>LFO</v>
          </cell>
          <cell r="E125">
            <v>9.3669125869782857</v>
          </cell>
          <cell r="F125">
            <v>8.9494902794499804</v>
          </cell>
          <cell r="G125">
            <v>8.1758369433498839</v>
          </cell>
          <cell r="H125">
            <v>7.0397224651342993</v>
          </cell>
          <cell r="I125">
            <v>4.884466276288558</v>
          </cell>
          <cell r="J125">
            <v>2.7707973162267687</v>
          </cell>
          <cell r="K125">
            <v>1.3606694156971029</v>
          </cell>
          <cell r="L125">
            <v>1.554911257055092E-5</v>
          </cell>
          <cell r="M125">
            <v>7.1310165223531247E-5</v>
          </cell>
          <cell r="N125">
            <v>8.6604574623350326E-5</v>
          </cell>
          <cell r="O125">
            <v>8.122354826344394E-5</v>
          </cell>
          <cell r="P125">
            <v>9.0238413820378395E-5</v>
          </cell>
        </row>
        <row r="126">
          <cell r="B126" t="str">
            <v>D-ILFO</v>
          </cell>
          <cell r="C126" t="str">
            <v>VAR_fin</v>
          </cell>
          <cell r="D126" t="str">
            <v>BDS</v>
          </cell>
          <cell r="G126">
            <v>1.2283408439757694E-5</v>
          </cell>
          <cell r="H126">
            <v>0.23047618546490381</v>
          </cell>
          <cell r="I126">
            <v>0.23051093456365007</v>
          </cell>
          <cell r="J126">
            <v>0.23052186442714218</v>
          </cell>
          <cell r="K126">
            <v>0.23053119399446634</v>
          </cell>
          <cell r="L126">
            <v>0.23057838883868337</v>
          </cell>
          <cell r="M126">
            <v>0.24081846923572608</v>
          </cell>
          <cell r="N126">
            <v>0.24493735444772466</v>
          </cell>
          <cell r="O126">
            <v>0.2449965575706804</v>
          </cell>
          <cell r="P126">
            <v>0.25594516821857299</v>
          </cell>
        </row>
        <row r="127">
          <cell r="B127" t="str">
            <v>HPLNGA</v>
          </cell>
          <cell r="C127" t="str">
            <v>VAR_fout</v>
          </cell>
          <cell r="D127" t="str">
            <v>LTH</v>
          </cell>
          <cell r="E127">
            <v>1.7329259660505791</v>
          </cell>
          <cell r="F127">
            <v>2.1412907834510397</v>
          </cell>
          <cell r="G127">
            <v>1.122681982033449</v>
          </cell>
          <cell r="J127"/>
          <cell r="K127"/>
          <cell r="L127"/>
        </row>
        <row r="128">
          <cell r="B128" t="str">
            <v>HPLNGA</v>
          </cell>
          <cell r="C128" t="str">
            <v>VAR_fout</v>
          </cell>
          <cell r="D128" t="str">
            <v>CO2_E</v>
          </cell>
          <cell r="E128">
            <v>114.385220069262</v>
          </cell>
          <cell r="F128">
            <v>141.34015087530901</v>
          </cell>
          <cell r="G128">
            <v>74.104853928274096</v>
          </cell>
          <cell r="J128"/>
          <cell r="K128"/>
          <cell r="L128"/>
        </row>
        <row r="129">
          <cell r="B129" t="str">
            <v>HPLNGA</v>
          </cell>
          <cell r="C129" t="str">
            <v>VAR_fin</v>
          </cell>
          <cell r="D129" t="str">
            <v>ENGA</v>
          </cell>
          <cell r="E129">
            <v>2.0281067388167036</v>
          </cell>
          <cell r="F129">
            <v>2.5060310438884601</v>
          </cell>
          <cell r="G129">
            <v>1.3139158497920929</v>
          </cell>
          <cell r="J129"/>
          <cell r="K129"/>
        </row>
        <row r="130">
          <cell r="B130" t="str">
            <v>HPLNGA</v>
          </cell>
          <cell r="C130" t="str">
            <v>VAR_ncap</v>
          </cell>
          <cell r="D130" t="str">
            <v>-</v>
          </cell>
          <cell r="E130">
            <v>2.06395252797454E-5</v>
          </cell>
          <cell r="F130">
            <v>1.31828265518934E-5</v>
          </cell>
          <cell r="G130">
            <v>1.16985005979096E-5</v>
          </cell>
          <cell r="H130">
            <v>9.2142931581772704E-6</v>
          </cell>
          <cell r="I130">
            <v>1.5196465551855099E-5</v>
          </cell>
          <cell r="J130">
            <v>1.3947512992761299E-5</v>
          </cell>
          <cell r="K130">
            <v>1.5948610866006301E-5</v>
          </cell>
          <cell r="L130">
            <v>1.90133114078218E-5</v>
          </cell>
          <cell r="M130">
            <v>1.9876253645972401E-5</v>
          </cell>
          <cell r="N130">
            <v>1.7882549424765401E-5</v>
          </cell>
          <cell r="O130">
            <v>1.7025397551489399E-5</v>
          </cell>
          <cell r="P130">
            <v>5.0085895274254998E-5</v>
          </cell>
        </row>
        <row r="131">
          <cell r="B131" t="str">
            <v>HPLNGA</v>
          </cell>
          <cell r="C131" t="str">
            <v>VAR_cap</v>
          </cell>
          <cell r="D131" t="str">
            <v>-</v>
          </cell>
          <cell r="E131">
            <v>0.27292434486464873</v>
          </cell>
          <cell r="F131">
            <v>0.27184679706872567</v>
          </cell>
          <cell r="G131">
            <v>0.14293894583670252</v>
          </cell>
          <cell r="H131">
            <v>7.368413026875853E-5</v>
          </cell>
          <cell r="I131">
            <v>3.5011213394467936E-5</v>
          </cell>
          <cell r="J131">
            <v>3.4954187224158294E-5</v>
          </cell>
          <cell r="K131">
            <v>3.6963522310250902E-5</v>
          </cell>
          <cell r="L131">
            <v>4.4452379475633195E-5</v>
          </cell>
          <cell r="M131">
            <v>4.6896871058028197E-5</v>
          </cell>
          <cell r="N131">
            <v>4.7553615032954602E-5</v>
          </cell>
          <cell r="O131">
            <v>4.6141922945654802E-5</v>
          </cell>
          <cell r="P131">
            <v>7.5450764524367904E-5</v>
          </cell>
        </row>
        <row r="132">
          <cell r="B132" t="str">
            <v>G-INTC-IMP00-AT</v>
          </cell>
          <cell r="C132" t="str">
            <v>VAR_fout</v>
          </cell>
          <cell r="D132" t="str">
            <v>ELC</v>
          </cell>
          <cell r="E132">
            <v>15.013833876889493</v>
          </cell>
          <cell r="F132">
            <v>8.3969043698335716E-2</v>
          </cell>
          <cell r="G132">
            <v>4.1499299489571879E-2</v>
          </cell>
          <cell r="H132">
            <v>4.7481134576967142E-2</v>
          </cell>
          <cell r="I132">
            <v>2.4215058247201243E-2</v>
          </cell>
          <cell r="J132">
            <v>1.9357788430231806E-2</v>
          </cell>
          <cell r="K132">
            <v>2.3241371102383086</v>
          </cell>
          <cell r="L132">
            <v>4.3708248859981831</v>
          </cell>
          <cell r="M132">
            <v>5.2369593664939469</v>
          </cell>
          <cell r="N132">
            <v>5.3292996238440296</v>
          </cell>
          <cell r="O132">
            <v>5.2761031939368586</v>
          </cell>
          <cell r="P132">
            <v>5.2106638634153324</v>
          </cell>
        </row>
        <row r="133">
          <cell r="B133" t="str">
            <v>G-INTC-IMP00-AT</v>
          </cell>
          <cell r="C133" t="str">
            <v>VAR_fin</v>
          </cell>
          <cell r="D133" t="str">
            <v>ELC_I-AT</v>
          </cell>
          <cell r="E133">
            <v>15.013833876889493</v>
          </cell>
          <cell r="F133">
            <v>8.3969043698335716E-2</v>
          </cell>
          <cell r="G133">
            <v>4.1499299489571879E-2</v>
          </cell>
          <cell r="H133">
            <v>4.7481134576967142E-2</v>
          </cell>
          <cell r="I133">
            <v>2.4215058247201243E-2</v>
          </cell>
          <cell r="J133">
            <v>1.9357788430231806E-2</v>
          </cell>
          <cell r="K133">
            <v>2.3241371102383086</v>
          </cell>
          <cell r="L133">
            <v>4.3708248859981831</v>
          </cell>
          <cell r="M133">
            <v>5.2369593664939469</v>
          </cell>
          <cell r="N133">
            <v>5.3292996238440296</v>
          </cell>
          <cell r="O133">
            <v>5.2761031939368586</v>
          </cell>
          <cell r="P133">
            <v>5.2106638634153324</v>
          </cell>
        </row>
        <row r="134">
          <cell r="B134" t="str">
            <v>G-INTC-IMP00-AT</v>
          </cell>
          <cell r="C134" t="str">
            <v>VAR_ncap</v>
          </cell>
          <cell r="D134" t="str">
            <v>-</v>
          </cell>
          <cell r="E134">
            <v>1.0954842953944499E-5</v>
          </cell>
          <cell r="F134">
            <v>9.2294373404021497E-6</v>
          </cell>
          <cell r="G134">
            <v>1.18985472651018E-5</v>
          </cell>
          <cell r="H134">
            <v>1.21482595417106E-5</v>
          </cell>
          <cell r="I134">
            <v>0.40716919997059398</v>
          </cell>
          <cell r="J134">
            <v>0.56322450121562995</v>
          </cell>
          <cell r="K134">
            <v>0.22185969224159699</v>
          </cell>
          <cell r="L134">
            <v>9.1478297328961894E-6</v>
          </cell>
          <cell r="M134">
            <v>1.5137573979426099E-5</v>
          </cell>
          <cell r="N134">
            <v>4.0656305275694201E-5</v>
          </cell>
        </row>
        <row r="135">
          <cell r="B135" t="str">
            <v>G-INTC-IMP00-AT</v>
          </cell>
          <cell r="C135" t="str">
            <v>VAR_cap</v>
          </cell>
          <cell r="D135" t="str">
            <v>-</v>
          </cell>
          <cell r="E135">
            <v>0.56838734405894098</v>
          </cell>
          <cell r="F135">
            <v>7.7724246373700456E-3</v>
          </cell>
          <cell r="G135">
            <v>7.7440559551700261E-3</v>
          </cell>
          <cell r="H135">
            <v>7.7405378131547575E-3</v>
          </cell>
          <cell r="I135">
            <v>7.753874940198191E-3</v>
          </cell>
          <cell r="J135">
            <v>7.7540337692811878E-3</v>
          </cell>
          <cell r="K135">
            <v>0.43097127791319889</v>
          </cell>
          <cell r="L135">
            <v>0.97813154008476499</v>
          </cell>
          <cell r="M135">
            <v>1.1658928162058002</v>
          </cell>
          <cell r="N135">
            <v>1.1999819323429097</v>
          </cell>
          <cell r="O135">
            <v>1.1999759042006002</v>
          </cell>
          <cell r="P135">
            <v>1.1999843226026798</v>
          </cell>
        </row>
        <row r="136">
          <cell r="B136" t="str">
            <v>CHPWST</v>
          </cell>
          <cell r="C136" t="str">
            <v>VAR_fout</v>
          </cell>
          <cell r="D136" t="str">
            <v>ELC35</v>
          </cell>
          <cell r="E136">
            <v>1.4349884331770366</v>
          </cell>
          <cell r="F136">
            <v>1.3067371796229414</v>
          </cell>
          <cell r="G136">
            <v>1.2423357907165984</v>
          </cell>
          <cell r="H136">
            <v>1.2902044941068445</v>
          </cell>
          <cell r="I136">
            <v>1.27988438086387</v>
          </cell>
          <cell r="J136">
            <v>1.1842978226384411</v>
          </cell>
          <cell r="K136">
            <v>0.71018267344649144</v>
          </cell>
          <cell r="L136">
            <v>0.55352570692480974</v>
          </cell>
          <cell r="M136">
            <v>0.5278040231531439</v>
          </cell>
          <cell r="N136">
            <v>0.51664506999749515</v>
          </cell>
          <cell r="O136">
            <v>0.51603580625893519</v>
          </cell>
          <cell r="P136">
            <v>0.51657889593388662</v>
          </cell>
        </row>
        <row r="137">
          <cell r="B137" t="str">
            <v>CHPWST</v>
          </cell>
          <cell r="C137" t="str">
            <v>VAR_fout</v>
          </cell>
          <cell r="D137" t="str">
            <v>LTH</v>
          </cell>
          <cell r="E137">
            <v>14.461545811681923</v>
          </cell>
          <cell r="F137">
            <v>13.123977862527429</v>
          </cell>
          <cell r="G137">
            <v>12.412892869059723</v>
          </cell>
          <cell r="H137">
            <v>12.779913069542475</v>
          </cell>
          <cell r="I137">
            <v>12.343210539571402</v>
          </cell>
          <cell r="J137">
            <v>11.111875140204234</v>
          </cell>
          <cell r="K137">
            <v>6.477813922387309</v>
          </cell>
          <cell r="L137">
            <v>4.9042377633538106</v>
          </cell>
          <cell r="M137">
            <v>4.6763436451368543</v>
          </cell>
          <cell r="N137">
            <v>4.5774753201778076</v>
          </cell>
          <cell r="O137">
            <v>4.5720772434541628</v>
          </cell>
          <cell r="P137">
            <v>4.5768890179742341</v>
          </cell>
        </row>
        <row r="138">
          <cell r="B138" t="str">
            <v>CHPWST</v>
          </cell>
          <cell r="C138" t="str">
            <v>VAR_fout</v>
          </cell>
          <cell r="D138" t="str">
            <v>CO2_E</v>
          </cell>
          <cell r="E138">
            <v>2843.3117189930299</v>
          </cell>
          <cell r="F138">
            <v>2589.1923938647001</v>
          </cell>
          <cell r="G138">
            <v>2461.58633129079</v>
          </cell>
          <cell r="H138">
            <v>2556.43423541023</v>
          </cell>
          <cell r="I138">
            <v>2535.9857786515099</v>
          </cell>
          <cell r="J138">
            <v>2346.5888644346801</v>
          </cell>
          <cell r="K138">
            <v>1407.1686372869101</v>
          </cell>
          <cell r="L138">
            <v>1096.76572498828</v>
          </cell>
          <cell r="M138">
            <v>1045.80032121963</v>
          </cell>
          <cell r="N138">
            <v>1023.68977207123</v>
          </cell>
          <cell r="O138">
            <v>1022.48256601454</v>
          </cell>
          <cell r="P138">
            <v>1023.55865359933</v>
          </cell>
        </row>
        <row r="139">
          <cell r="B139" t="str">
            <v>CHPWST</v>
          </cell>
          <cell r="C139" t="str">
            <v>VAR_fin</v>
          </cell>
          <cell r="D139" t="str">
            <v>EWST</v>
          </cell>
          <cell r="E139">
            <v>30.639134902942121</v>
          </cell>
          <cell r="F139">
            <v>27.900780106300676</v>
          </cell>
          <cell r="G139">
            <v>26.525714776840395</v>
          </cell>
          <cell r="H139">
            <v>27.547782709161982</v>
          </cell>
          <cell r="I139">
            <v>27.327432959606774</v>
          </cell>
          <cell r="J139">
            <v>25.286517935718553</v>
          </cell>
          <cell r="K139">
            <v>15.163455143177913</v>
          </cell>
          <cell r="L139">
            <v>11.818596174442705</v>
          </cell>
          <cell r="M139">
            <v>11.269400013142592</v>
          </cell>
          <cell r="N139">
            <v>11.031139785250328</v>
          </cell>
          <cell r="O139">
            <v>11.018131099294656</v>
          </cell>
          <cell r="P139">
            <v>11.029726870682437</v>
          </cell>
        </row>
        <row r="140">
          <cell r="B140" t="str">
            <v>CHPWST</v>
          </cell>
          <cell r="C140" t="str">
            <v>VAR_ncap</v>
          </cell>
          <cell r="D140" t="str">
            <v>-</v>
          </cell>
          <cell r="F140">
            <v>3.3812487434284999E-7</v>
          </cell>
          <cell r="G140">
            <v>6.2533055541552202E-7</v>
          </cell>
          <cell r="H140">
            <v>2.2981333138953499E-6</v>
          </cell>
          <cell r="I140">
            <v>5.7081491896724497E-3</v>
          </cell>
          <cell r="J140">
            <v>1.35198029886907E-2</v>
          </cell>
          <cell r="K140">
            <v>1.39205544245379E-5</v>
          </cell>
          <cell r="L140">
            <v>2.42414696454703E-2</v>
          </cell>
          <cell r="M140">
            <v>1.60295600296381E-6</v>
          </cell>
          <cell r="N140">
            <v>3.8164678956149204E-6</v>
          </cell>
          <cell r="O140">
            <v>1.49535522907376E-5</v>
          </cell>
          <cell r="P140">
            <v>7.4599966201395196E-3</v>
          </cell>
        </row>
        <row r="141">
          <cell r="B141" t="str">
            <v>CHPWST</v>
          </cell>
          <cell r="C141" t="str">
            <v>VAR_cap</v>
          </cell>
          <cell r="D141" t="str">
            <v>-</v>
          </cell>
          <cell r="E141">
            <v>7.8399375373176289E-2</v>
          </cell>
          <cell r="F141">
            <v>7.1394866044016278E-2</v>
          </cell>
          <cell r="G141">
            <v>7.0492954886461054E-2</v>
          </cell>
          <cell r="H141">
            <v>7.0491365436546424E-2</v>
          </cell>
          <cell r="I141">
            <v>6.9969928659102815E-2</v>
          </cell>
          <cell r="J141">
            <v>6.4686419102350998E-2</v>
          </cell>
          <cell r="K141">
            <v>5.8785828916011647E-2</v>
          </cell>
          <cell r="L141">
            <v>4.3484051740118247E-2</v>
          </cell>
          <cell r="M141">
            <v>4.3483359893723462E-2</v>
          </cell>
          <cell r="N141">
            <v>4.346516278615508E-2</v>
          </cell>
          <cell r="O141">
            <v>3.6680135108989653E-2</v>
          </cell>
          <cell r="P141">
            <v>3.1729876382560168E-2</v>
          </cell>
        </row>
        <row r="142">
          <cell r="B142" t="str">
            <v>RHES-CHPNGA</v>
          </cell>
          <cell r="C142" t="str">
            <v>VAR_fout</v>
          </cell>
          <cell r="D142" t="str">
            <v>CO2_R</v>
          </cell>
          <cell r="E142">
            <v>6.5453797295639902</v>
          </cell>
          <cell r="F142">
            <v>2.7671557007051502</v>
          </cell>
          <cell r="G142">
            <v>3.2202332379403402</v>
          </cell>
          <cell r="H142">
            <v>1.7220714591861599</v>
          </cell>
          <cell r="I142">
            <v>1.33968741592677</v>
          </cell>
          <cell r="J142">
            <v>0.51225093483853401</v>
          </cell>
          <cell r="K142"/>
          <cell r="L142"/>
          <cell r="M142">
            <v>0.96703837250133295</v>
          </cell>
          <cell r="N142">
            <v>1.3788154026225301</v>
          </cell>
          <cell r="O142">
            <v>5.2206559851814998</v>
          </cell>
          <cell r="P142">
            <v>5.3170933754196197</v>
          </cell>
        </row>
        <row r="143">
          <cell r="B143" t="str">
            <v>RHES-CHPNGA</v>
          </cell>
          <cell r="C143" t="str">
            <v>VAR_fout</v>
          </cell>
          <cell r="D143" t="str">
            <v>RHES_NKEV_GAS_ELC_CHP</v>
          </cell>
          <cell r="E143">
            <v>1.8881207239921535E-2</v>
          </cell>
          <cell r="F143">
            <v>1.3289481156421198E-2</v>
          </cell>
          <cell r="G143">
            <v>1.3368286198531282E-2</v>
          </cell>
          <cell r="H143">
            <v>7.5377662738102778E-3</v>
          </cell>
          <cell r="I143">
            <v>5.2654312016464167E-3</v>
          </cell>
          <cell r="J143">
            <v>2.193463099031488E-3</v>
          </cell>
          <cell r="K143"/>
          <cell r="L143"/>
          <cell r="M143">
            <v>4.6589679397427463E-3</v>
          </cell>
          <cell r="N143">
            <v>6.730361980904943E-3</v>
          </cell>
          <cell r="O143">
            <v>2.6369554162312573E-2</v>
          </cell>
          <cell r="P143">
            <v>2.6393495558589924E-2</v>
          </cell>
        </row>
        <row r="144">
          <cell r="B144" t="str">
            <v>RHES-CHPNGA</v>
          </cell>
          <cell r="C144" t="str">
            <v>VAR_fout</v>
          </cell>
          <cell r="D144" t="str">
            <v>RHES_LTH_CHPNGA</v>
          </cell>
          <cell r="E144">
            <v>4.5454758170181506E-2</v>
          </cell>
          <cell r="F144">
            <v>3.1669747687048264E-2</v>
          </cell>
          <cell r="G144">
            <v>3.1369496979093275E-2</v>
          </cell>
          <cell r="H144">
            <v>1.7229180054423525E-2</v>
          </cell>
          <cell r="I144">
            <v>1.192969876262746E-2</v>
          </cell>
          <cell r="J144">
            <v>4.9256715206321185E-3</v>
          </cell>
          <cell r="K144"/>
          <cell r="L144"/>
          <cell r="M144">
            <v>1.0121206213923898E-2</v>
          </cell>
          <cell r="N144">
            <v>1.4621131199896963E-2</v>
          </cell>
          <cell r="O144">
            <v>5.7285583180196421E-2</v>
          </cell>
          <cell r="P144">
            <v>5.7337593799695385E-2</v>
          </cell>
        </row>
        <row r="145">
          <cell r="B145" t="str">
            <v>RHES-CHPNGA</v>
          </cell>
          <cell r="C145" t="str">
            <v>VAR_fin</v>
          </cell>
          <cell r="D145" t="str">
            <v>RNGA</v>
          </cell>
          <cell r="E145">
            <v>0.11605283208446807</v>
          </cell>
          <cell r="F145">
            <v>4.9063044338743728E-2</v>
          </cell>
          <cell r="G145">
            <v>5.7096334006034359E-2</v>
          </cell>
          <cell r="H145">
            <v>3.0533181900463873E-2</v>
          </cell>
          <cell r="I145">
            <v>2.3753322977424978E-2</v>
          </cell>
          <cell r="J145">
            <v>9.0824633836619449E-3</v>
          </cell>
          <cell r="K145"/>
          <cell r="L145"/>
          <cell r="M145">
            <v>1.7146070434420811E-2</v>
          </cell>
          <cell r="N145">
            <v>2.4447081606782418E-2</v>
          </cell>
          <cell r="O145">
            <v>9.2564822432296121E-2</v>
          </cell>
          <cell r="P145">
            <v>9.4274705237936435E-2</v>
          </cell>
        </row>
        <row r="146">
          <cell r="B146" t="str">
            <v>RHES-CHPNGA</v>
          </cell>
          <cell r="C146" t="str">
            <v>VAR_ncap</v>
          </cell>
          <cell r="D146" t="str">
            <v>-</v>
          </cell>
          <cell r="F146">
            <v>7.6552465942572606E-5</v>
          </cell>
          <cell r="J146"/>
          <cell r="K146"/>
          <cell r="L146"/>
          <cell r="M146">
            <v>4.1520499409846101E-4</v>
          </cell>
          <cell r="N146">
            <v>2.2467568622269499E-4</v>
          </cell>
          <cell r="O146">
            <v>1.70334669692835E-3</v>
          </cell>
          <cell r="P146">
            <v>9.6551803467390904E-6</v>
          </cell>
        </row>
        <row r="147">
          <cell r="B147" t="str">
            <v>RHES-CHPNGA</v>
          </cell>
          <cell r="C147" t="str">
            <v>VAR_cap</v>
          </cell>
          <cell r="D147" t="str">
            <v>-</v>
          </cell>
          <cell r="E147">
            <v>4.1851086247710698E-3</v>
          </cell>
          <cell r="F147">
            <v>1.7849888125779797E-3</v>
          </cell>
          <cell r="G147">
            <v>1.1867204255144998E-3</v>
          </cell>
          <cell r="H147">
            <v>9.4353353462387033E-4</v>
          </cell>
          <cell r="I147">
            <v>4.6489584832222784E-4</v>
          </cell>
          <cell r="J147">
            <v>1.9214612943582409E-4</v>
          </cell>
          <cell r="K147"/>
          <cell r="L147"/>
          <cell r="M147">
            <v>4.1520499409846101E-4</v>
          </cell>
          <cell r="N147">
            <v>6.3975294919410574E-4</v>
          </cell>
          <cell r="O147">
            <v>2.3428586396729151E-3</v>
          </cell>
          <cell r="P147">
            <v>2.3517796476963228E-3</v>
          </cell>
        </row>
        <row r="148">
          <cell r="B148" t="str">
            <v>RHEM-CHPWOD</v>
          </cell>
          <cell r="C148" t="str">
            <v>VAR_fout</v>
          </cell>
          <cell r="D148" t="str">
            <v>RHEM_KEV_WOD_ELC_CHP</v>
          </cell>
          <cell r="H148">
            <v>1.8361588445276486E-3</v>
          </cell>
          <cell r="I148">
            <v>4.731300185859196E-3</v>
          </cell>
          <cell r="J148">
            <v>6.1903830709298231E-2</v>
          </cell>
          <cell r="K148">
            <v>0.11435639405812209</v>
          </cell>
          <cell r="L148">
            <v>0.19856225208204645</v>
          </cell>
          <cell r="M148">
            <v>0.18665340421945614</v>
          </cell>
          <cell r="N148">
            <v>0.13144530310492086</v>
          </cell>
          <cell r="O148">
            <v>0.10215296195383493</v>
          </cell>
          <cell r="P148">
            <v>3.5250961665125362E-2</v>
          </cell>
        </row>
        <row r="149">
          <cell r="B149" t="str">
            <v>RHEM-CHPWOD</v>
          </cell>
          <cell r="C149" t="str">
            <v>VAR_fout</v>
          </cell>
          <cell r="D149" t="str">
            <v>RHEM_LTH_CHPWOD</v>
          </cell>
          <cell r="H149">
            <v>4.8843634287927644E-3</v>
          </cell>
          <cell r="I149">
            <v>1.258572463233483E-2</v>
          </cell>
          <cell r="J149">
            <v>0.16467028858631089</v>
          </cell>
          <cell r="K149">
            <v>0.30419927483441367</v>
          </cell>
          <cell r="L149">
            <v>0.52819515332170008</v>
          </cell>
          <cell r="M149">
            <v>0.49651644472170597</v>
          </cell>
          <cell r="N149">
            <v>0.34965745653525793</v>
          </cell>
          <cell r="O149">
            <v>0.27173694312842817</v>
          </cell>
          <cell r="P149">
            <v>9.3771031030382715E-2</v>
          </cell>
        </row>
        <row r="150">
          <cell r="B150" t="str">
            <v>RHEM-CHPWOD</v>
          </cell>
          <cell r="C150" t="str">
            <v>VAR_fin</v>
          </cell>
          <cell r="D150" t="str">
            <v>RWOD</v>
          </cell>
          <cell r="H150">
            <v>9.3115313869320607E-3</v>
          </cell>
          <cell r="I150">
            <v>2.1410426928619837E-2</v>
          </cell>
          <cell r="J150">
            <v>0.2277663857587833</v>
          </cell>
          <cell r="K150">
            <v>0.41050529053407642</v>
          </cell>
          <cell r="L150">
            <v>0.697083045152046</v>
          </cell>
          <cell r="M150">
            <v>0.65644958494807493</v>
          </cell>
          <cell r="N150">
            <v>0.46274337802289739</v>
          </cell>
          <cell r="O150">
            <v>0.35944146554790962</v>
          </cell>
          <cell r="P150">
            <v>0.12859478313849795</v>
          </cell>
        </row>
        <row r="151">
          <cell r="B151" t="str">
            <v>RHEM-CHPWOD</v>
          </cell>
          <cell r="C151" t="str">
            <v>VAR_ncap</v>
          </cell>
          <cell r="D151" t="str">
            <v>-</v>
          </cell>
          <cell r="H151">
            <v>1.56376870331868E-4</v>
          </cell>
          <cell r="I151">
            <v>2.3534312040814699E-4</v>
          </cell>
          <cell r="J151">
            <v>4.2311207445950702E-3</v>
          </cell>
          <cell r="K151">
            <v>4.0175981581394397E-3</v>
          </cell>
          <cell r="L151">
            <v>6.4885968007368797E-3</v>
          </cell>
          <cell r="M151">
            <v>3.2264893071101701E-3</v>
          </cell>
          <cell r="N151">
            <v>4.8732099964140901E-5</v>
          </cell>
          <cell r="O151">
            <v>4.1798146606904802E-3</v>
          </cell>
          <cell r="P151">
            <v>5.2706395800028096E-6</v>
          </cell>
        </row>
        <row r="152">
          <cell r="B152" t="str">
            <v>RHEM-CHPWOD</v>
          </cell>
          <cell r="C152" t="str">
            <v>VAR_cap</v>
          </cell>
          <cell r="D152" t="str">
            <v>-</v>
          </cell>
          <cell r="H152">
            <v>1.56376870331868E-4</v>
          </cell>
          <cell r="I152">
            <v>3.9153119796609835E-4</v>
          </cell>
          <cell r="J152">
            <v>4.592350150816011E-3</v>
          </cell>
          <cell r="K152">
            <v>8.4833183618199682E-3</v>
          </cell>
          <cell r="L152">
            <v>1.4736026429815436E-2</v>
          </cell>
          <cell r="M152">
            <v>1.3848882034075988E-2</v>
          </cell>
          <cell r="N152">
            <v>9.7611579117591208E-3</v>
          </cell>
          <cell r="O152">
            <v>7.5794534659266487E-3</v>
          </cell>
          <cell r="P152">
            <v>4.2319564137319847E-3</v>
          </cell>
        </row>
        <row r="153">
          <cell r="B153" t="str">
            <v>G-INTC-IMP00-FR</v>
          </cell>
          <cell r="C153" t="str">
            <v>VAR_fout</v>
          </cell>
          <cell r="D153" t="str">
            <v>ELC</v>
          </cell>
          <cell r="E153">
            <v>28.948649429265167</v>
          </cell>
          <cell r="F153">
            <v>22.843950812098679</v>
          </cell>
          <cell r="G153">
            <v>27.838541564213486</v>
          </cell>
          <cell r="H153">
            <v>20.433051654902339</v>
          </cell>
          <cell r="I153">
            <v>26.770668347614869</v>
          </cell>
          <cell r="J153">
            <v>28.873627973693335</v>
          </cell>
          <cell r="K153">
            <v>35.465354752628983</v>
          </cell>
          <cell r="L153">
            <v>33.678164328557081</v>
          </cell>
          <cell r="M153">
            <v>32.063922944709759</v>
          </cell>
          <cell r="N153">
            <v>29.072151154881759</v>
          </cell>
          <cell r="O153">
            <v>30.201431051513705</v>
          </cell>
          <cell r="P153">
            <v>29.924480469254998</v>
          </cell>
        </row>
        <row r="154">
          <cell r="B154" t="str">
            <v>G-INTC-IMP00-FR</v>
          </cell>
          <cell r="C154" t="str">
            <v>VAR_fin</v>
          </cell>
          <cell r="D154" t="str">
            <v>ELC_I-FR</v>
          </cell>
          <cell r="E154">
            <v>28.948649429265167</v>
          </cell>
          <cell r="F154">
            <v>22.843950812098679</v>
          </cell>
          <cell r="G154">
            <v>27.838541564213486</v>
          </cell>
          <cell r="H154">
            <v>20.433051654902339</v>
          </cell>
          <cell r="I154">
            <v>26.770668347614869</v>
          </cell>
          <cell r="J154">
            <v>28.873627973693335</v>
          </cell>
          <cell r="K154">
            <v>35.465354752628983</v>
          </cell>
          <cell r="L154">
            <v>33.678164328557081</v>
          </cell>
          <cell r="M154">
            <v>32.063922944709759</v>
          </cell>
          <cell r="N154">
            <v>29.072151154881759</v>
          </cell>
          <cell r="O154">
            <v>30.201431051513705</v>
          </cell>
          <cell r="P154">
            <v>29.924480469254998</v>
          </cell>
        </row>
        <row r="155">
          <cell r="B155" t="str">
            <v>G-INTC-IMP00-FR</v>
          </cell>
          <cell r="C155" t="str">
            <v>VAR_ncap</v>
          </cell>
          <cell r="D155" t="str">
            <v>-</v>
          </cell>
          <cell r="E155">
            <v>0.45765316503952402</v>
          </cell>
          <cell r="F155">
            <v>0.11830448040953</v>
          </cell>
          <cell r="G155">
            <v>6.5457141131193899E-2</v>
          </cell>
          <cell r="H155">
            <v>0.65861973243397098</v>
          </cell>
          <cell r="I155">
            <v>0.933364665532466</v>
          </cell>
          <cell r="J155">
            <v>1.48175267456837</v>
          </cell>
          <cell r="K155">
            <v>0.68566497157716899</v>
          </cell>
          <cell r="L155">
            <v>0.38579836592329098</v>
          </cell>
          <cell r="M155">
            <v>0.71347538646261</v>
          </cell>
          <cell r="N155">
            <v>0.33983436250483801</v>
          </cell>
        </row>
        <row r="156">
          <cell r="B156" t="str">
            <v>G-INTC-IMP00-FR</v>
          </cell>
          <cell r="C156" t="str">
            <v>VAR_cap</v>
          </cell>
          <cell r="D156" t="str">
            <v>-</v>
          </cell>
          <cell r="E156">
            <v>1.6999976193063018</v>
          </cell>
          <cell r="F156">
            <v>1.6999953441689311</v>
          </cell>
          <cell r="G156">
            <v>1.6999941299319741</v>
          </cell>
          <cell r="H156">
            <v>1.9999973538164433</v>
          </cell>
          <cell r="I156">
            <v>2.4999987318402246</v>
          </cell>
          <cell r="J156">
            <v>2.9999989959774682</v>
          </cell>
          <cell r="K156">
            <v>3.9999987082654274</v>
          </cell>
          <cell r="L156">
            <v>5.4150801854712443</v>
          </cell>
          <cell r="M156">
            <v>5.4999982465811357</v>
          </cell>
          <cell r="N156">
            <v>5.2707538806139516</v>
          </cell>
          <cell r="O156">
            <v>5.4999948462506456</v>
          </cell>
          <cell r="P156">
            <v>5.4999919196278482</v>
          </cell>
        </row>
        <row r="157">
          <cell r="B157" t="str">
            <v>ITOT-CHPWSTCCS</v>
          </cell>
          <cell r="C157" t="str">
            <v>VAR_fout</v>
          </cell>
          <cell r="D157" t="str">
            <v>CO2_O</v>
          </cell>
          <cell r="J157">
            <v>54.375226770427581</v>
          </cell>
          <cell r="K157">
            <v>369.97284257217012</v>
          </cell>
          <cell r="L157">
            <v>786.24172917624333</v>
          </cell>
          <cell r="M157">
            <v>714.16962214731711</v>
          </cell>
          <cell r="N157">
            <v>714.7046794824688</v>
          </cell>
          <cell r="O157">
            <v>714.78686113719266</v>
          </cell>
          <cell r="P157">
            <v>715.03629834947321</v>
          </cell>
        </row>
        <row r="158">
          <cell r="B158" t="str">
            <v>ITOT-CHPWSTCCS</v>
          </cell>
          <cell r="C158" t="str">
            <v>VAR_fout</v>
          </cell>
          <cell r="D158" t="str">
            <v>CO2</v>
          </cell>
          <cell r="J158">
            <v>-54.375226770427503</v>
          </cell>
          <cell r="K158">
            <v>-369.97284257217001</v>
          </cell>
          <cell r="L158">
            <v>-786.24172917624298</v>
          </cell>
          <cell r="M158">
            <v>-714.169622147317</v>
          </cell>
          <cell r="N158">
            <v>-714.70467948246903</v>
          </cell>
          <cell r="O158">
            <v>-714.786861137193</v>
          </cell>
          <cell r="P158">
            <v>-715.03629834947401</v>
          </cell>
        </row>
        <row r="159">
          <cell r="B159" t="str">
            <v>ITOT-CHPWSTCCS</v>
          </cell>
          <cell r="C159" t="str">
            <v>VAR_fout</v>
          </cell>
          <cell r="D159" t="str">
            <v>ITOT_LTH_CHP</v>
          </cell>
          <cell r="J159">
            <v>0.21665535777870429</v>
          </cell>
          <cell r="K159">
            <v>1.2358830929002229</v>
          </cell>
          <cell r="L159">
            <v>2.2112162116698579</v>
          </cell>
          <cell r="M159">
            <v>2.0085215370453788</v>
          </cell>
          <cell r="N159">
            <v>2.0100263254708133</v>
          </cell>
          <cell r="O159">
            <v>2.0102574521084415</v>
          </cell>
          <cell r="P159">
            <v>2.0109589661430225</v>
          </cell>
        </row>
        <row r="160">
          <cell r="B160" t="str">
            <v>ITOT-CHPWSTCCS</v>
          </cell>
          <cell r="C160" t="str">
            <v>VAR_fout</v>
          </cell>
          <cell r="D160" t="str">
            <v>ITOT_KEV_WST_ELC_CHP</v>
          </cell>
          <cell r="J160">
            <v>4.2774667806615513E-2</v>
          </cell>
          <cell r="K160">
            <v>0.29226469572784353</v>
          </cell>
          <cell r="L160">
            <v>0.65184404907559068</v>
          </cell>
          <cell r="M160">
            <v>0.59209172058958437</v>
          </cell>
          <cell r="N160">
            <v>0.59253531691230532</v>
          </cell>
          <cell r="O160">
            <v>0.59260345069430531</v>
          </cell>
          <cell r="P160">
            <v>0.59281024989664899</v>
          </cell>
        </row>
        <row r="161">
          <cell r="B161" t="str">
            <v>ITOT-CHPWSTCCS</v>
          </cell>
          <cell r="C161" t="str">
            <v>VAR_fout</v>
          </cell>
          <cell r="D161" t="str">
            <v>CO2_I</v>
          </cell>
          <cell r="J161">
            <v>71.1691929354416</v>
          </cell>
          <cell r="K161">
            <v>486.27478797757101</v>
          </cell>
          <cell r="L161">
            <v>1084.54880590108</v>
          </cell>
          <cell r="M161">
            <v>985.13190303725605</v>
          </cell>
          <cell r="N161">
            <v>985.86996586500004</v>
          </cell>
          <cell r="O161">
            <v>985.98332796750697</v>
          </cell>
          <cell r="P161">
            <v>986.32740386769001</v>
          </cell>
        </row>
        <row r="162">
          <cell r="B162" t="str">
            <v>ITOT-CHPWSTCCS</v>
          </cell>
          <cell r="C162" t="str">
            <v>VAR_fin</v>
          </cell>
          <cell r="D162" t="str">
            <v>IWST</v>
          </cell>
          <cell r="J162">
            <v>0.76690940663191243</v>
          </cell>
          <cell r="K162">
            <v>5.240030042861755</v>
          </cell>
          <cell r="L162">
            <v>11.686948339451261</v>
          </cell>
          <cell r="M162">
            <v>10.615645506866995</v>
          </cell>
          <cell r="N162">
            <v>10.62359877009699</v>
          </cell>
          <cell r="O162">
            <v>10.624820344477463</v>
          </cell>
          <cell r="P162">
            <v>10.628528058919064</v>
          </cell>
        </row>
        <row r="163">
          <cell r="B163" t="str">
            <v>ITOT-CHPWSTCCS</v>
          </cell>
          <cell r="C163" t="str">
            <v>VAR_ncap</v>
          </cell>
          <cell r="D163" t="str">
            <v>-</v>
          </cell>
          <cell r="J163">
            <v>3.68340745652286E-3</v>
          </cell>
          <cell r="K163">
            <v>2.5405242799768399E-2</v>
          </cell>
          <cell r="L163">
            <v>3.5018037440837098E-2</v>
          </cell>
          <cell r="M163">
            <v>4.4840150089964699E-7</v>
          </cell>
          <cell r="N163">
            <v>9.0888234896810203E-7</v>
          </cell>
          <cell r="O163">
            <v>1.6481189670036601E-6</v>
          </cell>
          <cell r="P163">
            <v>6.5531417118625E-6</v>
          </cell>
        </row>
        <row r="164">
          <cell r="B164" t="str">
            <v>ITOT-CHPWSTCCS</v>
          </cell>
          <cell r="C164" t="str">
            <v>VAR_cap</v>
          </cell>
          <cell r="D164" t="str">
            <v>-</v>
          </cell>
          <cell r="J164">
            <v>3.68340745652286E-3</v>
          </cell>
          <cell r="K164">
            <v>2.9088323196243812E-2</v>
          </cell>
          <cell r="L164">
            <v>6.4105785116576705E-2</v>
          </cell>
          <cell r="M164">
            <v>6.0343192450890544E-2</v>
          </cell>
          <cell r="N164">
            <v>5.9860678012609934E-2</v>
          </cell>
          <cell r="O164">
            <v>5.9810719234042763E-2</v>
          </cell>
          <cell r="P164">
            <v>5.9944615772329388E-2</v>
          </cell>
        </row>
        <row r="165">
          <cell r="B165" t="str">
            <v>RHEM-CHPGFC</v>
          </cell>
          <cell r="C165" t="str">
            <v>VAR_fout</v>
          </cell>
          <cell r="D165" t="str">
            <v>CO2_R</v>
          </cell>
          <cell r="J165"/>
          <cell r="K165"/>
          <cell r="L165"/>
          <cell r="M165">
            <v>0.82584783873904799</v>
          </cell>
          <cell r="N165">
            <v>1.23496151756185</v>
          </cell>
          <cell r="O165">
            <v>1.83325389822075</v>
          </cell>
          <cell r="P165">
            <v>4.0587095511630196</v>
          </cell>
        </row>
        <row r="166">
          <cell r="B166" t="str">
            <v>RHEM-CHPGFC</v>
          </cell>
          <cell r="C166" t="str">
            <v>VAR_fout</v>
          </cell>
          <cell r="D166" t="str">
            <v>RHEM_LTH_CHPNGA</v>
          </cell>
          <cell r="J166"/>
          <cell r="K166"/>
          <cell r="L166"/>
          <cell r="M166">
            <v>6.5892114793009134E-3</v>
          </cell>
          <cell r="N166">
            <v>9.8534163635253923E-3</v>
          </cell>
          <cell r="O166">
            <v>1.4627025783676207E-2</v>
          </cell>
          <cell r="P166">
            <v>3.238332088693905E-2</v>
          </cell>
        </row>
        <row r="167">
          <cell r="B167" t="str">
            <v>RHEM-CHPGFC</v>
          </cell>
          <cell r="C167" t="str">
            <v>VAR_fout</v>
          </cell>
          <cell r="D167" t="str">
            <v>RHEM_NKEV_GAS_ELC_CHP</v>
          </cell>
          <cell r="J167"/>
          <cell r="K167"/>
          <cell r="L167"/>
          <cell r="M167">
            <v>6.5892114793009134E-3</v>
          </cell>
          <cell r="N167">
            <v>9.8534163635253923E-3</v>
          </cell>
          <cell r="O167">
            <v>1.4627025783676207E-2</v>
          </cell>
          <cell r="P167">
            <v>3.238332088693905E-2</v>
          </cell>
        </row>
        <row r="168">
          <cell r="B168" t="str">
            <v>RHEM-CHPGFC</v>
          </cell>
          <cell r="C168" t="str">
            <v>VAR_fin</v>
          </cell>
          <cell r="D168" t="str">
            <v>RNGA</v>
          </cell>
          <cell r="J168"/>
          <cell r="K168"/>
          <cell r="L168"/>
          <cell r="M168">
            <v>1.4642692176224265E-2</v>
          </cell>
          <cell r="N168">
            <v>2.1896480807834195E-2</v>
          </cell>
          <cell r="O168">
            <v>3.2504501741502705E-2</v>
          </cell>
          <cell r="P168">
            <v>7.1962935304308986E-2</v>
          </cell>
        </row>
        <row r="169">
          <cell r="B169" t="str">
            <v>RHEM-CHPGFC</v>
          </cell>
          <cell r="C169" t="str">
            <v>VAR_ncap</v>
          </cell>
          <cell r="D169" t="str">
            <v>-</v>
          </cell>
          <cell r="J169"/>
          <cell r="K169"/>
          <cell r="L169"/>
          <cell r="M169">
            <v>6.3126852006321595E-4</v>
          </cell>
          <cell r="N169">
            <v>4.39499525906685E-4</v>
          </cell>
          <cell r="O169">
            <v>2.4191824952063599E-4</v>
          </cell>
          <cell r="P169">
            <v>1.5895506934666601E-3</v>
          </cell>
        </row>
        <row r="170">
          <cell r="B170" t="str">
            <v>RHEM-CHPGFC</v>
          </cell>
          <cell r="C170" t="str">
            <v>VAR_cap</v>
          </cell>
          <cell r="D170" t="str">
            <v>-</v>
          </cell>
          <cell r="J170"/>
          <cell r="K170"/>
          <cell r="L170"/>
          <cell r="M170">
            <v>6.3126852006321595E-4</v>
          </cell>
          <cell r="N170">
            <v>1.070019191195225E-3</v>
          </cell>
          <cell r="O170">
            <v>1.3102408705371058E-3</v>
          </cell>
          <cell r="P170">
            <v>2.8957808702350864E-3</v>
          </cell>
        </row>
        <row r="171">
          <cell r="B171" t="str">
            <v>EHYD-RUNS10</v>
          </cell>
          <cell r="C171" t="str">
            <v>VAR_fout</v>
          </cell>
          <cell r="D171" t="str">
            <v>ELC35</v>
          </cell>
          <cell r="F171">
            <v>5.4774975212294906E-3</v>
          </cell>
          <cell r="G171">
            <v>8.9634339802171122E-3</v>
          </cell>
          <cell r="H171">
            <v>9.688424990164873E-3</v>
          </cell>
          <cell r="I171">
            <v>9.7410018872696284E-3</v>
          </cell>
          <cell r="J171">
            <v>9.9209181477883605E-3</v>
          </cell>
          <cell r="K171">
            <v>9.8444136760822611E-3</v>
          </cell>
          <cell r="L171">
            <v>9.4631977304229196E-3</v>
          </cell>
          <cell r="M171">
            <v>9.6868947882693662E-3</v>
          </cell>
          <cell r="N171">
            <v>9.6253174888666498E-3</v>
          </cell>
          <cell r="O171">
            <v>9.7436306851084974E-3</v>
          </cell>
          <cell r="P171">
            <v>1.5792457561479286E-2</v>
          </cell>
        </row>
        <row r="172">
          <cell r="B172" t="str">
            <v>EHYD-RUNS10</v>
          </cell>
          <cell r="C172" t="str">
            <v>VAR_fin</v>
          </cell>
          <cell r="D172" t="str">
            <v>HYDR</v>
          </cell>
          <cell r="F172">
            <v>5.4774975212294906E-3</v>
          </cell>
          <cell r="G172">
            <v>8.9634339802171122E-3</v>
          </cell>
          <cell r="H172">
            <v>9.688424990164873E-3</v>
          </cell>
          <cell r="I172">
            <v>9.7410018872696284E-3</v>
          </cell>
          <cell r="J172">
            <v>9.9209181477883605E-3</v>
          </cell>
          <cell r="K172">
            <v>9.8444136760822611E-3</v>
          </cell>
          <cell r="L172">
            <v>9.4631977304229196E-3</v>
          </cell>
          <cell r="M172">
            <v>9.6868947882693662E-3</v>
          </cell>
          <cell r="N172">
            <v>9.6253174888666498E-3</v>
          </cell>
          <cell r="O172">
            <v>9.7436306851084974E-3</v>
          </cell>
          <cell r="P172">
            <v>1.5792457561479286E-2</v>
          </cell>
        </row>
        <row r="173">
          <cell r="B173" t="str">
            <v>EHYD-RUNS10</v>
          </cell>
          <cell r="C173" t="str">
            <v>VAR_ncap</v>
          </cell>
          <cell r="D173" t="str">
            <v>-</v>
          </cell>
          <cell r="F173">
            <v>4.9202647391586901E-4</v>
          </cell>
          <cell r="G173">
            <v>3.1157208340466401E-4</v>
          </cell>
          <cell r="H173">
            <v>6.0739470650330702E-6</v>
          </cell>
          <cell r="I173">
            <v>3.2815536651635602E-7</v>
          </cell>
          <cell r="J173">
            <v>2.9238790868543798E-7</v>
          </cell>
          <cell r="K173">
            <v>1.55284849542726E-7</v>
          </cell>
          <cell r="L173">
            <v>2.4604093149478301E-7</v>
          </cell>
          <cell r="M173">
            <v>3.6281680732403899E-7</v>
          </cell>
          <cell r="N173">
            <v>4.6668032757625898E-6</v>
          </cell>
          <cell r="O173">
            <v>4.6304273648107599E-6</v>
          </cell>
          <cell r="P173">
            <v>5.2200402723539304E-4</v>
          </cell>
        </row>
        <row r="174">
          <cell r="B174" t="str">
            <v>EHYD-RUNS10</v>
          </cell>
          <cell r="C174" t="str">
            <v>VAR_cap</v>
          </cell>
          <cell r="D174" t="str">
            <v>-</v>
          </cell>
          <cell r="F174">
            <v>4.9202647391586901E-4</v>
          </cell>
          <cell r="G174">
            <v>8.0359855732053205E-4</v>
          </cell>
          <cell r="H174">
            <v>8.0967250438556499E-4</v>
          </cell>
          <cell r="I174">
            <v>8.1000065975208202E-4</v>
          </cell>
          <cell r="J174">
            <v>8.1029304766076695E-4</v>
          </cell>
          <cell r="K174">
            <v>8.1044833251031005E-4</v>
          </cell>
          <cell r="L174">
            <v>8.1069437344180497E-4</v>
          </cell>
          <cell r="M174">
            <v>8.1105719024912896E-4</v>
          </cell>
          <cell r="N174">
            <v>8.1572399352489102E-4</v>
          </cell>
          <cell r="O174">
            <v>8.2035442088970202E-4</v>
          </cell>
          <cell r="P174">
            <v>1.3423584481251001E-3</v>
          </cell>
        </row>
        <row r="175">
          <cell r="B175" t="str">
            <v>SUP_WSTBIO</v>
          </cell>
          <cell r="C175" t="str">
            <v>VAR_fout</v>
          </cell>
          <cell r="D175" t="str">
            <v>ELC35</v>
          </cell>
          <cell r="E175">
            <v>0.11258879108871515</v>
          </cell>
          <cell r="F175">
            <v>0.11491213868315288</v>
          </cell>
          <cell r="G175">
            <v>0.10611011734673481</v>
          </cell>
          <cell r="H175">
            <v>0.1160972251050385</v>
          </cell>
          <cell r="I175">
            <v>0.11585429857640057</v>
          </cell>
          <cell r="J175">
            <v>0.16819450844987233</v>
          </cell>
          <cell r="K175">
            <v>0.18431636233154799</v>
          </cell>
          <cell r="L175">
            <v>0.19691313795887808</v>
          </cell>
          <cell r="M175">
            <v>0.21192454424476781</v>
          </cell>
          <cell r="N175">
            <v>0.22637267530581551</v>
          </cell>
          <cell r="O175">
            <v>0.22816987521385573</v>
          </cell>
          <cell r="P175">
            <v>0.22832487766381648</v>
          </cell>
        </row>
        <row r="176">
          <cell r="B176" t="str">
            <v>SUP_WSTBIO</v>
          </cell>
          <cell r="C176" t="str">
            <v>VAR_fout</v>
          </cell>
          <cell r="D176" t="str">
            <v>BIO</v>
          </cell>
          <cell r="E176">
            <v>5.6294395544357654</v>
          </cell>
          <cell r="F176">
            <v>5.7456069341576494</v>
          </cell>
          <cell r="G176">
            <v>5.3055058673367395</v>
          </cell>
          <cell r="H176">
            <v>5.8048612552519234</v>
          </cell>
          <cell r="I176">
            <v>5.7927149288200299</v>
          </cell>
          <cell r="J176">
            <v>8.4097254224936151</v>
          </cell>
          <cell r="K176">
            <v>9.2158181165773918</v>
          </cell>
          <cell r="L176">
            <v>9.8456568979438988</v>
          </cell>
          <cell r="M176">
            <v>10.596227212238386</v>
          </cell>
          <cell r="N176">
            <v>11.318633765290757</v>
          </cell>
          <cell r="O176">
            <v>11.408493760692787</v>
          </cell>
          <cell r="P176">
            <v>11.416243883190836</v>
          </cell>
        </row>
        <row r="177">
          <cell r="B177" t="str">
            <v>SUP_WSTBIO</v>
          </cell>
          <cell r="C177" t="str">
            <v>VAR_fin</v>
          </cell>
          <cell r="D177" t="str">
            <v>CWST</v>
          </cell>
          <cell r="E177">
            <v>9.6794192110269748</v>
          </cell>
          <cell r="F177">
            <v>9.8791607227887663</v>
          </cell>
          <cell r="G177">
            <v>9.1224383741807173</v>
          </cell>
          <cell r="H177">
            <v>9.9810442954588758</v>
          </cell>
          <cell r="I177">
            <v>9.9601595547539699</v>
          </cell>
          <cell r="J177">
            <v>14.459922169304722</v>
          </cell>
          <cell r="K177">
            <v>15.845940978732221</v>
          </cell>
          <cell r="L177">
            <v>16.928903774807541</v>
          </cell>
          <cell r="M177">
            <v>18.219455818071605</v>
          </cell>
          <cell r="N177">
            <v>19.46158228557708</v>
          </cell>
          <cell r="O177">
            <v>19.616090129099767</v>
          </cell>
          <cell r="P177">
            <v>19.629415911154972</v>
          </cell>
        </row>
        <row r="178">
          <cell r="B178" t="str">
            <v>SUP_WSTBIO</v>
          </cell>
          <cell r="C178" t="str">
            <v>VAR_ncap</v>
          </cell>
          <cell r="D178" t="str">
            <v>-</v>
          </cell>
          <cell r="E178">
            <v>4.1072303844069697E-3</v>
          </cell>
          <cell r="F178">
            <v>4.38217877379377E-3</v>
          </cell>
          <cell r="G178">
            <v>8.4441405169590499E-6</v>
          </cell>
          <cell r="H178">
            <v>7.5769743420023294E-2</v>
          </cell>
          <cell r="I178">
            <v>0.116854367551014</v>
          </cell>
          <cell r="J178">
            <v>0.12061840224313999</v>
          </cell>
          <cell r="K178">
            <v>5.88725643778353E-2</v>
          </cell>
          <cell r="L178">
            <v>7.5561401653398294E-2</v>
          </cell>
          <cell r="M178">
            <v>0.12570887120751401</v>
          </cell>
          <cell r="N178">
            <v>0.16741151154737</v>
          </cell>
          <cell r="O178">
            <v>6.2261243566128902E-2</v>
          </cell>
          <cell r="P178">
            <v>7.5845968631700997E-2</v>
          </cell>
        </row>
        <row r="179">
          <cell r="B179" t="str">
            <v>SUP_WSTBIO</v>
          </cell>
          <cell r="C179" t="str">
            <v>VAR_cap</v>
          </cell>
          <cell r="D179" t="str">
            <v>-</v>
          </cell>
          <cell r="E179">
            <v>0.21267654636452468</v>
          </cell>
          <cell r="F179">
            <v>0.21705687999249262</v>
          </cell>
          <cell r="G179">
            <v>0.21705537983437395</v>
          </cell>
          <cell r="H179">
            <v>0.21924188227292252</v>
          </cell>
          <cell r="I179">
            <v>0.21878440046650646</v>
          </cell>
          <cell r="J179">
            <v>0.31763830587218861</v>
          </cell>
          <cell r="K179">
            <v>0.3480902931951752</v>
          </cell>
          <cell r="L179">
            <v>0.37189958123791683</v>
          </cell>
          <cell r="M179">
            <v>0.40024256810998121</v>
          </cell>
          <cell r="N179">
            <v>0.42754490571435483</v>
          </cell>
          <cell r="O179">
            <v>0.43093371023031907</v>
          </cell>
          <cell r="P179">
            <v>0.43121615413367392</v>
          </cell>
        </row>
        <row r="180">
          <cell r="B180" t="str">
            <v>ITOT-CHPNGACCS</v>
          </cell>
          <cell r="C180" t="str">
            <v>VAR_fout</v>
          </cell>
          <cell r="D180" t="str">
            <v>CO2_O</v>
          </cell>
          <cell r="J180">
            <v>0.60277120644576654</v>
          </cell>
          <cell r="K180">
            <v>0.64505652139998326</v>
          </cell>
          <cell r="L180">
            <v>30.531876522404783</v>
          </cell>
          <cell r="M180">
            <v>37.610923340706471</v>
          </cell>
          <cell r="N180">
            <v>35.947698720288194</v>
          </cell>
          <cell r="O180">
            <v>37.798527481545442</v>
          </cell>
          <cell r="P180">
            <v>37.807436809059716</v>
          </cell>
        </row>
        <row r="181">
          <cell r="B181" t="str">
            <v>ITOT-CHPNGACCS</v>
          </cell>
          <cell r="C181" t="str">
            <v>VAR_fout</v>
          </cell>
          <cell r="D181" t="str">
            <v>CO2</v>
          </cell>
          <cell r="J181">
            <v>-0.60277120644576598</v>
          </cell>
          <cell r="K181">
            <v>-0.64505652139998304</v>
          </cell>
          <cell r="L181">
            <v>-30.531876522404801</v>
          </cell>
          <cell r="M181">
            <v>-37.610923340706499</v>
          </cell>
          <cell r="N181">
            <v>-35.947698720288201</v>
          </cell>
          <cell r="O181">
            <v>-37.798527481545399</v>
          </cell>
          <cell r="P181">
            <v>-37.807436809059702</v>
          </cell>
        </row>
        <row r="182">
          <cell r="B182" t="str">
            <v>ITOT-CHPNGACCS</v>
          </cell>
          <cell r="C182" t="str">
            <v>VAR_fout</v>
          </cell>
          <cell r="D182" t="str">
            <v>ITOT_NKEV_GAS_ELC_CHP</v>
          </cell>
          <cell r="J182">
            <v>3.8907058508332883E-3</v>
          </cell>
          <cell r="K182">
            <v>4.163471417885669E-3</v>
          </cell>
          <cell r="L182">
            <v>0.19707402966888085</v>
          </cell>
          <cell r="M182">
            <v>0.24276713607436609</v>
          </cell>
          <cell r="N182">
            <v>0.23203152413286635</v>
          </cell>
          <cell r="O182">
            <v>0.24397806406926259</v>
          </cell>
          <cell r="P182">
            <v>0.24403557108405713</v>
          </cell>
        </row>
        <row r="183">
          <cell r="B183" t="str">
            <v>ITOT-CHPNGACCS</v>
          </cell>
          <cell r="C183" t="str">
            <v>VAR_fout</v>
          </cell>
          <cell r="D183" t="str">
            <v>ITOT_LTH_CHP</v>
          </cell>
          <cell r="J183">
            <v>4.4066449494733224E-3</v>
          </cell>
          <cell r="K183">
            <v>4.6586565032103108E-3</v>
          </cell>
          <cell r="L183">
            <v>0.21781866437086883</v>
          </cell>
          <cell r="M183">
            <v>0.26832157145061608</v>
          </cell>
          <cell r="N183">
            <v>0.25645589509422134</v>
          </cell>
          <cell r="O183">
            <v>0.26965996555023836</v>
          </cell>
          <cell r="P183">
            <v>0.26972352593501142</v>
          </cell>
        </row>
        <row r="184">
          <cell r="B184" t="str">
            <v>ITOT-CHPNGACCS</v>
          </cell>
          <cell r="C184" t="str">
            <v>VAR_fout</v>
          </cell>
          <cell r="D184" t="str">
            <v>CO2_I</v>
          </cell>
          <cell r="J184">
            <v>0.77425707558013801</v>
          </cell>
          <cell r="K184">
            <v>0.80453239788368203</v>
          </cell>
          <cell r="L184">
            <v>34.395713778395098</v>
          </cell>
          <cell r="M184">
            <v>42.401527595108597</v>
          </cell>
          <cell r="N184">
            <v>40.4969058778658</v>
          </cell>
          <cell r="O184">
            <v>42.797759872287102</v>
          </cell>
          <cell r="P184">
            <v>43.117079131466397</v>
          </cell>
        </row>
        <row r="185">
          <cell r="B185" t="str">
            <v>ITOT-CHPNGACCS</v>
          </cell>
          <cell r="C185" t="str">
            <v>VAR_fin</v>
          </cell>
          <cell r="D185" t="str">
            <v>INGA</v>
          </cell>
          <cell r="J185">
            <v>1.3727962332981167E-2</v>
          </cell>
          <cell r="K185">
            <v>1.4264758827724856E-2</v>
          </cell>
          <cell r="L185">
            <v>0.60985308117721759</v>
          </cell>
          <cell r="M185">
            <v>0.75180013466504725</v>
          </cell>
          <cell r="N185">
            <v>0.71803024606144883</v>
          </cell>
          <cell r="O185">
            <v>0.75882552965048145</v>
          </cell>
          <cell r="P185">
            <v>0.76448721864302216</v>
          </cell>
        </row>
        <row r="186">
          <cell r="B186" t="str">
            <v>ITOT-CHPNGACCS</v>
          </cell>
          <cell r="C186" t="str">
            <v>VAR_ncap</v>
          </cell>
          <cell r="D186" t="str">
            <v>-</v>
          </cell>
          <cell r="J186">
            <v>9.7689313989450998E-4</v>
          </cell>
          <cell r="K186">
            <v>3.5146057473211498E-5</v>
          </cell>
          <cell r="L186">
            <v>8.6565785307103592E-3</v>
          </cell>
          <cell r="M186">
            <v>2.1923298540171198E-3</v>
          </cell>
          <cell r="N186">
            <v>2.0624077420637898E-3</v>
          </cell>
          <cell r="O186">
            <v>2.1248594253840598E-3</v>
          </cell>
          <cell r="P186">
            <v>1.1575219857907101E-2</v>
          </cell>
        </row>
        <row r="187">
          <cell r="B187" t="str">
            <v>ITOT-CHPNGACCS</v>
          </cell>
          <cell r="C187" t="str">
            <v>VAR_cap</v>
          </cell>
          <cell r="D187" t="str">
            <v>-</v>
          </cell>
          <cell r="J187">
            <v>9.7689313989450998E-4</v>
          </cell>
          <cell r="K187">
            <v>1.0096120424982927E-3</v>
          </cell>
          <cell r="L187">
            <v>9.6587939386317979E-3</v>
          </cell>
          <cell r="M187">
            <v>1.172620747660752E-2</v>
          </cell>
          <cell r="N187">
            <v>1.2933973213681312E-2</v>
          </cell>
          <cell r="O187">
            <v>1.5028342879887007E-2</v>
          </cell>
          <cell r="P187">
            <v>1.7943907019237072E-2</v>
          </cell>
        </row>
        <row r="188">
          <cell r="B188" t="str">
            <v>SCOM-ESOLPV</v>
          </cell>
          <cell r="C188" t="str">
            <v>VAR_fout</v>
          </cell>
          <cell r="D188" t="str">
            <v>SCOM_SOL_ELC</v>
          </cell>
          <cell r="E188">
            <v>2.8396236857719668</v>
          </cell>
          <cell r="F188">
            <v>3.2944552198176535</v>
          </cell>
          <cell r="G188">
            <v>3.9362771174489812</v>
          </cell>
          <cell r="H188">
            <v>4.4095841199260528</v>
          </cell>
          <cell r="I188">
            <v>4.635103634962209</v>
          </cell>
          <cell r="J188">
            <v>27.726857868200945</v>
          </cell>
          <cell r="K188">
            <v>29.141231656727765</v>
          </cell>
          <cell r="L188">
            <v>30.627733907353029</v>
          </cell>
          <cell r="M188">
            <v>32.190056540071453</v>
          </cell>
          <cell r="N188">
            <v>33.832073646552168</v>
          </cell>
          <cell r="O188">
            <v>35.557851126165495</v>
          </cell>
          <cell r="P188">
            <v>37.371661697836849</v>
          </cell>
        </row>
        <row r="189">
          <cell r="B189" t="str">
            <v>SCOM-ESOLPV</v>
          </cell>
          <cell r="C189" t="str">
            <v>VAR_fin</v>
          </cell>
          <cell r="D189" t="str">
            <v>SOL</v>
          </cell>
          <cell r="E189">
            <v>2.8396236857719668</v>
          </cell>
          <cell r="F189">
            <v>3.2944552198176535</v>
          </cell>
          <cell r="G189">
            <v>3.9362771174489812</v>
          </cell>
          <cell r="H189">
            <v>4.4095841199260528</v>
          </cell>
          <cell r="I189">
            <v>4.635103634962209</v>
          </cell>
          <cell r="J189">
            <v>27.726857868200945</v>
          </cell>
          <cell r="K189">
            <v>29.141231656727765</v>
          </cell>
          <cell r="L189">
            <v>30.627733907353029</v>
          </cell>
          <cell r="M189">
            <v>32.190056540071453</v>
          </cell>
          <cell r="N189">
            <v>33.832073646552168</v>
          </cell>
          <cell r="O189">
            <v>35.557851126165495</v>
          </cell>
          <cell r="P189">
            <v>37.371661697836849</v>
          </cell>
        </row>
        <row r="190">
          <cell r="B190" t="str">
            <v>SCOM-ESOLPV</v>
          </cell>
          <cell r="C190" t="str">
            <v>VAR_fin</v>
          </cell>
          <cell r="D190" t="str">
            <v>SOLPVC</v>
          </cell>
          <cell r="E190">
            <v>2.8396236857719699</v>
          </cell>
          <cell r="F190">
            <v>3.29445521981765</v>
          </cell>
          <cell r="G190">
            <v>3.9362771174489799</v>
          </cell>
          <cell r="H190">
            <v>4.4095841199260599</v>
          </cell>
          <cell r="I190">
            <v>4.6351036349622001</v>
          </cell>
          <cell r="J190">
            <v>27.726857868201002</v>
          </cell>
          <cell r="K190">
            <v>29.1412316567278</v>
          </cell>
          <cell r="L190">
            <v>30.627733907353001</v>
          </cell>
          <cell r="M190">
            <v>32.190056540071403</v>
          </cell>
          <cell r="N190">
            <v>33.832073646552203</v>
          </cell>
          <cell r="O190">
            <v>35.557851126165502</v>
          </cell>
          <cell r="P190">
            <v>37.371661697836799</v>
          </cell>
        </row>
        <row r="191">
          <cell r="B191" t="str">
            <v>SCOM-ESOLPV</v>
          </cell>
          <cell r="C191" t="str">
            <v>VAR_ncap</v>
          </cell>
          <cell r="D191" t="str">
            <v>-</v>
          </cell>
          <cell r="F191">
            <v>6.2076785611284601E-8</v>
          </cell>
          <cell r="G191">
            <v>5.9619015832858502E-5</v>
          </cell>
          <cell r="H191">
            <v>1.5387302891215699E-4</v>
          </cell>
          <cell r="I191">
            <v>0.52261918819178199</v>
          </cell>
          <cell r="J191">
            <v>6.0799025128975401</v>
          </cell>
          <cell r="K191">
            <v>0.60653855675222101</v>
          </cell>
          <cell r="L191">
            <v>0.36785790106997002</v>
          </cell>
          <cell r="M191">
            <v>1.55603121128425</v>
          </cell>
          <cell r="N191">
            <v>5.8392044292001897</v>
          </cell>
          <cell r="O191">
            <v>1.0334745172711</v>
          </cell>
          <cell r="P191">
            <v>0.81657215755066104</v>
          </cell>
        </row>
        <row r="192">
          <cell r="B192" t="str">
            <v>SCOM-ESOLPV</v>
          </cell>
          <cell r="C192" t="str">
            <v>VAR_cap</v>
          </cell>
          <cell r="D192" t="str">
            <v>-</v>
          </cell>
          <cell r="E192">
            <v>0.90292899999999998</v>
          </cell>
          <cell r="F192">
            <v>1.1231013236447958</v>
          </cell>
          <cell r="G192">
            <v>1.1752886810926186</v>
          </cell>
          <cell r="H192">
            <v>1.0908727323622107</v>
          </cell>
          <cell r="I192">
            <v>1.1466635631778619</v>
          </cell>
          <cell r="J192">
            <v>6.8592774392221019</v>
          </cell>
          <cell r="K192">
            <v>7.2091759108484696</v>
          </cell>
          <cell r="L192">
            <v>7.5769181589115204</v>
          </cell>
          <cell r="M192">
            <v>7.9634174329221201</v>
          </cell>
          <cell r="N192">
            <v>8.3696320983066297</v>
          </cell>
          <cell r="O192">
            <v>8.7965680588254997</v>
          </cell>
          <cell r="P192">
            <v>9.2452823153061896</v>
          </cell>
        </row>
        <row r="193">
          <cell r="B193" t="str">
            <v>D-SCOM_LTH</v>
          </cell>
          <cell r="C193" t="str">
            <v>VAR_fout</v>
          </cell>
          <cell r="D193" t="str">
            <v>SCOM_LTH_DH</v>
          </cell>
          <cell r="E193">
            <v>5.6100286972858715</v>
          </cell>
          <cell r="F193">
            <v>6.0767310595095738</v>
          </cell>
          <cell r="G193">
            <v>6.0767350562406026</v>
          </cell>
          <cell r="H193">
            <v>6.0767372387499377</v>
          </cell>
          <cell r="I193">
            <v>6.0767480522345991</v>
          </cell>
          <cell r="J193">
            <v>6.0912835208675631</v>
          </cell>
          <cell r="K193">
            <v>7.8010173443084279</v>
          </cell>
          <cell r="L193">
            <v>8.1525479669736161</v>
          </cell>
          <cell r="M193">
            <v>8.1525801784035394</v>
          </cell>
          <cell r="N193">
            <v>8.1526079769933677</v>
          </cell>
          <cell r="O193">
            <v>8.2601000271209344</v>
          </cell>
          <cell r="P193">
            <v>8.2601929153073126</v>
          </cell>
        </row>
        <row r="194">
          <cell r="B194" t="str">
            <v>D-SCOM_LTH</v>
          </cell>
          <cell r="C194" t="str">
            <v>VAR_fin</v>
          </cell>
          <cell r="D194" t="str">
            <v>LTH</v>
          </cell>
          <cell r="E194">
            <v>6.0988069312599631</v>
          </cell>
          <cell r="F194">
            <v>6.6044349281645802</v>
          </cell>
          <cell r="G194">
            <v>6.6018367082237708</v>
          </cell>
          <cell r="H194">
            <v>6.597506026637129</v>
          </cell>
          <cell r="I194">
            <v>6.593190390615832</v>
          </cell>
          <cell r="J194">
            <v>6.6046291391170753</v>
          </cell>
          <cell r="K194">
            <v>8.4529108258539711</v>
          </cell>
          <cell r="L194">
            <v>8.8280343633317635</v>
          </cell>
          <cell r="M194">
            <v>8.8280692436675086</v>
          </cell>
          <cell r="N194">
            <v>8.8280993455334862</v>
          </cell>
          <cell r="O194">
            <v>8.9444977422255718</v>
          </cell>
          <cell r="P194">
            <v>8.9445983267427938</v>
          </cell>
        </row>
        <row r="195">
          <cell r="B195" t="str">
            <v>D-SCOM_LTH</v>
          </cell>
          <cell r="C195" t="str">
            <v>VAR_ncap</v>
          </cell>
          <cell r="D195" t="str">
            <v>-</v>
          </cell>
          <cell r="E195">
            <v>0.84970086868425898</v>
          </cell>
          <cell r="F195">
            <v>7.0474663521215399E-7</v>
          </cell>
          <cell r="G195">
            <v>5.4864053095055402E-7</v>
          </cell>
          <cell r="H195">
            <v>4.6702441125832199E-7</v>
          </cell>
          <cell r="I195">
            <v>7.3008418105606396E-7</v>
          </cell>
          <cell r="J195">
            <v>6.2575097867433897E-7</v>
          </cell>
          <cell r="K195">
            <v>9.0720322846689201E-7</v>
          </cell>
          <cell r="L195">
            <v>1.4802932324213901E-6</v>
          </cell>
          <cell r="M195">
            <v>1.5498366181051901E-6</v>
          </cell>
          <cell r="N195">
            <v>4.6029254689098303E-6</v>
          </cell>
          <cell r="O195">
            <v>3.3349562956713598E-6</v>
          </cell>
          <cell r="P195">
            <v>1.6095148551850699E-5</v>
          </cell>
        </row>
        <row r="196">
          <cell r="B196" t="str">
            <v>D-SCOM_LTH</v>
          </cell>
          <cell r="C196" t="str">
            <v>VAR_cap</v>
          </cell>
          <cell r="D196" t="str">
            <v>-</v>
          </cell>
          <cell r="E196">
            <v>0.84970086868425898</v>
          </cell>
          <cell r="F196">
            <v>0.84970157343089403</v>
          </cell>
          <cell r="G196">
            <v>0.84970212207142504</v>
          </cell>
          <cell r="H196">
            <v>0.84970258909583696</v>
          </cell>
          <cell r="I196">
            <v>0.84970331918001796</v>
          </cell>
          <cell r="J196">
            <v>0.84970394493099599</v>
          </cell>
          <cell r="K196">
            <v>0.84970485213422497</v>
          </cell>
          <cell r="L196">
            <v>0.84970633242745697</v>
          </cell>
          <cell r="M196">
            <v>0.84970788226407501</v>
          </cell>
          <cell r="N196">
            <v>0.84971248518954401</v>
          </cell>
          <cell r="O196">
            <v>0.84971582014584002</v>
          </cell>
          <cell r="P196">
            <v>0.84973191529439196</v>
          </cell>
        </row>
        <row r="197">
          <cell r="B197" t="str">
            <v>EHYD-RUNS15</v>
          </cell>
          <cell r="C197" t="str">
            <v>VAR_fout</v>
          </cell>
          <cell r="D197" t="str">
            <v>ELC35</v>
          </cell>
          <cell r="F197">
            <v>1.8209265426010952E-3</v>
          </cell>
          <cell r="G197">
            <v>2.8683826992526164E-2</v>
          </cell>
          <cell r="H197">
            <v>5.7120927087377787E-2</v>
          </cell>
          <cell r="I197">
            <v>4.7818032318436308E-2</v>
          </cell>
          <cell r="J197">
            <v>5.541674282723958E-2</v>
          </cell>
          <cell r="K197">
            <v>5.692968514218015E-2</v>
          </cell>
          <cell r="L197">
            <v>5.9260647779062266E-2</v>
          </cell>
          <cell r="M197">
            <v>5.9260370683414929E-2</v>
          </cell>
          <cell r="N197">
            <v>5.9266853440426523E-2</v>
          </cell>
          <cell r="O197">
            <v>5.921097136325848E-2</v>
          </cell>
          <cell r="P197">
            <v>5.9125957557782764E-2</v>
          </cell>
        </row>
        <row r="198">
          <cell r="B198" t="str">
            <v>EHYD-RUNS15</v>
          </cell>
          <cell r="C198" t="str">
            <v>VAR_fin</v>
          </cell>
          <cell r="D198" t="str">
            <v>HYDR</v>
          </cell>
          <cell r="F198">
            <v>1.8209265426010952E-3</v>
          </cell>
          <cell r="G198">
            <v>2.8683826992526164E-2</v>
          </cell>
          <cell r="H198">
            <v>5.7120927087377787E-2</v>
          </cell>
          <cell r="I198">
            <v>4.7818032318436308E-2</v>
          </cell>
          <cell r="J198">
            <v>5.541674282723958E-2</v>
          </cell>
          <cell r="K198">
            <v>5.692968514218015E-2</v>
          </cell>
          <cell r="L198">
            <v>5.9260647779062266E-2</v>
          </cell>
          <cell r="M198">
            <v>5.9260370683414929E-2</v>
          </cell>
          <cell r="N198">
            <v>5.9266853440426523E-2</v>
          </cell>
          <cell r="O198">
            <v>5.921097136325848E-2</v>
          </cell>
          <cell r="P198">
            <v>5.9125957557782764E-2</v>
          </cell>
        </row>
        <row r="199">
          <cell r="B199" t="str">
            <v>EHYD-RUNS15</v>
          </cell>
          <cell r="C199" t="str">
            <v>VAR_ncap</v>
          </cell>
          <cell r="D199" t="str">
            <v>-</v>
          </cell>
          <cell r="F199">
            <v>1.54959606043894E-4</v>
          </cell>
          <cell r="G199">
            <v>1.7269865005648301E-3</v>
          </cell>
          <cell r="H199">
            <v>1.77569183681043E-3</v>
          </cell>
          <cell r="I199">
            <v>7.0086986204273703E-7</v>
          </cell>
          <cell r="J199">
            <v>8.3205098662763005E-7</v>
          </cell>
          <cell r="K199">
            <v>3.5457176939166098E-6</v>
          </cell>
          <cell r="L199">
            <v>1.13045420046066E-5</v>
          </cell>
          <cell r="M199">
            <v>3.2083490479708802E-7</v>
          </cell>
          <cell r="N199">
            <v>2.2616021127845799E-5</v>
          </cell>
          <cell r="O199">
            <v>2.0795641053643801E-6</v>
          </cell>
          <cell r="P199">
            <v>1.40234002982087E-4</v>
          </cell>
        </row>
        <row r="200">
          <cell r="B200" t="str">
            <v>EHYD-RUNS15</v>
          </cell>
          <cell r="C200" t="str">
            <v>VAR_cap</v>
          </cell>
          <cell r="D200" t="str">
            <v>-</v>
          </cell>
          <cell r="F200">
            <v>1.54959606043894E-4</v>
          </cell>
          <cell r="G200">
            <v>1.8819461066087301E-3</v>
          </cell>
          <cell r="H200">
            <v>3.6576379434191601E-3</v>
          </cell>
          <cell r="I200">
            <v>3.6583388132811999E-3</v>
          </cell>
          <cell r="J200">
            <v>3.6591708642678298E-3</v>
          </cell>
          <cell r="K200">
            <v>3.66271658196174E-3</v>
          </cell>
          <cell r="L200">
            <v>3.6740211239663502E-3</v>
          </cell>
          <cell r="M200">
            <v>3.6743419588711498E-3</v>
          </cell>
          <cell r="N200">
            <v>3.6969579799989898E-3</v>
          </cell>
          <cell r="O200">
            <v>3.6990375441043602E-3</v>
          </cell>
          <cell r="P200">
            <v>3.8392715470864499E-3</v>
          </cell>
        </row>
        <row r="201">
          <cell r="B201" t="str">
            <v>EHYD-RUN10</v>
          </cell>
          <cell r="C201" t="str">
            <v>VAR_fout</v>
          </cell>
          <cell r="D201" t="str">
            <v>ELC13</v>
          </cell>
          <cell r="F201">
            <v>5.7939066965481834E-3</v>
          </cell>
          <cell r="G201">
            <v>8.1377140926658896E-3</v>
          </cell>
          <cell r="H201">
            <v>8.6790957324738432E-3</v>
          </cell>
          <cell r="I201">
            <v>8.6934949050590619E-3</v>
          </cell>
          <cell r="J201">
            <v>8.7291857975383275E-3</v>
          </cell>
          <cell r="K201">
            <v>8.6566494380103491E-3</v>
          </cell>
          <cell r="L201">
            <v>8.2308113424543784E-3</v>
          </cell>
          <cell r="M201">
            <v>8.2678001834726091E-3</v>
          </cell>
          <cell r="N201">
            <v>8.3747074433159277E-3</v>
          </cell>
          <cell r="O201">
            <v>8.4593909730938683E-3</v>
          </cell>
          <cell r="P201">
            <v>1.4926326470278825E-2</v>
          </cell>
        </row>
        <row r="202">
          <cell r="B202" t="str">
            <v>EHYD-RUN10</v>
          </cell>
          <cell r="C202" t="str">
            <v>VAR_fin</v>
          </cell>
          <cell r="D202" t="str">
            <v>HYDR</v>
          </cell>
          <cell r="F202">
            <v>5.7939066965481834E-3</v>
          </cell>
          <cell r="G202">
            <v>8.1377140926658896E-3</v>
          </cell>
          <cell r="H202">
            <v>8.6790957324738432E-3</v>
          </cell>
          <cell r="I202">
            <v>8.6934949050590619E-3</v>
          </cell>
          <cell r="J202">
            <v>8.7291857975383275E-3</v>
          </cell>
          <cell r="K202">
            <v>8.6566494380103491E-3</v>
          </cell>
          <cell r="L202">
            <v>8.2308113424543784E-3</v>
          </cell>
          <cell r="M202">
            <v>8.2678001834726091E-3</v>
          </cell>
          <cell r="N202">
            <v>8.3747074433159277E-3</v>
          </cell>
          <cell r="O202">
            <v>8.4593909730938683E-3</v>
          </cell>
          <cell r="P202">
            <v>1.4926326470278825E-2</v>
          </cell>
        </row>
        <row r="203">
          <cell r="B203" t="str">
            <v>EHYD-RUN10</v>
          </cell>
          <cell r="C203" t="str">
            <v>VAR_ncap</v>
          </cell>
          <cell r="D203" t="str">
            <v>-</v>
          </cell>
          <cell r="F203">
            <v>4.9995532896820202E-4</v>
          </cell>
          <cell r="G203">
            <v>1.9231415253964299E-4</v>
          </cell>
          <cell r="H203">
            <v>2.8099859775597601E-6</v>
          </cell>
          <cell r="I203">
            <v>1.3293670211194399E-6</v>
          </cell>
          <cell r="J203">
            <v>1.97106381080524E-7</v>
          </cell>
          <cell r="K203">
            <v>1.62187757908021E-7</v>
          </cell>
          <cell r="L203">
            <v>3.1127038372406898E-7</v>
          </cell>
          <cell r="M203">
            <v>8.1210912757896904E-7</v>
          </cell>
          <cell r="N203">
            <v>4.1450347227411399E-6</v>
          </cell>
          <cell r="O203">
            <v>4.7989221005384597E-6</v>
          </cell>
          <cell r="P203">
            <v>5.4140470053684099E-4</v>
          </cell>
        </row>
        <row r="204">
          <cell r="B204" t="str">
            <v>EHYD-RUN10</v>
          </cell>
          <cell r="C204" t="str">
            <v>VAR_cap</v>
          </cell>
          <cell r="D204" t="str">
            <v>-</v>
          </cell>
          <cell r="F204">
            <v>4.9995532896820202E-4</v>
          </cell>
          <cell r="G204">
            <v>6.9226948150784501E-4</v>
          </cell>
          <cell r="H204">
            <v>6.9507946748540502E-4</v>
          </cell>
          <cell r="I204">
            <v>6.96408834506525E-4</v>
          </cell>
          <cell r="J204">
            <v>6.9660594088760501E-4</v>
          </cell>
          <cell r="K204">
            <v>6.9676812864551303E-4</v>
          </cell>
          <cell r="L204">
            <v>6.9707939902923703E-4</v>
          </cell>
          <cell r="M204">
            <v>6.9789150815681596E-4</v>
          </cell>
          <cell r="N204">
            <v>7.0203654287955702E-4</v>
          </cell>
          <cell r="O204">
            <v>7.0683546498009604E-4</v>
          </cell>
          <cell r="P204">
            <v>1.2482401655169401E-3</v>
          </cell>
        </row>
        <row r="205">
          <cell r="B205" t="str">
            <v>ITOT-CHPWOD</v>
          </cell>
          <cell r="C205" t="str">
            <v>VAR_fout</v>
          </cell>
          <cell r="D205" t="str">
            <v>ITOT_LTH_CHP</v>
          </cell>
          <cell r="E205">
            <v>0.66015002824752234</v>
          </cell>
          <cell r="F205">
            <v>1.7178170201333334</v>
          </cell>
          <cell r="G205">
            <v>3.3735361215429793</v>
          </cell>
          <cell r="H205">
            <v>3.1107935691082202</v>
          </cell>
          <cell r="I205">
            <v>3.0893541834833025</v>
          </cell>
          <cell r="J205">
            <v>1.9263507522140055</v>
          </cell>
          <cell r="K205">
            <v>0.78623631817442796</v>
          </cell>
          <cell r="L205">
            <v>0.73106917025826934</v>
          </cell>
          <cell r="M205">
            <v>1.5675532571300738E-2</v>
          </cell>
          <cell r="N205">
            <v>8.0502881304531926E-3</v>
          </cell>
          <cell r="O205">
            <v>9.0203422642447517E-3</v>
          </cell>
          <cell r="P205">
            <v>1.034293729734163E-2</v>
          </cell>
        </row>
        <row r="206">
          <cell r="B206" t="str">
            <v>ITOT-CHPWOD</v>
          </cell>
          <cell r="C206" t="str">
            <v>VAR_fout</v>
          </cell>
          <cell r="D206" t="str">
            <v>ITOT_KEV_WOD_ELC_CHP</v>
          </cell>
          <cell r="E206">
            <v>0.17261404367800709</v>
          </cell>
          <cell r="F206">
            <v>0.49325428784315839</v>
          </cell>
          <cell r="G206">
            <v>1.1359065301471178</v>
          </cell>
          <cell r="H206">
            <v>1.470556959942066</v>
          </cell>
          <cell r="I206">
            <v>1.4604219776466498</v>
          </cell>
          <cell r="J206">
            <v>0.91063853741025502</v>
          </cell>
          <cell r="K206">
            <v>0.37167535040972904</v>
          </cell>
          <cell r="L206">
            <v>0.3455963350311812</v>
          </cell>
          <cell r="M206">
            <v>7.4102517609785194E-3</v>
          </cell>
          <cell r="N206">
            <v>3.8055907525778609E-3</v>
          </cell>
          <cell r="O206">
            <v>4.2641617976429619E-3</v>
          </cell>
          <cell r="P206">
            <v>4.8893885405614859E-3</v>
          </cell>
        </row>
        <row r="207">
          <cell r="B207" t="str">
            <v>ITOT-CHPWOD</v>
          </cell>
          <cell r="C207" t="str">
            <v>VAR_fin</v>
          </cell>
          <cell r="D207" t="str">
            <v>IWOD</v>
          </cell>
          <cell r="E207">
            <v>0.8737182671285838</v>
          </cell>
          <cell r="F207">
            <v>2.1844976008307788</v>
          </cell>
          <cell r="G207">
            <v>4.5393371662259341</v>
          </cell>
          <cell r="H207">
            <v>5.2662609605966564</v>
          </cell>
          <cell r="I207">
            <v>5.043089486660743</v>
          </cell>
          <cell r="J207">
            <v>2.5815580515165215</v>
          </cell>
          <cell r="K207">
            <v>1.0333290593325479</v>
          </cell>
          <cell r="L207">
            <v>0.94143431099774477</v>
          </cell>
          <cell r="M207">
            <v>2.1904402250991883E-2</v>
          </cell>
          <cell r="N207">
            <v>1.2453435654602343E-2</v>
          </cell>
          <cell r="O207">
            <v>1.3152492112882198E-2</v>
          </cell>
          <cell r="P207">
            <v>1.7808876429699503E-2</v>
          </cell>
        </row>
        <row r="208">
          <cell r="B208" t="str">
            <v>ITOT-CHPWOD</v>
          </cell>
          <cell r="C208" t="str">
            <v>VAR_ncap</v>
          </cell>
          <cell r="D208" t="str">
            <v>-</v>
          </cell>
          <cell r="F208">
            <v>1.65575835440098E-2</v>
          </cell>
          <cell r="G208">
            <v>2.3763791944645399E-2</v>
          </cell>
          <cell r="H208">
            <v>1.23812574809303E-2</v>
          </cell>
          <cell r="I208">
            <v>2.74096812653448E-2</v>
          </cell>
          <cell r="J208">
            <v>1.48864223567382E-2</v>
          </cell>
          <cell r="K208">
            <v>5.8815319340624597E-6</v>
          </cell>
          <cell r="L208">
            <v>1.6499261591468501E-4</v>
          </cell>
          <cell r="M208">
            <v>3.8562202098795602E-6</v>
          </cell>
          <cell r="N208">
            <v>1.2258151794944001E-4</v>
          </cell>
          <cell r="O208">
            <v>1.6794646352360999E-4</v>
          </cell>
          <cell r="P208">
            <v>7.53829939521648E-5</v>
          </cell>
        </row>
        <row r="209">
          <cell r="B209" t="str">
            <v>ITOT-CHPWOD</v>
          </cell>
          <cell r="C209" t="str">
            <v>VAR_cap</v>
          </cell>
          <cell r="D209" t="str">
            <v>-</v>
          </cell>
          <cell r="E209">
            <v>7.6020362919820101E-3</v>
          </cell>
          <cell r="F209">
            <v>1.8236256562221723E-2</v>
          </cell>
          <cell r="G209">
            <v>4.1999386116479111E-2</v>
          </cell>
          <cell r="H209">
            <v>5.437664802675557E-2</v>
          </cell>
          <cell r="I209">
            <v>7.2047053397354829E-2</v>
          </cell>
          <cell r="J209">
            <v>5.7304672335541575E-2</v>
          </cell>
          <cell r="K209">
            <v>2.7804811063707302E-2</v>
          </cell>
          <cell r="L209">
            <v>1.5055027936458571E-2</v>
          </cell>
          <cell r="M209">
            <v>5.4683548294487991E-4</v>
          </cell>
          <cell r="N209">
            <v>2.8353052270684335E-4</v>
          </cell>
          <cell r="O209">
            <v>3.1806616957364488E-4</v>
          </cell>
          <cell r="P209">
            <v>3.6203266816135234E-4</v>
          </cell>
        </row>
        <row r="210">
          <cell r="B210" t="str">
            <v>EHYD-RUN15</v>
          </cell>
          <cell r="C210" t="str">
            <v>VAR_fout</v>
          </cell>
          <cell r="D210" t="str">
            <v>ELC13</v>
          </cell>
          <cell r="F210">
            <v>2.7126731759993246E-3</v>
          </cell>
          <cell r="G210">
            <v>2.7575157963970185E-3</v>
          </cell>
          <cell r="H210">
            <v>2.6863054847518679</v>
          </cell>
          <cell r="I210">
            <v>3.4581676925100018</v>
          </cell>
          <cell r="J210">
            <v>3.8558688647887456</v>
          </cell>
          <cell r="K210">
            <v>4.3407963551499131</v>
          </cell>
          <cell r="L210">
            <v>6.9524450094830614</v>
          </cell>
          <cell r="M210">
            <v>6.9524520208264313</v>
          </cell>
          <cell r="N210">
            <v>6.9524661443471141</v>
          </cell>
          <cell r="O210">
            <v>6.9525292284087552</v>
          </cell>
          <cell r="P210">
            <v>6.9526538536558817</v>
          </cell>
        </row>
        <row r="211">
          <cell r="B211" t="str">
            <v>EHYD-RUN15</v>
          </cell>
          <cell r="C211" t="str">
            <v>VAR_fin</v>
          </cell>
          <cell r="D211" t="str">
            <v>HYDR</v>
          </cell>
          <cell r="F211">
            <v>2.7126731759993246E-3</v>
          </cell>
          <cell r="G211">
            <v>2.7575157963970185E-3</v>
          </cell>
          <cell r="H211">
            <v>2.6863054847518679</v>
          </cell>
          <cell r="I211">
            <v>3.4581676925100018</v>
          </cell>
          <cell r="J211">
            <v>3.8558688647887456</v>
          </cell>
          <cell r="K211">
            <v>4.3407963551499131</v>
          </cell>
          <cell r="L211">
            <v>6.9524450094830614</v>
          </cell>
          <cell r="M211">
            <v>6.9524520208264313</v>
          </cell>
          <cell r="N211">
            <v>6.9524661443471141</v>
          </cell>
          <cell r="O211">
            <v>6.9525292284087552</v>
          </cell>
          <cell r="P211">
            <v>6.9526538536558817</v>
          </cell>
        </row>
        <row r="212">
          <cell r="B212" t="str">
            <v>EHYD-RUN15</v>
          </cell>
          <cell r="C212" t="str">
            <v>VAR_ncap</v>
          </cell>
          <cell r="D212" t="str">
            <v>-</v>
          </cell>
          <cell r="F212">
            <v>2.3312782992846999E-4</v>
          </cell>
          <cell r="G212">
            <v>0.27388551916933301</v>
          </cell>
          <cell r="H212">
            <v>1.2599188426486701E-6</v>
          </cell>
          <cell r="I212">
            <v>1.9089045883937799E-6</v>
          </cell>
          <cell r="J212">
            <v>1.2590523954029401E-5</v>
          </cell>
          <cell r="K212">
            <v>0.220128814866246</v>
          </cell>
          <cell r="L212">
            <v>5.6800304740465405E-7</v>
          </cell>
          <cell r="M212">
            <v>1.73426238894485E-6</v>
          </cell>
          <cell r="N212">
            <v>3.2299146709546898E-6</v>
          </cell>
          <cell r="O212">
            <v>1.1670807191251501E-5</v>
          </cell>
        </row>
        <row r="213">
          <cell r="B213" t="str">
            <v>EHYD-RUN15</v>
          </cell>
          <cell r="C213" t="str">
            <v>VAR_cap</v>
          </cell>
          <cell r="D213" t="str">
            <v>-</v>
          </cell>
          <cell r="F213">
            <v>2.3312782992846999E-4</v>
          </cell>
          <cell r="G213">
            <v>2.3312782992846999E-4</v>
          </cell>
          <cell r="H213">
            <v>0.190978161166209</v>
          </cell>
          <cell r="I213">
            <v>0.27411990691810401</v>
          </cell>
          <cell r="J213">
            <v>0.27412141495857401</v>
          </cell>
          <cell r="K213">
            <v>0.308595565656753</v>
          </cell>
          <cell r="L213">
            <v>0.49426322121289201</v>
          </cell>
          <cell r="M213">
            <v>0.49426408210087802</v>
          </cell>
          <cell r="N213">
            <v>0.49426552347832903</v>
          </cell>
          <cell r="O213">
            <v>0.49427000836881402</v>
          </cell>
          <cell r="P213">
            <v>0.49428042420019103</v>
          </cell>
        </row>
        <row r="214">
          <cell r="B214" t="str">
            <v>SCOM-SWHSTG-CHPWOD</v>
          </cell>
          <cell r="C214" t="str">
            <v>VAR_fout</v>
          </cell>
          <cell r="D214" t="str">
            <v>AUX_SCOM-CHPWOD_OUT</v>
          </cell>
          <cell r="E214">
            <v>6.9065406557226446E-5</v>
          </cell>
          <cell r="F214">
            <v>1.4006271259782397E-4</v>
          </cell>
          <cell r="G214">
            <v>1.4306405644644096E-4</v>
          </cell>
          <cell r="H214">
            <v>3.7629928041922438E-3</v>
          </cell>
          <cell r="I214">
            <v>7.8539783565379096E-3</v>
          </cell>
          <cell r="J214">
            <v>1.4907108477861525E-2</v>
          </cell>
          <cell r="K214">
            <v>2.0923168376335736E-2</v>
          </cell>
          <cell r="L214">
            <v>7.6054825208001026E-2</v>
          </cell>
          <cell r="M214">
            <v>9.2198590021819349E-2</v>
          </cell>
          <cell r="N214">
            <v>7.3583163610230928E-2</v>
          </cell>
          <cell r="O214">
            <v>0.12743951603008899</v>
          </cell>
          <cell r="P214">
            <v>0.18632851964557456</v>
          </cell>
        </row>
        <row r="215">
          <cell r="B215" t="str">
            <v>SCOM-SWHSTG-CHPWOD</v>
          </cell>
          <cell r="C215" t="str">
            <v>VAR_fout</v>
          </cell>
          <cell r="D215" t="str">
            <v>SCOM_LTH_CHPWOD</v>
          </cell>
          <cell r="E215">
            <v>6.9065406557226582E-5</v>
          </cell>
          <cell r="F215">
            <v>1.4017719553021586E-4</v>
          </cell>
          <cell r="G215">
            <v>1.4324676916220913E-4</v>
          </cell>
          <cell r="H215">
            <v>3.7629928041922364E-3</v>
          </cell>
          <cell r="I215">
            <v>7.8627147062114676E-3</v>
          </cell>
          <cell r="J215">
            <v>1.4907108477861508E-2</v>
          </cell>
          <cell r="K215">
            <v>2.0943621131346808E-2</v>
          </cell>
          <cell r="L215">
            <v>7.6054825208001012E-2</v>
          </cell>
          <cell r="M215">
            <v>9.2198590021819349E-2</v>
          </cell>
          <cell r="N215">
            <v>7.3583163610230928E-2</v>
          </cell>
          <cell r="O215">
            <v>0.12743951603008899</v>
          </cell>
          <cell r="P215">
            <v>0.18632851964557456</v>
          </cell>
        </row>
        <row r="216">
          <cell r="B216" t="str">
            <v>SCOM-SWHSTG-CHPWOD</v>
          </cell>
          <cell r="C216" t="str">
            <v>VAR_fin</v>
          </cell>
          <cell r="D216" t="str">
            <v>AUX_SCOM-CHPWOD_IN</v>
          </cell>
          <cell r="E216">
            <v>6.9065406557226582E-5</v>
          </cell>
          <cell r="F216">
            <v>1.4017719553021586E-4</v>
          </cell>
          <cell r="G216">
            <v>1.4324676916220913E-4</v>
          </cell>
          <cell r="H216">
            <v>4.3323845797702812E-3</v>
          </cell>
          <cell r="I216">
            <v>8.7434551682455831E-3</v>
          </cell>
          <cell r="J216">
            <v>1.6036254395550172E-2</v>
          </cell>
          <cell r="K216">
            <v>2.182337750650018E-2</v>
          </cell>
          <cell r="L216">
            <v>7.6830161260231733E-2</v>
          </cell>
          <cell r="M216">
            <v>9.3136994405502813E-2</v>
          </cell>
          <cell r="N216">
            <v>7.4333533384014105E-2</v>
          </cell>
          <cell r="O216">
            <v>0.12873388936325045</v>
          </cell>
          <cell r="P216">
            <v>0.18821773139831649</v>
          </cell>
        </row>
        <row r="217">
          <cell r="B217" t="str">
            <v>SCOM-SWHSTG-CHPWOD</v>
          </cell>
          <cell r="C217" t="str">
            <v>VAR_fin</v>
          </cell>
          <cell r="D217" t="str">
            <v>SCOM_LTH_CHPWOD</v>
          </cell>
          <cell r="E217">
            <v>6.9065406557226582E-5</v>
          </cell>
          <cell r="F217">
            <v>1.4017719553021586E-4</v>
          </cell>
          <cell r="G217">
            <v>1.4324676916220913E-4</v>
          </cell>
          <cell r="H217">
            <v>4.3323845797702812E-3</v>
          </cell>
          <cell r="I217">
            <v>8.7434551682455831E-3</v>
          </cell>
          <cell r="J217">
            <v>1.6036254395550172E-2</v>
          </cell>
          <cell r="K217">
            <v>2.182337750650018E-2</v>
          </cell>
          <cell r="L217">
            <v>7.6830161260231733E-2</v>
          </cell>
          <cell r="M217">
            <v>9.3136994405502813E-2</v>
          </cell>
          <cell r="N217">
            <v>7.4333533384014105E-2</v>
          </cell>
          <cell r="O217">
            <v>0.12873388936325045</v>
          </cell>
          <cell r="P217">
            <v>0.18821773139831649</v>
          </cell>
        </row>
        <row r="218">
          <cell r="B218" t="str">
            <v>SCOM-SWHSTG-CHPWOD</v>
          </cell>
          <cell r="C218" t="str">
            <v>VAR_ncap</v>
          </cell>
          <cell r="D218" t="str">
            <v>-</v>
          </cell>
          <cell r="E218">
            <v>4.5627005208310001E-3</v>
          </cell>
          <cell r="F218">
            <v>1.2433903035542301E-4</v>
          </cell>
          <cell r="G218">
            <v>2.5332594359170102E-4</v>
          </cell>
          <cell r="H218">
            <v>3.07308061538079E-4</v>
          </cell>
          <cell r="I218">
            <v>5.7776434088836204E-3</v>
          </cell>
          <cell r="J218">
            <v>2.34378682385186E-3</v>
          </cell>
          <cell r="K218">
            <v>3.9935860580496901E-4</v>
          </cell>
          <cell r="L218">
            <v>9.2633665218126403E-3</v>
          </cell>
          <cell r="M218">
            <v>2.4638311116629202E-4</v>
          </cell>
          <cell r="N218">
            <v>6.6518081790814202E-3</v>
          </cell>
          <cell r="O218">
            <v>4.0321578207106103E-3</v>
          </cell>
          <cell r="P218">
            <v>1.5890190985353599E-2</v>
          </cell>
        </row>
        <row r="219">
          <cell r="B219" t="str">
            <v>SCOM-SWHSTG-CHPWOD</v>
          </cell>
          <cell r="C219" t="str">
            <v>VAR_cap</v>
          </cell>
          <cell r="D219" t="str">
            <v>-</v>
          </cell>
          <cell r="E219">
            <v>4.5627005208310001E-3</v>
          </cell>
          <cell r="F219">
            <v>4.6716359438642042E-3</v>
          </cell>
          <cell r="G219">
            <v>4.8874076320607569E-3</v>
          </cell>
          <cell r="H219">
            <v>5.1399139477735856E-3</v>
          </cell>
          <cell r="I219">
            <v>7.4367795187329925E-3</v>
          </cell>
          <cell r="J219">
            <v>8.3185572495808845E-3</v>
          </cell>
          <cell r="K219">
            <v>8.4303833711265562E-3</v>
          </cell>
          <cell r="L219">
            <v>1.1908748267426049E-2</v>
          </cell>
          <cell r="M219">
            <v>1.0044648695627611E-2</v>
          </cell>
          <cell r="N219">
            <v>1.6022041771785973E-2</v>
          </cell>
          <cell r="O219">
            <v>1.2307717950094442E-2</v>
          </cell>
          <cell r="P219">
            <v>2.6450677007859882E-2</v>
          </cell>
        </row>
        <row r="220">
          <cell r="B220" t="str">
            <v>RHNM-ESOLPV</v>
          </cell>
          <cell r="C220" t="str">
            <v>VAR_fout</v>
          </cell>
          <cell r="D220" t="str">
            <v>RHNM_SOL_ELC</v>
          </cell>
          <cell r="E220"/>
          <cell r="F220">
            <v>1.4664552433746836E-5</v>
          </cell>
          <cell r="G220">
            <v>2.8816256420292254</v>
          </cell>
          <cell r="H220">
            <v>6.6645159776533474</v>
          </cell>
          <cell r="I220">
            <v>14.335010058553365</v>
          </cell>
          <cell r="J220">
            <v>18.666724216030428</v>
          </cell>
          <cell r="K220">
            <v>20.005007155217466</v>
          </cell>
          <cell r="L220">
            <v>21.025484421059591</v>
          </cell>
          <cell r="M220">
            <v>22.097996135800464</v>
          </cell>
          <cell r="N220">
            <v>23.225217276561651</v>
          </cell>
          <cell r="O220">
            <v>24.409940503382316</v>
          </cell>
          <cell r="P220">
            <v>25.655100873318066</v>
          </cell>
        </row>
        <row r="221">
          <cell r="B221" t="str">
            <v>RHNM-ESOLPV</v>
          </cell>
          <cell r="C221" t="str">
            <v>VAR_fin</v>
          </cell>
          <cell r="D221" t="str">
            <v>SOL</v>
          </cell>
          <cell r="E221"/>
          <cell r="F221">
            <v>1.4664552433746836E-5</v>
          </cell>
          <cell r="G221">
            <v>2.8816256420292254</v>
          </cell>
          <cell r="H221">
            <v>6.6645159776533474</v>
          </cell>
          <cell r="I221">
            <v>14.335010058553365</v>
          </cell>
          <cell r="J221">
            <v>18.666724216030428</v>
          </cell>
          <cell r="K221">
            <v>20.005007155217466</v>
          </cell>
          <cell r="L221">
            <v>21.025484421059591</v>
          </cell>
          <cell r="M221">
            <v>22.097996135800464</v>
          </cell>
          <cell r="N221">
            <v>23.225217276561651</v>
          </cell>
          <cell r="O221">
            <v>24.409940503382316</v>
          </cell>
          <cell r="P221">
            <v>25.655100873318066</v>
          </cell>
        </row>
        <row r="222">
          <cell r="B222" t="str">
            <v>RHNM-ESOLPV</v>
          </cell>
          <cell r="C222" t="str">
            <v>VAR_fin</v>
          </cell>
          <cell r="D222" t="str">
            <v>SOLPVC</v>
          </cell>
          <cell r="E222"/>
          <cell r="F222">
            <v>1.4664552433746799E-5</v>
          </cell>
          <cell r="G222">
            <v>2.8816256420292299</v>
          </cell>
          <cell r="H222">
            <v>6.66451597765335</v>
          </cell>
          <cell r="I222">
            <v>14.335010058553401</v>
          </cell>
          <cell r="J222">
            <v>18.666724216030399</v>
          </cell>
          <cell r="K222">
            <v>20.005007155217399</v>
          </cell>
          <cell r="L222">
            <v>21.025484421059598</v>
          </cell>
          <cell r="M222">
            <v>22.0979961358005</v>
          </cell>
          <cell r="N222">
            <v>23.2252172765617</v>
          </cell>
          <cell r="O222">
            <v>24.409940503382298</v>
          </cell>
          <cell r="P222">
            <v>25.655100873318101</v>
          </cell>
        </row>
        <row r="223">
          <cell r="B223" t="str">
            <v>RHNM-ESOLPV</v>
          </cell>
          <cell r="C223" t="str">
            <v>VAR_ncap</v>
          </cell>
          <cell r="D223" t="str">
            <v>-</v>
          </cell>
          <cell r="E223"/>
          <cell r="F223">
            <v>5.0265988137453103E-6</v>
          </cell>
          <cell r="G223">
            <v>0.86038588913605396</v>
          </cell>
          <cell r="H223">
            <v>0.78832401007831299</v>
          </cell>
          <cell r="I223">
            <v>1.8975852721925901</v>
          </cell>
          <cell r="J223">
            <v>1.07161439584435</v>
          </cell>
          <cell r="K223">
            <v>1.28897981847792</v>
          </cell>
          <cell r="L223">
            <v>0.94326115226401097</v>
          </cell>
          <cell r="M223">
            <v>1.72886347877187</v>
          </cell>
          <cell r="N223">
            <v>1.7845228359462599</v>
          </cell>
          <cell r="O223">
            <v>1.5820656622595</v>
          </cell>
          <cell r="P223">
            <v>1.2512983962415001</v>
          </cell>
        </row>
        <row r="224">
          <cell r="B224" t="str">
            <v>RHNM-ESOLPV</v>
          </cell>
          <cell r="C224" t="str">
            <v>VAR_cap</v>
          </cell>
          <cell r="D224" t="str">
            <v>-</v>
          </cell>
          <cell r="E224"/>
          <cell r="F224">
            <v>5.0265988137453103E-6</v>
          </cell>
          <cell r="G224">
            <v>0.86039091573486803</v>
          </cell>
          <cell r="H224">
            <v>1.6487149258131799</v>
          </cell>
          <cell r="I224">
            <v>3.54630019800577</v>
          </cell>
          <cell r="J224">
            <v>4.6179126573534699</v>
          </cell>
          <cell r="K224">
            <v>4.9489871964017498</v>
          </cell>
          <cell r="L224">
            <v>5.2014406387788696</v>
          </cell>
          <cell r="M224">
            <v>5.4667667620156601</v>
          </cell>
          <cell r="N224">
            <v>5.7456272854600599</v>
          </cell>
          <cell r="O224">
            <v>6.0387131292416401</v>
          </cell>
          <cell r="P224">
            <v>6.3467503732191304</v>
          </cell>
        </row>
        <row r="225">
          <cell r="B225" t="str">
            <v>CHPNGA</v>
          </cell>
          <cell r="C225" t="str">
            <v>VAR_fout</v>
          </cell>
          <cell r="D225" t="str">
            <v>ELC35</v>
          </cell>
          <cell r="E225">
            <v>0.96590841995223264</v>
          </cell>
          <cell r="F225">
            <v>1.002210521776155E-3</v>
          </cell>
          <cell r="G225">
            <v>7.4533236872880524E-3</v>
          </cell>
          <cell r="H225"/>
          <cell r="I225"/>
          <cell r="J225"/>
          <cell r="K225"/>
          <cell r="L225"/>
          <cell r="M225"/>
          <cell r="N225"/>
          <cell r="O225"/>
          <cell r="P225"/>
        </row>
        <row r="226">
          <cell r="B226" t="str">
            <v>CHPNGA</v>
          </cell>
          <cell r="C226" t="str">
            <v>VAR_fout</v>
          </cell>
          <cell r="D226" t="str">
            <v>LTH</v>
          </cell>
          <cell r="E226">
            <v>1.8036028876986328</v>
          </cell>
          <cell r="F226">
            <v>1.9258026044091914E-3</v>
          </cell>
          <cell r="G226">
            <v>1.492897959969177E-2</v>
          </cell>
          <cell r="H226"/>
          <cell r="I226"/>
          <cell r="J226"/>
          <cell r="K226"/>
          <cell r="L226"/>
          <cell r="M226"/>
          <cell r="N226"/>
          <cell r="O226"/>
          <cell r="P226"/>
        </row>
        <row r="227">
          <cell r="B227" t="str">
            <v>CHPNGA</v>
          </cell>
          <cell r="C227" t="str">
            <v>VAR_fout</v>
          </cell>
          <cell r="D227" t="str">
            <v>CO2_E</v>
          </cell>
          <cell r="E227">
            <v>209.963366497897</v>
          </cell>
          <cell r="F227">
            <v>0.30021417220158603</v>
          </cell>
          <cell r="G227">
            <v>1.8642676251671599</v>
          </cell>
          <cell r="H227"/>
          <cell r="I227"/>
          <cell r="J227">
            <v>2.5897210399615099E-3</v>
          </cell>
          <cell r="K227"/>
          <cell r="L227"/>
          <cell r="M227">
            <v>3.01448764560329E-2</v>
          </cell>
          <cell r="N227">
            <v>2.92846482643228E-2</v>
          </cell>
          <cell r="O227">
            <v>3.1946719802334302E-2</v>
          </cell>
          <cell r="P227">
            <v>6.0012135362949498E-2</v>
          </cell>
        </row>
        <row r="228">
          <cell r="B228" t="str">
            <v>CHPNGA</v>
          </cell>
          <cell r="C228" t="str">
            <v>VAR_fin</v>
          </cell>
          <cell r="D228" t="str">
            <v>ENGA</v>
          </cell>
          <cell r="E228">
            <v>3.7227547251400264</v>
          </cell>
          <cell r="F228">
            <v>5.3229463156309591E-3</v>
          </cell>
          <cell r="G228">
            <v>3.3054390517148299E-2</v>
          </cell>
          <cell r="H228"/>
          <cell r="I228"/>
          <cell r="J228">
            <v>4.5917039715629705E-5</v>
          </cell>
          <cell r="K228"/>
          <cell r="L228"/>
          <cell r="M228">
            <v>5.3448362510696585E-4</v>
          </cell>
          <cell r="N228">
            <v>5.1923135220430499E-4</v>
          </cell>
          <cell r="O228">
            <v>5.6643120216904794E-4</v>
          </cell>
          <cell r="P228">
            <v>1.0640449532437839E-3</v>
          </cell>
        </row>
        <row r="229">
          <cell r="B229" t="str">
            <v>CHPNGA</v>
          </cell>
          <cell r="C229" t="str">
            <v>VAR_ncap</v>
          </cell>
          <cell r="D229" t="str">
            <v>-</v>
          </cell>
          <cell r="E229"/>
          <cell r="F229">
            <v>1.1342559740751501E-6</v>
          </cell>
          <cell r="G229"/>
          <cell r="H229"/>
          <cell r="I229"/>
          <cell r="J229"/>
          <cell r="K229"/>
          <cell r="L229"/>
          <cell r="M229"/>
          <cell r="N229"/>
          <cell r="O229"/>
          <cell r="P229"/>
        </row>
        <row r="230">
          <cell r="B230" t="str">
            <v>CHPNGA</v>
          </cell>
          <cell r="C230" t="str">
            <v>VAR_cap</v>
          </cell>
          <cell r="D230" t="str">
            <v>-</v>
          </cell>
          <cell r="E230">
            <v>5.4429919053676695E-2</v>
          </cell>
          <cell r="F230">
            <v>3.3219494560626783E-4</v>
          </cell>
          <cell r="G230">
            <v>3.3196252643777346E-4</v>
          </cell>
          <cell r="H230">
            <v>-1.8594090192558532E-7</v>
          </cell>
          <cell r="I230">
            <v>-5.2313296274725252E-8</v>
          </cell>
          <cell r="J230"/>
          <cell r="K230"/>
          <cell r="L230"/>
        </row>
        <row r="231">
          <cell r="B231" t="str">
            <v>EHYD-PUM00</v>
          </cell>
          <cell r="C231" t="str">
            <v>VAR_fout</v>
          </cell>
          <cell r="D231" t="str">
            <v>ELC</v>
          </cell>
          <cell r="E231">
            <v>12.841935131452248</v>
          </cell>
          <cell r="F231">
            <v>16.033002891425674</v>
          </cell>
          <cell r="G231">
            <v>1.7942348404283621</v>
          </cell>
          <cell r="H231">
            <v>13.764431672611165</v>
          </cell>
          <cell r="I231">
            <v>13.040810381382196</v>
          </cell>
          <cell r="J231">
            <v>13.539133602888597</v>
          </cell>
          <cell r="K231">
            <v>13.885073398156271</v>
          </cell>
          <cell r="L231">
            <v>14.103457689918518</v>
          </cell>
          <cell r="M231">
            <v>14.593539382467796</v>
          </cell>
          <cell r="N231">
            <v>14.223059597663612</v>
          </cell>
          <cell r="O231">
            <v>14.16585519739812</v>
          </cell>
          <cell r="P231">
            <v>14.183252434001492</v>
          </cell>
        </row>
        <row r="232">
          <cell r="B232" t="str">
            <v>EHYD-PUM00</v>
          </cell>
          <cell r="C232" t="str">
            <v>VAR_fout</v>
          </cell>
          <cell r="D232" t="str">
            <v>AUX_PUMP_OUT</v>
          </cell>
          <cell r="E232">
            <v>12.841935131452248</v>
          </cell>
          <cell r="F232">
            <v>16.033002891425674</v>
          </cell>
          <cell r="G232">
            <v>1.7942348404283621</v>
          </cell>
          <cell r="H232">
            <v>13.764431672611165</v>
          </cell>
          <cell r="I232">
            <v>13.040810381382196</v>
          </cell>
          <cell r="J232">
            <v>13.539133602888597</v>
          </cell>
          <cell r="K232">
            <v>13.885073398156271</v>
          </cell>
          <cell r="L232">
            <v>14.103457689918518</v>
          </cell>
          <cell r="M232">
            <v>14.593539382467796</v>
          </cell>
          <cell r="N232">
            <v>14.223059597663612</v>
          </cell>
          <cell r="O232">
            <v>14.16585519739812</v>
          </cell>
          <cell r="P232">
            <v>14.183252434001492</v>
          </cell>
        </row>
        <row r="233">
          <cell r="B233" t="str">
            <v>EHYD-PUM00</v>
          </cell>
          <cell r="C233" t="str">
            <v>VAR_fin</v>
          </cell>
          <cell r="D233" t="str">
            <v>AUX_PUMP_IN</v>
          </cell>
          <cell r="E233">
            <v>16.052428388311217</v>
          </cell>
          <cell r="F233">
            <v>20.041263088274722</v>
          </cell>
          <cell r="G233">
            <v>2.2427982875357939</v>
          </cell>
          <cell r="H233">
            <v>17.205544327732593</v>
          </cell>
          <cell r="I233">
            <v>16.301017713870682</v>
          </cell>
          <cell r="J233">
            <v>16.923921817413994</v>
          </cell>
          <cell r="K233">
            <v>17.356346484815909</v>
          </cell>
          <cell r="L233">
            <v>17.629326907571222</v>
          </cell>
          <cell r="M233">
            <v>18.241928965102812</v>
          </cell>
          <cell r="N233">
            <v>17.77882923406354</v>
          </cell>
          <cell r="O233">
            <v>17.707323733851641</v>
          </cell>
          <cell r="P233">
            <v>17.729071356449044</v>
          </cell>
        </row>
        <row r="234">
          <cell r="B234" t="str">
            <v>EHYD-PUM00</v>
          </cell>
          <cell r="C234" t="str">
            <v>VAR_fin</v>
          </cell>
          <cell r="D234" t="str">
            <v>ELC</v>
          </cell>
          <cell r="E234">
            <v>16.052428388311217</v>
          </cell>
          <cell r="F234">
            <v>20.041263088274722</v>
          </cell>
          <cell r="G234">
            <v>2.2427982875357939</v>
          </cell>
          <cell r="H234">
            <v>17.205544327732593</v>
          </cell>
          <cell r="I234">
            <v>16.301017713870682</v>
          </cell>
          <cell r="J234">
            <v>16.923921817413994</v>
          </cell>
          <cell r="K234">
            <v>17.356346484815909</v>
          </cell>
          <cell r="L234">
            <v>17.629326907571222</v>
          </cell>
          <cell r="M234">
            <v>18.241928965102812</v>
          </cell>
          <cell r="N234">
            <v>17.77882923406354</v>
          </cell>
          <cell r="O234">
            <v>17.707323733851641</v>
          </cell>
          <cell r="P234">
            <v>17.729071356449044</v>
          </cell>
        </row>
        <row r="235">
          <cell r="B235" t="str">
            <v>EHYD-PUM00</v>
          </cell>
          <cell r="C235" t="str">
            <v>VAR_cap</v>
          </cell>
          <cell r="D235" t="str">
            <v>-</v>
          </cell>
          <cell r="E235">
            <v>3.3394499999999998</v>
          </cell>
          <cell r="F235">
            <v>3.97102894612105</v>
          </cell>
          <cell r="G235">
            <v>4.3594499999999998</v>
          </cell>
          <cell r="H235">
            <v>4.3594499999999998</v>
          </cell>
          <cell r="I235">
            <v>4.3594499999999998</v>
          </cell>
          <cell r="J235">
            <v>4.3594499999999998</v>
          </cell>
          <cell r="K235">
            <v>4.3594499999999998</v>
          </cell>
          <cell r="L235">
            <v>4.3594499999999998</v>
          </cell>
          <cell r="M235">
            <v>4.3594499999999998</v>
          </cell>
          <cell r="N235">
            <v>4.3594499999999998</v>
          </cell>
          <cell r="O235">
            <v>4.3594499999999998</v>
          </cell>
          <cell r="P235">
            <v>4.3594499999999998</v>
          </cell>
        </row>
        <row r="236">
          <cell r="B236" t="str">
            <v>RHNS-SHSTG-CHPNGA</v>
          </cell>
          <cell r="C236" t="str">
            <v>VAR_fout</v>
          </cell>
          <cell r="D236" t="str">
            <v>RHNS_LTH_CHPNGA</v>
          </cell>
          <cell r="E236">
            <v>1.0401285110566559E-4</v>
          </cell>
          <cell r="F236">
            <v>3.7614601212861034E-4</v>
          </cell>
          <cell r="G236">
            <v>4.2635318510784986E-3</v>
          </cell>
          <cell r="H236">
            <v>5.9896006567307083E-3</v>
          </cell>
          <cell r="I236">
            <v>5.3657254712049787E-3</v>
          </cell>
          <cell r="J236">
            <v>3.9332691995474971E-3</v>
          </cell>
          <cell r="K236">
            <v>2.391230672913506E-4</v>
          </cell>
          <cell r="L236">
            <v>2.5982698712444637E-4</v>
          </cell>
          <cell r="M236">
            <v>8.326169565784464E-3</v>
          </cell>
          <cell r="N236">
            <v>1.0565928561576877E-2</v>
          </cell>
          <cell r="O236">
            <v>1.4102289333856219E-2</v>
          </cell>
          <cell r="P236">
            <v>3.650522709423764E-2</v>
          </cell>
        </row>
        <row r="237">
          <cell r="B237" t="str">
            <v>RHNS-SHSTG-CHPNGA</v>
          </cell>
          <cell r="C237" t="str">
            <v>VAR_fout</v>
          </cell>
          <cell r="D237" t="str">
            <v>AUX_RNS-CHPNGA_OUT</v>
          </cell>
          <cell r="E237">
            <v>1.0401285110566594E-4</v>
          </cell>
          <cell r="F237">
            <v>3.7589541518515465E-4</v>
          </cell>
          <cell r="G237">
            <v>4.2590952934811301E-3</v>
          </cell>
          <cell r="H237">
            <v>5.9896006567307083E-3</v>
          </cell>
          <cell r="I237">
            <v>5.3607982669155512E-3</v>
          </cell>
          <cell r="J237">
            <v>3.9332691995475092E-3</v>
          </cell>
          <cell r="K237">
            <v>2.3892786478743995E-4</v>
          </cell>
          <cell r="L237">
            <v>2.598269871244468E-4</v>
          </cell>
          <cell r="M237">
            <v>8.3261695657844744E-3</v>
          </cell>
          <cell r="N237">
            <v>1.056592856157689E-2</v>
          </cell>
          <cell r="O237">
            <v>1.4102289333856233E-2</v>
          </cell>
          <cell r="P237">
            <v>3.6505227094237674E-2</v>
          </cell>
        </row>
        <row r="238">
          <cell r="B238" t="str">
            <v>RHNS-SHSTG-CHPNGA</v>
          </cell>
          <cell r="C238" t="str">
            <v>VAR_fin</v>
          </cell>
          <cell r="D238" t="str">
            <v>RHNS_LTH_CHPNGA</v>
          </cell>
          <cell r="E238">
            <v>8.1839845452321786E-5</v>
          </cell>
          <cell r="F238">
            <v>5.0203445772609222E-4</v>
          </cell>
          <cell r="G238">
            <v>5.5084369153195088E-3</v>
          </cell>
          <cell r="H238">
            <v>7.4941063152867892E-3</v>
          </cell>
          <cell r="I238">
            <v>6.5110151565580376E-3</v>
          </cell>
          <cell r="J238">
            <v>4.6344810233628431E-3</v>
          </cell>
          <cell r="K238">
            <v>1.9831952738446319E-4</v>
          </cell>
          <cell r="L238">
            <v>2.2236605855481065E-4</v>
          </cell>
          <cell r="M238">
            <v>9.258405012021631E-3</v>
          </cell>
          <cell r="N238">
            <v>1.174702611859295E-2</v>
          </cell>
          <cell r="O238">
            <v>1.5676315865315947E-2</v>
          </cell>
          <cell r="P238">
            <v>4.056846893260628E-2</v>
          </cell>
        </row>
        <row r="239">
          <cell r="B239" t="str">
            <v>RHNS-SHSTG-CHPNGA</v>
          </cell>
          <cell r="C239" t="str">
            <v>VAR_fin</v>
          </cell>
          <cell r="D239" t="str">
            <v>AUX_RNS-CHPNGA_IN</v>
          </cell>
          <cell r="E239">
            <v>8.1839845452321786E-5</v>
          </cell>
          <cell r="F239">
            <v>5.0203445772609222E-4</v>
          </cell>
          <cell r="G239">
            <v>5.5084369153195088E-3</v>
          </cell>
          <cell r="H239">
            <v>7.4941063152867892E-3</v>
          </cell>
          <cell r="I239">
            <v>6.5110151565580376E-3</v>
          </cell>
          <cell r="J239">
            <v>4.6344810233628431E-3</v>
          </cell>
          <cell r="K239">
            <v>1.9831952738446319E-4</v>
          </cell>
          <cell r="L239">
            <v>2.2236605855481065E-4</v>
          </cell>
          <cell r="M239">
            <v>9.258405012021631E-3</v>
          </cell>
          <cell r="N239">
            <v>1.174702611859295E-2</v>
          </cell>
          <cell r="O239">
            <v>1.5676315865315947E-2</v>
          </cell>
          <cell r="P239">
            <v>4.056846893260628E-2</v>
          </cell>
        </row>
        <row r="240">
          <cell r="B240" t="str">
            <v>RHNS-SHSTG-CHPNGA</v>
          </cell>
          <cell r="C240" t="str">
            <v>VAR_ncap</v>
          </cell>
          <cell r="D240" t="str">
            <v>-</v>
          </cell>
          <cell r="E240">
            <v>6.8819895345494601E-3</v>
          </cell>
          <cell r="F240">
            <v>2.0007568536976601E-4</v>
          </cell>
          <cell r="G240">
            <v>1.8277347164185099E-4</v>
          </cell>
          <cell r="H240">
            <v>1.13162503416021E-4</v>
          </cell>
          <cell r="I240">
            <v>5.7463711885582204E-3</v>
          </cell>
          <cell r="J240">
            <v>5.3439959447071405E-4</v>
          </cell>
          <cell r="K240">
            <v>1.30828860269165E-4</v>
          </cell>
          <cell r="L240">
            <v>7.6533001515942303E-3</v>
          </cell>
          <cell r="M240">
            <v>7.63328430661604E-4</v>
          </cell>
          <cell r="N240">
            <v>7.6636837017373003E-3</v>
          </cell>
          <cell r="O240">
            <v>2.94038206131348E-3</v>
          </cell>
          <cell r="P240">
            <v>1.5929592527720401E-2</v>
          </cell>
        </row>
        <row r="241">
          <cell r="B241" t="str">
            <v>RHNS-SHSTG-CHPNGA</v>
          </cell>
          <cell r="C241" t="str">
            <v>VAR_cap</v>
          </cell>
          <cell r="D241" t="str">
            <v>-</v>
          </cell>
          <cell r="E241">
            <v>6.8819895345494601E-3</v>
          </cell>
          <cell r="F241">
            <v>7.0680137285869769E-3</v>
          </cell>
          <cell r="G241">
            <v>7.2107121366805664E-3</v>
          </cell>
          <cell r="H241">
            <v>7.2273506160879623E-3</v>
          </cell>
          <cell r="I241">
            <v>7.7623386050528174E-3</v>
          </cell>
          <cell r="J241">
            <v>6.3366607268005781E-3</v>
          </cell>
          <cell r="K241">
            <v>6.2690670950321459E-3</v>
          </cell>
          <cell r="L241">
            <v>8.2034094455228617E-3</v>
          </cell>
          <cell r="M241">
            <v>8.4984119881698038E-3</v>
          </cell>
          <cell r="N241">
            <v>1.5940534146422318E-2</v>
          </cell>
          <cell r="O241">
            <v>1.2278349177727028E-2</v>
          </cell>
          <cell r="P241">
            <v>2.6410164438999611E-2</v>
          </cell>
        </row>
        <row r="242">
          <cell r="B242" t="str">
            <v>ITOT-CHPGFC</v>
          </cell>
          <cell r="C242" t="str">
            <v>VAR_fout</v>
          </cell>
          <cell r="D242" t="str">
            <v>ITOT_NKEV_GAS_ELC_CHP</v>
          </cell>
          <cell r="E242"/>
          <cell r="F242"/>
          <cell r="G242"/>
          <cell r="H242"/>
          <cell r="I242">
            <v>4.333034150411222E-3</v>
          </cell>
          <cell r="J242">
            <v>8.1634535395434787E-3</v>
          </cell>
          <cell r="K242">
            <v>5.9287479950609744E-3</v>
          </cell>
          <cell r="L242">
            <v>6.7159743429717894E-3</v>
          </cell>
          <cell r="M242">
            <v>7.4964114062620506E-3</v>
          </cell>
          <cell r="N242">
            <v>4.7596019265475449E-3</v>
          </cell>
          <cell r="O242">
            <v>4.3169435951051745E-3</v>
          </cell>
          <cell r="P242">
            <v>4.205810936909673E-3</v>
          </cell>
        </row>
        <row r="243">
          <cell r="B243" t="str">
            <v>ITOT-CHPGFC</v>
          </cell>
          <cell r="C243" t="str">
            <v>VAR_fout</v>
          </cell>
          <cell r="D243" t="str">
            <v>ITOT_LTH_CHP</v>
          </cell>
          <cell r="E243"/>
          <cell r="F243"/>
          <cell r="G243"/>
          <cell r="H243"/>
          <cell r="I243">
            <v>2.057197406273218E-3</v>
          </cell>
          <cell r="J243">
            <v>3.6698093893360625E-3</v>
          </cell>
          <cell r="K243">
            <v>2.5287594055869275E-3</v>
          </cell>
          <cell r="L243">
            <v>2.7099545594447554E-3</v>
          </cell>
          <cell r="M243">
            <v>3.0248677604215305E-3</v>
          </cell>
          <cell r="N243">
            <v>1.9205411282560295E-3</v>
          </cell>
          <cell r="O243">
            <v>1.7419246085512141E-3</v>
          </cell>
          <cell r="P243">
            <v>1.697081606121448E-3</v>
          </cell>
        </row>
        <row r="244">
          <cell r="B244" t="str">
            <v>ITOT-CHPGFC</v>
          </cell>
          <cell r="C244" t="str">
            <v>VAR_fout</v>
          </cell>
          <cell r="D244" t="str">
            <v>CO2_I</v>
          </cell>
          <cell r="E244"/>
          <cell r="F244"/>
          <cell r="G244"/>
          <cell r="H244"/>
          <cell r="I244">
            <v>0.45893544804355502</v>
          </cell>
          <cell r="J244">
            <v>0.84480510023899502</v>
          </cell>
          <cell r="K244">
            <v>0.59978724111468895</v>
          </cell>
          <cell r="L244">
            <v>0.66452798762036602</v>
          </cell>
          <cell r="M244">
            <v>0.74175018125119097</v>
          </cell>
          <cell r="N244">
            <v>0.47095008536365202</v>
          </cell>
          <cell r="O244">
            <v>0.42715020835777601</v>
          </cell>
          <cell r="P244">
            <v>0.41615392428369402</v>
          </cell>
        </row>
        <row r="245">
          <cell r="B245" t="str">
            <v>ITOT-CHPGFC</v>
          </cell>
          <cell r="C245" t="str">
            <v>VAR_fin</v>
          </cell>
          <cell r="D245" t="str">
            <v>INGA</v>
          </cell>
          <cell r="E245"/>
          <cell r="F245"/>
          <cell r="G245"/>
          <cell r="H245"/>
          <cell r="I245">
            <v>8.1371533341055777E-3</v>
          </cell>
          <cell r="J245">
            <v>1.497881383402473E-2</v>
          </cell>
          <cell r="K245">
            <v>1.0634525551678873E-2</v>
          </cell>
          <cell r="L245">
            <v>1.178241112802068E-2</v>
          </cell>
          <cell r="M245">
            <v>1.3151598958354459E-2</v>
          </cell>
          <cell r="N245">
            <v>8.3501788185044636E-3</v>
          </cell>
          <cell r="O245">
            <v>7.5735852545704852E-3</v>
          </cell>
          <cell r="P245">
            <v>7.3786156787888964E-3</v>
          </cell>
        </row>
        <row r="246">
          <cell r="B246" t="str">
            <v>ITOT-CHPGFC</v>
          </cell>
          <cell r="C246" t="str">
            <v>VAR_ncap</v>
          </cell>
          <cell r="D246" t="str">
            <v>-</v>
          </cell>
          <cell r="E246"/>
          <cell r="F246"/>
          <cell r="G246"/>
          <cell r="H246"/>
          <cell r="I246">
            <v>5.6525776573472801E-4</v>
          </cell>
          <cell r="J246">
            <v>1.1940664721524401E-4</v>
          </cell>
          <cell r="K246">
            <v>1.11630157792611E-5</v>
          </cell>
          <cell r="L246">
            <v>8.2029733502977096E-4</v>
          </cell>
          <cell r="M246">
            <v>3.9679006991959397E-6</v>
          </cell>
          <cell r="N246">
            <v>2.38721832889566E-4</v>
          </cell>
          <cell r="O246">
            <v>4.6167878210221202E-4</v>
          </cell>
          <cell r="P246">
            <v>2.94693495868483E-4</v>
          </cell>
        </row>
        <row r="247">
          <cell r="B247" t="str">
            <v>ITOT-CHPGFC</v>
          </cell>
          <cell r="C247" t="str">
            <v>VAR_cap</v>
          </cell>
          <cell r="D247" t="str">
            <v>-</v>
          </cell>
          <cell r="E247"/>
          <cell r="F247"/>
          <cell r="G247"/>
          <cell r="H247"/>
          <cell r="I247">
            <v>5.6525776573472801E-4</v>
          </cell>
          <cell r="J247">
            <v>6.8445475613279237E-4</v>
          </cell>
          <cell r="K247">
            <v>6.9406369630588987E-4</v>
          </cell>
          <cell r="L247">
            <v>9.4897502492461881E-4</v>
          </cell>
          <cell r="M247">
            <v>8.5026532579865954E-4</v>
          </cell>
          <cell r="N247">
            <v>1.0614911662400373E-3</v>
          </cell>
          <cell r="O247">
            <v>8.4647179840152838E-4</v>
          </cell>
          <cell r="P247">
            <v>9.9325299001594295E-4</v>
          </cell>
        </row>
        <row r="248">
          <cell r="B248" t="str">
            <v>ITOT-SWSTG-CHP</v>
          </cell>
          <cell r="C248" t="str">
            <v>VAR_fout</v>
          </cell>
          <cell r="D248" t="str">
            <v>ITOT_LTH_CHP</v>
          </cell>
          <cell r="E248">
            <v>1.7324602385269058E-3</v>
          </cell>
          <cell r="F248">
            <v>8.5499223788302779E-4</v>
          </cell>
          <cell r="G248">
            <v>0.17197453641569388</v>
          </cell>
          <cell r="H248">
            <v>4.3912492821352343E-3</v>
          </cell>
          <cell r="I248">
            <v>4.9610645102706165E-2</v>
          </cell>
          <cell r="J248">
            <v>3.2169563338695389E-2</v>
          </cell>
          <cell r="K248">
            <v>8.1428263973865878E-2</v>
          </cell>
          <cell r="L248">
            <v>0.2316361486382322</v>
          </cell>
          <cell r="M248">
            <v>0.23571917535964051</v>
          </cell>
          <cell r="N248">
            <v>0.1884196257289433</v>
          </cell>
          <cell r="O248">
            <v>0.32771388456326889</v>
          </cell>
          <cell r="P248">
            <v>0.56258214015563257</v>
          </cell>
        </row>
        <row r="249">
          <cell r="B249" t="str">
            <v>ITOT-SWSTG-CHP</v>
          </cell>
          <cell r="C249" t="str">
            <v>VAR_fout</v>
          </cell>
          <cell r="D249" t="str">
            <v>AUX_ITOT-CHP_OUT</v>
          </cell>
          <cell r="E249">
            <v>1.7324602385269032E-3</v>
          </cell>
          <cell r="F249">
            <v>8.5429396439999227E-4</v>
          </cell>
          <cell r="G249">
            <v>0.17175518113965346</v>
          </cell>
          <cell r="H249">
            <v>4.3912492821352412E-3</v>
          </cell>
          <cell r="I249">
            <v>4.9555522163703181E-2</v>
          </cell>
          <cell r="J249">
            <v>3.2169563338695424E-2</v>
          </cell>
          <cell r="K249">
            <v>8.1348744184828972E-2</v>
          </cell>
          <cell r="L249">
            <v>0.23163614863823223</v>
          </cell>
          <cell r="M249">
            <v>0.23571917535964051</v>
          </cell>
          <cell r="N249">
            <v>0.1884196257289433</v>
          </cell>
          <cell r="O249">
            <v>0.32771388456326889</v>
          </cell>
          <cell r="P249">
            <v>0.56258214015563268</v>
          </cell>
        </row>
        <row r="250">
          <cell r="B250" t="str">
            <v>ITOT-SWSTG-CHP</v>
          </cell>
          <cell r="C250" t="str">
            <v>VAR_fin</v>
          </cell>
          <cell r="D250" t="str">
            <v>ITOT_LTH_CHP</v>
          </cell>
          <cell r="E250">
            <v>2.1459452956979234E-3</v>
          </cell>
          <cell r="F250">
            <v>1.0472420366357787E-3</v>
          </cell>
          <cell r="G250">
            <v>0.20473869646558937</v>
          </cell>
          <cell r="H250">
            <v>5.0545184626969025E-3</v>
          </cell>
          <cell r="I250">
            <v>5.5130044497562071E-2</v>
          </cell>
          <cell r="J250">
            <v>3.4598033815723447E-2</v>
          </cell>
          <cell r="K250">
            <v>8.482821380049417E-2</v>
          </cell>
          <cell r="L250">
            <v>0.23398301320958337</v>
          </cell>
          <cell r="M250">
            <v>0.23810728262541558</v>
          </cell>
          <cell r="N250">
            <v>0.19032995976626621</v>
          </cell>
          <cell r="O250">
            <v>0.33103123131568657</v>
          </cell>
          <cell r="P250">
            <v>0.56827189353088436</v>
          </cell>
        </row>
        <row r="251">
          <cell r="B251" t="str">
            <v>ITOT-SWSTG-CHP</v>
          </cell>
          <cell r="C251" t="str">
            <v>VAR_fin</v>
          </cell>
          <cell r="D251" t="str">
            <v>AUX_ITOT-CHP_IN</v>
          </cell>
          <cell r="E251">
            <v>2.1459452956979234E-3</v>
          </cell>
          <cell r="F251">
            <v>1.0472420366357787E-3</v>
          </cell>
          <cell r="G251">
            <v>0.20473869646558937</v>
          </cell>
          <cell r="H251">
            <v>5.0545184626969025E-3</v>
          </cell>
          <cell r="I251">
            <v>5.5130044497562071E-2</v>
          </cell>
          <cell r="J251">
            <v>3.4598033815723447E-2</v>
          </cell>
          <cell r="K251">
            <v>8.482821380049417E-2</v>
          </cell>
          <cell r="L251">
            <v>0.23398301320958337</v>
          </cell>
          <cell r="M251">
            <v>0.23810728262541558</v>
          </cell>
          <cell r="N251">
            <v>0.19032995976626621</v>
          </cell>
          <cell r="O251">
            <v>0.33103123131568657</v>
          </cell>
          <cell r="P251">
            <v>0.56827189353088436</v>
          </cell>
        </row>
        <row r="252">
          <cell r="B252" t="str">
            <v>ITOT-SWSTG-CHP</v>
          </cell>
          <cell r="C252" t="str">
            <v>VAR_ncap</v>
          </cell>
          <cell r="D252" t="str">
            <v>-</v>
          </cell>
          <cell r="E252">
            <v>8.8688449800735595E-3</v>
          </cell>
          <cell r="F252">
            <v>1.28349537489565E-4</v>
          </cell>
          <cell r="G252">
            <v>1.99231550930133E-3</v>
          </cell>
          <cell r="H252">
            <v>7.23928005028235E-5</v>
          </cell>
          <cell r="I252">
            <v>1.72736201826422E-2</v>
          </cell>
          <cell r="J252">
            <v>1.2073075514187799E-3</v>
          </cell>
          <cell r="K252">
            <v>3.4196534010782202E-4</v>
          </cell>
          <cell r="L252">
            <v>3.70521903825759E-2</v>
          </cell>
          <cell r="M252">
            <v>2.2360348368915999E-4</v>
          </cell>
          <cell r="N252">
            <v>2.1251621447094401E-3</v>
          </cell>
          <cell r="O252">
            <v>3.0717252354064799E-2</v>
          </cell>
          <cell r="P252">
            <v>2.0250525752271199E-2</v>
          </cell>
        </row>
        <row r="253">
          <cell r="B253" t="str">
            <v>ITOT-SWSTG-CHP</v>
          </cell>
          <cell r="C253" t="str">
            <v>VAR_cap</v>
          </cell>
          <cell r="D253" t="str">
            <v>-</v>
          </cell>
          <cell r="E253">
            <v>8.8783248444670639E-3</v>
          </cell>
          <cell r="F253">
            <v>8.9893291947541303E-3</v>
          </cell>
          <cell r="G253">
            <v>1.0940555000027974E-2</v>
          </cell>
          <cell r="H253">
            <v>1.0839006580551947E-2</v>
          </cell>
          <cell r="I253">
            <v>2.1540494958571497E-2</v>
          </cell>
          <cell r="J253">
            <v>1.8865592719644546E-2</v>
          </cell>
          <cell r="K253">
            <v>1.8713467439454658E-2</v>
          </cell>
          <cell r="L253">
            <v>3.8510993657682388E-2</v>
          </cell>
          <cell r="M253">
            <v>3.7603783225783352E-2</v>
          </cell>
          <cell r="N253">
            <v>3.9216860339796093E-2</v>
          </cell>
          <cell r="O253">
            <v>3.9369675046710066E-2</v>
          </cell>
          <cell r="P253">
            <v>5.2979619671755372E-2</v>
          </cell>
        </row>
        <row r="254">
          <cell r="B254" t="str">
            <v>D-ELFO</v>
          </cell>
          <cell r="C254" t="str">
            <v>VAR_fout</v>
          </cell>
          <cell r="D254" t="str">
            <v>CO2</v>
          </cell>
          <cell r="E254">
            <v>29.929568148529199</v>
          </cell>
          <cell r="F254">
            <v>78.099862561058899</v>
          </cell>
          <cell r="G254">
            <v>8.94191315400953</v>
          </cell>
          <cell r="H254">
            <v>5.5372611954698101</v>
          </cell>
          <cell r="I254">
            <v>0.79464365674795301</v>
          </cell>
          <cell r="J254">
            <v>38.063062194062802</v>
          </cell>
          <cell r="K254">
            <v>5.2171259177509102</v>
          </cell>
          <cell r="L254">
            <v>6.0484634332801197E-3</v>
          </cell>
          <cell r="M254">
            <v>8.7402224846973006E-2</v>
          </cell>
          <cell r="N254">
            <v>0.14046140023779599</v>
          </cell>
          <cell r="O254">
            <v>0.13610402843585701</v>
          </cell>
          <cell r="P254">
            <v>0.19194904251102299</v>
          </cell>
        </row>
        <row r="255">
          <cell r="B255" t="str">
            <v>D-ELFO</v>
          </cell>
          <cell r="C255" t="str">
            <v>VAR_fout</v>
          </cell>
          <cell r="D255" t="str">
            <v>ELFO</v>
          </cell>
          <cell r="E255">
            <v>0.39931763203076392</v>
          </cell>
          <cell r="F255">
            <v>1.042001408942574</v>
          </cell>
          <cell r="G255">
            <v>0.11930220873097692</v>
          </cell>
          <cell r="H255">
            <v>7.3877645595748678E-2</v>
          </cell>
          <cell r="I255">
            <v>1.0602064879324139E-2</v>
          </cell>
          <cell r="J255">
            <v>0.50783398503261701</v>
          </cell>
          <cell r="K255">
            <v>6.9606429238939824E-2</v>
          </cell>
          <cell r="L255">
            <v>8.0698060313335291E-5</v>
          </cell>
          <cell r="M255">
            <v>1.1661126978816381E-3</v>
          </cell>
          <cell r="N255">
            <v>1.8740234892910955E-3</v>
          </cell>
          <cell r="O255">
            <v>1.8158878228760893E-3</v>
          </cell>
          <cell r="P255">
            <v>2.5609670258419977E-3</v>
          </cell>
        </row>
        <row r="256">
          <cell r="B256" t="str">
            <v>D-ELFO</v>
          </cell>
          <cell r="C256" t="str">
            <v>VAR_fin</v>
          </cell>
          <cell r="D256" t="str">
            <v>LFO</v>
          </cell>
          <cell r="E256">
            <v>0.40609997487827881</v>
          </cell>
          <cell r="F256">
            <v>1.0596996276941506</v>
          </cell>
          <cell r="G256">
            <v>0.12132853668941004</v>
          </cell>
          <cell r="H256">
            <v>7.5132444986021896E-2</v>
          </cell>
          <cell r="I256">
            <v>1.07821391689003E-2</v>
          </cell>
          <cell r="J256">
            <v>0.51645945989230324</v>
          </cell>
          <cell r="K256">
            <v>7.0788682737461472E-2</v>
          </cell>
          <cell r="L256">
            <v>8.2068703300951468E-5</v>
          </cell>
          <cell r="M256">
            <v>1.185918926010489E-3</v>
          </cell>
          <cell r="N256">
            <v>1.9058534631994071E-3</v>
          </cell>
          <cell r="O256">
            <v>1.8467303722640006E-3</v>
          </cell>
          <cell r="P256">
            <v>2.6044646202309741E-3</v>
          </cell>
        </row>
        <row r="257">
          <cell r="B257" t="str">
            <v>EHYD-DAM00</v>
          </cell>
          <cell r="C257" t="str">
            <v>VAR_fout</v>
          </cell>
          <cell r="D257" t="str">
            <v>ELC</v>
          </cell>
          <cell r="E257">
            <v>66.745708281990133</v>
          </cell>
          <cell r="F257">
            <v>49.746613648419498</v>
          </cell>
          <cell r="G257">
            <v>68.653397811325092</v>
          </cell>
          <cell r="H257">
            <v>66.728472083677161</v>
          </cell>
          <cell r="I257">
            <v>68.836205061877976</v>
          </cell>
          <cell r="J257">
            <v>71.336171109737904</v>
          </cell>
          <cell r="K257">
            <v>71.401395738027446</v>
          </cell>
          <cell r="L257">
            <v>71.398996108047115</v>
          </cell>
          <cell r="M257">
            <v>71.396239741580416</v>
          </cell>
          <cell r="N257">
            <v>71.397851887077096</v>
          </cell>
          <cell r="O257">
            <v>71.397569815712927</v>
          </cell>
          <cell r="P257">
            <v>71.398154192273111</v>
          </cell>
        </row>
        <row r="258">
          <cell r="B258" t="str">
            <v>EHYD-DAM00</v>
          </cell>
          <cell r="C258" t="str">
            <v>VAR_fin</v>
          </cell>
          <cell r="D258" t="str">
            <v>HYDD</v>
          </cell>
          <cell r="E258">
            <v>66.745708281990133</v>
          </cell>
          <cell r="F258">
            <v>49.746613648419498</v>
          </cell>
          <cell r="G258">
            <v>68.653397811325092</v>
          </cell>
          <cell r="H258">
            <v>66.728472083677161</v>
          </cell>
          <cell r="I258">
            <v>68.836205061877976</v>
          </cell>
          <cell r="J258">
            <v>71.336171109737904</v>
          </cell>
          <cell r="K258">
            <v>71.401395738027446</v>
          </cell>
          <cell r="L258">
            <v>71.398996108047115</v>
          </cell>
          <cell r="M258">
            <v>71.396239741580416</v>
          </cell>
          <cell r="N258">
            <v>71.397851887077096</v>
          </cell>
          <cell r="O258">
            <v>71.397569815712927</v>
          </cell>
          <cell r="P258">
            <v>71.398154192273111</v>
          </cell>
        </row>
        <row r="259">
          <cell r="B259" t="str">
            <v>EHYD-DAM00</v>
          </cell>
          <cell r="C259" t="str">
            <v>VAR_cap</v>
          </cell>
          <cell r="D259" t="str">
            <v>-</v>
          </cell>
          <cell r="E259">
            <v>7.3394300010600002</v>
          </cell>
          <cell r="F259">
            <v>7.3394300010600002</v>
          </cell>
          <cell r="G259">
            <v>7.3394300010600002</v>
          </cell>
          <cell r="H259">
            <v>7.3394300010600002</v>
          </cell>
          <cell r="I259">
            <v>7.3394300010600002</v>
          </cell>
          <cell r="J259">
            <v>7.3394300010600002</v>
          </cell>
          <cell r="K259">
            <v>7.3394300010600002</v>
          </cell>
          <cell r="L259">
            <v>7.3394300010600002</v>
          </cell>
          <cell r="M259">
            <v>7.3394300010600002</v>
          </cell>
          <cell r="N259">
            <v>7.3394300010600002</v>
          </cell>
          <cell r="O259">
            <v>7.3394300010600002</v>
          </cell>
          <cell r="P259">
            <v>7.3394300010600002</v>
          </cell>
        </row>
        <row r="260">
          <cell r="B260" t="str">
            <v>RHES-SHSTG-CHPWOD</v>
          </cell>
          <cell r="C260" t="str">
            <v>VAR_fout</v>
          </cell>
          <cell r="D260" t="str">
            <v>AUX_RES-CHPWOD_OUT</v>
          </cell>
          <cell r="E260">
            <v>1.040128408503416E-4</v>
          </cell>
          <cell r="F260">
            <v>1.2740634406583297E-4</v>
          </cell>
          <cell r="G260">
            <v>1.4289763728329621E-4</v>
          </cell>
          <cell r="H260">
            <v>2.3590068731112811E-3</v>
          </cell>
          <cell r="I260">
            <v>3.265644581673059E-3</v>
          </cell>
          <cell r="J260">
            <v>5.5394871284458191E-3</v>
          </cell>
          <cell r="K260">
            <v>4.6550036305321712E-3</v>
          </cell>
          <cell r="L260">
            <v>5.7586710047476458E-3</v>
          </cell>
          <cell r="M260">
            <v>8.4095813403801574E-3</v>
          </cell>
          <cell r="N260">
            <v>8.7986047035683111E-3</v>
          </cell>
          <cell r="O260">
            <v>8.5458458102993084E-3</v>
          </cell>
          <cell r="P260">
            <v>1.8673339126974671E-2</v>
          </cell>
        </row>
        <row r="261">
          <cell r="B261" t="str">
            <v>RHES-SHSTG-CHPWOD</v>
          </cell>
          <cell r="C261" t="str">
            <v>VAR_fout</v>
          </cell>
          <cell r="D261" t="str">
            <v>RHES_LTH_CHPWOD</v>
          </cell>
          <cell r="E261">
            <v>1.0401284085034136E-4</v>
          </cell>
          <cell r="F261">
            <v>1.2749128162854319E-4</v>
          </cell>
          <cell r="G261">
            <v>1.4304648898879946E-4</v>
          </cell>
          <cell r="H261">
            <v>2.3590068731112811E-3</v>
          </cell>
          <cell r="I261">
            <v>3.2686460932370917E-3</v>
          </cell>
          <cell r="J261">
            <v>5.5394871284458044E-3</v>
          </cell>
          <cell r="K261">
            <v>4.6588067380734424E-3</v>
          </cell>
          <cell r="L261">
            <v>5.7586710047476406E-3</v>
          </cell>
          <cell r="M261">
            <v>8.409581340380147E-3</v>
          </cell>
          <cell r="N261">
            <v>8.7986047035683041E-3</v>
          </cell>
          <cell r="O261">
            <v>8.5458458102993014E-3</v>
          </cell>
          <cell r="P261">
            <v>1.8673339126974636E-2</v>
          </cell>
        </row>
        <row r="262">
          <cell r="B262" t="str">
            <v>RHES-SHSTG-CHPWOD</v>
          </cell>
          <cell r="C262" t="str">
            <v>VAR_fin</v>
          </cell>
          <cell r="D262" t="str">
            <v>AUX_RES-CHPWOD_IN</v>
          </cell>
          <cell r="E262">
            <v>8.1839831805030427E-5</v>
          </cell>
          <cell r="F262">
            <v>8.4729592686827725E-5</v>
          </cell>
          <cell r="G262">
            <v>1.0481120882353798E-4</v>
          </cell>
          <cell r="H262">
            <v>2.9558640860046898E-3</v>
          </cell>
          <cell r="I262">
            <v>3.969100759139795E-3</v>
          </cell>
          <cell r="J262">
            <v>6.5241491748829986E-3</v>
          </cell>
          <cell r="K262">
            <v>5.3314560521769911E-3</v>
          </cell>
          <cell r="L262">
            <v>6.4056288331778592E-3</v>
          </cell>
          <cell r="M262">
            <v>9.3510847617936689E-3</v>
          </cell>
          <cell r="N262">
            <v>9.7833329429490683E-3</v>
          </cell>
          <cell r="O262">
            <v>9.5024897283493594E-3</v>
          </cell>
          <cell r="P262">
            <v>2.0755260080703806E-2</v>
          </cell>
        </row>
        <row r="263">
          <cell r="B263" t="str">
            <v>RHES-SHSTG-CHPWOD</v>
          </cell>
          <cell r="C263" t="str">
            <v>VAR_fin</v>
          </cell>
          <cell r="D263" t="str">
            <v>RHES_LTH_CHPWOD</v>
          </cell>
          <cell r="E263">
            <v>8.1839831805030427E-5</v>
          </cell>
          <cell r="F263">
            <v>8.4729592686827725E-5</v>
          </cell>
          <cell r="G263">
            <v>1.0481120882353798E-4</v>
          </cell>
          <cell r="H263">
            <v>2.9558640860046898E-3</v>
          </cell>
          <cell r="I263">
            <v>3.969100759139795E-3</v>
          </cell>
          <cell r="J263">
            <v>6.5241491748829986E-3</v>
          </cell>
          <cell r="K263">
            <v>5.3314560521769911E-3</v>
          </cell>
          <cell r="L263">
            <v>6.4056288331778592E-3</v>
          </cell>
          <cell r="M263">
            <v>9.3510847617936689E-3</v>
          </cell>
          <cell r="N263">
            <v>9.7833329429490683E-3</v>
          </cell>
          <cell r="O263">
            <v>9.5024897283493594E-3</v>
          </cell>
          <cell r="P263">
            <v>2.0755260080703806E-2</v>
          </cell>
        </row>
        <row r="264">
          <cell r="B264" t="str">
            <v>RHES-SHSTG-CHPWOD</v>
          </cell>
          <cell r="C264" t="str">
            <v>VAR_ncap</v>
          </cell>
          <cell r="D264" t="str">
            <v>-</v>
          </cell>
          <cell r="E264">
            <v>5.0542586262970202E-3</v>
          </cell>
          <cell r="F264">
            <v>1.2325174477633401E-4</v>
          </cell>
          <cell r="G264">
            <v>2.1655285794799201E-4</v>
          </cell>
          <cell r="H264">
            <v>1.87521387606961E-4</v>
          </cell>
          <cell r="I264">
            <v>5.8084900819752403E-3</v>
          </cell>
          <cell r="J264">
            <v>2.3721293615881199E-3</v>
          </cell>
          <cell r="K264">
            <v>3.8095750523587198E-4</v>
          </cell>
          <cell r="L264">
            <v>9.2528973653761802E-3</v>
          </cell>
          <cell r="M264">
            <v>2.4594443535986302E-4</v>
          </cell>
          <cell r="N264">
            <v>6.6511590182304304E-3</v>
          </cell>
          <cell r="O264">
            <v>3.9858749478335403E-3</v>
          </cell>
          <cell r="P264">
            <v>1.5896286359813001E-2</v>
          </cell>
        </row>
        <row r="265">
          <cell r="B265" t="str">
            <v>RHES-SHSTG-CHPWOD</v>
          </cell>
          <cell r="C265" t="str">
            <v>VAR_cap</v>
          </cell>
          <cell r="D265" t="str">
            <v>-</v>
          </cell>
          <cell r="E265">
            <v>5.0542586262970202E-3</v>
          </cell>
          <cell r="F265">
            <v>5.1618623145912009E-3</v>
          </cell>
          <cell r="G265">
            <v>5.3394867338837923E-3</v>
          </cell>
          <cell r="H265">
            <v>5.4650418623376747E-3</v>
          </cell>
          <cell r="I265">
            <v>7.4375279313271337E-3</v>
          </cell>
          <cell r="J265">
            <v>8.2817722909109895E-3</v>
          </cell>
          <cell r="K265">
            <v>8.4700535381904401E-3</v>
          </cell>
          <cell r="L265">
            <v>1.1908307745300255E-2</v>
          </cell>
          <cell r="M265">
            <v>1.0022630200809578E-2</v>
          </cell>
          <cell r="N265">
            <v>1.6010268979529712E-2</v>
          </cell>
          <cell r="O265">
            <v>1.2258563008872134E-2</v>
          </cell>
          <cell r="P265">
            <v>2.6409926400306715E-2</v>
          </cell>
        </row>
        <row r="266">
          <cell r="B266" t="str">
            <v>ENUC_GOE_EXT</v>
          </cell>
          <cell r="C266" t="str">
            <v>VAR_fout</v>
          </cell>
          <cell r="D266" t="str">
            <v>ELC</v>
          </cell>
          <cell r="E266"/>
          <cell r="F266"/>
          <cell r="G266">
            <v>21.379235622358706</v>
          </cell>
          <cell r="H266">
            <v>23.729477067855303</v>
          </cell>
          <cell r="I266">
            <v>23.128376697369607</v>
          </cell>
          <cell r="J266"/>
          <cell r="K266"/>
          <cell r="L266"/>
        </row>
        <row r="267">
          <cell r="B267" t="str">
            <v>ENUC_GOE_EXT</v>
          </cell>
          <cell r="C267" t="str">
            <v>VAR_fin</v>
          </cell>
          <cell r="D267" t="str">
            <v>URN</v>
          </cell>
          <cell r="E267"/>
          <cell r="F267"/>
          <cell r="G267">
            <v>64.476985016692637</v>
          </cell>
          <cell r="H267">
            <v>71.565006550466023</v>
          </cell>
          <cell r="I267">
            <v>69.752166266279204</v>
          </cell>
          <cell r="J267"/>
          <cell r="K267"/>
          <cell r="L267"/>
        </row>
        <row r="268">
          <cell r="B268" t="str">
            <v>ENUC_GOE_EXT</v>
          </cell>
          <cell r="C268" t="str">
            <v>VAR_ncap</v>
          </cell>
          <cell r="D268" t="str">
            <v>-</v>
          </cell>
          <cell r="E268"/>
          <cell r="F268"/>
          <cell r="G268">
            <v>0.820197200601264</v>
          </cell>
          <cell r="H268"/>
          <cell r="I268"/>
          <cell r="J268"/>
          <cell r="K268"/>
          <cell r="L268"/>
        </row>
        <row r="269">
          <cell r="B269" t="str">
            <v>ENUC_GOE_EXT</v>
          </cell>
          <cell r="C269" t="str">
            <v>VAR_cap</v>
          </cell>
          <cell r="D269" t="str">
            <v>-</v>
          </cell>
          <cell r="E269"/>
          <cell r="F269"/>
          <cell r="G269">
            <v>0.820197200601264</v>
          </cell>
          <cell r="H269">
            <v>0.82019685150842281</v>
          </cell>
          <cell r="I269">
            <v>0.82019663164447276</v>
          </cell>
          <cell r="J269"/>
          <cell r="K269"/>
          <cell r="L269"/>
        </row>
        <row r="270">
          <cell r="B270" t="str">
            <v>ESOL-PV_A</v>
          </cell>
          <cell r="C270" t="str">
            <v>VAR_fout</v>
          </cell>
          <cell r="D270" t="str">
            <v>ELC35</v>
          </cell>
          <cell r="E270"/>
          <cell r="F270"/>
          <cell r="G270"/>
          <cell r="H270">
            <v>0.34128034969337179</v>
          </cell>
          <cell r="I270">
            <v>1.2719948686195113</v>
          </cell>
          <cell r="J270">
            <v>10.761586081621257</v>
          </cell>
          <cell r="K270">
            <v>14.399989357262127</v>
          </cell>
          <cell r="L270">
            <v>17.999989264038774</v>
          </cell>
          <cell r="M270">
            <v>17.658709764962321</v>
          </cell>
          <cell r="N270">
            <v>16.727996940883934</v>
          </cell>
          <cell r="O270">
            <v>6.7734892886193512</v>
          </cell>
          <cell r="P270">
            <v>4.2683526343465505</v>
          </cell>
        </row>
        <row r="271">
          <cell r="B271" t="str">
            <v>ESOL-PV_A</v>
          </cell>
          <cell r="C271" t="str">
            <v>VAR_fin</v>
          </cell>
          <cell r="D271" t="str">
            <v>SOL</v>
          </cell>
          <cell r="E271"/>
          <cell r="F271"/>
          <cell r="G271"/>
          <cell r="H271">
            <v>0.34128034969337179</v>
          </cell>
          <cell r="I271">
            <v>1.2719948686195113</v>
          </cell>
          <cell r="J271">
            <v>10.761586081621257</v>
          </cell>
          <cell r="K271">
            <v>14.399989357262127</v>
          </cell>
          <cell r="L271">
            <v>17.999989264038774</v>
          </cell>
          <cell r="M271">
            <v>17.658709764962321</v>
          </cell>
          <cell r="N271">
            <v>16.727996940883934</v>
          </cell>
          <cell r="O271">
            <v>6.7734892886193512</v>
          </cell>
          <cell r="P271">
            <v>4.2683526343465505</v>
          </cell>
        </row>
        <row r="272">
          <cell r="B272" t="str">
            <v>ESOL-PV_A</v>
          </cell>
          <cell r="C272" t="str">
            <v>VAR_fin</v>
          </cell>
          <cell r="D272" t="str">
            <v>SOLPVC</v>
          </cell>
          <cell r="E272"/>
          <cell r="F272"/>
          <cell r="G272"/>
          <cell r="H272">
            <v>0.34128034969337201</v>
          </cell>
          <cell r="I272">
            <v>1.2719948686195099</v>
          </cell>
          <cell r="J272">
            <v>10.761586081621299</v>
          </cell>
          <cell r="K272">
            <v>14.3999893572621</v>
          </cell>
          <cell r="L272">
            <v>17.999989264038799</v>
          </cell>
          <cell r="M272">
            <v>17.6587097649623</v>
          </cell>
          <cell r="N272">
            <v>16.727996940883902</v>
          </cell>
          <cell r="O272">
            <v>6.7734892886193601</v>
          </cell>
          <cell r="P272">
            <v>4.2683526343465497</v>
          </cell>
        </row>
        <row r="273">
          <cell r="B273" t="str">
            <v>ESOL-PV_A</v>
          </cell>
          <cell r="C273" t="str">
            <v>VAR_ncap</v>
          </cell>
          <cell r="D273" t="str">
            <v>-</v>
          </cell>
          <cell r="E273"/>
          <cell r="F273"/>
          <cell r="G273"/>
          <cell r="H273">
            <v>0.18449540703318701</v>
          </cell>
          <cell r="I273">
            <v>1.74228157325063</v>
          </cell>
          <cell r="J273">
            <v>6.4939589314254004E-2</v>
          </cell>
          <cell r="K273">
            <v>0.61907548699913095</v>
          </cell>
          <cell r="L273">
            <v>4.5154975243403503E-7</v>
          </cell>
          <cell r="M273">
            <v>5.1041160438338296E-7</v>
          </cell>
          <cell r="N273">
            <v>7.5422942746476303E-6</v>
          </cell>
          <cell r="O273">
            <v>1.5211570146011001E-5</v>
          </cell>
        </row>
        <row r="274">
          <cell r="B274" t="str">
            <v>ESOL-PV_A</v>
          </cell>
          <cell r="C274" t="str">
            <v>VAR_cap</v>
          </cell>
          <cell r="D274" t="str">
            <v>-</v>
          </cell>
          <cell r="E274"/>
          <cell r="F274"/>
          <cell r="G274"/>
          <cell r="H274">
            <v>4.9500716223362003E-2</v>
          </cell>
          <cell r="I274">
            <v>0.18449540703318701</v>
          </cell>
          <cell r="J274">
            <v>1.56090318500077</v>
          </cell>
          <cell r="K274">
            <v>2.0886328183655101</v>
          </cell>
          <cell r="L274">
            <v>2.6107920565971998</v>
          </cell>
          <cell r="M274">
            <v>2.5612917917960099</v>
          </cell>
          <cell r="N274">
            <v>2.4262976115253698</v>
          </cell>
          <cell r="O274">
            <v>0.98245459840744598</v>
          </cell>
          <cell r="P274">
            <v>0.61909920282490805</v>
          </cell>
        </row>
        <row r="275">
          <cell r="B275" t="str">
            <v>G-INTC-IND</v>
          </cell>
          <cell r="C275" t="str">
            <v>VAR_fout</v>
          </cell>
          <cell r="D275" t="str">
            <v>ELC35</v>
          </cell>
          <cell r="E275">
            <v>1.5327527304496638E-2</v>
          </cell>
          <cell r="F275">
            <v>6.409609584869763E-3</v>
          </cell>
          <cell r="G275">
            <v>7.0301400973293293E-3</v>
          </cell>
          <cell r="H275">
            <v>2.9923305655691515E-3</v>
          </cell>
          <cell r="I275">
            <v>7.3713930582943793E-3</v>
          </cell>
          <cell r="J275">
            <v>4.951779787048716E-3</v>
          </cell>
          <cell r="K275">
            <v>6.4259265670039405E-3</v>
          </cell>
          <cell r="L275">
            <v>9.8908423662917317E-3</v>
          </cell>
          <cell r="M275">
            <v>7.5172825145638725E-3</v>
          </cell>
          <cell r="N275">
            <v>1.469902130557239E-2</v>
          </cell>
          <cell r="O275">
            <v>1.1457466518899768E-2</v>
          </cell>
          <cell r="P275">
            <v>2.5149675261325336E-2</v>
          </cell>
        </row>
        <row r="276">
          <cell r="B276" t="str">
            <v>G-INTC-IND</v>
          </cell>
          <cell r="C276" t="str">
            <v>VAR_fout</v>
          </cell>
          <cell r="D276" t="str">
            <v>ITOT_ELC</v>
          </cell>
          <cell r="E276">
            <v>55.846652370439159</v>
          </cell>
          <cell r="F276">
            <v>57.489939299727197</v>
          </cell>
          <cell r="G276">
            <v>56.403042926397958</v>
          </cell>
          <cell r="H276">
            <v>60.415376968588376</v>
          </cell>
          <cell r="I276">
            <v>55.685125263241559</v>
          </cell>
          <cell r="J276">
            <v>47.491664632850089</v>
          </cell>
          <cell r="K276">
            <v>49.355617622983814</v>
          </cell>
          <cell r="L276">
            <v>45.047868239094115</v>
          </cell>
          <cell r="M276">
            <v>44.234629685188885</v>
          </cell>
          <cell r="N276">
            <v>45.343122860700014</v>
          </cell>
          <cell r="O276">
            <v>41.264149264693003</v>
          </cell>
          <cell r="P276">
            <v>40.05319206989391</v>
          </cell>
        </row>
        <row r="277">
          <cell r="B277" t="str">
            <v>G-INTC-IND</v>
          </cell>
          <cell r="C277" t="str">
            <v>VAR_fout</v>
          </cell>
          <cell r="D277" t="str">
            <v>ELC13</v>
          </cell>
          <cell r="E277">
            <v>1.4125361673793496E-2</v>
          </cell>
          <cell r="F277">
            <v>4.4993455921799553E-3</v>
          </cell>
          <cell r="G277">
            <v>4.8276866575654226E-3</v>
          </cell>
          <cell r="H277">
            <v>2.3807461979480971E-3</v>
          </cell>
          <cell r="I277">
            <v>5.2328134076981185E-3</v>
          </cell>
          <cell r="J277">
            <v>3.8976113124457624E-3</v>
          </cell>
          <cell r="K277">
            <v>5.1966721507779885E-3</v>
          </cell>
          <cell r="L277">
            <v>8.1114334996266833E-3</v>
          </cell>
          <cell r="M277">
            <v>6.3284578339805452E-3</v>
          </cell>
          <cell r="N277">
            <v>1.2413992521633927E-2</v>
          </cell>
          <cell r="O277">
            <v>9.8259177465783547E-3</v>
          </cell>
          <cell r="P277">
            <v>2.1263884086163795E-2</v>
          </cell>
        </row>
        <row r="278">
          <cell r="B278" t="str">
            <v>G-INTC-IND</v>
          </cell>
          <cell r="C278" t="str">
            <v>VAR_fin</v>
          </cell>
          <cell r="D278" t="str">
            <v>ELC3</v>
          </cell>
          <cell r="E278">
            <v>25.775972566739643</v>
          </cell>
          <cell r="F278">
            <v>57.486486970613825</v>
          </cell>
          <cell r="G278">
            <v>56.39978340966757</v>
          </cell>
          <cell r="H278">
            <v>27.682215505007601</v>
          </cell>
          <cell r="I278">
            <v>55.681292951842082</v>
          </cell>
          <cell r="J278">
            <v>21.574596698093604</v>
          </cell>
          <cell r="K278">
            <v>48.796731363699976</v>
          </cell>
          <cell r="L278">
            <v>20.337040506384493</v>
          </cell>
          <cell r="M278">
            <v>43.551327176648684</v>
          </cell>
          <cell r="N278">
            <v>44.639771728531336</v>
          </cell>
          <cell r="O278">
            <v>40.833836220500061</v>
          </cell>
          <cell r="P278">
            <v>39.715747985802018</v>
          </cell>
        </row>
        <row r="279">
          <cell r="B279" t="str">
            <v>G-INTC-IND</v>
          </cell>
          <cell r="C279" t="str">
            <v>VAR_fin</v>
          </cell>
          <cell r="D279" t="str">
            <v>ELC5</v>
          </cell>
          <cell r="E279">
            <v>30.10007176569323</v>
          </cell>
          <cell r="F279">
            <v>1.4332862312496683E-2</v>
          </cell>
          <cell r="G279">
            <v>1.5088921507351572E-2</v>
          </cell>
          <cell r="H279">
            <v>32.738477696388294</v>
          </cell>
          <cell r="I279">
            <v>1.6408095887071195E-2</v>
          </cell>
          <cell r="J279">
            <v>25.925917325855956</v>
          </cell>
          <cell r="K279">
            <v>0.57043577986971139</v>
          </cell>
          <cell r="L279">
            <v>24.728830008575553</v>
          </cell>
          <cell r="M279">
            <v>0.69708815917543843</v>
          </cell>
          <cell r="N279">
            <v>0.73042518060567752</v>
          </cell>
          <cell r="O279">
            <v>0.451547677647955</v>
          </cell>
          <cell r="P279">
            <v>0.38376498604074277</v>
          </cell>
        </row>
        <row r="280">
          <cell r="B280" t="str">
            <v>G-INTC-IND</v>
          </cell>
          <cell r="C280" t="str">
            <v>VAR_ncap</v>
          </cell>
          <cell r="D280" t="str">
            <v>-</v>
          </cell>
          <cell r="E280">
            <v>1.22044142670691E-5</v>
          </cell>
          <cell r="F280">
            <v>4.26562933731186E-6</v>
          </cell>
          <cell r="G280">
            <v>2.9603417035207E-6</v>
          </cell>
          <cell r="H280">
            <v>3.16831768357178E-6</v>
          </cell>
          <cell r="I280">
            <v>4.5033190749134802E-6</v>
          </cell>
          <cell r="J280">
            <v>5.1153719734904999E-6</v>
          </cell>
          <cell r="K280">
            <v>6.7710540951351901E-6</v>
          </cell>
          <cell r="L280">
            <v>1.5702126500788299E-6</v>
          </cell>
          <cell r="M280">
            <v>3.0989520987952102E-6</v>
          </cell>
          <cell r="N280">
            <v>9.2552140868074507E-6</v>
          </cell>
          <cell r="O280">
            <v>4.2272693807872202E-5</v>
          </cell>
        </row>
        <row r="281">
          <cell r="B281" t="str">
            <v>G-INTC-IND</v>
          </cell>
          <cell r="C281" t="str">
            <v>VAR_cap</v>
          </cell>
          <cell r="D281" t="str">
            <v>-</v>
          </cell>
          <cell r="E281">
            <v>4.4927373631622096</v>
          </cell>
          <cell r="F281">
            <v>4.4927413312708655</v>
          </cell>
          <cell r="G281">
            <v>4.4927538332058141</v>
          </cell>
          <cell r="H281">
            <v>4.4927585367221363</v>
          </cell>
          <cell r="I281">
            <v>4.4927610463449357</v>
          </cell>
          <cell r="J281">
            <v>4.4927664358807773</v>
          </cell>
          <cell r="K281">
            <v>4.4927728407443412</v>
          </cell>
          <cell r="L281">
            <v>4.4927763516103445</v>
          </cell>
          <cell r="M281">
            <v>4.4927796268334088</v>
          </cell>
          <cell r="N281">
            <v>4.4927832495960907</v>
          </cell>
          <cell r="O281">
            <v>4.4928106298264163</v>
          </cell>
          <cell r="P281">
            <v>4.4928325486829879</v>
          </cell>
        </row>
        <row r="282">
          <cell r="B282" t="str">
            <v>D-IH2R</v>
          </cell>
          <cell r="C282" t="str">
            <v>VAR_fout</v>
          </cell>
          <cell r="D282" t="str">
            <v>IH2</v>
          </cell>
          <cell r="E282"/>
          <cell r="F282"/>
          <cell r="G282"/>
          <cell r="H282"/>
          <cell r="I282">
            <v>4.3713841666262274</v>
          </cell>
          <cell r="J282">
            <v>6.7668086789771014</v>
          </cell>
          <cell r="K282">
            <v>6.7843078575623839</v>
          </cell>
          <cell r="L282">
            <v>6.9041769622192168</v>
          </cell>
          <cell r="M282">
            <v>1.0627700373515878</v>
          </cell>
          <cell r="N282">
            <v>0.27348761251143355</v>
          </cell>
          <cell r="O282">
            <v>0.16779888918622496</v>
          </cell>
          <cell r="P282">
            <v>0.27803202861733683</v>
          </cell>
        </row>
        <row r="283">
          <cell r="B283" t="str">
            <v>D-IH2R</v>
          </cell>
          <cell r="C283" t="str">
            <v>VAR_fin</v>
          </cell>
          <cell r="D283" t="str">
            <v>H2</v>
          </cell>
          <cell r="E283"/>
          <cell r="F283"/>
          <cell r="G283"/>
          <cell r="H283"/>
          <cell r="I283">
            <v>4.3713841666262274</v>
          </cell>
          <cell r="J283">
            <v>6.7668086789771014</v>
          </cell>
          <cell r="K283">
            <v>6.7843078575623839</v>
          </cell>
          <cell r="L283">
            <v>6.9041769622192168</v>
          </cell>
          <cell r="M283">
            <v>1.0627700373515878</v>
          </cell>
          <cell r="N283">
            <v>0.27348761251143355</v>
          </cell>
          <cell r="O283">
            <v>0.16779888918622496</v>
          </cell>
          <cell r="P283">
            <v>0.27803202861733683</v>
          </cell>
        </row>
        <row r="284">
          <cell r="B284" t="str">
            <v>D-IH2R</v>
          </cell>
          <cell r="C284" t="str">
            <v>VAR_ncap</v>
          </cell>
          <cell r="D284" t="str">
            <v>-</v>
          </cell>
          <cell r="E284"/>
          <cell r="F284"/>
          <cell r="G284"/>
          <cell r="H284">
            <v>2.3140265251649302E-6</v>
          </cell>
          <cell r="I284">
            <v>0.17243728491378901</v>
          </cell>
          <cell r="J284">
            <v>0.21084931371664101</v>
          </cell>
          <cell r="K284">
            <v>0.243274977898435</v>
          </cell>
          <cell r="L284">
            <v>3.5723793487495602E-5</v>
          </cell>
          <cell r="M284">
            <v>9.1987375251365705E-5</v>
          </cell>
          <cell r="N284">
            <v>9.7548713274279997E-3</v>
          </cell>
          <cell r="O284">
            <v>4.4888900648401104E-3</v>
          </cell>
          <cell r="P284">
            <v>6.1750208976641598E-3</v>
          </cell>
        </row>
        <row r="285">
          <cell r="B285" t="str">
            <v>D-IH2R</v>
          </cell>
          <cell r="C285" t="str">
            <v>VAR_cap</v>
          </cell>
          <cell r="D285" t="str">
            <v>-</v>
          </cell>
          <cell r="E285"/>
          <cell r="F285"/>
          <cell r="G285"/>
          <cell r="H285">
            <v>2.3140265251649302E-6</v>
          </cell>
          <cell r="I285">
            <v>0.17243904168136201</v>
          </cell>
          <cell r="J285">
            <v>0.247060615522469</v>
          </cell>
          <cell r="K285">
            <v>0.243274977898435</v>
          </cell>
          <cell r="L285">
            <v>0.24331070169192201</v>
          </cell>
          <cell r="M285">
            <v>3.7483024113480298E-2</v>
          </cell>
          <cell r="N285">
            <v>9.8247064983606695E-3</v>
          </cell>
          <cell r="O285">
            <v>6.2166916355184303E-3</v>
          </cell>
          <cell r="P285">
            <v>1.0663910962504301E-2</v>
          </cell>
        </row>
        <row r="286">
          <cell r="B286" t="str">
            <v>ESOL-PV_E</v>
          </cell>
          <cell r="C286" t="str">
            <v>VAR_fout</v>
          </cell>
          <cell r="D286" t="str">
            <v>CELC_E</v>
          </cell>
          <cell r="E286"/>
          <cell r="F286"/>
          <cell r="G286"/>
          <cell r="H286">
            <v>9.7877361831656737E-6</v>
          </cell>
          <cell r="I286">
            <v>1.3242597390110899E-4</v>
          </cell>
          <cell r="J286">
            <v>3.3769347407962034</v>
          </cell>
          <cell r="K286">
            <v>4.4071726613717228</v>
          </cell>
          <cell r="L286">
            <v>4.4071834849015188</v>
          </cell>
          <cell r="M286">
            <v>4.4071862719792891</v>
          </cell>
          <cell r="N286">
            <v>4.4071888600924813</v>
          </cell>
          <cell r="O286">
            <v>4.4071912139868639</v>
          </cell>
          <cell r="P286">
            <v>4.4072054622700056</v>
          </cell>
        </row>
        <row r="287">
          <cell r="B287" t="str">
            <v>ESOL-PV_E</v>
          </cell>
          <cell r="C287" t="str">
            <v>VAR_fin</v>
          </cell>
          <cell r="D287" t="str">
            <v>SOL</v>
          </cell>
          <cell r="E287"/>
          <cell r="F287"/>
          <cell r="G287"/>
          <cell r="H287">
            <v>9.7877361831656737E-6</v>
          </cell>
          <cell r="I287">
            <v>1.3242597390110899E-4</v>
          </cell>
          <cell r="J287">
            <v>3.3769347407962034</v>
          </cell>
          <cell r="K287">
            <v>4.4071726613717228</v>
          </cell>
          <cell r="L287">
            <v>4.4071834849015188</v>
          </cell>
          <cell r="M287">
            <v>4.4071862719792891</v>
          </cell>
          <cell r="N287">
            <v>4.4071888600924813</v>
          </cell>
          <cell r="O287">
            <v>4.4071912139868639</v>
          </cell>
          <cell r="P287">
            <v>4.4072054622700056</v>
          </cell>
        </row>
        <row r="288">
          <cell r="B288" t="str">
            <v>ESOL-PV_E</v>
          </cell>
          <cell r="C288" t="str">
            <v>VAR_fin</v>
          </cell>
          <cell r="D288" t="str">
            <v>SOLPVC</v>
          </cell>
          <cell r="E288"/>
          <cell r="F288"/>
          <cell r="G288"/>
          <cell r="H288">
            <v>9.7877361831656805E-6</v>
          </cell>
          <cell r="I288">
            <v>1.3242597390110899E-4</v>
          </cell>
          <cell r="J288">
            <v>3.3769347407961998</v>
          </cell>
          <cell r="K288">
            <v>4.4071726613717201</v>
          </cell>
          <cell r="L288">
            <v>4.4071834849015197</v>
          </cell>
          <cell r="M288">
            <v>4.40718627197929</v>
          </cell>
          <cell r="N288">
            <v>4.4071888600924796</v>
          </cell>
          <cell r="O288">
            <v>4.4071912139868603</v>
          </cell>
          <cell r="P288">
            <v>4.4072054622700003</v>
          </cell>
        </row>
        <row r="289">
          <cell r="B289" t="str">
            <v>ESOL-PV_E</v>
          </cell>
          <cell r="C289" t="str">
            <v>VAR_ncap</v>
          </cell>
          <cell r="D289" t="str">
            <v>-</v>
          </cell>
          <cell r="E289"/>
          <cell r="F289"/>
          <cell r="G289"/>
          <cell r="H289">
            <v>2.8458261746776198E-6</v>
          </cell>
          <cell r="I289">
            <v>3.5340884848778298E-5</v>
          </cell>
          <cell r="J289">
            <v>0.97342917754275704</v>
          </cell>
          <cell r="K289">
            <v>0.296989835980006</v>
          </cell>
          <cell r="L289">
            <v>4.8586602948989297E-6</v>
          </cell>
          <cell r="M289">
            <v>1.6361373635898401E-6</v>
          </cell>
          <cell r="N289">
            <v>3.0194382022521102E-6</v>
          </cell>
          <cell r="O289">
            <v>0.152419715292297</v>
          </cell>
          <cell r="P289">
            <v>0.821048514997892</v>
          </cell>
        </row>
        <row r="290">
          <cell r="B290" t="str">
            <v>ESOL-PV_E</v>
          </cell>
          <cell r="C290" t="str">
            <v>VAR_cap</v>
          </cell>
          <cell r="D290" t="str">
            <v>-</v>
          </cell>
          <cell r="E290"/>
          <cell r="F290"/>
          <cell r="G290"/>
          <cell r="H290">
            <v>2.8458261746776198E-6</v>
          </cell>
          <cell r="I290">
            <v>3.8186711023455902E-5</v>
          </cell>
          <cell r="J290">
            <v>0.97346736425378</v>
          </cell>
          <cell r="K290">
            <v>1.2704572002337899</v>
          </cell>
          <cell r="L290">
            <v>1.27046205889408</v>
          </cell>
          <cell r="M290">
            <v>1.2704629314870499</v>
          </cell>
          <cell r="N290">
            <v>1.2704638686434699</v>
          </cell>
          <cell r="O290">
            <v>1.2704641943908399</v>
          </cell>
          <cell r="P290">
            <v>1.2704675805060599</v>
          </cell>
        </row>
        <row r="291">
          <cell r="B291" t="str">
            <v>EWSTINC</v>
          </cell>
          <cell r="C291" t="str">
            <v>VAR_fout</v>
          </cell>
          <cell r="D291" t="str">
            <v>ELC35</v>
          </cell>
          <cell r="E291">
            <v>6.5070284083309566</v>
          </cell>
          <cell r="F291">
            <v>7.3431082250502637</v>
          </cell>
          <cell r="G291">
            <v>8.3773350245992351</v>
          </cell>
          <cell r="H291">
            <v>7.3981701169678624</v>
          </cell>
          <cell r="I291">
            <v>7.4918965591486462</v>
          </cell>
          <cell r="J291">
            <v>7.0796093966815272</v>
          </cell>
          <cell r="K291">
            <v>4.3378416728033313</v>
          </cell>
          <cell r="L291">
            <v>5.126400307115607</v>
          </cell>
          <cell r="M291">
            <v>4.8881786223219494</v>
          </cell>
          <cell r="N291">
            <v>4.7848124473425058</v>
          </cell>
          <cell r="O291">
            <v>4.7791633804489067</v>
          </cell>
          <cell r="P291">
            <v>4.7842361720836202</v>
          </cell>
        </row>
        <row r="292">
          <cell r="B292" t="str">
            <v>EWSTINC</v>
          </cell>
          <cell r="C292" t="str">
            <v>VAR_fout</v>
          </cell>
          <cell r="D292" t="str">
            <v>CO2_E</v>
          </cell>
          <cell r="E292">
            <v>1689.30057155432</v>
          </cell>
          <cell r="F292">
            <v>1906.3566567007499</v>
          </cell>
          <cell r="G292">
            <v>2174.8540127839101</v>
          </cell>
          <cell r="H292">
            <v>1920.65136692027</v>
          </cell>
          <cell r="I292">
            <v>1944.98384595832</v>
          </cell>
          <cell r="J292">
            <v>1837.94928340616</v>
          </cell>
          <cell r="K292">
            <v>1126.15436069049</v>
          </cell>
          <cell r="L292">
            <v>1330.87339187565</v>
          </cell>
          <cell r="M292">
            <v>1269.0282602694399</v>
          </cell>
          <cell r="N292">
            <v>1242.1931940126799</v>
          </cell>
          <cell r="O292">
            <v>1240.72663027064</v>
          </cell>
          <cell r="P292">
            <v>1242.0435862250499</v>
          </cell>
        </row>
        <row r="293">
          <cell r="B293" t="str">
            <v>EWSTINC</v>
          </cell>
          <cell r="C293" t="str">
            <v>VAR_fin</v>
          </cell>
          <cell r="D293" t="str">
            <v>EWST</v>
          </cell>
          <cell r="E293">
            <v>18.203669952093911</v>
          </cell>
          <cell r="F293">
            <v>20.542636386861506</v>
          </cell>
          <cell r="G293">
            <v>23.435926861895567</v>
          </cell>
          <cell r="H293">
            <v>20.696674212502874</v>
          </cell>
          <cell r="I293">
            <v>20.958877650412969</v>
          </cell>
          <cell r="J293">
            <v>19.805487967738756</v>
          </cell>
          <cell r="K293">
            <v>12.135284059164739</v>
          </cell>
          <cell r="L293">
            <v>14.341308102108263</v>
          </cell>
          <cell r="M293">
            <v>13.674873494282748</v>
          </cell>
          <cell r="N293">
            <v>13.385702521688394</v>
          </cell>
          <cell r="O293">
            <v>13.369899033088799</v>
          </cell>
          <cell r="P293">
            <v>13.384090368804468</v>
          </cell>
        </row>
        <row r="294">
          <cell r="B294" t="str">
            <v>EWSTINC</v>
          </cell>
          <cell r="C294" t="str">
            <v>VAR_ncap</v>
          </cell>
          <cell r="D294" t="str">
            <v>-</v>
          </cell>
          <cell r="E294"/>
          <cell r="F294">
            <v>6.8185651125037795E-7</v>
          </cell>
          <cell r="G294">
            <v>1.7067821963116699E-6</v>
          </cell>
          <cell r="H294">
            <v>5.11169900611688E-2</v>
          </cell>
          <cell r="I294">
            <v>0.14963105178369501</v>
          </cell>
          <cell r="J294">
            <v>2.39655542716577E-5</v>
          </cell>
          <cell r="K294">
            <v>1.8696454552091399E-6</v>
          </cell>
          <cell r="L294">
            <v>9.5318505946018694E-5</v>
          </cell>
          <cell r="M294">
            <v>6.8070008474776598E-3</v>
          </cell>
          <cell r="N294">
            <v>4.23989882673649E-2</v>
          </cell>
          <cell r="O294">
            <v>0.121551218467181</v>
          </cell>
          <cell r="P294">
            <v>2.7546373572943199E-2</v>
          </cell>
        </row>
        <row r="295">
          <cell r="B295" t="str">
            <v>EWSTINC</v>
          </cell>
          <cell r="C295" t="str">
            <v>VAR_cap</v>
          </cell>
          <cell r="D295" t="str">
            <v>-</v>
          </cell>
          <cell r="E295">
            <v>0.31253248112630172</v>
          </cell>
          <cell r="F295">
            <v>0.31252291925103548</v>
          </cell>
          <cell r="G295">
            <v>0.31252168026071087</v>
          </cell>
          <cell r="H295">
            <v>0.27599210040708116</v>
          </cell>
          <cell r="I295">
            <v>0.32164424945749565</v>
          </cell>
          <cell r="J295">
            <v>0.29771607322000671</v>
          </cell>
          <cell r="K295">
            <v>0.22637180870010939</v>
          </cell>
          <cell r="L295">
            <v>0.2056115669945526</v>
          </cell>
          <cell r="M295">
            <v>0.19395644288341765</v>
          </cell>
          <cell r="N295">
            <v>0.19895379680179176</v>
          </cell>
          <cell r="O295">
            <v>0.19737242144750577</v>
          </cell>
          <cell r="P295">
            <v>0.19839661221031687</v>
          </cell>
        </row>
        <row r="296">
          <cell r="B296" t="str">
            <v>D-IBIO</v>
          </cell>
          <cell r="C296" t="str">
            <v>VAR_fout</v>
          </cell>
          <cell r="D296" t="str">
            <v>IBIO</v>
          </cell>
          <cell r="E296">
            <v>0.436763689109471</v>
          </cell>
          <cell r="F296">
            <v>0.55210468653848932</v>
          </cell>
          <cell r="G296">
            <v>1.1410857474177907</v>
          </cell>
          <cell r="H296">
            <v>4.3234039391004639</v>
          </cell>
          <cell r="I296">
            <v>4.3234252298574729</v>
          </cell>
          <cell r="J296">
            <v>4.3234316183412229</v>
          </cell>
          <cell r="K296">
            <v>4.3234334131436638</v>
          </cell>
          <cell r="L296">
            <v>4.3234351208762805</v>
          </cell>
          <cell r="M296">
            <v>4.3234484288362891</v>
          </cell>
          <cell r="N296">
            <v>4.3234506915264861</v>
          </cell>
          <cell r="O296">
            <v>4.3234640529744084</v>
          </cell>
          <cell r="P296">
            <v>4.3236152736308444</v>
          </cell>
        </row>
        <row r="297">
          <cell r="B297" t="str">
            <v>D-IBIO</v>
          </cell>
          <cell r="C297" t="str">
            <v>VAR_fin</v>
          </cell>
          <cell r="D297" t="str">
            <v>BIO</v>
          </cell>
          <cell r="E297">
            <v>0.436763689109471</v>
          </cell>
          <cell r="F297">
            <v>0.55210468653848932</v>
          </cell>
          <cell r="G297">
            <v>1.1410857474177907</v>
          </cell>
          <cell r="H297">
            <v>4.3234039391004639</v>
          </cell>
          <cell r="I297">
            <v>4.3234252298574729</v>
          </cell>
          <cell r="J297">
            <v>4.3234316183412229</v>
          </cell>
          <cell r="K297">
            <v>4.3234334131436638</v>
          </cell>
          <cell r="L297">
            <v>4.3234351208762805</v>
          </cell>
          <cell r="M297">
            <v>4.3234484288362891</v>
          </cell>
          <cell r="N297">
            <v>4.3234506915264861</v>
          </cell>
          <cell r="O297">
            <v>4.3234640529744084</v>
          </cell>
          <cell r="P297">
            <v>4.3236152736308444</v>
          </cell>
        </row>
        <row r="298">
          <cell r="B298" t="str">
            <v>D-EWOD</v>
          </cell>
          <cell r="C298" t="str">
            <v>VAR_fout</v>
          </cell>
          <cell r="D298" t="str">
            <v>EWOD</v>
          </cell>
          <cell r="E298">
            <v>3.0404767406236335</v>
          </cell>
          <cell r="F298">
            <v>1.55855073055851</v>
          </cell>
          <cell r="G298">
            <v>4.1895440522011747</v>
          </cell>
          <cell r="H298">
            <v>5.1550204638648029</v>
          </cell>
          <cell r="I298">
            <v>5.7923564447029676</v>
          </cell>
          <cell r="J298">
            <v>6.0512871392439687</v>
          </cell>
          <cell r="K298">
            <v>6.6321837563661443</v>
          </cell>
          <cell r="L298">
            <v>5.6378919473262723</v>
          </cell>
          <cell r="M298">
            <v>6.3917545683703114</v>
          </cell>
          <cell r="N298">
            <v>6.1408742484773136</v>
          </cell>
          <cell r="O298">
            <v>5.8566850736795013</v>
          </cell>
          <cell r="P298">
            <v>5.8011528439400442</v>
          </cell>
        </row>
        <row r="299">
          <cell r="B299" t="str">
            <v>D-EWOD</v>
          </cell>
          <cell r="C299" t="str">
            <v>VAR_fin</v>
          </cell>
          <cell r="D299" t="str">
            <v>WOD</v>
          </cell>
          <cell r="E299">
            <v>3.0404767406236335</v>
          </cell>
          <cell r="F299">
            <v>1.55855073055851</v>
          </cell>
          <cell r="G299">
            <v>4.1895440522011747</v>
          </cell>
          <cell r="H299">
            <v>5.1550204638648029</v>
          </cell>
          <cell r="I299">
            <v>5.7923564447029676</v>
          </cell>
          <cell r="J299">
            <v>6.0512871392439687</v>
          </cell>
          <cell r="K299">
            <v>6.6321837563661443</v>
          </cell>
          <cell r="L299">
            <v>5.6378919473262723</v>
          </cell>
          <cell r="M299">
            <v>6.3917545683703114</v>
          </cell>
          <cell r="N299">
            <v>6.1408742484773136</v>
          </cell>
          <cell r="O299">
            <v>5.8566850736795013</v>
          </cell>
          <cell r="P299">
            <v>5.8011528439400442</v>
          </cell>
        </row>
        <row r="300">
          <cell r="B300" t="str">
            <v>HPLWOD</v>
          </cell>
          <cell r="C300" t="str">
            <v>VAR_fout</v>
          </cell>
          <cell r="D300" t="str">
            <v>LTH</v>
          </cell>
          <cell r="E300">
            <v>1.205161202606934</v>
          </cell>
          <cell r="F300">
            <v>1.0876620498618368</v>
          </cell>
          <cell r="G300">
            <v>1.9979193691540227</v>
          </cell>
          <cell r="H300">
            <v>3.5986247264650597</v>
          </cell>
          <cell r="I300">
            <v>4.0402493757794566</v>
          </cell>
          <cell r="J300">
            <v>3.1262835397181217</v>
          </cell>
          <cell r="K300">
            <v>2.4190685388015316</v>
          </cell>
          <cell r="L300">
            <v>1.8718426671294826</v>
          </cell>
          <cell r="M300">
            <v>1.4484095726329185</v>
          </cell>
          <cell r="N300">
            <v>1.1207614448730236</v>
          </cell>
          <cell r="O300">
            <v>0.86723851663857943</v>
          </cell>
          <cell r="P300">
            <v>0.67286285771833332</v>
          </cell>
        </row>
        <row r="301">
          <cell r="B301" t="str">
            <v>HPLWOD</v>
          </cell>
          <cell r="C301" t="str">
            <v>VAR_fin</v>
          </cell>
          <cell r="D301" t="str">
            <v>EWOD</v>
          </cell>
          <cell r="E301">
            <v>1.7216588608670484</v>
          </cell>
          <cell r="F301">
            <v>1.5538029283740533</v>
          </cell>
          <cell r="G301">
            <v>2.8541705273628906</v>
          </cell>
          <cell r="H301">
            <v>5.1408924663786602</v>
          </cell>
          <cell r="I301">
            <v>5.7717848225420809</v>
          </cell>
          <cell r="J301">
            <v>4.4661193424544621</v>
          </cell>
          <cell r="K301">
            <v>3.4558121982878962</v>
          </cell>
          <cell r="L301">
            <v>2.6740609530421175</v>
          </cell>
          <cell r="M301">
            <v>2.0691565323327419</v>
          </cell>
          <cell r="N301">
            <v>1.6010877783900341</v>
          </cell>
          <cell r="O301">
            <v>1.2389121666265415</v>
          </cell>
          <cell r="P301">
            <v>0.96123265388333334</v>
          </cell>
        </row>
        <row r="302">
          <cell r="B302" t="str">
            <v>HPLWOD</v>
          </cell>
          <cell r="C302" t="str">
            <v>VAR_ncap</v>
          </cell>
          <cell r="D302" t="str">
            <v>-</v>
          </cell>
          <cell r="E302">
            <v>0.15291209744520101</v>
          </cell>
          <cell r="F302">
            <v>2.0949570925373501E-5</v>
          </cell>
          <cell r="G302">
            <v>0.100548318587715</v>
          </cell>
          <cell r="H302">
            <v>0.20297752689057899</v>
          </cell>
          <cell r="I302">
            <v>5.6034112235368597E-2</v>
          </cell>
          <cell r="J302">
            <v>1.7430054257041799E-4</v>
          </cell>
          <cell r="K302">
            <v>0.151645280132227</v>
          </cell>
          <cell r="L302">
            <v>6.0054345684698099E-2</v>
          </cell>
          <cell r="M302">
            <v>6.9717874323673299E-5</v>
          </cell>
          <cell r="N302">
            <v>9.3803990565862594E-5</v>
          </cell>
          <cell r="O302">
            <v>7.71644225432042E-2</v>
          </cell>
          <cell r="P302">
            <v>3.7411627288322098E-2</v>
          </cell>
        </row>
        <row r="303">
          <cell r="B303" t="str">
            <v>HPLWOD</v>
          </cell>
          <cell r="C303" t="str">
            <v>VAR_cap</v>
          </cell>
          <cell r="D303" t="str">
            <v>-</v>
          </cell>
          <cell r="E303">
            <v>0.15291209744520101</v>
          </cell>
          <cell r="F303">
            <v>0.15293304701612601</v>
          </cell>
          <cell r="G303">
            <v>0.25348136560384099</v>
          </cell>
          <cell r="H303">
            <v>0.45645889249442001</v>
          </cell>
          <cell r="I303">
            <v>0.51249300472978898</v>
          </cell>
          <cell r="J303">
            <v>0.423186084575981</v>
          </cell>
          <cell r="K303">
            <v>0.36429387651313999</v>
          </cell>
          <cell r="L303">
            <v>0.26790803859486401</v>
          </cell>
          <cell r="M303">
            <v>0.22893029307645699</v>
          </cell>
          <cell r="N303">
            <v>0.211863147681815</v>
          </cell>
          <cell r="O303">
            <v>0.13738229009279199</v>
          </cell>
          <cell r="P303">
            <v>0.11473957169641601</v>
          </cell>
        </row>
        <row r="304">
          <cell r="B304" t="str">
            <v>ENGA-GTCC</v>
          </cell>
          <cell r="C304" t="str">
            <v>VAR_fout</v>
          </cell>
          <cell r="D304" t="str">
            <v>ELC13</v>
          </cell>
          <cell r="E304"/>
          <cell r="F304"/>
          <cell r="G304"/>
          <cell r="H304"/>
          <cell r="I304"/>
          <cell r="J304">
            <v>4.1248842295991511E-4</v>
          </cell>
          <cell r="K304">
            <v>8.6163592857889729E-4</v>
          </cell>
          <cell r="L304">
            <v>6.0704569911149983E-3</v>
          </cell>
          <cell r="M304">
            <v>6.2652479779652069E-3</v>
          </cell>
          <cell r="N304">
            <v>5.9799869234888415E-3</v>
          </cell>
          <cell r="O304">
            <v>8.64137391283408E-3</v>
          </cell>
          <cell r="P304">
            <v>1.2284000449600194E-2</v>
          </cell>
        </row>
        <row r="305">
          <cell r="B305" t="str">
            <v>ENGA-GTCC</v>
          </cell>
          <cell r="C305" t="str">
            <v>VAR_fout</v>
          </cell>
          <cell r="D305" t="str">
            <v>CO2_E</v>
          </cell>
          <cell r="E305"/>
          <cell r="F305"/>
          <cell r="G305"/>
          <cell r="H305"/>
          <cell r="I305"/>
          <cell r="J305">
            <v>4.4521445477704903E-2</v>
          </cell>
          <cell r="K305">
            <v>8.8278637467614399E-2</v>
          </cell>
          <cell r="L305">
            <v>0.62939291105341599</v>
          </cell>
          <cell r="M305">
            <v>0.67203682253583297</v>
          </cell>
          <cell r="N305">
            <v>0.64686110628309501</v>
          </cell>
          <cell r="O305">
            <v>0.91204644846204097</v>
          </cell>
          <cell r="P305">
            <v>1.32392218410944</v>
          </cell>
        </row>
        <row r="306">
          <cell r="B306" t="str">
            <v>ENGA-GTCC</v>
          </cell>
          <cell r="C306" t="str">
            <v>VAR_fin</v>
          </cell>
          <cell r="D306" t="str">
            <v>ENGA</v>
          </cell>
          <cell r="E306"/>
          <cell r="F306"/>
          <cell r="G306"/>
          <cell r="H306"/>
          <cell r="I306"/>
          <cell r="J306">
            <v>7.8938733116498151E-4</v>
          </cell>
          <cell r="K306">
            <v>1.5652240685747247E-3</v>
          </cell>
          <cell r="L306">
            <v>1.1159448777542835E-2</v>
          </cell>
          <cell r="M306">
            <v>1.1915546498862273E-2</v>
          </cell>
          <cell r="N306">
            <v>1.1469168551118705E-2</v>
          </cell>
          <cell r="O306">
            <v>1.6171036320248969E-2</v>
          </cell>
          <cell r="P306">
            <v>2.347379759059285E-2</v>
          </cell>
        </row>
        <row r="307">
          <cell r="B307" t="str">
            <v>ENGA-GTCC</v>
          </cell>
          <cell r="C307" t="str">
            <v>VAR_fin</v>
          </cell>
          <cell r="D307" t="str">
            <v>GTC</v>
          </cell>
          <cell r="E307"/>
          <cell r="F307"/>
          <cell r="G307"/>
          <cell r="H307"/>
          <cell r="I307"/>
          <cell r="J307">
            <v>1.30541989871697E-4</v>
          </cell>
          <cell r="K307">
            <v>3.3542757893083189E-4</v>
          </cell>
          <cell r="L307">
            <v>7.0203637603268672E-4</v>
          </cell>
          <cell r="M307">
            <v>1.2944609445827524E-3</v>
          </cell>
          <cell r="N307">
            <v>1.3886031545589806E-3</v>
          </cell>
          <cell r="O307">
            <v>2.0275983551346299E-3</v>
          </cell>
          <cell r="P307">
            <v>2.4864637534864897E-3</v>
          </cell>
        </row>
        <row r="308">
          <cell r="B308" t="str">
            <v>ENGA-GTCC</v>
          </cell>
          <cell r="C308" t="str">
            <v>VAR_ncap</v>
          </cell>
          <cell r="D308" t="str">
            <v>-</v>
          </cell>
          <cell r="E308"/>
          <cell r="F308"/>
          <cell r="G308"/>
          <cell r="H308"/>
          <cell r="I308"/>
          <cell r="J308">
            <v>3.3885016587975299E-4</v>
          </cell>
          <cell r="K308">
            <v>7.0930925494161999E-4</v>
          </cell>
          <cell r="L308">
            <v>4.6296617214672199E-4</v>
          </cell>
          <cell r="M308">
            <v>2.2150564978677101E-4</v>
          </cell>
          <cell r="N308">
            <v>1.4633263349228199E-5</v>
          </cell>
          <cell r="O308">
            <v>1.34087059205404E-3</v>
          </cell>
        </row>
        <row r="309">
          <cell r="B309" t="str">
            <v>ENGA-GTCC</v>
          </cell>
          <cell r="C309" t="str">
            <v>VAR_cap</v>
          </cell>
          <cell r="D309" t="str">
            <v>-</v>
          </cell>
          <cell r="E309"/>
          <cell r="F309"/>
          <cell r="G309"/>
          <cell r="H309"/>
          <cell r="I309"/>
          <cell r="J309">
            <v>1.30541989871697E-4</v>
          </cell>
          <cell r="K309">
            <v>3.3542757893083194E-4</v>
          </cell>
          <cell r="L309">
            <v>7.0203637603268401E-4</v>
          </cell>
          <cell r="M309">
            <v>1.294460944582752E-3</v>
          </cell>
          <cell r="N309">
            <v>1.388603154558981E-3</v>
          </cell>
          <cell r="O309">
            <v>2.027598355134632E-3</v>
          </cell>
          <cell r="P309">
            <v>2.486463753486488E-3</v>
          </cell>
        </row>
        <row r="310">
          <cell r="B310" t="str">
            <v>D-SNGA</v>
          </cell>
          <cell r="C310" t="str">
            <v>VAR_fout</v>
          </cell>
          <cell r="D310" t="str">
            <v>CO2</v>
          </cell>
          <cell r="E310">
            <v>1525.0097905354</v>
          </cell>
          <cell r="F310">
            <v>1441.0364030549999</v>
          </cell>
          <cell r="G310">
            <v>1377.0296465066499</v>
          </cell>
          <cell r="H310">
            <v>1392.91474352921</v>
          </cell>
          <cell r="I310">
            <v>1394.5397373968101</v>
          </cell>
          <cell r="J310">
            <v>1056.0089980677801</v>
          </cell>
          <cell r="K310">
            <v>325.13711450452303</v>
          </cell>
          <cell r="L310">
            <v>180.14364756505401</v>
          </cell>
          <cell r="M310">
            <v>197.35761231315001</v>
          </cell>
          <cell r="N310">
            <v>194.81829305026201</v>
          </cell>
          <cell r="O310">
            <v>191.947173513096</v>
          </cell>
          <cell r="P310">
            <v>195.82892737540999</v>
          </cell>
        </row>
        <row r="311">
          <cell r="B311" t="str">
            <v>D-SNGA</v>
          </cell>
          <cell r="C311" t="str">
            <v>VAR_fout</v>
          </cell>
          <cell r="D311" t="str">
            <v>SNGA</v>
          </cell>
          <cell r="E311">
            <v>27.256629419512684</v>
          </cell>
          <cell r="F311">
            <v>28.488809309911428</v>
          </cell>
          <cell r="G311">
            <v>24.341162036118231</v>
          </cell>
          <cell r="H311">
            <v>24.619007265769312</v>
          </cell>
          <cell r="I311">
            <v>24.648182069649042</v>
          </cell>
          <cell r="J311">
            <v>18.755355620922451</v>
          </cell>
          <cell r="K311">
            <v>6.3111011109928823</v>
          </cell>
          <cell r="L311">
            <v>4.4584731935437381</v>
          </cell>
          <cell r="M311">
            <v>4.762429086730477</v>
          </cell>
          <cell r="N311">
            <v>4.7176763121647189</v>
          </cell>
          <cell r="O311">
            <v>4.6669299967830886</v>
          </cell>
          <cell r="P311">
            <v>4.7354768998448753</v>
          </cell>
        </row>
        <row r="312">
          <cell r="B312" t="str">
            <v>D-SNGA</v>
          </cell>
          <cell r="C312" t="str">
            <v>VAR_fout</v>
          </cell>
          <cell r="D312" t="str">
            <v>RSH2</v>
          </cell>
          <cell r="E312"/>
          <cell r="F312"/>
          <cell r="G312"/>
          <cell r="H312">
            <v>0.23097636594551171</v>
          </cell>
          <cell r="I312">
            <v>0.15205569859998214</v>
          </cell>
          <cell r="J312">
            <v>0.19873318230473316</v>
          </cell>
          <cell r="K312">
            <v>3.1435981115326118E-2</v>
          </cell>
          <cell r="L312">
            <v>3.3264446505522925E-2</v>
          </cell>
          <cell r="M312">
            <v>0.14582335642361063</v>
          </cell>
          <cell r="N312">
            <v>0.10467903057828519</v>
          </cell>
          <cell r="O312">
            <v>0.10807111855162306</v>
          </cell>
          <cell r="P312">
            <v>0.13026451713794382</v>
          </cell>
        </row>
        <row r="313">
          <cell r="B313" t="str">
            <v>D-SNGA</v>
          </cell>
          <cell r="C313" t="str">
            <v>VAR_fin</v>
          </cell>
          <cell r="D313" t="str">
            <v>NGA</v>
          </cell>
          <cell r="E313">
            <v>27.039180683251807</v>
          </cell>
          <cell r="F313">
            <v>25.55029083430847</v>
          </cell>
          <cell r="G313">
            <v>24.415419264302354</v>
          </cell>
          <cell r="H313">
            <v>24.697069920730673</v>
          </cell>
          <cell r="I313">
            <v>24.725881868737815</v>
          </cell>
          <cell r="J313">
            <v>18.723563795527962</v>
          </cell>
          <cell r="K313">
            <v>5.764842455753949</v>
          </cell>
          <cell r="L313">
            <v>3.1940363043449342</v>
          </cell>
          <cell r="M313">
            <v>3.4992484452686168</v>
          </cell>
          <cell r="N313">
            <v>3.4542250540826647</v>
          </cell>
          <cell r="O313">
            <v>3.4033186793102201</v>
          </cell>
          <cell r="P313">
            <v>3.4721441024008914</v>
          </cell>
        </row>
        <row r="314">
          <cell r="B314" t="str">
            <v>D-SNGA</v>
          </cell>
          <cell r="C314" t="str">
            <v>VAR_fin</v>
          </cell>
          <cell r="D314" t="str">
            <v>BNGA</v>
          </cell>
          <cell r="E314">
            <v>0.30452329850901905</v>
          </cell>
          <cell r="F314">
            <v>3.029529383864983</v>
          </cell>
          <cell r="G314">
            <v>3.5035248526675195E-3</v>
          </cell>
          <cell r="H314">
            <v>1.3154841501427979E-3</v>
          </cell>
          <cell r="I314">
            <v>1.5195540258411036E-3</v>
          </cell>
          <cell r="J314">
            <v>9.2335130949904462E-2</v>
          </cell>
          <cell r="K314">
            <v>0.566534538479329</v>
          </cell>
          <cell r="L314">
            <v>1.2788075722517753</v>
          </cell>
          <cell r="M314">
            <v>1.2788392099082626</v>
          </cell>
          <cell r="N314">
            <v>1.2788445958600334</v>
          </cell>
          <cell r="O314">
            <v>1.2788440718999619</v>
          </cell>
          <cell r="P314">
            <v>1.2788567427796669</v>
          </cell>
        </row>
        <row r="315">
          <cell r="B315" t="str">
            <v>D-SNGA</v>
          </cell>
          <cell r="C315" t="str">
            <v>VAR_fin</v>
          </cell>
          <cell r="D315" t="str">
            <v>H2</v>
          </cell>
          <cell r="E315"/>
          <cell r="F315"/>
          <cell r="G315"/>
          <cell r="H315">
            <v>0.23097636594551157</v>
          </cell>
          <cell r="I315">
            <v>0.15205569859998208</v>
          </cell>
          <cell r="J315">
            <v>0.1987334454045053</v>
          </cell>
          <cell r="K315">
            <v>3.1435981115326118E-2</v>
          </cell>
          <cell r="L315">
            <v>3.326611298266742E-2</v>
          </cell>
          <cell r="M315">
            <v>0.14582311671563711</v>
          </cell>
          <cell r="N315">
            <v>0.10467903057828547</v>
          </cell>
          <cell r="O315">
            <v>0.1080709692824605</v>
          </cell>
          <cell r="P315">
            <v>0.13026948211350259</v>
          </cell>
        </row>
        <row r="316">
          <cell r="B316" t="str">
            <v>D-SNGA</v>
          </cell>
          <cell r="C316" t="str">
            <v>VAR_ncap</v>
          </cell>
          <cell r="D316" t="str">
            <v>-</v>
          </cell>
          <cell r="E316">
            <v>5.5057480920305002E-5</v>
          </cell>
          <cell r="F316">
            <v>7.2243873953563101E-7</v>
          </cell>
          <cell r="G316">
            <v>1.22127434241444E-6</v>
          </cell>
          <cell r="H316">
            <v>1.4594484227827199E-6</v>
          </cell>
          <cell r="I316">
            <v>2.3825627299010898E-6</v>
          </cell>
          <cell r="J316">
            <v>3.3864333091372599E-6</v>
          </cell>
          <cell r="K316">
            <v>6.25746497133641E-6</v>
          </cell>
          <cell r="L316">
            <v>3.7091563910589801E-5</v>
          </cell>
          <cell r="M316">
            <v>0.34902112452531803</v>
          </cell>
          <cell r="N316">
            <v>4.9964808399590098E-5</v>
          </cell>
          <cell r="O316">
            <v>3.5982731494195303E-5</v>
          </cell>
          <cell r="P316">
            <v>1.9656663785424299E-4</v>
          </cell>
        </row>
        <row r="317">
          <cell r="B317" t="str">
            <v>D-SNGA</v>
          </cell>
          <cell r="C317" t="str">
            <v>VAR_cap</v>
          </cell>
          <cell r="D317" t="str">
            <v>-</v>
          </cell>
          <cell r="E317">
            <v>2.2351072591060603</v>
          </cell>
          <cell r="F317">
            <v>2.2351079815447998</v>
          </cell>
          <cell r="G317">
            <v>2.2351092028191424</v>
          </cell>
          <cell r="H317">
            <v>2.2351106622675654</v>
          </cell>
          <cell r="I317">
            <v>2.2351130448302952</v>
          </cell>
          <cell r="J317">
            <v>2.235116431263604</v>
          </cell>
          <cell r="K317">
            <v>2.2351226887285756</v>
          </cell>
          <cell r="L317">
            <v>0.76359523625675196</v>
          </cell>
          <cell r="M317">
            <v>0.34912870319266398</v>
          </cell>
          <cell r="N317">
            <v>0.34913753652354901</v>
          </cell>
          <cell r="O317">
            <v>0.34915740318788502</v>
          </cell>
          <cell r="P317">
            <v>0.34935275672798699</v>
          </cell>
        </row>
        <row r="318">
          <cell r="B318" t="str">
            <v>RHES-CHPWOD</v>
          </cell>
          <cell r="C318" t="str">
            <v>VAR_fout</v>
          </cell>
          <cell r="D318" t="str">
            <v>RHES_KEV_WOD_ELC_CHP</v>
          </cell>
          <cell r="E318"/>
          <cell r="F318"/>
          <cell r="G318"/>
          <cell r="H318">
            <v>1.1158822165642638E-3</v>
          </cell>
          <cell r="I318">
            <v>2.2924553868053656E-3</v>
          </cell>
          <cell r="J318">
            <v>5.4972922205199313E-3</v>
          </cell>
          <cell r="K318">
            <v>6.6678055938427299E-3</v>
          </cell>
          <cell r="L318">
            <v>1.2194618057158038E-2</v>
          </cell>
          <cell r="M318">
            <v>9.0328134555027664E-3</v>
          </cell>
          <cell r="N318">
            <v>6.1586101390904485E-3</v>
          </cell>
          <cell r="O318">
            <v>8.9125269475062892E-3</v>
          </cell>
          <cell r="P318">
            <v>8.0610461060814653E-3</v>
          </cell>
        </row>
        <row r="319">
          <cell r="B319" t="str">
            <v>RHES-CHPWOD</v>
          </cell>
          <cell r="C319" t="str">
            <v>VAR_fout</v>
          </cell>
          <cell r="D319" t="str">
            <v>RHES_LTH_CHPWOD</v>
          </cell>
          <cell r="E319"/>
          <cell r="F319"/>
          <cell r="G319"/>
          <cell r="H319">
            <v>3.0123997251906036E-3</v>
          </cell>
          <cell r="I319">
            <v>6.060774358090811E-3</v>
          </cell>
          <cell r="J319">
            <v>1.422707710555346E-2</v>
          </cell>
          <cell r="K319">
            <v>1.6913995212997277E-2</v>
          </cell>
          <cell r="L319">
            <v>3.0307484343457841E-2</v>
          </cell>
          <cell r="M319">
            <v>2.2449399488927158E-2</v>
          </cell>
          <cell r="N319">
            <v>1.5306094827495063E-2</v>
          </cell>
          <cell r="O319">
            <v>2.2150449456974933E-2</v>
          </cell>
          <cell r="P319">
            <v>2.0034250150913917E-2</v>
          </cell>
        </row>
        <row r="320">
          <cell r="B320" t="str">
            <v>RHES-CHPWOD</v>
          </cell>
          <cell r="C320" t="str">
            <v>VAR_fin</v>
          </cell>
          <cell r="D320" t="str">
            <v>RWOD</v>
          </cell>
          <cell r="E320"/>
          <cell r="F320"/>
          <cell r="G320"/>
          <cell r="H320">
            <v>6.8895184214843724E-3</v>
          </cell>
          <cell r="I320">
            <v>1.2977534314176316E-2</v>
          </cell>
          <cell r="J320">
            <v>2.3422829248615728E-2</v>
          </cell>
          <cell r="K320">
            <v>2.7250742599766613E-2</v>
          </cell>
          <cell r="L320">
            <v>4.7457310078200851E-2</v>
          </cell>
          <cell r="M320">
            <v>3.5818345623984234E-2</v>
          </cell>
          <cell r="N320">
            <v>2.5430782831560413E-2</v>
          </cell>
          <cell r="O320">
            <v>3.5176464866790214E-2</v>
          </cell>
          <cell r="P320">
            <v>3.5005479599092094E-2</v>
          </cell>
        </row>
        <row r="321">
          <cell r="B321" t="str">
            <v>RHES-CHPWOD</v>
          </cell>
          <cell r="C321" t="str">
            <v>VAR_ncap</v>
          </cell>
          <cell r="D321" t="str">
            <v>-</v>
          </cell>
          <cell r="E321"/>
          <cell r="F321"/>
          <cell r="G321"/>
          <cell r="H321">
            <v>9.7020121377319195E-5</v>
          </cell>
          <cell r="I321">
            <v>1.0465960831658299E-4</v>
          </cell>
          <cell r="J321">
            <v>3.0335646114935E-4</v>
          </cell>
          <cell r="K321">
            <v>1.8122270311746199E-4</v>
          </cell>
          <cell r="L321">
            <v>5.9770254515644405E-4</v>
          </cell>
          <cell r="M321">
            <v>8.8203128126094402E-7</v>
          </cell>
          <cell r="N321">
            <v>2.8555181856929202E-6</v>
          </cell>
          <cell r="O321">
            <v>6.8119047667452302E-4</v>
          </cell>
          <cell r="P321">
            <v>3.3258472007097401E-5</v>
          </cell>
        </row>
        <row r="322">
          <cell r="B322" t="str">
            <v>RHES-CHPWOD</v>
          </cell>
          <cell r="C322" t="str">
            <v>VAR_cap</v>
          </cell>
          <cell r="D322" t="str">
            <v>-</v>
          </cell>
          <cell r="E322"/>
          <cell r="F322"/>
          <cell r="G322"/>
          <cell r="H322">
            <v>9.7020121377319195E-5</v>
          </cell>
          <cell r="I322">
            <v>2.01610801973907E-4</v>
          </cell>
          <cell r="J322">
            <v>4.8612289526937596E-4</v>
          </cell>
          <cell r="K322">
            <v>5.8892486130284068E-4</v>
          </cell>
          <cell r="L322">
            <v>1.0818018481869671E-3</v>
          </cell>
          <cell r="M322">
            <v>8.0049177800299554E-4</v>
          </cell>
          <cell r="N322">
            <v>6.0011899278809475E-4</v>
          </cell>
          <cell r="O322">
            <v>7.897317783934878E-4</v>
          </cell>
          <cell r="P322">
            <v>7.1679438026896268E-4</v>
          </cell>
        </row>
        <row r="323">
          <cell r="B323" t="str">
            <v>G-INTC-RES</v>
          </cell>
          <cell r="C323" t="str">
            <v>VAR_fout</v>
          </cell>
          <cell r="D323" t="str">
            <v>RHNS_ELC</v>
          </cell>
          <cell r="E323">
            <v>13.359222351207615</v>
          </cell>
          <cell r="F323">
            <v>14.928314891243753</v>
          </cell>
          <cell r="G323">
            <v>14.896709983523452</v>
          </cell>
          <cell r="H323">
            <v>16.326120145081347</v>
          </cell>
          <cell r="I323">
            <v>17.643117897874248</v>
          </cell>
          <cell r="J323">
            <v>20.369845111999489</v>
          </cell>
          <cell r="K323">
            <v>20.524603479109711</v>
          </cell>
          <cell r="L323">
            <v>21.675884844697649</v>
          </cell>
          <cell r="M323">
            <v>21.691344570533779</v>
          </cell>
          <cell r="N323">
            <v>21.721095765987073</v>
          </cell>
          <cell r="O323">
            <v>21.474639443844659</v>
          </cell>
          <cell r="P323">
            <v>21.586134182898551</v>
          </cell>
        </row>
        <row r="324">
          <cell r="B324" t="str">
            <v>G-INTC-RES</v>
          </cell>
          <cell r="C324" t="str">
            <v>VAR_fout</v>
          </cell>
          <cell r="D324" t="str">
            <v>ELC35</v>
          </cell>
          <cell r="E324">
            <v>42.505613741771967</v>
          </cell>
          <cell r="F324">
            <v>1.3855153698958841E-2</v>
          </cell>
          <cell r="G324">
            <v>1.4822763010382203E-2</v>
          </cell>
          <cell r="H324">
            <v>1.0793750218679062E-2</v>
          </cell>
          <cell r="I324">
            <v>1.7379305528631855E-2</v>
          </cell>
          <cell r="J324">
            <v>0.35355152402399487</v>
          </cell>
          <cell r="K324">
            <v>1.0043097799525265</v>
          </cell>
          <cell r="L324">
            <v>1.4813688254327091</v>
          </cell>
          <cell r="M324">
            <v>1.4353851349258608</v>
          </cell>
          <cell r="N324">
            <v>2.33199686565571</v>
          </cell>
          <cell r="O324">
            <v>3.6012636025388627</v>
          </cell>
          <cell r="P324">
            <v>4.4696858446172838</v>
          </cell>
        </row>
        <row r="325">
          <cell r="B325" t="str">
            <v>G-INTC-RES</v>
          </cell>
          <cell r="C325" t="str">
            <v>VAR_fout</v>
          </cell>
          <cell r="D325" t="str">
            <v>RHES_ELC</v>
          </cell>
          <cell r="E325">
            <v>22.623979973721411</v>
          </cell>
          <cell r="F325">
            <v>18.540447630519171</v>
          </cell>
          <cell r="G325">
            <v>17.030953114455389</v>
          </cell>
          <cell r="H325">
            <v>17.051943623666475</v>
          </cell>
          <cell r="I325">
            <v>18.284936720362158</v>
          </cell>
          <cell r="J325">
            <v>20.403032248592552</v>
          </cell>
          <cell r="K325">
            <v>18.924561370174381</v>
          </cell>
          <cell r="L325">
            <v>20.483635774053479</v>
          </cell>
          <cell r="M325">
            <v>20.231666611898333</v>
          </cell>
          <cell r="N325">
            <v>19.831994594514647</v>
          </cell>
          <cell r="O325">
            <v>19.646714965003277</v>
          </cell>
          <cell r="P325">
            <v>19.518085536194981</v>
          </cell>
        </row>
        <row r="326">
          <cell r="B326" t="str">
            <v>G-INTC-RES</v>
          </cell>
          <cell r="C326" t="str">
            <v>VAR_fout</v>
          </cell>
          <cell r="D326" t="str">
            <v>RHNM_ELC</v>
          </cell>
          <cell r="E326">
            <v>11.35158301327224</v>
          </cell>
          <cell r="F326">
            <v>15.021902534668097</v>
          </cell>
          <cell r="G326">
            <v>14.487626572272841</v>
          </cell>
          <cell r="H326">
            <v>15.497672661191155</v>
          </cell>
          <cell r="I326">
            <v>16.041669294415076</v>
          </cell>
          <cell r="J326">
            <v>17.749795124469184</v>
          </cell>
          <cell r="K326">
            <v>17.732238980192083</v>
          </cell>
          <cell r="L326">
            <v>18.632236288984849</v>
          </cell>
          <cell r="M326">
            <v>18.705509915785587</v>
          </cell>
          <cell r="N326">
            <v>18.940109577529221</v>
          </cell>
          <cell r="O326">
            <v>18.402782150868877</v>
          </cell>
          <cell r="P326">
            <v>18.425134814750251</v>
          </cell>
        </row>
        <row r="327">
          <cell r="B327" t="str">
            <v>G-INTC-RES</v>
          </cell>
          <cell r="C327" t="str">
            <v>VAR_fout</v>
          </cell>
          <cell r="D327" t="str">
            <v>RHEM_ELC</v>
          </cell>
          <cell r="E327">
            <v>23.568752914661086</v>
          </cell>
          <cell r="F327">
            <v>19.459166323401593</v>
          </cell>
          <cell r="G327">
            <v>18.395002837566558</v>
          </cell>
          <cell r="H327">
            <v>19.368689670087882</v>
          </cell>
          <cell r="I327">
            <v>19.59068243454422</v>
          </cell>
          <cell r="J327">
            <v>21.398249740807437</v>
          </cell>
          <cell r="K327">
            <v>21.201629218041603</v>
          </cell>
          <cell r="L327">
            <v>21.731323794982455</v>
          </cell>
          <cell r="M327">
            <v>21.718783928333909</v>
          </cell>
          <cell r="N327">
            <v>21.393463636418232</v>
          </cell>
          <cell r="O327">
            <v>21.107956565898188</v>
          </cell>
          <cell r="P327">
            <v>21.068888842342172</v>
          </cell>
        </row>
        <row r="328">
          <cell r="B328" t="str">
            <v>G-INTC-RES</v>
          </cell>
          <cell r="C328" t="str">
            <v>VAR_fin</v>
          </cell>
          <cell r="D328" t="str">
            <v>ELC5</v>
          </cell>
          <cell r="E328">
            <v>113.40902883272969</v>
          </cell>
          <cell r="F328">
            <v>67.963686533531558</v>
          </cell>
          <cell r="G328">
            <v>64.825115270828647</v>
          </cell>
          <cell r="H328">
            <v>68.255219850245524</v>
          </cell>
          <cell r="I328">
            <v>71.57778565272433</v>
          </cell>
          <cell r="J328">
            <v>80.274473749892692</v>
          </cell>
          <cell r="K328">
            <v>79.387342827470277</v>
          </cell>
          <cell r="L328">
            <v>84.004449528151113</v>
          </cell>
          <cell r="M328">
            <v>83.782690161477475</v>
          </cell>
          <cell r="N328">
            <v>84.218660440104955</v>
          </cell>
          <cell r="O328">
            <v>84.23335672815395</v>
          </cell>
          <cell r="P328">
            <v>85.067929220803236</v>
          </cell>
        </row>
        <row r="329">
          <cell r="B329" t="str">
            <v>G-INTC-RES</v>
          </cell>
          <cell r="C329" t="str">
            <v>VAR_ncap</v>
          </cell>
          <cell r="D329" t="str">
            <v>-</v>
          </cell>
          <cell r="E329">
            <v>1.0135488010031899E-5</v>
          </cell>
          <cell r="F329">
            <v>3.5958068834391401E-7</v>
          </cell>
          <cell r="G329">
            <v>3.2481462653979298E-7</v>
          </cell>
          <cell r="H329">
            <v>3.6303783318570898E-7</v>
          </cell>
          <cell r="I329">
            <v>3.4816469803832502E-7</v>
          </cell>
          <cell r="J329">
            <v>2.93417066269701E-7</v>
          </cell>
          <cell r="K329">
            <v>7.5990782543368302E-7</v>
          </cell>
          <cell r="L329">
            <v>9.5673547740566497E-7</v>
          </cell>
          <cell r="M329">
            <v>1.2546204627332799E-6</v>
          </cell>
          <cell r="N329">
            <v>2.35422099299876E-6</v>
          </cell>
          <cell r="O329">
            <v>4.55096294514747E-6</v>
          </cell>
        </row>
        <row r="330">
          <cell r="B330" t="str">
            <v>G-INTC-RES</v>
          </cell>
          <cell r="C330" t="str">
            <v>VAR_cap</v>
          </cell>
          <cell r="D330" t="str">
            <v>-</v>
          </cell>
          <cell r="E330">
            <v>4.3300925142827298</v>
          </cell>
          <cell r="F330">
            <v>4.3300958097065676</v>
          </cell>
          <cell r="G330">
            <v>4.3301030093514283</v>
          </cell>
          <cell r="H330">
            <v>4.3301035339056009</v>
          </cell>
          <cell r="I330">
            <v>4.3301037810481713</v>
          </cell>
          <cell r="J330">
            <v>4.3301041584074786</v>
          </cell>
          <cell r="K330">
            <v>4.3301047046729142</v>
          </cell>
          <cell r="L330">
            <v>4.3301050986934779</v>
          </cell>
          <cell r="M330">
            <v>4.3301067457077611</v>
          </cell>
          <cell r="N330">
            <v>4.3301078769879169</v>
          </cell>
          <cell r="O330">
            <v>4.3301118555090259</v>
          </cell>
          <cell r="P330">
            <v>4.3301142152333556</v>
          </cell>
        </row>
        <row r="331">
          <cell r="B331" t="str">
            <v>SCOM-CHPNGA</v>
          </cell>
          <cell r="C331" t="str">
            <v>VAR_fout</v>
          </cell>
          <cell r="D331" t="str">
            <v>CO2_S</v>
          </cell>
          <cell r="E331">
            <v>96.326284742672996</v>
          </cell>
          <cell r="F331">
            <v>98.079883053797801</v>
          </cell>
          <cell r="G331">
            <v>125.90420908980801</v>
          </cell>
          <cell r="H331">
            <v>107.90916038867</v>
          </cell>
          <cell r="I331">
            <v>97.5721688498394</v>
          </cell>
          <cell r="J331">
            <v>50.979365537259802</v>
          </cell>
          <cell r="K331"/>
          <cell r="L331"/>
          <cell r="M331">
            <v>1.4194455113031901</v>
          </cell>
          <cell r="N331">
            <v>1.6245982953582501</v>
          </cell>
          <cell r="O331">
            <v>2.5532187384413501</v>
          </cell>
          <cell r="P331">
            <v>4.2417837145738799</v>
          </cell>
        </row>
        <row r="332">
          <cell r="B332" t="str">
            <v>SCOM-CHPNGA</v>
          </cell>
          <cell r="C332" t="str">
            <v>VAR_fout</v>
          </cell>
          <cell r="D332" t="str">
            <v>SCOM_NKEV_GAS_ELC_CHP</v>
          </cell>
          <cell r="E332">
            <v>0.5944528427093666</v>
          </cell>
          <cell r="F332">
            <v>0.62595518433724096</v>
          </cell>
          <cell r="G332">
            <v>0.8005167320637504</v>
          </cell>
          <cell r="H332">
            <v>0.68748003962192794</v>
          </cell>
          <cell r="I332">
            <v>0.61877094626934137</v>
          </cell>
          <cell r="J332">
            <v>0.32471199984051841</v>
          </cell>
          <cell r="K332"/>
          <cell r="L332"/>
          <cell r="M332">
            <v>8.5843033135360805E-3</v>
          </cell>
          <cell r="N332">
            <v>9.8554981400476287E-3</v>
          </cell>
          <cell r="O332">
            <v>1.5678476685490914E-2</v>
          </cell>
          <cell r="P332">
            <v>2.5756138832804171E-2</v>
          </cell>
        </row>
        <row r="333">
          <cell r="B333" t="str">
            <v>SCOM-CHPNGA</v>
          </cell>
          <cell r="C333" t="str">
            <v>VAR_fout</v>
          </cell>
          <cell r="D333" t="str">
            <v>SCOM_LTH_CHPNGA</v>
          </cell>
          <cell r="E333">
            <v>0.69264030606358906</v>
          </cell>
          <cell r="F333">
            <v>0.75030465863891549</v>
          </cell>
          <cell r="G333">
            <v>0.9997490392172248</v>
          </cell>
          <cell r="H333">
            <v>0.91612656428801331</v>
          </cell>
          <cell r="I333">
            <v>0.87636108950657521</v>
          </cell>
          <cell r="J333">
            <v>0.48706799976077753</v>
          </cell>
          <cell r="K333"/>
          <cell r="L333"/>
          <cell r="M333">
            <v>1.2876454970304117E-2</v>
          </cell>
          <cell r="N333">
            <v>1.4783247210071421E-2</v>
          </cell>
          <cell r="O333">
            <v>2.351771502823638E-2</v>
          </cell>
          <cell r="P333">
            <v>3.8634208249206263E-2</v>
          </cell>
        </row>
        <row r="334">
          <cell r="B334" t="str">
            <v>SCOM-CHPNGA</v>
          </cell>
          <cell r="C334" t="str">
            <v>VAR_fin</v>
          </cell>
          <cell r="D334" t="str">
            <v>SNGA</v>
          </cell>
          <cell r="E334">
            <v>1.707912850047393</v>
          </cell>
          <cell r="F334">
            <v>1.7390050186843613</v>
          </cell>
          <cell r="G334">
            <v>2.2323441327980129</v>
          </cell>
          <cell r="H334">
            <v>1.9132829856147127</v>
          </cell>
          <cell r="I334">
            <v>1.7300029937914787</v>
          </cell>
          <cell r="J334">
            <v>0.90388945988049219</v>
          </cell>
          <cell r="K334"/>
          <cell r="L334"/>
          <cell r="M334">
            <v>2.5167473604666493E-2</v>
          </cell>
          <cell r="N334">
            <v>2.8804934314862574E-2</v>
          </cell>
          <cell r="O334">
            <v>4.526983578796713E-2</v>
          </cell>
          <cell r="P334">
            <v>7.5208931109465985E-2</v>
          </cell>
        </row>
        <row r="335">
          <cell r="B335" t="str">
            <v>SCOM-CHPNGA</v>
          </cell>
          <cell r="C335" t="str">
            <v>VAR_ncap</v>
          </cell>
          <cell r="D335" t="str">
            <v>-</v>
          </cell>
          <cell r="E335"/>
          <cell r="F335">
            <v>4.0952463671492197E-2</v>
          </cell>
          <cell r="G335"/>
          <cell r="H335"/>
          <cell r="I335"/>
          <cell r="J335"/>
          <cell r="K335"/>
          <cell r="L335"/>
          <cell r="M335">
            <v>9.9367003570885589E-4</v>
          </cell>
          <cell r="N335">
            <v>2.0601555916913299E-4</v>
          </cell>
          <cell r="O335">
            <v>5.0256434345735505E-4</v>
          </cell>
          <cell r="P335">
            <v>1.32064631145305E-3</v>
          </cell>
        </row>
        <row r="336">
          <cell r="B336" t="str">
            <v>SCOM-CHPNGA</v>
          </cell>
          <cell r="C336" t="str">
            <v>VAR_cap</v>
          </cell>
          <cell r="D336" t="str">
            <v>-</v>
          </cell>
          <cell r="E336">
            <v>6.5199353270986513E-2</v>
          </cell>
          <cell r="F336">
            <v>5.3823193865914103E-2</v>
          </cell>
          <cell r="G336">
            <v>5.372949699373572E-2</v>
          </cell>
          <cell r="H336">
            <v>5.1968488804770153E-2</v>
          </cell>
          <cell r="I336">
            <v>4.2998934816671164E-2</v>
          </cell>
          <cell r="J336">
            <v>2.5174705749959763E-2</v>
          </cell>
          <cell r="K336"/>
          <cell r="L336"/>
          <cell r="M336">
            <v>9.9367003570885589E-4</v>
          </cell>
          <cell r="N336">
            <v>1.1987976455983594E-3</v>
          </cell>
          <cell r="O336">
            <v>1.699630937844445E-3</v>
          </cell>
          <cell r="P336">
            <v>3.0141025118526612E-3</v>
          </cell>
        </row>
        <row r="337">
          <cell r="B337" t="str">
            <v>D-IPLT</v>
          </cell>
          <cell r="C337" t="str">
            <v>VAR_fout</v>
          </cell>
          <cell r="D337" t="str">
            <v>IPLT</v>
          </cell>
          <cell r="E337">
            <v>0.62583999239942545</v>
          </cell>
          <cell r="F337">
            <v>0.7376031502473418</v>
          </cell>
          <cell r="G337">
            <v>0.73635649024723615</v>
          </cell>
          <cell r="H337">
            <v>0.73458389049963158</v>
          </cell>
          <cell r="I337">
            <v>0.73255054253989116</v>
          </cell>
          <cell r="J337">
            <v>0.73052149461296378</v>
          </cell>
          <cell r="K337">
            <v>0.72849115340106263</v>
          </cell>
          <cell r="L337">
            <v>0.72647149020320789</v>
          </cell>
          <cell r="M337">
            <v>0.7264747056069184</v>
          </cell>
          <cell r="N337">
            <v>0.72928285068496179</v>
          </cell>
          <cell r="O337">
            <v>0.72938214761081377</v>
          </cell>
          <cell r="P337">
            <v>0.7295584775215922</v>
          </cell>
        </row>
        <row r="338">
          <cell r="B338" t="str">
            <v>D-IPLT</v>
          </cell>
          <cell r="C338" t="str">
            <v>VAR_fin</v>
          </cell>
          <cell r="D338" t="str">
            <v>PLT</v>
          </cell>
          <cell r="E338">
            <v>0.62583999239942545</v>
          </cell>
          <cell r="F338">
            <v>0.7376031502473418</v>
          </cell>
          <cell r="G338">
            <v>0.73635649024723615</v>
          </cell>
          <cell r="H338">
            <v>0.73458389049963158</v>
          </cell>
          <cell r="I338">
            <v>0.73255054253989116</v>
          </cell>
          <cell r="J338">
            <v>0.73052149461296378</v>
          </cell>
          <cell r="K338">
            <v>0.72849115340106263</v>
          </cell>
          <cell r="L338">
            <v>0.72647149020320789</v>
          </cell>
          <cell r="M338">
            <v>0.7264747056069184</v>
          </cell>
          <cell r="N338">
            <v>0.72928285068496179</v>
          </cell>
          <cell r="O338">
            <v>0.72938214761081377</v>
          </cell>
          <cell r="P338">
            <v>0.7295584775215922</v>
          </cell>
        </row>
        <row r="339">
          <cell r="B339" t="str">
            <v>LTH-STG</v>
          </cell>
          <cell r="C339" t="str">
            <v>VAR_fout</v>
          </cell>
          <cell r="D339" t="str">
            <v>AUX_LTH-STG_OUT</v>
          </cell>
          <cell r="E339">
            <v>8.2435122235567898E-4</v>
          </cell>
          <cell r="F339">
            <v>2.4916859033266817E-3</v>
          </cell>
          <cell r="G339">
            <v>1.106251562367646E-2</v>
          </cell>
          <cell r="H339">
            <v>2.9970683094441408E-3</v>
          </cell>
          <cell r="I339">
            <v>4.9140734120599848E-3</v>
          </cell>
          <cell r="J339">
            <v>6.1322264025447581E-3</v>
          </cell>
          <cell r="K339">
            <v>7.8042066682171016E-3</v>
          </cell>
          <cell r="L339">
            <v>1.2716617878119615E-2</v>
          </cell>
          <cell r="M339">
            <v>1.1902590244455363E-2</v>
          </cell>
          <cell r="N339">
            <v>6.2237107414423322E-2</v>
          </cell>
          <cell r="O339">
            <v>3.5045184495407652E-2</v>
          </cell>
          <cell r="P339">
            <v>3.4046323532568847E-2</v>
          </cell>
        </row>
        <row r="340">
          <cell r="B340" t="str">
            <v>LTH-STG</v>
          </cell>
          <cell r="C340" t="str">
            <v>VAR_fout</v>
          </cell>
          <cell r="D340" t="str">
            <v>LTH</v>
          </cell>
          <cell r="E340">
            <v>8.2435122235567692E-4</v>
          </cell>
          <cell r="F340">
            <v>2.4933470272622315E-3</v>
          </cell>
          <cell r="G340">
            <v>1.1074039077451105E-2</v>
          </cell>
          <cell r="H340">
            <v>2.9970683094441408E-3</v>
          </cell>
          <cell r="I340">
            <v>4.9185900236519463E-3</v>
          </cell>
          <cell r="J340">
            <v>6.132226402544739E-3</v>
          </cell>
          <cell r="K340">
            <v>7.8105826540571226E-3</v>
          </cell>
          <cell r="L340">
            <v>1.2716617878119601E-2</v>
          </cell>
          <cell r="M340">
            <v>1.1902590244455349E-2</v>
          </cell>
          <cell r="N340">
            <v>6.2237107414423253E-2</v>
          </cell>
          <cell r="O340">
            <v>3.5045184495407625E-2</v>
          </cell>
          <cell r="P340">
            <v>3.4046323532568812E-2</v>
          </cell>
        </row>
        <row r="341">
          <cell r="B341" t="str">
            <v>LTH-STG</v>
          </cell>
          <cell r="C341" t="str">
            <v>VAR_fin</v>
          </cell>
          <cell r="D341" t="str">
            <v>AUX_LTH-STG_IN</v>
          </cell>
          <cell r="E341">
            <v>1.1062404576301678E-3</v>
          </cell>
          <cell r="F341">
            <v>3.2878252672181884E-3</v>
          </cell>
          <cell r="G341">
            <v>1.4296188175088259E-2</v>
          </cell>
          <cell r="H341">
            <v>3.7534408813608244E-3</v>
          </cell>
          <cell r="I341">
            <v>5.9690327958974599E-3</v>
          </cell>
          <cell r="J341">
            <v>7.2214894974954712E-3</v>
          </cell>
          <cell r="K341">
            <v>8.9334856705679377E-3</v>
          </cell>
          <cell r="L341">
            <v>1.4136680914659914E-2</v>
          </cell>
          <cell r="M341">
            <v>1.3232205766160349E-2</v>
          </cell>
          <cell r="N341">
            <v>6.9159447066184238E-2</v>
          </cell>
          <cell r="O341">
            <v>3.8946199378254207E-2</v>
          </cell>
          <cell r="P341">
            <v>3.7836353864088269E-2</v>
          </cell>
        </row>
        <row r="342">
          <cell r="B342" t="str">
            <v>LTH-STG</v>
          </cell>
          <cell r="C342" t="str">
            <v>VAR_fin</v>
          </cell>
          <cell r="D342" t="str">
            <v>LTH</v>
          </cell>
          <cell r="E342">
            <v>1.1062404576301678E-3</v>
          </cell>
          <cell r="F342">
            <v>3.2878252672181884E-3</v>
          </cell>
          <cell r="G342">
            <v>1.4296188175088259E-2</v>
          </cell>
          <cell r="H342">
            <v>3.7534408813608244E-3</v>
          </cell>
          <cell r="I342">
            <v>5.9690327958974599E-3</v>
          </cell>
          <cell r="J342">
            <v>7.2214894974954712E-3</v>
          </cell>
          <cell r="K342">
            <v>8.9334856705679377E-3</v>
          </cell>
          <cell r="L342">
            <v>1.4136680914659914E-2</v>
          </cell>
          <cell r="M342">
            <v>1.3232205766160349E-2</v>
          </cell>
          <cell r="N342">
            <v>6.9159447066184238E-2</v>
          </cell>
          <cell r="O342">
            <v>3.8946199378254207E-2</v>
          </cell>
          <cell r="P342">
            <v>3.7836353864088269E-2</v>
          </cell>
        </row>
        <row r="343">
          <cell r="B343" t="str">
            <v>LTH-STG</v>
          </cell>
          <cell r="C343" t="str">
            <v>VAR_ncap</v>
          </cell>
          <cell r="D343" t="str">
            <v>-</v>
          </cell>
          <cell r="E343">
            <v>9.0822877749432702E-4</v>
          </cell>
          <cell r="F343">
            <v>1.52276672475229E-5</v>
          </cell>
          <cell r="G343">
            <v>1.7246404636015399E-5</v>
          </cell>
          <cell r="H343">
            <v>1.1437072246002299E-5</v>
          </cell>
          <cell r="I343">
            <v>1.92074271257105E-4</v>
          </cell>
          <cell r="J343">
            <v>3.9251815963470998E-4</v>
          </cell>
          <cell r="K343">
            <v>3.96947228506097E-4</v>
          </cell>
          <cell r="L343">
            <v>1.0477466318952299E-3</v>
          </cell>
          <cell r="M343">
            <v>1.8967556395984701E-3</v>
          </cell>
          <cell r="N343">
            <v>6.6705840787501403E-4</v>
          </cell>
          <cell r="O343">
            <v>1.0916214765685299E-4</v>
          </cell>
          <cell r="P343">
            <v>1.0062357012242001E-3</v>
          </cell>
        </row>
        <row r="344">
          <cell r="B344" t="str">
            <v>LTH-STG</v>
          </cell>
          <cell r="C344" t="str">
            <v>VAR_cap</v>
          </cell>
          <cell r="D344" t="str">
            <v>-</v>
          </cell>
          <cell r="E344">
            <v>1.0722972797749697E-3</v>
          </cell>
          <cell r="F344">
            <v>1.0822290460236752E-3</v>
          </cell>
          <cell r="G344">
            <v>1.090680912707907E-3</v>
          </cell>
          <cell r="H344">
            <v>1.0069944817449933E-3</v>
          </cell>
          <cell r="I344">
            <v>1.1164388052654415E-3</v>
          </cell>
          <cell r="J344">
            <v>9.6772760198097661E-4</v>
          </cell>
          <cell r="K344">
            <v>9.7447956785117916E-4</v>
          </cell>
          <cell r="L344">
            <v>2.0036459711176404E-3</v>
          </cell>
          <cell r="M344">
            <v>3.7052032886247207E-3</v>
          </cell>
          <cell r="N344">
            <v>3.977932739859474E-3</v>
          </cell>
          <cell r="O344">
            <v>3.359717717999566E-3</v>
          </cell>
          <cell r="P344">
            <v>3.6262365932795745E-3</v>
          </cell>
        </row>
        <row r="345">
          <cell r="B345" t="str">
            <v>ITOT-CHPOIL</v>
          </cell>
          <cell r="C345" t="str">
            <v>VAR_fout</v>
          </cell>
          <cell r="D345" t="str">
            <v>ITOT_LTH_CHP</v>
          </cell>
          <cell r="E345">
            <v>0.93006795162730349</v>
          </cell>
          <cell r="F345">
            <v>2.0711828864240585</v>
          </cell>
          <cell r="G345">
            <v>9.0889216989872013E-2</v>
          </cell>
          <cell r="H345">
            <v>1.3075520758979899</v>
          </cell>
          <cell r="I345">
            <v>0.84199512602426008</v>
          </cell>
          <cell r="J345"/>
          <cell r="K345"/>
          <cell r="L345"/>
          <cell r="M345">
            <v>5.2674542162728846E-3</v>
          </cell>
          <cell r="N345">
            <v>7.4867959959330254E-3</v>
          </cell>
          <cell r="O345">
            <v>1.2083464307072177E-2</v>
          </cell>
          <cell r="P345">
            <v>1.7681794138878614E-2</v>
          </cell>
        </row>
        <row r="346">
          <cell r="B346" t="str">
            <v>ITOT-CHPOIL</v>
          </cell>
          <cell r="C346" t="str">
            <v>VAR_fout</v>
          </cell>
          <cell r="D346" t="str">
            <v>ITOT_NKEV_OIL_ELC_CHP</v>
          </cell>
          <cell r="E346">
            <v>7.0556879088967725E-2</v>
          </cell>
          <cell r="F346">
            <v>0.17138022669628128</v>
          </cell>
          <cell r="G346">
            <v>8.7054103919806131E-3</v>
          </cell>
          <cell r="H346">
            <v>0.16982807894912577</v>
          </cell>
          <cell r="I346">
            <v>0.16982574768690659</v>
          </cell>
          <cell r="J346"/>
          <cell r="K346"/>
          <cell r="L346"/>
          <cell r="M346">
            <v>2.3762380019490916E-3</v>
          </cell>
          <cell r="N346">
            <v>3.3774207478474089E-3</v>
          </cell>
          <cell r="O346">
            <v>5.4510558426793601E-3</v>
          </cell>
          <cell r="P346">
            <v>7.9765574507781201E-3</v>
          </cell>
        </row>
        <row r="347">
          <cell r="B347" t="str">
            <v>ITOT-CHPOIL</v>
          </cell>
          <cell r="C347" t="str">
            <v>VAR_fout</v>
          </cell>
          <cell r="D347" t="str">
            <v>CO2_I</v>
          </cell>
          <cell r="E347">
            <v>23.041397373312801</v>
          </cell>
          <cell r="F347">
            <v>51.279680586132301</v>
          </cell>
          <cell r="G347">
            <v>2.7909653957345899</v>
          </cell>
          <cell r="H347">
            <v>47.552743910024802</v>
          </cell>
          <cell r="I347">
            <v>47.5715144562893</v>
          </cell>
          <cell r="J347"/>
          <cell r="K347"/>
          <cell r="L347"/>
          <cell r="M347">
            <v>0.75761436195949805</v>
          </cell>
          <cell r="N347">
            <v>1.0496454914064299</v>
          </cell>
          <cell r="O347">
            <v>1.6995720285506399</v>
          </cell>
          <cell r="P347">
            <v>2.55001625794401</v>
          </cell>
        </row>
        <row r="348">
          <cell r="B348" t="str">
            <v>ITOT-CHPOIL</v>
          </cell>
          <cell r="C348" t="str">
            <v>VAR_fin</v>
          </cell>
          <cell r="D348" t="str">
            <v>ILFO</v>
          </cell>
          <cell r="E348">
            <v>0.31263768484820559</v>
          </cell>
          <cell r="F348">
            <v>0.69578942450654346</v>
          </cell>
          <cell r="G348">
            <v>3.7869272669397394E-2</v>
          </cell>
          <cell r="H348">
            <v>0.64522040583480067</v>
          </cell>
          <cell r="I348">
            <v>0.64547509438655737</v>
          </cell>
          <cell r="J348"/>
          <cell r="K348"/>
          <cell r="L348"/>
          <cell r="M348">
            <v>1.0279706403792371E-2</v>
          </cell>
          <cell r="N348">
            <v>1.4242136925460364E-2</v>
          </cell>
          <cell r="O348">
            <v>2.306067881344151E-2</v>
          </cell>
          <cell r="P348">
            <v>3.4599949225834641E-2</v>
          </cell>
        </row>
        <row r="349">
          <cell r="B349" t="str">
            <v>ITOT-CHPOIL</v>
          </cell>
          <cell r="C349" t="str">
            <v>VAR_ncap</v>
          </cell>
          <cell r="D349" t="str">
            <v>-</v>
          </cell>
          <cell r="E349"/>
          <cell r="F349">
            <v>1.9193841808142501E-2</v>
          </cell>
          <cell r="G349"/>
          <cell r="H349"/>
          <cell r="I349"/>
          <cell r="J349"/>
          <cell r="K349"/>
          <cell r="L349"/>
          <cell r="M349">
            <v>7.4919262506332096E-4</v>
          </cell>
          <cell r="N349">
            <v>4.5194692222568102E-4</v>
          </cell>
          <cell r="O349">
            <v>5.6876499967905701E-4</v>
          </cell>
          <cell r="P349">
            <v>1.6409731259250601E-3</v>
          </cell>
        </row>
        <row r="350">
          <cell r="B350" t="str">
            <v>ITOT-CHPOIL</v>
          </cell>
          <cell r="C350" t="str">
            <v>VAR_cap</v>
          </cell>
          <cell r="D350" t="str">
            <v>-</v>
          </cell>
          <cell r="E350">
            <v>8.3045773743700008E-3</v>
          </cell>
          <cell r="F350">
            <v>2.0124201709813591E-2</v>
          </cell>
          <cell r="G350">
            <v>2.0119732607945296E-2</v>
          </cell>
          <cell r="H350">
            <v>2.0118166328418539E-2</v>
          </cell>
          <cell r="I350">
            <v>9.8397458028241618E-3</v>
          </cell>
          <cell r="J350"/>
          <cell r="K350"/>
          <cell r="L350"/>
          <cell r="M350">
            <v>7.4919262506332096E-4</v>
          </cell>
          <cell r="N350">
            <v>1.1989535174181673E-3</v>
          </cell>
          <cell r="O350">
            <v>1.5266768012918124E-3</v>
          </cell>
          <cell r="P350">
            <v>2.6551394544760353E-3</v>
          </cell>
        </row>
        <row r="351">
          <cell r="B351" t="str">
            <v>ENUC_GOE</v>
          </cell>
          <cell r="C351" t="str">
            <v>VAR_fout</v>
          </cell>
          <cell r="D351" t="str">
            <v>ELC</v>
          </cell>
          <cell r="E351">
            <v>29.714428359657756</v>
          </cell>
          <cell r="F351">
            <v>29.714404361979255</v>
          </cell>
          <cell r="G351">
            <v>0.55396261675674918</v>
          </cell>
          <cell r="H351"/>
          <cell r="I351"/>
          <cell r="J351"/>
          <cell r="K351"/>
          <cell r="L351"/>
        </row>
        <row r="352">
          <cell r="B352" t="str">
            <v>ENUC_GOE</v>
          </cell>
          <cell r="C352" t="str">
            <v>VAR_fin</v>
          </cell>
          <cell r="D352" t="str">
            <v>URN</v>
          </cell>
          <cell r="E352">
            <v>89.58066085012706</v>
          </cell>
          <cell r="F352">
            <v>89.580588503862359</v>
          </cell>
          <cell r="G352">
            <v>1.670041795678912</v>
          </cell>
          <cell r="H352"/>
          <cell r="I352"/>
          <cell r="J352"/>
          <cell r="K352"/>
          <cell r="L352"/>
        </row>
        <row r="353">
          <cell r="B353" t="str">
            <v>ENUC_GOE</v>
          </cell>
          <cell r="C353" t="str">
            <v>VAR_cap</v>
          </cell>
          <cell r="D353" t="str">
            <v>-</v>
          </cell>
          <cell r="E353">
            <v>1.0099999162351367</v>
          </cell>
          <cell r="F353">
            <v>1.0099996842779091</v>
          </cell>
          <cell r="G353">
            <v>2.1402245191399993E-2</v>
          </cell>
          <cell r="H353"/>
          <cell r="I353"/>
          <cell r="J353"/>
          <cell r="K353"/>
          <cell r="L353"/>
        </row>
        <row r="354">
          <cell r="B354" t="str">
            <v>D-RNGA</v>
          </cell>
          <cell r="C354" t="str">
            <v>VAR_fout</v>
          </cell>
          <cell r="D354" t="str">
            <v>CO2</v>
          </cell>
          <cell r="E354">
            <v>2657.19339703281</v>
          </cell>
          <cell r="F354">
            <v>2731.43678422015</v>
          </cell>
          <cell r="G354">
            <v>2992.2424416869098</v>
          </cell>
          <cell r="H354">
            <v>2989.9138044210799</v>
          </cell>
          <cell r="I354">
            <v>2665.8463170558998</v>
          </cell>
          <cell r="J354">
            <v>1703.1741573464999</v>
          </cell>
          <cell r="K354">
            <v>1135.3490533691499</v>
          </cell>
          <cell r="L354">
            <v>547.78641742439697</v>
          </cell>
          <cell r="M354">
            <v>444.10626835263503</v>
          </cell>
          <cell r="N354">
            <v>434.25012043896203</v>
          </cell>
          <cell r="O354">
            <v>444.56235429032603</v>
          </cell>
          <cell r="P354">
            <v>417.252211371464</v>
          </cell>
        </row>
        <row r="355">
          <cell r="B355" t="str">
            <v>D-RNGA</v>
          </cell>
          <cell r="C355" t="str">
            <v>VAR_fout</v>
          </cell>
          <cell r="D355" t="str">
            <v>RNGA</v>
          </cell>
          <cell r="E355">
            <v>47.271626074647855</v>
          </cell>
          <cell r="F355">
            <v>48.283051295359691</v>
          </cell>
          <cell r="G355">
            <v>52.892542374654603</v>
          </cell>
          <cell r="H355">
            <v>52.850747650935141</v>
          </cell>
          <cell r="I355">
            <v>47.122888851820896</v>
          </cell>
          <cell r="J355">
            <v>30.213919133471997</v>
          </cell>
          <cell r="K355">
            <v>21.27183019270873</v>
          </cell>
          <cell r="L355">
            <v>12.032620527356265</v>
          </cell>
          <cell r="M355">
            <v>10.199813748964319</v>
          </cell>
          <cell r="N355">
            <v>10.025611069203272</v>
          </cell>
          <cell r="O355">
            <v>10.208022741535647</v>
          </cell>
          <cell r="P355">
            <v>9.7251756660639348</v>
          </cell>
        </row>
        <row r="356">
          <cell r="B356" t="str">
            <v>D-RNGA</v>
          </cell>
          <cell r="C356" t="str">
            <v>VAR_fout</v>
          </cell>
          <cell r="D356" t="str">
            <v>RSH2</v>
          </cell>
          <cell r="E356"/>
          <cell r="F356"/>
          <cell r="G356"/>
          <cell r="H356">
            <v>0.19284284614888622</v>
          </cell>
          <cell r="I356">
            <v>0.28743362993890403</v>
          </cell>
          <cell r="J356">
            <v>0.32791530508754263</v>
          </cell>
          <cell r="K356">
            <v>0.10543108564342747</v>
          </cell>
          <cell r="L356">
            <v>8.7943792068392701E-2</v>
          </cell>
          <cell r="M356">
            <v>0.21342704568079185</v>
          </cell>
          <cell r="N356">
            <v>0.21258905415087664</v>
          </cell>
          <cell r="O356">
            <v>0.16746467806580795</v>
          </cell>
          <cell r="P356">
            <v>0.22415659573128924</v>
          </cell>
        </row>
        <row r="357">
          <cell r="B357" t="str">
            <v>D-RNGA</v>
          </cell>
          <cell r="C357" t="str">
            <v>VAR_fin</v>
          </cell>
          <cell r="D357" t="str">
            <v>NGA</v>
          </cell>
          <cell r="E357">
            <v>47.113358103418577</v>
          </cell>
          <cell r="F357">
            <v>48.429730216669299</v>
          </cell>
          <cell r="G357">
            <v>53.053944001540913</v>
          </cell>
          <cell r="H357">
            <v>53.01265610675685</v>
          </cell>
          <cell r="I357">
            <v>47.266778671203873</v>
          </cell>
          <cell r="J357">
            <v>30.198123357207397</v>
          </cell>
          <cell r="K357">
            <v>20.130302364701315</v>
          </cell>
          <cell r="L357">
            <v>9.7125251316382446</v>
          </cell>
          <cell r="M357">
            <v>7.8742246161814711</v>
          </cell>
          <cell r="N357">
            <v>7.6994702205489718</v>
          </cell>
          <cell r="O357">
            <v>7.8823112462823737</v>
          </cell>
          <cell r="P357">
            <v>7.3980888541039729</v>
          </cell>
        </row>
        <row r="358">
          <cell r="B358" t="str">
            <v>D-RNGA</v>
          </cell>
          <cell r="C358" t="str">
            <v>VAR_fin</v>
          </cell>
          <cell r="D358" t="str">
            <v>BNGA</v>
          </cell>
          <cell r="E358">
            <v>0.30928283384692734</v>
          </cell>
          <cell r="F358">
            <v>7.5670601300430263E-3</v>
          </cell>
          <cell r="G358">
            <v>7.5699250461672739E-3</v>
          </cell>
          <cell r="H358">
            <v>7.5738777844855292E-3</v>
          </cell>
          <cell r="I358">
            <v>7.5963658768529044E-3</v>
          </cell>
          <cell r="J358">
            <v>0.11338871630919954</v>
          </cell>
          <cell r="K358">
            <v>1.2098483376622262</v>
          </cell>
          <cell r="L358">
            <v>2.3588452517231113</v>
          </cell>
          <cell r="M358">
            <v>2.3588777613015961</v>
          </cell>
          <cell r="N358">
            <v>2.3588827923008626</v>
          </cell>
          <cell r="O358">
            <v>2.3588820051912398</v>
          </cell>
          <cell r="P358">
            <v>2.358896015097351</v>
          </cell>
        </row>
        <row r="359">
          <cell r="B359" t="str">
            <v>D-RNGA</v>
          </cell>
          <cell r="C359" t="str">
            <v>VAR_fin</v>
          </cell>
          <cell r="D359" t="str">
            <v>H2</v>
          </cell>
          <cell r="E359"/>
          <cell r="F359"/>
          <cell r="G359"/>
          <cell r="H359">
            <v>0.19284284614888647</v>
          </cell>
          <cell r="I359">
            <v>0.2874336299389042</v>
          </cell>
          <cell r="J359">
            <v>0.32791428286658553</v>
          </cell>
          <cell r="K359">
            <v>0.10543108564342725</v>
          </cell>
          <cell r="L359">
            <v>8.7944666870531596E-2</v>
          </cell>
          <cell r="M359">
            <v>0.2134270064059467</v>
          </cell>
          <cell r="N359">
            <v>0.2125890541508772</v>
          </cell>
          <cell r="O359">
            <v>0.1674654279032915</v>
          </cell>
          <cell r="P359">
            <v>0.22415935875262755</v>
          </cell>
        </row>
        <row r="360">
          <cell r="B360" t="str">
            <v>D-RNGA</v>
          </cell>
          <cell r="C360" t="str">
            <v>VAR_ncap</v>
          </cell>
          <cell r="D360" t="str">
            <v>-</v>
          </cell>
          <cell r="E360">
            <v>1.81399647715755E-6</v>
          </cell>
          <cell r="F360">
            <v>4.0525853374123302E-7</v>
          </cell>
          <cell r="G360">
            <v>5.1349763720722104E-7</v>
          </cell>
          <cell r="H360">
            <v>4.6101154432120401E-7</v>
          </cell>
          <cell r="I360">
            <v>6.5219291149483897E-7</v>
          </cell>
          <cell r="J360">
            <v>8.8750920612050401E-7</v>
          </cell>
          <cell r="K360">
            <v>1.5840311514016201E-6</v>
          </cell>
          <cell r="L360">
            <v>1.3653111929177E-5</v>
          </cell>
          <cell r="M360">
            <v>0.60242867472058803</v>
          </cell>
          <cell r="N360">
            <v>5.7861750306357897E-5</v>
          </cell>
          <cell r="O360">
            <v>1.3406334834306101E-2</v>
          </cell>
          <cell r="P360">
            <v>7.1020236215222995E-5</v>
          </cell>
        </row>
        <row r="361">
          <cell r="B361" t="str">
            <v>D-RNGA</v>
          </cell>
          <cell r="C361" t="str">
            <v>VAR_cap</v>
          </cell>
          <cell r="D361" t="str">
            <v>-</v>
          </cell>
          <cell r="E361">
            <v>3.0972418213923971</v>
          </cell>
          <cell r="F361">
            <v>3.097242226650931</v>
          </cell>
          <cell r="G361">
            <v>3.0972427401485683</v>
          </cell>
          <cell r="H361">
            <v>3.0972432011601123</v>
          </cell>
          <cell r="I361">
            <v>3.097243853353024</v>
          </cell>
          <cell r="J361">
            <v>3.0972447408622301</v>
          </cell>
          <cell r="K361">
            <v>3.0972463248933817</v>
          </cell>
          <cell r="L361">
            <v>1.0580286007968607</v>
          </cell>
          <cell r="M361">
            <v>0.60244864532997899</v>
          </cell>
          <cell r="N361">
            <v>0.60250496588886904</v>
          </cell>
          <cell r="O361">
            <v>0.61591005396666099</v>
          </cell>
          <cell r="P361">
            <v>0.61598066838661403</v>
          </cell>
        </row>
        <row r="362">
          <cell r="B362" t="str">
            <v>RHES-CHPGFC</v>
          </cell>
          <cell r="C362" t="str">
            <v>VAR_fout</v>
          </cell>
          <cell r="D362" t="str">
            <v>CO2_R</v>
          </cell>
          <cell r="E362"/>
          <cell r="F362"/>
          <cell r="G362"/>
          <cell r="H362"/>
          <cell r="I362"/>
          <cell r="J362"/>
          <cell r="K362"/>
          <cell r="L362"/>
          <cell r="M362">
            <v>0.29640791355176699</v>
          </cell>
          <cell r="N362">
            <v>0.53563146859247301</v>
          </cell>
          <cell r="O362">
            <v>0.55288297494454797</v>
          </cell>
          <cell r="P362">
            <v>1.0894591127950799</v>
          </cell>
        </row>
        <row r="363">
          <cell r="B363" t="str">
            <v>RHES-CHPGFC</v>
          </cell>
          <cell r="C363" t="str">
            <v>VAR_fout</v>
          </cell>
          <cell r="D363" t="str">
            <v>RHES_NKEV_GAS_ELC_CHP</v>
          </cell>
          <cell r="E363"/>
          <cell r="F363"/>
          <cell r="G363"/>
          <cell r="H363"/>
          <cell r="I363"/>
          <cell r="J363"/>
          <cell r="K363"/>
          <cell r="L363"/>
          <cell r="M363">
            <v>2.3649567570619688E-3</v>
          </cell>
          <cell r="N363">
            <v>4.2736553345144078E-3</v>
          </cell>
          <cell r="O363">
            <v>4.4113003320043727E-3</v>
          </cell>
          <cell r="P363">
            <v>8.6924929212373204E-3</v>
          </cell>
        </row>
        <row r="364">
          <cell r="B364" t="str">
            <v>RHES-CHPGFC</v>
          </cell>
          <cell r="C364" t="str">
            <v>VAR_fout</v>
          </cell>
          <cell r="D364" t="str">
            <v>RHES_LTH_CHPNGA</v>
          </cell>
          <cell r="E364"/>
          <cell r="F364"/>
          <cell r="G364"/>
          <cell r="H364"/>
          <cell r="I364"/>
          <cell r="J364"/>
          <cell r="K364"/>
          <cell r="L364"/>
          <cell r="M364">
            <v>2.3649567570619688E-3</v>
          </cell>
          <cell r="N364">
            <v>4.2736553345144078E-3</v>
          </cell>
          <cell r="O364">
            <v>4.4113003320043727E-3</v>
          </cell>
          <cell r="P364">
            <v>8.6924929212373204E-3</v>
          </cell>
        </row>
        <row r="365">
          <cell r="B365" t="str">
            <v>RHES-CHPGFC</v>
          </cell>
          <cell r="C365" t="str">
            <v>VAR_fin</v>
          </cell>
          <cell r="D365" t="str">
            <v>RNGA</v>
          </cell>
          <cell r="E365"/>
          <cell r="F365"/>
          <cell r="G365"/>
          <cell r="H365"/>
          <cell r="I365"/>
          <cell r="J365"/>
          <cell r="K365"/>
          <cell r="L365"/>
          <cell r="M365">
            <v>5.2554594601377123E-3</v>
          </cell>
          <cell r="N365">
            <v>9.4970118544764649E-3</v>
          </cell>
          <cell r="O365">
            <v>9.8028896266763744E-3</v>
          </cell>
          <cell r="P365">
            <v>1.9316650936082928E-2</v>
          </cell>
        </row>
        <row r="366">
          <cell r="B366" t="str">
            <v>RHES-CHPGFC</v>
          </cell>
          <cell r="C366" t="str">
            <v>VAR_ncap</v>
          </cell>
          <cell r="D366" t="str">
            <v>-</v>
          </cell>
          <cell r="E366"/>
          <cell r="F366"/>
          <cell r="G366"/>
          <cell r="H366"/>
          <cell r="I366"/>
          <cell r="J366"/>
          <cell r="K366"/>
          <cell r="L366"/>
          <cell r="M366">
            <v>2.0916402026975001E-4</v>
          </cell>
          <cell r="N366">
            <v>1.71905275161366E-4</v>
          </cell>
          <cell r="O366">
            <v>1.06360134571958E-5</v>
          </cell>
          <cell r="P366">
            <v>3.8437417784614698E-4</v>
          </cell>
        </row>
        <row r="367">
          <cell r="B367" t="str">
            <v>RHES-CHPGFC</v>
          </cell>
          <cell r="C367" t="str">
            <v>VAR_cap</v>
          </cell>
          <cell r="D367" t="str">
            <v>-</v>
          </cell>
          <cell r="E367"/>
          <cell r="F367"/>
          <cell r="G367"/>
          <cell r="H367"/>
          <cell r="I367"/>
          <cell r="J367"/>
          <cell r="K367"/>
          <cell r="L367"/>
          <cell r="M367">
            <v>2.0916402026975001E-4</v>
          </cell>
          <cell r="N367">
            <v>3.8085884296014296E-4</v>
          </cell>
          <cell r="O367">
            <v>3.9091137099388196E-4</v>
          </cell>
          <cell r="P367">
            <v>7.741065757998853E-4</v>
          </cell>
        </row>
        <row r="368">
          <cell r="B368" t="str">
            <v>ITOT-CHPHFC</v>
          </cell>
          <cell r="C368" t="str">
            <v>VAR_fout</v>
          </cell>
          <cell r="D368" t="str">
            <v>ITOT_LTH_CHP</v>
          </cell>
          <cell r="E368"/>
          <cell r="F368"/>
          <cell r="G368"/>
          <cell r="H368"/>
          <cell r="I368">
            <v>0.4383454328251466</v>
          </cell>
          <cell r="J368">
            <v>0.21582071975853137</v>
          </cell>
          <cell r="K368">
            <v>0.197854831299902</v>
          </cell>
          <cell r="L368">
            <v>0.34315844223755976</v>
          </cell>
          <cell r="M368">
            <v>0.85279391695915807</v>
          </cell>
          <cell r="N368">
            <v>0.98355409098616675</v>
          </cell>
          <cell r="O368">
            <v>1.7326453061767038</v>
          </cell>
          <cell r="P368">
            <v>2.0543471208958111</v>
          </cell>
        </row>
        <row r="369">
          <cell r="B369" t="str">
            <v>ITOT-CHPHFC</v>
          </cell>
          <cell r="C369" t="str">
            <v>VAR_fout</v>
          </cell>
          <cell r="D369" t="str">
            <v>ITOT_KEV_HFC_ELC_CHP</v>
          </cell>
          <cell r="E369"/>
          <cell r="F369"/>
          <cell r="G369"/>
          <cell r="H369"/>
          <cell r="I369">
            <v>0.65061765891588386</v>
          </cell>
          <cell r="J369">
            <v>0.35970119959755226</v>
          </cell>
          <cell r="K369">
            <v>0.35973605690891269</v>
          </cell>
          <cell r="L369">
            <v>0.68631688447511918</v>
          </cell>
          <cell r="M369">
            <v>1.7055878339183161</v>
          </cell>
          <cell r="N369">
            <v>1.9671081819723344</v>
          </cell>
          <cell r="O369">
            <v>3.4652906123534075</v>
          </cell>
          <cell r="P369">
            <v>4.1086942417916195</v>
          </cell>
        </row>
        <row r="370">
          <cell r="B370" t="str">
            <v>ITOT-CHPHFC</v>
          </cell>
          <cell r="C370" t="str">
            <v>VAR_fin</v>
          </cell>
          <cell r="D370" t="str">
            <v>IH2</v>
          </cell>
          <cell r="E370"/>
          <cell r="F370"/>
          <cell r="G370"/>
          <cell r="H370"/>
          <cell r="I370">
            <v>1.2452012610830323</v>
          </cell>
          <cell r="J370">
            <v>0.65400218108645891</v>
          </cell>
          <cell r="K370">
            <v>0.62562792505897957</v>
          </cell>
          <cell r="L370">
            <v>1.1438614741251993</v>
          </cell>
          <cell r="M370">
            <v>2.842646389863861</v>
          </cell>
          <cell r="N370">
            <v>3.2785136366205547</v>
          </cell>
          <cell r="O370">
            <v>5.7754843539223435</v>
          </cell>
          <cell r="P370">
            <v>6.8478237363193637</v>
          </cell>
        </row>
        <row r="371">
          <cell r="B371" t="str">
            <v>ITOT-CHPHFC</v>
          </cell>
          <cell r="C371" t="str">
            <v>VAR_ncap</v>
          </cell>
          <cell r="D371" t="str">
            <v>-</v>
          </cell>
          <cell r="E371"/>
          <cell r="F371"/>
          <cell r="G371"/>
          <cell r="H371"/>
          <cell r="I371">
            <v>2.83817375545437E-2</v>
          </cell>
          <cell r="J371">
            <v>6.9029371633872599E-6</v>
          </cell>
          <cell r="K371">
            <v>9.4209560831302191E-3</v>
          </cell>
          <cell r="L371">
            <v>6.5429770737822801E-2</v>
          </cell>
          <cell r="M371">
            <v>7.2154881992568896E-3</v>
          </cell>
          <cell r="N371">
            <v>1.9897347269477499E-2</v>
          </cell>
          <cell r="O371">
            <v>0.10229306558095599</v>
          </cell>
          <cell r="P371">
            <v>3.4242930338794497E-2</v>
          </cell>
        </row>
        <row r="372">
          <cell r="B372" t="str">
            <v>ITOT-CHPHFC</v>
          </cell>
          <cell r="C372" t="str">
            <v>VAR_cap</v>
          </cell>
          <cell r="D372" t="str">
            <v>-</v>
          </cell>
          <cell r="E372"/>
          <cell r="F372"/>
          <cell r="G372"/>
          <cell r="H372"/>
          <cell r="I372">
            <v>2.83817375545437E-2</v>
          </cell>
          <cell r="J372">
            <v>2.8388066378513651E-2</v>
          </cell>
          <cell r="K372">
            <v>3.7808613173347487E-2</v>
          </cell>
          <cell r="L372">
            <v>7.4856035811548982E-2</v>
          </cell>
          <cell r="M372">
            <v>8.08169492151493E-2</v>
          </cell>
          <cell r="N372">
            <v>9.25403545911338E-2</v>
          </cell>
          <cell r="O372">
            <v>0.13870449681828975</v>
          </cell>
          <cell r="P372">
            <v>0.15643058060808898</v>
          </cell>
        </row>
        <row r="373">
          <cell r="B373" t="str">
            <v>G-INTC-TRA</v>
          </cell>
          <cell r="C373" t="str">
            <v>VAR_fout</v>
          </cell>
          <cell r="D373" t="str">
            <v>TRAN_ELC</v>
          </cell>
          <cell r="E373">
            <v>5.0832753044808348</v>
          </cell>
          <cell r="F373">
            <v>12.409936423373132</v>
          </cell>
          <cell r="G373">
            <v>24.648574483683518</v>
          </cell>
          <cell r="H373">
            <v>25.843411314732215</v>
          </cell>
          <cell r="I373">
            <v>25.762456302112511</v>
          </cell>
          <cell r="J373">
            <v>22.127886483687597</v>
          </cell>
          <cell r="K373">
            <v>23.756643502120873</v>
          </cell>
          <cell r="L373">
            <v>23.086029152153461</v>
          </cell>
          <cell r="M373">
            <v>24.177352890797607</v>
          </cell>
          <cell r="N373">
            <v>23.940370499969916</v>
          </cell>
          <cell r="O373">
            <v>23.828300655575497</v>
          </cell>
          <cell r="P373">
            <v>23.876766055818539</v>
          </cell>
        </row>
        <row r="374">
          <cell r="B374" t="str">
            <v>G-INTC-TRA</v>
          </cell>
          <cell r="C374" t="str">
            <v>VAR_fin</v>
          </cell>
          <cell r="D374" t="str">
            <v>ELC3</v>
          </cell>
          <cell r="E374">
            <v>4.6922541272130811</v>
          </cell>
          <cell r="F374">
            <v>12.397778189012072</v>
          </cell>
          <cell r="G374">
            <v>24.634516721480875</v>
          </cell>
          <cell r="H374">
            <v>18.167150528178105</v>
          </cell>
          <cell r="I374">
            <v>25.730236471103556</v>
          </cell>
          <cell r="J374">
            <v>11.552058384866335</v>
          </cell>
          <cell r="K374">
            <v>22.50995745424142</v>
          </cell>
          <cell r="L374">
            <v>10.593272870450178</v>
          </cell>
          <cell r="M374">
            <v>22.928448953271477</v>
          </cell>
          <cell r="N374">
            <v>22.509030272721461</v>
          </cell>
          <cell r="O374">
            <v>22.352310736923748</v>
          </cell>
          <cell r="P374">
            <v>22.304573387407611</v>
          </cell>
        </row>
        <row r="375">
          <cell r="B375" t="str">
            <v>G-INTC-TRA</v>
          </cell>
          <cell r="C375" t="str">
            <v>VAR_fin</v>
          </cell>
          <cell r="D375" t="str">
            <v>ELC5</v>
          </cell>
          <cell r="E375">
            <v>0.3910211772677567</v>
          </cell>
          <cell r="F375">
            <v>1.2158234361064542E-2</v>
          </cell>
          <cell r="G375">
            <v>1.4057762202649416E-2</v>
          </cell>
          <cell r="H375">
            <v>7.6762607865541321</v>
          </cell>
          <cell r="I375">
            <v>3.2219831008931658E-2</v>
          </cell>
          <cell r="J375">
            <v>10.575828098821274</v>
          </cell>
          <cell r="K375">
            <v>1.2466860478794648</v>
          </cell>
          <cell r="L375">
            <v>12.492756281703318</v>
          </cell>
          <cell r="M375">
            <v>1.2489039375261077</v>
          </cell>
          <cell r="N375">
            <v>1.4313402272484401</v>
          </cell>
          <cell r="O375">
            <v>1.4759899186517751</v>
          </cell>
          <cell r="P375">
            <v>1.572192668410932</v>
          </cell>
        </row>
        <row r="376">
          <cell r="B376" t="str">
            <v>G-INTC-TRA</v>
          </cell>
          <cell r="C376" t="str">
            <v>VAR_ncap</v>
          </cell>
          <cell r="D376" t="str">
            <v>-</v>
          </cell>
          <cell r="E376">
            <v>1.07783690729146E-6</v>
          </cell>
          <cell r="F376">
            <v>1.16066534592332E-6</v>
          </cell>
          <cell r="G376">
            <v>1.3557472946784601E-6</v>
          </cell>
          <cell r="H376">
            <v>1.63460411403122E-6</v>
          </cell>
          <cell r="I376">
            <v>2.3700582187843201E-6</v>
          </cell>
          <cell r="J376">
            <v>3.0813045036808802E-6</v>
          </cell>
          <cell r="K376">
            <v>4.0275583356848401E-6</v>
          </cell>
          <cell r="L376">
            <v>5.5741602709686398E-6</v>
          </cell>
          <cell r="M376">
            <v>7.4227726348205402E-6</v>
          </cell>
          <cell r="N376">
            <v>1.6391074782621999E-5</v>
          </cell>
          <cell r="O376">
            <v>2.9145664764635001E-5</v>
          </cell>
        </row>
        <row r="377">
          <cell r="B377" t="str">
            <v>G-INTC-TRA</v>
          </cell>
          <cell r="C377" t="str">
            <v>VAR_cap</v>
          </cell>
          <cell r="D377" t="str">
            <v>-</v>
          </cell>
          <cell r="E377">
            <v>0.86351880627381705</v>
          </cell>
          <cell r="F377">
            <v>0.86351915671865354</v>
          </cell>
          <cell r="G377">
            <v>0.86352104477607028</v>
          </cell>
          <cell r="H377">
            <v>0.86352329986512566</v>
          </cell>
          <cell r="I377">
            <v>0.86352460587986501</v>
          </cell>
          <cell r="J377">
            <v>0.86352759225792564</v>
          </cell>
          <cell r="K377">
            <v>0.86353142571525288</v>
          </cell>
          <cell r="L377">
            <v>0.86353351404853718</v>
          </cell>
          <cell r="M377">
            <v>0.86354317213919429</v>
          </cell>
          <cell r="N377">
            <v>0.863550458245256</v>
          </cell>
          <cell r="O377">
            <v>0.86357693537332236</v>
          </cell>
          <cell r="P377">
            <v>0.86359204772099019</v>
          </cell>
        </row>
        <row r="378">
          <cell r="B378" t="str">
            <v>SCOM-SWHSTG-CHPBIO</v>
          </cell>
          <cell r="C378" t="str">
            <v>VAR_fout</v>
          </cell>
          <cell r="D378" t="str">
            <v>AUX_SCOM-CHPBIO_OUT</v>
          </cell>
          <cell r="E378">
            <v>1.7809981682432885E-5</v>
          </cell>
          <cell r="F378">
            <v>6.2406924782604485E-3</v>
          </cell>
          <cell r="G378">
            <v>4.1982992125133629E-2</v>
          </cell>
          <cell r="H378">
            <v>1.2449794888250482E-2</v>
          </cell>
          <cell r="I378">
            <v>4.34831063015697E-2</v>
          </cell>
          <cell r="J378">
            <v>6.5595479982555813E-2</v>
          </cell>
          <cell r="K378">
            <v>0.12671960425055551</v>
          </cell>
          <cell r="L378">
            <v>0.18854698261540426</v>
          </cell>
          <cell r="M378">
            <v>0.17917853780714832</v>
          </cell>
          <cell r="N378">
            <v>0.17867820007442647</v>
          </cell>
          <cell r="O378">
            <v>0.22776023547266488</v>
          </cell>
          <cell r="P378">
            <v>0.35366704027196066</v>
          </cell>
        </row>
        <row r="379">
          <cell r="B379" t="str">
            <v>SCOM-SWHSTG-CHPBIO</v>
          </cell>
          <cell r="C379" t="str">
            <v>VAR_fout</v>
          </cell>
          <cell r="D379" t="str">
            <v>SCOM_LTH_CHPBIO</v>
          </cell>
          <cell r="E379">
            <v>1.7809981682432919E-5</v>
          </cell>
          <cell r="F379">
            <v>6.2457934274125467E-3</v>
          </cell>
          <cell r="G379">
            <v>4.2036610250453105E-2</v>
          </cell>
          <cell r="H379">
            <v>1.2449794888250461E-2</v>
          </cell>
          <cell r="I379">
            <v>4.3531474606688172E-2</v>
          </cell>
          <cell r="J379">
            <v>6.5595479982555757E-2</v>
          </cell>
          <cell r="K379">
            <v>0.12684347483144554</v>
          </cell>
          <cell r="L379">
            <v>0.1885469826154042</v>
          </cell>
          <cell r="M379">
            <v>0.17917853780714829</v>
          </cell>
          <cell r="N379">
            <v>0.17867820007442647</v>
          </cell>
          <cell r="O379">
            <v>0.22776023547266486</v>
          </cell>
          <cell r="P379">
            <v>0.35366704027196061</v>
          </cell>
        </row>
        <row r="380">
          <cell r="B380" t="str">
            <v>SCOM-SWHSTG-CHPBIO</v>
          </cell>
          <cell r="C380" t="str">
            <v>VAR_fin</v>
          </cell>
          <cell r="D380" t="str">
            <v>SCOM_LTH_CHPBIO</v>
          </cell>
          <cell r="E380">
            <v>2.9093126163380284E-5</v>
          </cell>
          <cell r="F380">
            <v>7.6053943331243134E-3</v>
          </cell>
          <cell r="G380">
            <v>5.0050689126145402E-2</v>
          </cell>
          <cell r="H380">
            <v>1.4317214561579687E-2</v>
          </cell>
          <cell r="I380">
            <v>4.8375410612967358E-2</v>
          </cell>
          <cell r="J380">
            <v>7.053987966921893E-2</v>
          </cell>
          <cell r="K380">
            <v>0.13213572511046778</v>
          </cell>
          <cell r="L380">
            <v>0.19045860308581986</v>
          </cell>
          <cell r="M380">
            <v>0.18099552752204187</v>
          </cell>
          <cell r="N380">
            <v>0.18049013587226689</v>
          </cell>
          <cell r="O380">
            <v>0.23006794940623695</v>
          </cell>
          <cell r="P380">
            <v>0.3572465401120809</v>
          </cell>
        </row>
        <row r="381">
          <cell r="B381" t="str">
            <v>SCOM-SWHSTG-CHPBIO</v>
          </cell>
          <cell r="C381" t="str">
            <v>VAR_fin</v>
          </cell>
          <cell r="D381" t="str">
            <v>AUX_SCOM-CHPBIO_IN</v>
          </cell>
          <cell r="E381">
            <v>2.9093126163380284E-5</v>
          </cell>
          <cell r="F381">
            <v>7.6053943331243134E-3</v>
          </cell>
          <cell r="G381">
            <v>5.0050689126145402E-2</v>
          </cell>
          <cell r="H381">
            <v>1.4317214561579687E-2</v>
          </cell>
          <cell r="I381">
            <v>4.8375410612967358E-2</v>
          </cell>
          <cell r="J381">
            <v>7.053987966921893E-2</v>
          </cell>
          <cell r="K381">
            <v>0.13213572511046778</v>
          </cell>
          <cell r="L381">
            <v>0.19045860308581986</v>
          </cell>
          <cell r="M381">
            <v>0.18099552752204187</v>
          </cell>
          <cell r="N381">
            <v>0.18049013587226689</v>
          </cell>
          <cell r="O381">
            <v>0.23006794940623695</v>
          </cell>
          <cell r="P381">
            <v>0.3572465401120809</v>
          </cell>
        </row>
        <row r="382">
          <cell r="B382" t="str">
            <v>SCOM-SWHSTG-CHPBIO</v>
          </cell>
          <cell r="C382" t="str">
            <v>VAR_ncap</v>
          </cell>
          <cell r="D382" t="str">
            <v>-</v>
          </cell>
          <cell r="E382">
            <v>8.6482559593898493E-3</v>
          </cell>
          <cell r="F382">
            <v>1.17026967199E-4</v>
          </cell>
          <cell r="G382">
            <v>1.0947753271672601E-4</v>
          </cell>
          <cell r="H382">
            <v>7.1347773407660296E-5</v>
          </cell>
          <cell r="I382">
            <v>1.21421655224011E-2</v>
          </cell>
          <cell r="J382">
            <v>4.9532450938356599E-3</v>
          </cell>
          <cell r="K382">
            <v>1.31641977051187E-2</v>
          </cell>
          <cell r="L382">
            <v>1.6871492159893701E-2</v>
          </cell>
          <cell r="M382">
            <v>1.4081725686337101E-3</v>
          </cell>
          <cell r="N382">
            <v>1.3438043771429001E-2</v>
          </cell>
          <cell r="O382">
            <v>1.7280556189782099E-2</v>
          </cell>
          <cell r="P382">
            <v>2.0670765025919999E-2</v>
          </cell>
        </row>
        <row r="383">
          <cell r="B383" t="str">
            <v>SCOM-SWHSTG-CHPBIO</v>
          </cell>
          <cell r="C383" t="str">
            <v>VAR_cap</v>
          </cell>
          <cell r="D383" t="str">
            <v>-</v>
          </cell>
          <cell r="E383">
            <v>8.6482559593898493E-3</v>
          </cell>
          <cell r="F383">
            <v>8.7505610498135409E-3</v>
          </cell>
          <cell r="G383">
            <v>8.8118728431885365E-3</v>
          </cell>
          <cell r="H383">
            <v>8.7698238099481393E-3</v>
          </cell>
          <cell r="I383">
            <v>1.4464982880038659E-2</v>
          </cell>
          <cell r="J383">
            <v>1.7109566499586348E-2</v>
          </cell>
          <cell r="K383">
            <v>3.017367048555861E-2</v>
          </cell>
          <cell r="L383">
            <v>3.4877756223954295E-2</v>
          </cell>
          <cell r="M383">
            <v>3.0301842593639258E-2</v>
          </cell>
          <cell r="N383">
            <v>3.1577419590944948E-2</v>
          </cell>
          <cell r="O383">
            <v>3.4472711195421425E-2</v>
          </cell>
          <cell r="P383">
            <v>5.1265803045176424E-2</v>
          </cell>
        </row>
        <row r="384">
          <cell r="B384" t="str">
            <v>SCOM-SWHSTG-CHPHFC</v>
          </cell>
          <cell r="C384" t="str">
            <v>VAR_fout</v>
          </cell>
          <cell r="D384" t="str">
            <v>AUX_SCOM-CHPHFC_OUT</v>
          </cell>
          <cell r="E384">
            <v>6.9065406554916255E-5</v>
          </cell>
          <cell r="F384">
            <v>1.4006271259901131E-4</v>
          </cell>
          <cell r="G384">
            <v>1.4306405645005013E-4</v>
          </cell>
          <cell r="H384">
            <v>8.5456795710082689E-3</v>
          </cell>
          <cell r="I384">
            <v>3.219070431976697E-2</v>
          </cell>
          <cell r="J384">
            <v>3.1568403035026303E-2</v>
          </cell>
          <cell r="K384">
            <v>3.2867416955723656E-2</v>
          </cell>
          <cell r="L384">
            <v>9.2064561936397893E-2</v>
          </cell>
          <cell r="M384">
            <v>0.18362818442087248</v>
          </cell>
          <cell r="N384">
            <v>0.12070148909250775</v>
          </cell>
          <cell r="O384">
            <v>0.21856951287721488</v>
          </cell>
          <cell r="P384">
            <v>0.5621074675782578</v>
          </cell>
        </row>
        <row r="385">
          <cell r="B385" t="str">
            <v>SCOM-SWHSTG-CHPHFC</v>
          </cell>
          <cell r="C385" t="str">
            <v>VAR_fout</v>
          </cell>
          <cell r="D385" t="str">
            <v>SCOM_LTH_CHPHFC</v>
          </cell>
          <cell r="E385">
            <v>6.906540655491635E-5</v>
          </cell>
          <cell r="F385">
            <v>1.4017719553140398E-4</v>
          </cell>
          <cell r="G385">
            <v>1.4324676916582281E-4</v>
          </cell>
          <cell r="H385">
            <v>8.5456795710082585E-3</v>
          </cell>
          <cell r="I385">
            <v>3.2226511554827864E-2</v>
          </cell>
          <cell r="J385">
            <v>3.1568403035026268E-2</v>
          </cell>
          <cell r="K385">
            <v>3.2899545418045961E-2</v>
          </cell>
          <cell r="L385">
            <v>9.2064561936397879E-2</v>
          </cell>
          <cell r="M385">
            <v>0.18362818442087248</v>
          </cell>
          <cell r="N385">
            <v>0.12070148909250772</v>
          </cell>
          <cell r="O385">
            <v>0.21856951287721482</v>
          </cell>
          <cell r="P385">
            <v>0.5621074675782578</v>
          </cell>
        </row>
        <row r="386">
          <cell r="B386" t="str">
            <v>SCOM-SWHSTG-CHPHFC</v>
          </cell>
          <cell r="C386" t="str">
            <v>VAR_fin</v>
          </cell>
          <cell r="D386" t="str">
            <v>SCOM_LTH_CHPHFC</v>
          </cell>
          <cell r="E386">
            <v>6.906540655491635E-5</v>
          </cell>
          <cell r="F386">
            <v>1.4017719553140398E-4</v>
          </cell>
          <cell r="G386">
            <v>1.4324676916582281E-4</v>
          </cell>
          <cell r="H386">
            <v>9.8297256910247956E-3</v>
          </cell>
          <cell r="I386">
            <v>3.581434055563093E-2</v>
          </cell>
          <cell r="J386">
            <v>3.3951624886959617E-2</v>
          </cell>
          <cell r="K386">
            <v>3.4277465304807082E-2</v>
          </cell>
          <cell r="L386">
            <v>9.3001612500807559E-2</v>
          </cell>
          <cell r="M386">
            <v>0.1854901200610104</v>
          </cell>
          <cell r="N386">
            <v>0.12192780154781686</v>
          </cell>
          <cell r="O386">
            <v>0.22078439122892771</v>
          </cell>
          <cell r="P386">
            <v>0.56779242628084414</v>
          </cell>
        </row>
        <row r="387">
          <cell r="B387" t="str">
            <v>SCOM-SWHSTG-CHPHFC</v>
          </cell>
          <cell r="C387" t="str">
            <v>VAR_fin</v>
          </cell>
          <cell r="D387" t="str">
            <v>AUX_SCOM-CHPHFC_IN</v>
          </cell>
          <cell r="E387">
            <v>6.906540655491635E-5</v>
          </cell>
          <cell r="F387">
            <v>1.4017719553140398E-4</v>
          </cell>
          <cell r="G387">
            <v>1.4324676916582281E-4</v>
          </cell>
          <cell r="H387">
            <v>9.8297256910247956E-3</v>
          </cell>
          <cell r="I387">
            <v>3.581434055563093E-2</v>
          </cell>
          <cell r="J387">
            <v>3.3951624886959617E-2</v>
          </cell>
          <cell r="K387">
            <v>3.4277465304807082E-2</v>
          </cell>
          <cell r="L387">
            <v>9.3001612500807559E-2</v>
          </cell>
          <cell r="M387">
            <v>0.1854901200610104</v>
          </cell>
          <cell r="N387">
            <v>0.12192780154781686</v>
          </cell>
          <cell r="O387">
            <v>0.22078439122892771</v>
          </cell>
          <cell r="P387">
            <v>0.56779242628084414</v>
          </cell>
        </row>
        <row r="388">
          <cell r="B388" t="str">
            <v>SCOM-SWHSTG-CHPHFC</v>
          </cell>
          <cell r="C388" t="str">
            <v>VAR_ncap</v>
          </cell>
          <cell r="D388" t="str">
            <v>-</v>
          </cell>
          <cell r="E388">
            <v>4.5678046351661297E-3</v>
          </cell>
          <cell r="F388">
            <v>1.23556251088852E-4</v>
          </cell>
          <cell r="G388">
            <v>2.3542674242435599E-4</v>
          </cell>
          <cell r="H388">
            <v>2.8810008316462499E-4</v>
          </cell>
          <cell r="I388">
            <v>6.12713304244246E-3</v>
          </cell>
          <cell r="J388">
            <v>1.80497357310849E-3</v>
          </cell>
          <cell r="K388">
            <v>4.5003614478430202E-4</v>
          </cell>
          <cell r="L388">
            <v>1.09780132259749E-2</v>
          </cell>
          <cell r="M388">
            <v>3.58055380378858E-4</v>
          </cell>
          <cell r="N388">
            <v>4.9780323140203404E-3</v>
          </cell>
          <cell r="O388">
            <v>7.5483085995662804E-3</v>
          </cell>
          <cell r="P388">
            <v>2.3771240628105501E-2</v>
          </cell>
        </row>
        <row r="389">
          <cell r="B389" t="str">
            <v>SCOM-SWHSTG-CHPHFC</v>
          </cell>
          <cell r="C389" t="str">
            <v>VAR_cap</v>
          </cell>
          <cell r="D389" t="str">
            <v>-</v>
          </cell>
          <cell r="E389">
            <v>4.5678046351661297E-3</v>
          </cell>
          <cell r="F389">
            <v>4.6758784760872509E-3</v>
          </cell>
          <cell r="G389">
            <v>4.8740031940825209E-3</v>
          </cell>
          <cell r="H389">
            <v>5.1073645117919019E-3</v>
          </cell>
          <cell r="I389">
            <v>7.7460621140534262E-3</v>
          </cell>
          <cell r="J389">
            <v>8.1138678951810529E-3</v>
          </cell>
          <cell r="K389">
            <v>8.2932802236614176E-3</v>
          </cell>
          <cell r="L389">
            <v>1.312798951609213E-2</v>
          </cell>
          <cell r="M389">
            <v>1.1846019306456408E-2</v>
          </cell>
          <cell r="N389">
            <v>1.6173315746618757E-2</v>
          </cell>
          <cell r="O389">
            <v>1.4523478045375177E-2</v>
          </cell>
          <cell r="P389">
            <v>3.6174547959613203E-2</v>
          </cell>
        </row>
        <row r="390">
          <cell r="B390" t="str">
            <v>D-IHFO</v>
          </cell>
          <cell r="C390" t="str">
            <v>VAR_fout</v>
          </cell>
          <cell r="D390" t="str">
            <v>CO2</v>
          </cell>
          <cell r="E390">
            <v>213.78367285441001</v>
          </cell>
          <cell r="F390">
            <v>212.862310318982</v>
          </cell>
          <cell r="G390">
            <v>0.634055635309417</v>
          </cell>
          <cell r="H390">
            <v>0.13794188725638801</v>
          </cell>
          <cell r="I390">
            <v>0.18074544858632599</v>
          </cell>
          <cell r="J390">
            <v>0.37130312805063798</v>
          </cell>
          <cell r="K390">
            <v>0.16787338941914101</v>
          </cell>
          <cell r="L390"/>
        </row>
        <row r="391">
          <cell r="B391" t="str">
            <v>D-IHFO</v>
          </cell>
          <cell r="C391" t="str">
            <v>VAR_fout</v>
          </cell>
          <cell r="D391" t="str">
            <v>IHFO</v>
          </cell>
          <cell r="E391">
            <v>2.730042030847148</v>
          </cell>
          <cell r="F391">
            <v>2.7182761255570789</v>
          </cell>
          <cell r="G391">
            <v>8.0969632113535254E-3</v>
          </cell>
          <cell r="H391">
            <v>1.7615337270436907E-3</v>
          </cell>
          <cell r="I391">
            <v>2.3081401162989307E-3</v>
          </cell>
          <cell r="J391">
            <v>4.741583546717278E-3</v>
          </cell>
          <cell r="K391">
            <v>2.1437624438566749E-3</v>
          </cell>
          <cell r="L391"/>
        </row>
        <row r="392">
          <cell r="B392" t="str">
            <v>D-IHFO</v>
          </cell>
          <cell r="C392" t="str">
            <v>VAR_fin</v>
          </cell>
          <cell r="D392" t="str">
            <v>HFO</v>
          </cell>
          <cell r="E392">
            <v>2.7764113357715652</v>
          </cell>
          <cell r="F392">
            <v>2.7644455885582047</v>
          </cell>
          <cell r="G392">
            <v>8.2344887702521692E-3</v>
          </cell>
          <cell r="H392">
            <v>1.7914530812517958E-3</v>
          </cell>
          <cell r="I392">
            <v>2.3473434881341004E-3</v>
          </cell>
          <cell r="J392">
            <v>4.8221185461121792E-3</v>
          </cell>
          <cell r="K392">
            <v>2.1801738885602784E-3</v>
          </cell>
          <cell r="L392"/>
        </row>
        <row r="393">
          <cell r="B393" t="str">
            <v>RHNM-CHPNGA</v>
          </cell>
          <cell r="C393" t="str">
            <v>VAR_fout</v>
          </cell>
          <cell r="D393" t="str">
            <v>CO2_R</v>
          </cell>
          <cell r="E393"/>
          <cell r="F393">
            <v>0.81718717661620399</v>
          </cell>
          <cell r="G393">
            <v>3.6464141007626298</v>
          </cell>
          <cell r="H393">
            <v>3.0159860436939399</v>
          </cell>
          <cell r="I393">
            <v>3.39883942538835</v>
          </cell>
          <cell r="J393">
            <v>1.9349826019894401</v>
          </cell>
          <cell r="K393"/>
          <cell r="L393"/>
          <cell r="M393">
            <v>0.69173707931887696</v>
          </cell>
          <cell r="N393">
            <v>1.49066065942642</v>
          </cell>
          <cell r="O393">
            <v>0.683243709779908</v>
          </cell>
          <cell r="P393">
            <v>1.3001174389374299</v>
          </cell>
        </row>
        <row r="394">
          <cell r="B394" t="str">
            <v>RHNM-CHPNGA</v>
          </cell>
          <cell r="C394" t="str">
            <v>VAR_fout</v>
          </cell>
          <cell r="D394" t="str">
            <v>RHNM_NKEV_GAS_ELC_CHP</v>
          </cell>
          <cell r="E394"/>
          <cell r="F394">
            <v>4.158791004234488E-3</v>
          </cell>
          <cell r="G394">
            <v>1.6691599114295349E-2</v>
          </cell>
          <cell r="H394">
            <v>1.5041606413265685E-2</v>
          </cell>
          <cell r="I394">
            <v>1.6695965342011815E-2</v>
          </cell>
          <cell r="J394">
            <v>1.0041374047465353E-2</v>
          </cell>
          <cell r="L394"/>
          <cell r="M394">
            <v>3.410647195651908E-3</v>
          </cell>
          <cell r="N394">
            <v>7.7898401525917857E-3</v>
          </cell>
          <cell r="O394">
            <v>3.166396579978862E-3</v>
          </cell>
          <cell r="P394">
            <v>5.9352500862321052E-3</v>
          </cell>
        </row>
        <row r="395">
          <cell r="B395" t="str">
            <v>RHNM-CHPNGA</v>
          </cell>
          <cell r="C395" t="str">
            <v>VAR_fout</v>
          </cell>
          <cell r="D395" t="str">
            <v>RHNM_LTH_CHPNGA</v>
          </cell>
          <cell r="E395"/>
          <cell r="F395">
            <v>8.9466589006037649E-3</v>
          </cell>
          <cell r="G395">
            <v>3.5378515823862824E-2</v>
          </cell>
          <cell r="H395">
            <v>3.1085986587415779E-2</v>
          </cell>
          <cell r="I395">
            <v>3.4085315037025263E-2</v>
          </cell>
          <cell r="J395">
            <v>2.0247360784233392E-2</v>
          </cell>
          <cell r="K395"/>
          <cell r="L395"/>
          <cell r="M395">
            <v>6.7112735140247171E-3</v>
          </cell>
          <cell r="N395">
            <v>1.532839513897092E-2</v>
          </cell>
          <cell r="O395">
            <v>6.2306513347971104E-3</v>
          </cell>
          <cell r="P395">
            <v>1.1679040492263162E-2</v>
          </cell>
        </row>
        <row r="396">
          <cell r="B396" t="str">
            <v>RHNM-CHPNGA</v>
          </cell>
          <cell r="C396" t="str">
            <v>VAR_fin</v>
          </cell>
          <cell r="D396" t="str">
            <v>RNGA</v>
          </cell>
          <cell r="E396"/>
          <cell r="F396">
            <v>1.4489134337166731E-2</v>
          </cell>
          <cell r="G396">
            <v>6.4652732283025288E-2</v>
          </cell>
          <cell r="H396">
            <v>5.3474929852729412E-2</v>
          </cell>
          <cell r="I396">
            <v>6.026311037922618E-2</v>
          </cell>
          <cell r="J396">
            <v>3.4308202162933316E-2</v>
          </cell>
          <cell r="K396"/>
          <cell r="L396"/>
          <cell r="M396">
            <v>1.2264841831894979E-2</v>
          </cell>
          <cell r="N396">
            <v>2.6430153535929379E-2</v>
          </cell>
          <cell r="O396">
            <v>1.2114250173402627E-2</v>
          </cell>
          <cell r="P396">
            <v>2.3051727640734512E-2</v>
          </cell>
        </row>
        <row r="397">
          <cell r="B397" t="str">
            <v>RHNM-CHPNGA</v>
          </cell>
          <cell r="C397" t="str">
            <v>VAR_ncap</v>
          </cell>
          <cell r="D397" t="str">
            <v>-</v>
          </cell>
          <cell r="E397"/>
          <cell r="F397">
            <v>1.2369855458276399E-3</v>
          </cell>
          <cell r="G397"/>
          <cell r="H397"/>
          <cell r="I397"/>
          <cell r="J397"/>
          <cell r="K397"/>
          <cell r="L397"/>
          <cell r="M397">
            <v>4.7450595395879798E-4</v>
          </cell>
          <cell r="N397">
            <v>3.36565349554595E-4</v>
          </cell>
          <cell r="O397">
            <v>4.7037872360708997E-6</v>
          </cell>
          <cell r="P397">
            <v>4.6770607434894901E-4</v>
          </cell>
        </row>
        <row r="398">
          <cell r="B398" t="str">
            <v>RHNM-CHPNGA</v>
          </cell>
          <cell r="C398" t="str">
            <v>VAR_cap</v>
          </cell>
          <cell r="D398" t="str">
            <v>-</v>
          </cell>
          <cell r="E398"/>
          <cell r="F398">
            <v>1.2369855458276399E-3</v>
          </cell>
          <cell r="G398">
            <v>1.2368953602208987E-3</v>
          </cell>
          <cell r="H398">
            <v>1.2368273718006834E-3</v>
          </cell>
          <cell r="I398">
            <v>1.2368084577494293E-3</v>
          </cell>
          <cell r="J398">
            <v>7.6008219199686657E-4</v>
          </cell>
          <cell r="K398"/>
          <cell r="L398"/>
          <cell r="M398">
            <v>4.7450595395879798E-4</v>
          </cell>
          <cell r="N398">
            <v>8.1053206000633701E-4</v>
          </cell>
          <cell r="O398">
            <v>8.1333347385130635E-4</v>
          </cell>
          <cell r="P398">
            <v>1.2776714915946744E-3</v>
          </cell>
        </row>
        <row r="399">
          <cell r="B399" t="str">
            <v>G-INTC-EXP00-DE</v>
          </cell>
          <cell r="C399" t="str">
            <v>VAR_fout</v>
          </cell>
          <cell r="D399" t="str">
            <v>ELC_E-DE</v>
          </cell>
          <cell r="E399">
            <v>26.493007620813959</v>
          </cell>
          <cell r="F399">
            <v>1.5867480087792777E-3</v>
          </cell>
          <cell r="G399">
            <v>1.7724801066730203E-3</v>
          </cell>
          <cell r="H399">
            <v>1.908212454413807E-3</v>
          </cell>
          <cell r="I399">
            <v>2.9084905872453861E-3</v>
          </cell>
          <cell r="J399">
            <v>3.2874890450627671E-3</v>
          </cell>
          <cell r="K399">
            <v>4.7312231613825667E-3</v>
          </cell>
          <cell r="L399">
            <v>2.8999138803445616E-3</v>
          </cell>
          <cell r="M399">
            <v>1.9724961882676695E-3</v>
          </cell>
          <cell r="N399">
            <v>2.0370943738097854E-3</v>
          </cell>
          <cell r="O399">
            <v>2.0431182242428617E-3</v>
          </cell>
          <cell r="P399">
            <v>4.8639281921777919E-3</v>
          </cell>
        </row>
        <row r="400">
          <cell r="B400" t="str">
            <v>G-INTC-EXP00-DE</v>
          </cell>
          <cell r="C400" t="str">
            <v>VAR_fin</v>
          </cell>
          <cell r="D400" t="str">
            <v>ELC</v>
          </cell>
          <cell r="E400">
            <v>26.493007620813959</v>
          </cell>
          <cell r="F400">
            <v>1.5867480087792777E-3</v>
          </cell>
          <cell r="G400">
            <v>1.7724801066730203E-3</v>
          </cell>
          <cell r="H400">
            <v>1.908212454413807E-3</v>
          </cell>
          <cell r="I400">
            <v>2.9084905872453861E-3</v>
          </cell>
          <cell r="J400">
            <v>3.2874890450627671E-3</v>
          </cell>
          <cell r="K400">
            <v>4.7312231613825667E-3</v>
          </cell>
          <cell r="L400">
            <v>2.8999138803445616E-3</v>
          </cell>
          <cell r="M400">
            <v>1.9724961882676695E-3</v>
          </cell>
          <cell r="N400">
            <v>2.0370943738097854E-3</v>
          </cell>
          <cell r="O400">
            <v>2.0431182242428617E-3</v>
          </cell>
          <cell r="P400">
            <v>4.8639281921777919E-3</v>
          </cell>
        </row>
        <row r="401">
          <cell r="B401" t="str">
            <v>G-INTC-EXP00-DE</v>
          </cell>
          <cell r="C401" t="str">
            <v>VAR_ncap</v>
          </cell>
          <cell r="D401" t="str">
            <v>-</v>
          </cell>
          <cell r="E401">
            <v>1.18240247872432E-5</v>
          </cell>
          <cell r="F401">
            <v>1.07577824791E-5</v>
          </cell>
          <cell r="G401">
            <v>2.2820113298359201E-5</v>
          </cell>
          <cell r="H401">
            <v>1.8377550083368501E-5</v>
          </cell>
          <cell r="I401">
            <v>1.1651623070796399E-3</v>
          </cell>
          <cell r="J401">
            <v>4.9794303391985297E-4</v>
          </cell>
          <cell r="K401">
            <v>3.8220170120252402E-5</v>
          </cell>
          <cell r="L401">
            <v>1.7249725388636399E-5</v>
          </cell>
          <cell r="M401">
            <v>5.2121808370955601E-5</v>
          </cell>
          <cell r="N401">
            <v>2.4399832381117701E-3</v>
          </cell>
        </row>
        <row r="402">
          <cell r="B402" t="str">
            <v>G-INTC-EXP00-DE</v>
          </cell>
          <cell r="C402" t="str">
            <v>VAR_cap</v>
          </cell>
          <cell r="D402" t="str">
            <v>-</v>
          </cell>
          <cell r="E402">
            <v>4.0285838084003025</v>
          </cell>
          <cell r="F402">
            <v>1.9654603731700249E-3</v>
          </cell>
          <cell r="G402">
            <v>1.9505376355297699E-3</v>
          </cell>
          <cell r="H402">
            <v>1.9376388535583544E-3</v>
          </cell>
          <cell r="I402">
            <v>1.9635556339299143E-3</v>
          </cell>
          <cell r="J402">
            <v>1.9681377943774336E-3</v>
          </cell>
          <cell r="K402">
            <v>2.9929470054765872E-3</v>
          </cell>
          <cell r="L402">
            <v>2.3461314580477399E-3</v>
          </cell>
          <cell r="M402">
            <v>1.7113547270333652E-3</v>
          </cell>
          <cell r="N402">
            <v>1.7255871729154099E-3</v>
          </cell>
          <cell r="O402">
            <v>1.7394090270431907E-3</v>
          </cell>
          <cell r="P402">
            <v>4.1543544362131314E-3</v>
          </cell>
        </row>
        <row r="403">
          <cell r="B403" t="str">
            <v>ENUC_BMGL_EXT</v>
          </cell>
          <cell r="C403" t="str">
            <v>VAR_fout</v>
          </cell>
          <cell r="D403" t="str">
            <v>ELC</v>
          </cell>
          <cell r="E403"/>
          <cell r="F403">
            <v>33.159590668734488</v>
          </cell>
          <cell r="G403">
            <v>32.050376026605406</v>
          </cell>
          <cell r="H403">
            <v>33.159573896374226</v>
          </cell>
          <cell r="I403">
            <v>33.159557094618158</v>
          </cell>
          <cell r="J403">
            <v>33.159612070253523</v>
          </cell>
          <cell r="K403"/>
          <cell r="L403"/>
        </row>
        <row r="404">
          <cell r="B404" t="str">
            <v>ENUC_BMGL_EXT</v>
          </cell>
          <cell r="C404" t="str">
            <v>VAR_fin</v>
          </cell>
          <cell r="D404" t="str">
            <v>URN</v>
          </cell>
          <cell r="E404"/>
          <cell r="F404">
            <v>100.00499870405443</v>
          </cell>
          <cell r="G404">
            <v>96.65975207671184</v>
          </cell>
          <cell r="H404">
            <v>100.00494812080434</v>
          </cell>
          <cell r="I404">
            <v>100.00489744890028</v>
          </cell>
          <cell r="J404">
            <v>100.00506324824322</v>
          </cell>
          <cell r="K404"/>
          <cell r="L404"/>
        </row>
        <row r="405">
          <cell r="B405" t="str">
            <v>ENUC_BMGL_EXT</v>
          </cell>
          <cell r="C405" t="str">
            <v>VAR_ncap</v>
          </cell>
          <cell r="D405" t="str">
            <v>-</v>
          </cell>
          <cell r="E405"/>
          <cell r="F405">
            <v>1.23259260642986</v>
          </cell>
          <cell r="G405"/>
          <cell r="H405"/>
          <cell r="I405"/>
          <cell r="J405"/>
          <cell r="K405"/>
          <cell r="L405"/>
        </row>
        <row r="406">
          <cell r="B406" t="str">
            <v>ENUC_BMGL_EXT</v>
          </cell>
          <cell r="C406" t="str">
            <v>VAR_cap</v>
          </cell>
          <cell r="D406" t="str">
            <v>-</v>
          </cell>
          <cell r="E406"/>
          <cell r="F406">
            <v>1.23259260642986</v>
          </cell>
          <cell r="G406">
            <v>1.23259235661294</v>
          </cell>
          <cell r="H406">
            <v>1.2325922475367195</v>
          </cell>
          <cell r="I406">
            <v>1.2325922181308846</v>
          </cell>
          <cell r="J406">
            <v>1.2325921606202452</v>
          </cell>
          <cell r="K406"/>
          <cell r="L406"/>
        </row>
        <row r="407">
          <cell r="B407" t="str">
            <v>CEN-EBAT</v>
          </cell>
          <cell r="C407" t="str">
            <v>VAR_fout</v>
          </cell>
          <cell r="D407" t="str">
            <v>ELC13</v>
          </cell>
          <cell r="E407">
            <v>1.4494457383616981E-2</v>
          </cell>
          <cell r="F407">
            <v>1.1318464911724073E-2</v>
          </cell>
          <cell r="G407">
            <v>1.162270833050604E-2</v>
          </cell>
          <cell r="H407">
            <v>1.2833691797383301E-2</v>
          </cell>
          <cell r="I407">
            <v>0.53573176616495521</v>
          </cell>
          <cell r="J407">
            <v>0.57859399837107839</v>
          </cell>
          <cell r="K407">
            <v>0.57947047737752366</v>
          </cell>
          <cell r="L407">
            <v>0.58018453477038778</v>
          </cell>
          <cell r="M407">
            <v>1.0604748574251268</v>
          </cell>
          <cell r="N407">
            <v>1.0621509473654485</v>
          </cell>
          <cell r="O407">
            <v>1.0626100597405805</v>
          </cell>
          <cell r="P407">
            <v>1.1913463674193498</v>
          </cell>
        </row>
        <row r="408">
          <cell r="B408" t="str">
            <v>CEN-EBAT</v>
          </cell>
          <cell r="C408" t="str">
            <v>VAR_fout</v>
          </cell>
          <cell r="D408" t="str">
            <v>AUX_CEN-EBAT_OUT</v>
          </cell>
          <cell r="E408">
            <v>1.4494457383616937E-2</v>
          </cell>
          <cell r="F408">
            <v>1.1318464911724044E-2</v>
          </cell>
          <cell r="G408">
            <v>1.1622708330506007E-2</v>
          </cell>
          <cell r="H408">
            <v>1.2833691797383254E-2</v>
          </cell>
          <cell r="I408">
            <v>0.53573176616495333</v>
          </cell>
          <cell r="J408">
            <v>0.57859399837107639</v>
          </cell>
          <cell r="K408">
            <v>0.57947047737752189</v>
          </cell>
          <cell r="L408">
            <v>0.58018453477038634</v>
          </cell>
          <cell r="M408">
            <v>1.0604748574251237</v>
          </cell>
          <cell r="N408">
            <v>1.0621509473654454</v>
          </cell>
          <cell r="O408">
            <v>1.062610059740577</v>
          </cell>
          <cell r="P408">
            <v>1.1913463674193465</v>
          </cell>
        </row>
        <row r="409">
          <cell r="B409" t="str">
            <v>CEN-EBAT</v>
          </cell>
          <cell r="C409" t="str">
            <v>VAR_fin</v>
          </cell>
          <cell r="D409" t="str">
            <v>AUX_CEN-EBAT_IN</v>
          </cell>
          <cell r="E409">
            <v>1.6726659185743242E-2</v>
          </cell>
          <cell r="F409">
            <v>1.3063627661389193E-2</v>
          </cell>
          <cell r="G409">
            <v>1.3411621189407938E-2</v>
          </cell>
          <cell r="H409">
            <v>1.4808309202327617E-2</v>
          </cell>
          <cell r="I409">
            <v>0.61789290319174273</v>
          </cell>
          <cell r="J409">
            <v>0.66733064543266918</v>
          </cell>
          <cell r="K409">
            <v>0.66833895412653921</v>
          </cell>
          <cell r="L409">
            <v>0.66916264535652115</v>
          </cell>
          <cell r="M409">
            <v>1.2231054477667636</v>
          </cell>
          <cell r="N409">
            <v>1.2250385727898989</v>
          </cell>
          <cell r="O409">
            <v>1.2255680837652609</v>
          </cell>
          <cell r="P409">
            <v>1.3740470569592347</v>
          </cell>
        </row>
        <row r="410">
          <cell r="B410" t="str">
            <v>CEN-EBAT</v>
          </cell>
          <cell r="C410" t="str">
            <v>VAR_fin</v>
          </cell>
          <cell r="D410" t="str">
            <v>ELC13</v>
          </cell>
          <cell r="E410">
            <v>1.6726659185743242E-2</v>
          </cell>
          <cell r="F410">
            <v>1.3063627661389193E-2</v>
          </cell>
          <cell r="G410">
            <v>1.3411621189407938E-2</v>
          </cell>
          <cell r="H410">
            <v>1.4808309202327617E-2</v>
          </cell>
          <cell r="I410">
            <v>0.61789290319174273</v>
          </cell>
          <cell r="J410">
            <v>0.66733064543266918</v>
          </cell>
          <cell r="K410">
            <v>0.66833895412653921</v>
          </cell>
          <cell r="L410">
            <v>0.66916264535652115</v>
          </cell>
          <cell r="M410">
            <v>1.2231054477667636</v>
          </cell>
          <cell r="N410">
            <v>1.2250385727898989</v>
          </cell>
          <cell r="O410">
            <v>1.2255680837652609</v>
          </cell>
          <cell r="P410">
            <v>1.3740470569592347</v>
          </cell>
        </row>
        <row r="411">
          <cell r="B411" t="str">
            <v>CEN-EBAT</v>
          </cell>
          <cell r="C411" t="str">
            <v>VAR_ncap</v>
          </cell>
          <cell r="D411" t="str">
            <v>-</v>
          </cell>
          <cell r="E411">
            <v>2.4962322716105402E-3</v>
          </cell>
          <cell r="F411">
            <v>5.1689793537789899E-6</v>
          </cell>
          <cell r="G411">
            <v>1.52112930856663E-5</v>
          </cell>
          <cell r="H411">
            <v>3.54721929340937E-4</v>
          </cell>
          <cell r="I411">
            <v>0.21470933414347701</v>
          </cell>
          <cell r="J411">
            <v>2.12996621920746E-2</v>
          </cell>
          <cell r="K411">
            <v>0.103613856414168</v>
          </cell>
          <cell r="L411">
            <v>0.125435416887965</v>
          </cell>
          <cell r="M411">
            <v>6.4305258854106304E-2</v>
          </cell>
          <cell r="N411">
            <v>0.10796181981685</v>
          </cell>
          <cell r="O411">
            <v>0.11747674058086199</v>
          </cell>
          <cell r="P411">
            <v>4.7773579861875803E-2</v>
          </cell>
        </row>
        <row r="412">
          <cell r="B412" t="str">
            <v>CEN-EBAT</v>
          </cell>
          <cell r="C412" t="str">
            <v>VAR_cap</v>
          </cell>
          <cell r="D412" t="str">
            <v>-</v>
          </cell>
          <cell r="E412">
            <v>2.4962322716105402E-3</v>
          </cell>
          <cell r="F412">
            <v>2.5005513133927967E-3</v>
          </cell>
          <cell r="G412">
            <v>2.5134789187531803E-3</v>
          </cell>
          <cell r="H412">
            <v>2.1944493208669032E-3</v>
          </cell>
          <cell r="I412">
            <v>0.21506821560534004</v>
          </cell>
          <cell r="J412">
            <v>0.23607968082455938</v>
          </cell>
          <cell r="K412">
            <v>0.23623771023993045</v>
          </cell>
          <cell r="L412">
            <v>0.23631474141431127</v>
          </cell>
          <cell r="M412">
            <v>0.23634048238075317</v>
          </cell>
          <cell r="N412">
            <v>0.23652080374371667</v>
          </cell>
          <cell r="O412">
            <v>0.2368194515938423</v>
          </cell>
          <cell r="P412">
            <v>0.23809179245712062</v>
          </cell>
        </row>
        <row r="413">
          <cell r="B413" t="str">
            <v>ESOL-PV</v>
          </cell>
          <cell r="C413" t="str">
            <v>VAR_fout</v>
          </cell>
          <cell r="D413" t="str">
            <v>ELC35</v>
          </cell>
          <cell r="E413"/>
          <cell r="F413"/>
          <cell r="G413">
            <v>1.1887039527560194E-3</v>
          </cell>
          <cell r="H413">
            <v>1.5290643972607099E-3</v>
          </cell>
          <cell r="I413">
            <v>1.0480981271249949</v>
          </cell>
          <cell r="J413">
            <v>1.7954687658631596</v>
          </cell>
          <cell r="K413">
            <v>4.6036456338313974</v>
          </cell>
          <cell r="L413">
            <v>7.4118193600427738</v>
          </cell>
          <cell r="M413">
            <v>6.5839377714591922</v>
          </cell>
          <cell r="N413">
            <v>5.6178986956491093</v>
          </cell>
          <cell r="O413">
            <v>2.8104909471064494</v>
          </cell>
          <cell r="P413">
            <v>3.2775893136248055E-2</v>
          </cell>
        </row>
        <row r="414">
          <cell r="B414" t="str">
            <v>ESOL-PV</v>
          </cell>
          <cell r="C414" t="str">
            <v>VAR_fin</v>
          </cell>
          <cell r="D414" t="str">
            <v>SOL</v>
          </cell>
          <cell r="E414"/>
          <cell r="F414"/>
          <cell r="G414">
            <v>1.1887039527560194E-3</v>
          </cell>
          <cell r="H414">
            <v>1.5290643972607099E-3</v>
          </cell>
          <cell r="I414">
            <v>1.0480981271249949</v>
          </cell>
          <cell r="J414">
            <v>1.7954687658631596</v>
          </cell>
          <cell r="K414">
            <v>4.6036456338313974</v>
          </cell>
          <cell r="L414">
            <v>7.4118193600427738</v>
          </cell>
          <cell r="M414">
            <v>6.5839377714591922</v>
          </cell>
          <cell r="N414">
            <v>5.6178986956491093</v>
          </cell>
          <cell r="O414">
            <v>2.8104909471064494</v>
          </cell>
          <cell r="P414">
            <v>3.2775893136248055E-2</v>
          </cell>
        </row>
        <row r="415">
          <cell r="B415" t="str">
            <v>ESOL-PV</v>
          </cell>
          <cell r="C415" t="str">
            <v>VAR_fin</v>
          </cell>
          <cell r="D415" t="str">
            <v>SOLPVC</v>
          </cell>
          <cell r="E415"/>
          <cell r="F415"/>
          <cell r="G415">
            <v>1.1887039527560201E-3</v>
          </cell>
          <cell r="H415">
            <v>1.5290643972607099E-3</v>
          </cell>
          <cell r="I415">
            <v>1.0480981271250001</v>
          </cell>
          <cell r="J415">
            <v>1.7954687658631601</v>
          </cell>
          <cell r="K415">
            <v>4.6036456338314</v>
          </cell>
          <cell r="L415">
            <v>7.4118193600427702</v>
          </cell>
          <cell r="M415">
            <v>6.5839377714591896</v>
          </cell>
          <cell r="N415">
            <v>5.6178986956491102</v>
          </cell>
          <cell r="O415">
            <v>2.8104909471064499</v>
          </cell>
          <cell r="P415">
            <v>3.2775893136247999E-2</v>
          </cell>
        </row>
        <row r="416">
          <cell r="B416" t="str">
            <v>ESOL-PV</v>
          </cell>
          <cell r="C416" t="str">
            <v>VAR_ncap</v>
          </cell>
          <cell r="D416" t="str">
            <v>-</v>
          </cell>
          <cell r="E416"/>
          <cell r="F416"/>
          <cell r="G416">
            <v>3.4190482324348101E-4</v>
          </cell>
          <cell r="H416">
            <v>3.62324315942686E-6</v>
          </cell>
          <cell r="I416">
            <v>0.23881746543847701</v>
          </cell>
          <cell r="J416">
            <v>0.17054336413825599</v>
          </cell>
          <cell r="K416">
            <v>0.64108225686060505</v>
          </cell>
          <cell r="L416">
            <v>0.64086196719079203</v>
          </cell>
          <cell r="M416">
            <v>3.4396274886994801E-6</v>
          </cell>
          <cell r="N416">
            <v>1.61193963719214E-6</v>
          </cell>
          <cell r="O416">
            <v>4.5833608421089802E-4</v>
          </cell>
          <cell r="P416">
            <v>7.0136684513571598E-3</v>
          </cell>
        </row>
        <row r="417">
          <cell r="B417" t="str">
            <v>ESOL-PV</v>
          </cell>
          <cell r="C417" t="str">
            <v>VAR_cap</v>
          </cell>
          <cell r="D417" t="str">
            <v>-</v>
          </cell>
          <cell r="E417"/>
          <cell r="F417"/>
          <cell r="G417">
            <v>3.4190482324348101E-4</v>
          </cell>
          <cell r="H417">
            <v>3.4552806640290802E-4</v>
          </cell>
          <cell r="I417">
            <v>0.23916299350487999</v>
          </cell>
          <cell r="J417">
            <v>0.40970635764313601</v>
          </cell>
          <cell r="K417">
            <v>1.0505061199026799</v>
          </cell>
          <cell r="L417">
            <v>1.69130505362813</v>
          </cell>
          <cell r="M417">
            <v>1.5023903598175099</v>
          </cell>
          <cell r="N417">
            <v>1.28194927561852</v>
          </cell>
          <cell r="O417">
            <v>0.64132535484212905</v>
          </cell>
          <cell r="P417">
            <v>7.4770561026939499E-3</v>
          </cell>
        </row>
        <row r="418">
          <cell r="B418" t="str">
            <v>RHEM-SHSTG-CHPNGA</v>
          </cell>
          <cell r="C418" t="str">
            <v>VAR_fout</v>
          </cell>
          <cell r="D418" t="str">
            <v>RHEM_LTH_CHPNGA</v>
          </cell>
          <cell r="E418">
            <v>4.6690134750259162E-2</v>
          </cell>
          <cell r="F418">
            <v>3.2585637891578109E-4</v>
          </cell>
          <cell r="G418">
            <v>2.5241671224329378E-2</v>
          </cell>
          <cell r="H418">
            <v>2.0593068257130941E-2</v>
          </cell>
          <cell r="I418">
            <v>2.0658842928578249E-2</v>
          </cell>
          <cell r="J418">
            <v>9.694365601618531E-3</v>
          </cell>
          <cell r="K418">
            <v>2.3914636692271625E-4</v>
          </cell>
          <cell r="L418">
            <v>2.5984118576465829E-4</v>
          </cell>
          <cell r="M418">
            <v>7.9245917700793925E-3</v>
          </cell>
          <cell r="N418">
            <v>1.5464791027638709E-2</v>
          </cell>
          <cell r="O418">
            <v>2.9670873704709732E-2</v>
          </cell>
          <cell r="P418">
            <v>5.0169241370188529E-2</v>
          </cell>
        </row>
        <row r="419">
          <cell r="B419" t="str">
            <v>RHEM-SHSTG-CHPNGA</v>
          </cell>
          <cell r="C419" t="str">
            <v>VAR_fout</v>
          </cell>
          <cell r="D419" t="str">
            <v>AUX_REM-CHPNGA_OUT</v>
          </cell>
          <cell r="E419">
            <v>4.6690134750259293E-2</v>
          </cell>
          <cell r="F419">
            <v>3.2563928605840913E-4</v>
          </cell>
          <cell r="G419">
            <v>2.5215405177269768E-2</v>
          </cell>
          <cell r="H419">
            <v>2.0593068257130941E-2</v>
          </cell>
          <cell r="I419">
            <v>2.063987245756951E-2</v>
          </cell>
          <cell r="J419">
            <v>9.6943656016185639E-3</v>
          </cell>
          <cell r="K419">
            <v>2.3895114539869829E-4</v>
          </cell>
          <cell r="L419">
            <v>2.5984118576465861E-4</v>
          </cell>
          <cell r="M419">
            <v>7.9245917700793977E-3</v>
          </cell>
          <cell r="N419">
            <v>1.5464791027638728E-2</v>
          </cell>
          <cell r="O419">
            <v>2.967087370470976E-2</v>
          </cell>
          <cell r="P419">
            <v>5.0169241370188591E-2</v>
          </cell>
        </row>
        <row r="420">
          <cell r="B420" t="str">
            <v>RHEM-SHSTG-CHPNGA</v>
          </cell>
          <cell r="C420" t="str">
            <v>VAR_fin</v>
          </cell>
          <cell r="D420" t="str">
            <v>AUX_REM-CHPNGA_IN</v>
          </cell>
          <cell r="E420">
            <v>6.226061849465616E-2</v>
          </cell>
          <cell r="F420">
            <v>4.3586388792726897E-4</v>
          </cell>
          <cell r="G420">
            <v>3.257700384822558E-2</v>
          </cell>
          <cell r="H420">
            <v>2.5748440815781933E-2</v>
          </cell>
          <cell r="I420">
            <v>2.5048127226267321E-2</v>
          </cell>
          <cell r="J420">
            <v>1.141224149640385E-2</v>
          </cell>
          <cell r="K420">
            <v>1.9833943988019855E-4</v>
          </cell>
          <cell r="L420">
            <v>2.2237853054413753E-4</v>
          </cell>
          <cell r="M420">
            <v>8.8122074609546415E-3</v>
          </cell>
          <cell r="N420">
            <v>1.7190206636253438E-2</v>
          </cell>
          <cell r="O420">
            <v>3.2974742944043879E-2</v>
          </cell>
          <cell r="P420">
            <v>5.5750707017180844E-2</v>
          </cell>
        </row>
        <row r="421">
          <cell r="B421" t="str">
            <v>RHEM-SHSTG-CHPNGA</v>
          </cell>
          <cell r="C421" t="str">
            <v>VAR_fin</v>
          </cell>
          <cell r="D421" t="str">
            <v>RHEM_LTH_CHPNGA</v>
          </cell>
          <cell r="E421">
            <v>6.226061849465616E-2</v>
          </cell>
          <cell r="F421">
            <v>4.3586388792726897E-4</v>
          </cell>
          <cell r="G421">
            <v>3.257700384822558E-2</v>
          </cell>
          <cell r="H421">
            <v>2.5748440815781933E-2</v>
          </cell>
          <cell r="I421">
            <v>2.5048127226267321E-2</v>
          </cell>
          <cell r="J421">
            <v>1.141224149640385E-2</v>
          </cell>
          <cell r="K421">
            <v>1.9833943988019855E-4</v>
          </cell>
          <cell r="L421">
            <v>2.2237853054413753E-4</v>
          </cell>
          <cell r="M421">
            <v>8.8122074609546415E-3</v>
          </cell>
          <cell r="N421">
            <v>1.7190206636253438E-2</v>
          </cell>
          <cell r="O421">
            <v>3.2974742944043879E-2</v>
          </cell>
          <cell r="P421">
            <v>5.5750707017180844E-2</v>
          </cell>
        </row>
        <row r="422">
          <cell r="B422" t="str">
            <v>RHEM-SHSTG-CHPNGA</v>
          </cell>
          <cell r="C422" t="str">
            <v>VAR_ncap</v>
          </cell>
          <cell r="D422" t="str">
            <v>-</v>
          </cell>
          <cell r="E422">
            <v>1.43242983785492E-2</v>
          </cell>
          <cell r="F422">
            <v>1.88712626475835E-4</v>
          </cell>
          <cell r="G422">
            <v>6.7792886807358801E-4</v>
          </cell>
          <cell r="H422">
            <v>5.6604110196104701E-4</v>
          </cell>
          <cell r="I422">
            <v>9.2402275929729799E-3</v>
          </cell>
          <cell r="J422">
            <v>7.5605792279184703E-4</v>
          </cell>
          <cell r="K422">
            <v>2.0503802866031801E-4</v>
          </cell>
          <cell r="L422">
            <v>1.21344560601179E-2</v>
          </cell>
          <cell r="M422">
            <v>1.1855514942735101E-3</v>
          </cell>
          <cell r="N422">
            <v>1.22210075777794E-2</v>
          </cell>
          <cell r="O422">
            <v>5.7587816261817897E-3</v>
          </cell>
          <cell r="P422">
            <v>2.4945377870257999E-2</v>
          </cell>
        </row>
        <row r="423">
          <cell r="B423" t="str">
            <v>RHEM-SHSTG-CHPNGA</v>
          </cell>
          <cell r="C423" t="str">
            <v>VAR_cap</v>
          </cell>
          <cell r="D423" t="str">
            <v>-</v>
          </cell>
          <cell r="E423">
            <v>1.43242983785492E-2</v>
          </cell>
          <cell r="F423">
            <v>1.4488548121333983E-2</v>
          </cell>
          <cell r="G423">
            <v>1.5102584542476209E-2</v>
          </cell>
          <cell r="H423">
            <v>1.5533022154160341E-2</v>
          </cell>
          <cell r="I423">
            <v>1.4055972802738435E-2</v>
          </cell>
          <cell r="J423">
            <v>1.04675313690289E-2</v>
          </cell>
          <cell r="K423">
            <v>9.9736662957120234E-3</v>
          </cell>
          <cell r="L423">
            <v>1.2918099256627683E-2</v>
          </cell>
          <cell r="M423">
            <v>1.3439425549883628E-2</v>
          </cell>
          <cell r="N423">
            <v>2.532007856148482E-2</v>
          </cell>
          <cell r="O423">
            <v>2.0619522691483812E-2</v>
          </cell>
          <cell r="P423">
            <v>4.2730105628987235E-2</v>
          </cell>
        </row>
        <row r="424">
          <cell r="B424" t="str">
            <v>RHNS-ESOLPV</v>
          </cell>
          <cell r="C424" t="str">
            <v>VAR_fout</v>
          </cell>
          <cell r="D424" t="str">
            <v>RHNS_SOL_ELC</v>
          </cell>
          <cell r="E424"/>
          <cell r="F424">
            <v>1.2810759870179744E-5</v>
          </cell>
          <cell r="G424">
            <v>4.2241693530242199E-3</v>
          </cell>
          <cell r="H424">
            <v>4.7070047905280639E-3</v>
          </cell>
          <cell r="I424">
            <v>6.995019351383234E-3</v>
          </cell>
          <cell r="J424">
            <v>7.4386569723669518E-3</v>
          </cell>
          <cell r="K424">
            <v>8.0906102858164918E-3</v>
          </cell>
          <cell r="L424">
            <v>1.3165951112560801E-2</v>
          </cell>
          <cell r="M424">
            <v>1.383838494484331E-2</v>
          </cell>
          <cell r="N424">
            <v>1.454596122882853E-2</v>
          </cell>
          <cell r="O424">
            <v>1.5294140877042013E-2</v>
          </cell>
          <cell r="P424">
            <v>1.6107847234164634E-2</v>
          </cell>
        </row>
        <row r="425">
          <cell r="B425" t="str">
            <v>RHNS-ESOLPV</v>
          </cell>
          <cell r="C425" t="str">
            <v>VAR_fin</v>
          </cell>
          <cell r="D425" t="str">
            <v>SOL</v>
          </cell>
          <cell r="E425"/>
          <cell r="F425">
            <v>1.2810759870179744E-5</v>
          </cell>
          <cell r="G425">
            <v>4.2241693530242199E-3</v>
          </cell>
          <cell r="H425">
            <v>4.7070047905280639E-3</v>
          </cell>
          <cell r="I425">
            <v>6.995019351383234E-3</v>
          </cell>
          <cell r="J425">
            <v>7.4386569723669518E-3</v>
          </cell>
          <cell r="K425">
            <v>8.0906102858164918E-3</v>
          </cell>
          <cell r="L425">
            <v>1.3165951112560801E-2</v>
          </cell>
          <cell r="M425">
            <v>1.383838494484331E-2</v>
          </cell>
          <cell r="N425">
            <v>1.454596122882853E-2</v>
          </cell>
          <cell r="O425">
            <v>1.5294140877042013E-2</v>
          </cell>
          <cell r="P425">
            <v>1.6107847234164634E-2</v>
          </cell>
        </row>
        <row r="426">
          <cell r="B426" t="str">
            <v>RHNS-ESOLPV</v>
          </cell>
          <cell r="C426" t="str">
            <v>VAR_fin</v>
          </cell>
          <cell r="D426" t="str">
            <v>SOLPVC</v>
          </cell>
          <cell r="E426"/>
          <cell r="F426">
            <v>1.28107598701797E-5</v>
          </cell>
          <cell r="G426">
            <v>4.2241693530242199E-3</v>
          </cell>
          <cell r="H426">
            <v>4.7070047905280604E-3</v>
          </cell>
          <cell r="I426">
            <v>6.9950193513832401E-3</v>
          </cell>
          <cell r="J426">
            <v>7.4386569723669596E-3</v>
          </cell>
          <cell r="K426">
            <v>8.0906102858165005E-3</v>
          </cell>
          <cell r="L426">
            <v>1.31659511125608E-2</v>
          </cell>
          <cell r="M426">
            <v>1.38383849448433E-2</v>
          </cell>
          <cell r="N426">
            <v>1.4545961228828499E-2</v>
          </cell>
          <cell r="O426">
            <v>1.5294140877041999E-2</v>
          </cell>
          <cell r="P426">
            <v>1.6107847234164599E-2</v>
          </cell>
        </row>
        <row r="427">
          <cell r="B427" t="str">
            <v>RHNS-ESOLPV</v>
          </cell>
          <cell r="C427" t="str">
            <v>VAR_ncap</v>
          </cell>
          <cell r="D427" t="str">
            <v>-</v>
          </cell>
          <cell r="E427"/>
          <cell r="F427">
            <v>4.39764810363423E-6</v>
          </cell>
          <cell r="G427">
            <v>1.3383676695956301E-3</v>
          </cell>
          <cell r="H427">
            <v>9.7289150976797195E-6</v>
          </cell>
          <cell r="I427">
            <v>6.5966655815583497E-4</v>
          </cell>
          <cell r="J427">
            <v>1.2964264953998299E-4</v>
          </cell>
          <cell r="K427">
            <v>1.2949657210299501E-3</v>
          </cell>
          <cell r="L427">
            <v>1.70678552125381E-3</v>
          </cell>
          <cell r="M427">
            <v>6.7045485449044597E-4</v>
          </cell>
          <cell r="N427">
            <v>5.1667102340846203E-4</v>
          </cell>
          <cell r="O427">
            <v>1.5106496434644399E-3</v>
          </cell>
          <cell r="P427">
            <v>1.94135360934672E-3</v>
          </cell>
        </row>
        <row r="428">
          <cell r="B428" t="str">
            <v>RHNS-ESOLPV</v>
          </cell>
          <cell r="C428" t="str">
            <v>VAR_cap</v>
          </cell>
          <cell r="D428" t="str">
            <v>-</v>
          </cell>
          <cell r="E428"/>
          <cell r="F428">
            <v>4.39764810363423E-6</v>
          </cell>
          <cell r="G428">
            <v>1.34276531769927E-3</v>
          </cell>
          <cell r="H428">
            <v>1.35249423279695E-3</v>
          </cell>
          <cell r="I428">
            <v>2.0121607909527801E-3</v>
          </cell>
          <cell r="J428">
            <v>2.14010924703498E-3</v>
          </cell>
          <cell r="K428">
            <v>2.3279739002144998E-3</v>
          </cell>
          <cell r="L428">
            <v>3.7910604499795698E-3</v>
          </cell>
          <cell r="M428">
            <v>3.98492039508233E-3</v>
          </cell>
          <cell r="N428">
            <v>4.1888771201826604E-3</v>
          </cell>
          <cell r="O428">
            <v>4.4045610426171602E-3</v>
          </cell>
          <cell r="P428">
            <v>4.63912913071007E-3</v>
          </cell>
        </row>
        <row r="429">
          <cell r="B429" t="str">
            <v>RHSA-WHSTG-CHP</v>
          </cell>
          <cell r="C429" t="str">
            <v>VAR_fout</v>
          </cell>
          <cell r="D429" t="str">
            <v>AUX_RHSA-CHP_OUT</v>
          </cell>
          <cell r="E429">
            <v>5.8728406860323803</v>
          </cell>
          <cell r="F429">
            <v>6.3485994817342128E-4</v>
          </cell>
          <cell r="G429">
            <v>3.4934109435826893E-2</v>
          </cell>
          <cell r="H429">
            <v>1.950190607191884</v>
          </cell>
          <cell r="I429">
            <v>1.0770702554803442</v>
          </cell>
          <cell r="J429">
            <v>0.72359149084988317</v>
          </cell>
          <cell r="K429">
            <v>0.95297607838934895</v>
          </cell>
          <cell r="L429">
            <v>0.60561911499798182</v>
          </cell>
          <cell r="M429">
            <v>0.91887513017104772</v>
          </cell>
          <cell r="N429">
            <v>1.8142376621432452</v>
          </cell>
          <cell r="O429">
            <v>0.53385053951925032</v>
          </cell>
          <cell r="P429">
            <v>2.4182258299071968</v>
          </cell>
        </row>
        <row r="430">
          <cell r="B430" t="str">
            <v>RHSA-WHSTG-CHP</v>
          </cell>
          <cell r="C430" t="str">
            <v>VAR_fout</v>
          </cell>
          <cell r="D430" t="str">
            <v>RHSA_LTH</v>
          </cell>
          <cell r="E430">
            <v>5.8728406860323599</v>
          </cell>
          <cell r="F430">
            <v>6.3528318813886814E-4</v>
          </cell>
          <cell r="G430">
            <v>3.4970499133155863E-2</v>
          </cell>
          <cell r="H430">
            <v>1.950190607191884</v>
          </cell>
          <cell r="I430">
            <v>1.0780602097592757</v>
          </cell>
          <cell r="J430">
            <v>0.72359149084988061</v>
          </cell>
          <cell r="K430">
            <v>0.95375465361678802</v>
          </cell>
          <cell r="L430">
            <v>0.60561911499798127</v>
          </cell>
          <cell r="M430">
            <v>0.91887513017104705</v>
          </cell>
          <cell r="N430">
            <v>1.814237662143243</v>
          </cell>
          <cell r="O430">
            <v>0.53385053951924966</v>
          </cell>
          <cell r="P430">
            <v>2.4182258299071955</v>
          </cell>
        </row>
        <row r="431">
          <cell r="B431" t="str">
            <v>RHSA-WHSTG-CHP</v>
          </cell>
          <cell r="C431" t="str">
            <v>VAR_fin</v>
          </cell>
          <cell r="D431" t="str">
            <v>RHSA_LTH</v>
          </cell>
          <cell r="E431">
            <v>7.8304613535377738</v>
          </cell>
          <cell r="F431">
            <v>8.4300442614919173E-4</v>
          </cell>
          <cell r="G431">
            <v>4.5130330182371226E-2</v>
          </cell>
          <cell r="H431">
            <v>2.4377453644843743</v>
          </cell>
          <cell r="I431">
            <v>1.3067467536875472</v>
          </cell>
          <cell r="J431">
            <v>0.85129121237670424</v>
          </cell>
          <cell r="K431">
            <v>1.0900124239137057</v>
          </cell>
          <cell r="L431">
            <v>0.6729172332701</v>
          </cell>
          <cell r="M431">
            <v>1.0209794723511865</v>
          </cell>
          <cell r="N431">
            <v>2.0158267300980972</v>
          </cell>
          <cell r="O431">
            <v>0.59317437162707598</v>
          </cell>
          <cell r="P431">
            <v>2.6869246942805711</v>
          </cell>
        </row>
        <row r="432">
          <cell r="B432" t="str">
            <v>RHSA-WHSTG-CHP</v>
          </cell>
          <cell r="C432" t="str">
            <v>VAR_fin</v>
          </cell>
          <cell r="D432" t="str">
            <v>AUX_RHSA-CHP_IN</v>
          </cell>
          <cell r="E432">
            <v>7.8304613535377738</v>
          </cell>
          <cell r="F432">
            <v>8.4300442614919173E-4</v>
          </cell>
          <cell r="G432">
            <v>4.5130330182371226E-2</v>
          </cell>
          <cell r="H432">
            <v>2.4377453644843743</v>
          </cell>
          <cell r="I432">
            <v>1.3067467536875472</v>
          </cell>
          <cell r="J432">
            <v>0.85129121237670424</v>
          </cell>
          <cell r="K432">
            <v>1.0900124239137057</v>
          </cell>
          <cell r="L432">
            <v>0.6729172332701</v>
          </cell>
          <cell r="M432">
            <v>1.0209794723511865</v>
          </cell>
          <cell r="N432">
            <v>2.0158267300980972</v>
          </cell>
          <cell r="O432">
            <v>0.59317437162707598</v>
          </cell>
          <cell r="P432">
            <v>2.6869246942805711</v>
          </cell>
        </row>
        <row r="433">
          <cell r="B433" t="str">
            <v>RHSA-WHSTG-CHP</v>
          </cell>
          <cell r="C433" t="str">
            <v>VAR_ncap</v>
          </cell>
          <cell r="D433" t="str">
            <v>-</v>
          </cell>
          <cell r="E433">
            <v>0.37272007111372601</v>
          </cell>
          <cell r="F433">
            <v>8.9412994299000302E-5</v>
          </cell>
          <cell r="G433">
            <v>1.0725603275682901E-4</v>
          </cell>
          <cell r="H433">
            <v>9.2405798204455596E-5</v>
          </cell>
          <cell r="I433">
            <v>3.6358111607764497E-2</v>
          </cell>
          <cell r="J433">
            <v>2.4144166706552998E-2</v>
          </cell>
          <cell r="K433">
            <v>6.4808122956071801E-3</v>
          </cell>
          <cell r="L433">
            <v>4.5663981601764297E-2</v>
          </cell>
          <cell r="M433">
            <v>6.1503994854018801E-3</v>
          </cell>
          <cell r="N433">
            <v>6.9586229989274898E-2</v>
          </cell>
          <cell r="O433">
            <v>9.1780028663380195E-4</v>
          </cell>
          <cell r="P433">
            <v>8.6598929996634197E-2</v>
          </cell>
        </row>
        <row r="434">
          <cell r="B434" t="str">
            <v>RHSA-WHSTG-CHP</v>
          </cell>
          <cell r="C434" t="str">
            <v>VAR_cap</v>
          </cell>
          <cell r="D434" t="str">
            <v>-</v>
          </cell>
          <cell r="E434">
            <v>0.37340038570124012</v>
          </cell>
          <cell r="F434">
            <v>0.12893754025829787</v>
          </cell>
          <cell r="G434">
            <v>0.12806958986535591</v>
          </cell>
          <cell r="H434">
            <v>0.12754580862922718</v>
          </cell>
          <cell r="I434">
            <v>6.9467373991680612E-2</v>
          </cell>
          <cell r="J434">
            <v>6.0514308667223085E-2</v>
          </cell>
          <cell r="K434">
            <v>6.6868796147296058E-2</v>
          </cell>
          <cell r="L434">
            <v>7.6089293817832249E-2</v>
          </cell>
          <cell r="M434">
            <v>6.0894767568900297E-2</v>
          </cell>
          <cell r="N434">
            <v>0.12123332914534865</v>
          </cell>
          <cell r="O434">
            <v>8.2256982531360864E-2</v>
          </cell>
          <cell r="P434">
            <v>0.15691385214090761</v>
          </cell>
        </row>
        <row r="435">
          <cell r="B435" t="str">
            <v>G-INTC-SER</v>
          </cell>
          <cell r="C435" t="str">
            <v>VAR_fout</v>
          </cell>
          <cell r="D435" t="str">
            <v>ELC35</v>
          </cell>
          <cell r="E435">
            <v>49.289837558014106</v>
          </cell>
          <cell r="F435">
            <v>1.4047075582205651E-2</v>
          </cell>
          <cell r="G435">
            <v>1.4926400054960022E-2</v>
          </cell>
          <cell r="H435">
            <v>1.0971517443946699E-2</v>
          </cell>
          <cell r="I435">
            <v>1.7837878633907272E-2</v>
          </cell>
          <cell r="J435">
            <v>0.49507315276691499</v>
          </cell>
          <cell r="K435">
            <v>1.458151500125584</v>
          </cell>
          <cell r="L435">
            <v>2.4803942494981417</v>
          </cell>
          <cell r="M435">
            <v>2.2890271980241534</v>
          </cell>
          <cell r="N435">
            <v>3.7961337941668281</v>
          </cell>
          <cell r="O435">
            <v>6.163081781305114</v>
          </cell>
          <cell r="P435">
            <v>7.8120801226787489</v>
          </cell>
        </row>
        <row r="436">
          <cell r="B436" t="str">
            <v>G-INTC-SER</v>
          </cell>
          <cell r="C436" t="str">
            <v>VAR_fout</v>
          </cell>
          <cell r="D436" t="str">
            <v>SCOM_ELC</v>
          </cell>
          <cell r="E436">
            <v>60.915538161864085</v>
          </cell>
          <cell r="F436">
            <v>58.266562352839586</v>
          </cell>
          <cell r="G436">
            <v>64.016741549325033</v>
          </cell>
          <cell r="H436">
            <v>66.438395343516717</v>
          </cell>
          <cell r="I436">
            <v>66.96183011394659</v>
          </cell>
          <cell r="J436">
            <v>63.036769999279223</v>
          </cell>
          <cell r="K436">
            <v>63.23102133355561</v>
          </cell>
          <cell r="L436">
            <v>66.683729006827107</v>
          </cell>
          <cell r="M436">
            <v>67.941279199293291</v>
          </cell>
          <cell r="N436">
            <v>68.213282194741964</v>
          </cell>
          <cell r="O436">
            <v>66.211408838540663</v>
          </cell>
          <cell r="P436">
            <v>65.879080348240038</v>
          </cell>
        </row>
        <row r="437">
          <cell r="B437" t="str">
            <v>G-INTC-SER</v>
          </cell>
          <cell r="C437" t="str">
            <v>VAR_fin</v>
          </cell>
          <cell r="D437" t="str">
            <v>ELC5</v>
          </cell>
          <cell r="E437">
            <v>110.20534729790008</v>
          </cell>
          <cell r="F437">
            <v>58.280609428421869</v>
          </cell>
          <cell r="G437">
            <v>64.03166794937998</v>
          </cell>
          <cell r="H437">
            <v>66.449366860960623</v>
          </cell>
          <cell r="I437">
            <v>66.979667992580488</v>
          </cell>
          <cell r="J437">
            <v>63.531843152046243</v>
          </cell>
          <cell r="K437">
            <v>64.68917283368117</v>
          </cell>
          <cell r="L437">
            <v>69.16412325632524</v>
          </cell>
          <cell r="M437">
            <v>70.230306397317406</v>
          </cell>
          <cell r="N437">
            <v>72.009415988908756</v>
          </cell>
          <cell r="O437">
            <v>72.37449061984573</v>
          </cell>
          <cell r="P437">
            <v>73.691160470918788</v>
          </cell>
        </row>
        <row r="438">
          <cell r="B438" t="str">
            <v>G-INTC-SER</v>
          </cell>
          <cell r="C438" t="str">
            <v>VAR_ncap</v>
          </cell>
          <cell r="D438" t="str">
            <v>-</v>
          </cell>
          <cell r="E438">
            <v>2.0151269421636702E-6</v>
          </cell>
          <cell r="F438">
            <v>5.6065850612462102E-7</v>
          </cell>
          <cell r="G438">
            <v>5.0266234370078705E-7</v>
          </cell>
          <cell r="H438">
            <v>2.6852599504363597E-7</v>
          </cell>
          <cell r="I438">
            <v>2.9795091338937302E-7</v>
          </cell>
          <cell r="J438">
            <v>3.4166976509859999E-7</v>
          </cell>
          <cell r="K438">
            <v>5.1274624626670296E-7</v>
          </cell>
          <cell r="L438">
            <v>6.1339364213522398E-7</v>
          </cell>
          <cell r="M438">
            <v>8.4497237107372501E-7</v>
          </cell>
          <cell r="N438">
            <v>1.7458094414743699E-6</v>
          </cell>
          <cell r="O438">
            <v>6.8971253516692701E-6</v>
          </cell>
        </row>
        <row r="439">
          <cell r="B439" t="str">
            <v>G-INTC-SER</v>
          </cell>
          <cell r="C439" t="str">
            <v>VAR_cap</v>
          </cell>
          <cell r="D439" t="str">
            <v>-</v>
          </cell>
          <cell r="E439">
            <v>4.3683888589490198</v>
          </cell>
          <cell r="F439">
            <v>4.3683895141416809</v>
          </cell>
          <cell r="G439">
            <v>4.3683914347344679</v>
          </cell>
          <cell r="H439">
            <v>4.3683920851369518</v>
          </cell>
          <cell r="I439">
            <v>4.3683922776747126</v>
          </cell>
          <cell r="J439">
            <v>4.3683926355019604</v>
          </cell>
          <cell r="K439">
            <v>4.3683930924251646</v>
          </cell>
          <cell r="L439">
            <v>4.3683933582897314</v>
          </cell>
          <cell r="M439">
            <v>4.368394436578166</v>
          </cell>
          <cell r="N439">
            <v>4.3683952370778663</v>
          </cell>
          <cell r="O439">
            <v>4.3683998833552016</v>
          </cell>
          <cell r="P439">
            <v>4.3684034595905379</v>
          </cell>
        </row>
        <row r="440">
          <cell r="B440" t="str">
            <v>CHPWOD</v>
          </cell>
          <cell r="C440" t="str">
            <v>VAR_fout</v>
          </cell>
          <cell r="D440" t="str">
            <v>ELC35</v>
          </cell>
          <cell r="E440">
            <v>0.32157429213531785</v>
          </cell>
          <cell r="F440">
            <v>9.3509654687208327E-4</v>
          </cell>
          <cell r="G440">
            <v>0.34547126218236412</v>
          </cell>
          <cell r="H440">
            <v>3.0369672358660669E-3</v>
          </cell>
          <cell r="I440">
            <v>4.5448705209203038E-3</v>
          </cell>
          <cell r="J440">
            <v>0.48247796654768538</v>
          </cell>
          <cell r="K440">
            <v>0.96866671856957132</v>
          </cell>
          <cell r="L440">
            <v>0.87274426521747217</v>
          </cell>
          <cell r="M440">
            <v>0.8836276552975012</v>
          </cell>
          <cell r="N440">
            <v>0.92834380338033062</v>
          </cell>
          <cell r="O440">
            <v>0.94457790665484576</v>
          </cell>
          <cell r="P440">
            <v>0.99007273859257161</v>
          </cell>
        </row>
        <row r="441">
          <cell r="B441" t="str">
            <v>CHPWOD</v>
          </cell>
          <cell r="C441" t="str">
            <v>VAR_fout</v>
          </cell>
          <cell r="D441" t="str">
            <v>LTH</v>
          </cell>
          <cell r="E441">
            <v>0.84097618011454889</v>
          </cell>
          <cell r="F441">
            <v>2.4454502155784172E-3</v>
          </cell>
          <cell r="G441">
            <v>0.90347117140576783</v>
          </cell>
          <cell r="H441">
            <v>7.9422303573849148E-3</v>
          </cell>
          <cell r="I441">
            <v>1.1885676011036442E-2</v>
          </cell>
          <cell r="J441">
            <v>1.2617690133201553</v>
          </cell>
          <cell r="K441">
            <v>2.5332424161690756</v>
          </cell>
          <cell r="L441">
            <v>2.2823874803730275</v>
          </cell>
          <cell r="M441">
            <v>2.310849555980576</v>
          </cell>
          <cell r="N441">
            <v>2.4277905438761831</v>
          </cell>
          <cell r="O441">
            <v>2.4702457229538735</v>
          </cell>
          <cell r="P441">
            <v>2.5892231129805685</v>
          </cell>
        </row>
        <row r="442">
          <cell r="B442" t="str">
            <v>CHPWOD</v>
          </cell>
          <cell r="C442" t="str">
            <v>VAR_fin</v>
          </cell>
          <cell r="D442" t="str">
            <v>EWOD</v>
          </cell>
          <cell r="E442">
            <v>1.3188178797565839</v>
          </cell>
          <cell r="F442">
            <v>4.7478021844571672E-3</v>
          </cell>
          <cell r="G442">
            <v>1.3353735248382843</v>
          </cell>
          <cell r="H442">
            <v>1.412799748613861E-2</v>
          </cell>
          <cell r="I442">
            <v>2.0571622160883072E-2</v>
          </cell>
          <cell r="J442">
            <v>1.5815257046737543</v>
          </cell>
          <cell r="K442">
            <v>3.1646543991635707</v>
          </cell>
          <cell r="L442">
            <v>2.8514758285884434</v>
          </cell>
          <cell r="M442">
            <v>2.8927239607886905</v>
          </cell>
          <cell r="N442">
            <v>3.035784340662866</v>
          </cell>
          <cell r="O442">
            <v>3.088554342080156</v>
          </cell>
          <cell r="P442">
            <v>3.2403873885116181</v>
          </cell>
        </row>
        <row r="443">
          <cell r="B443" t="str">
            <v>CHPWOD</v>
          </cell>
          <cell r="C443" t="str">
            <v>VAR_ncap</v>
          </cell>
          <cell r="D443" t="str">
            <v>-</v>
          </cell>
          <cell r="E443"/>
          <cell r="F443">
            <v>4.2233807230467299E-7</v>
          </cell>
          <cell r="G443">
            <v>1.27226563251018E-2</v>
          </cell>
          <cell r="H443">
            <v>2.5032709112213101E-6</v>
          </cell>
          <cell r="I443">
            <v>2.6824000008970401E-4</v>
          </cell>
          <cell r="J443">
            <v>4.5787973318811202E-2</v>
          </cell>
          <cell r="K443">
            <v>3.8685647114745998E-3</v>
          </cell>
          <cell r="L443">
            <v>1.51985647537478E-5</v>
          </cell>
          <cell r="M443">
            <v>2.3051140933547801E-5</v>
          </cell>
          <cell r="N443">
            <v>3.9180780768908997E-2</v>
          </cell>
          <cell r="O443">
            <v>3.6875952267410401E-3</v>
          </cell>
          <cell r="P443">
            <v>4.8475511209701799E-4</v>
          </cell>
        </row>
        <row r="444">
          <cell r="B444" t="str">
            <v>CHPWOD</v>
          </cell>
          <cell r="C444" t="str">
            <v>VAR_cap</v>
          </cell>
          <cell r="D444" t="str">
            <v>-</v>
          </cell>
          <cell r="E444">
            <v>1.2552393657232201E-2</v>
          </cell>
          <cell r="F444">
            <v>1.6503619409920928E-4</v>
          </cell>
          <cell r="G444">
            <v>1.2887268034359703E-2</v>
          </cell>
          <cell r="H444">
            <v>5.4795117628529677E-4</v>
          </cell>
          <cell r="I444">
            <v>8.1349765253180967E-4</v>
          </cell>
          <cell r="J444">
            <v>4.6597981140297534E-2</v>
          </cell>
          <cell r="K444">
            <v>5.001911225877901E-2</v>
          </cell>
          <cell r="L444">
            <v>4.9931655659742565E-2</v>
          </cell>
          <cell r="M444">
            <v>4.369709310624724E-2</v>
          </cell>
          <cell r="N444">
            <v>4.3079801037679298E-2</v>
          </cell>
          <cell r="O444">
            <v>4.290045137219619E-2</v>
          </cell>
          <cell r="P444">
            <v>4.3367151921046128E-2</v>
          </cell>
        </row>
        <row r="445">
          <cell r="B445" t="str">
            <v>D-EH2R</v>
          </cell>
          <cell r="C445" t="str">
            <v>VAR_fout</v>
          </cell>
          <cell r="D445" t="str">
            <v>EH2</v>
          </cell>
          <cell r="E445"/>
          <cell r="F445"/>
          <cell r="G445"/>
          <cell r="H445"/>
          <cell r="I445"/>
          <cell r="J445">
            <v>1.5957933567771414E-2</v>
          </cell>
          <cell r="K445">
            <v>2.325827036268124E-2</v>
          </cell>
          <cell r="L445">
            <v>8.5774803751388684E-2</v>
          </cell>
          <cell r="M445">
            <v>0.12993928676118205</v>
          </cell>
          <cell r="N445">
            <v>5.9714839797548838E-2</v>
          </cell>
          <cell r="O445">
            <v>2.8572890385947691E-2</v>
          </cell>
          <cell r="P445">
            <v>4.8497450437642392E-2</v>
          </cell>
        </row>
        <row r="446">
          <cell r="B446" t="str">
            <v>D-EH2R</v>
          </cell>
          <cell r="C446" t="str">
            <v>VAR_fin</v>
          </cell>
          <cell r="D446" t="str">
            <v>H2</v>
          </cell>
          <cell r="E446"/>
          <cell r="F446"/>
          <cell r="G446"/>
          <cell r="H446"/>
          <cell r="I446"/>
          <cell r="J446">
            <v>1.5957933567771414E-2</v>
          </cell>
          <cell r="K446">
            <v>2.325827036268124E-2</v>
          </cell>
          <cell r="L446">
            <v>8.5774803751388684E-2</v>
          </cell>
          <cell r="M446">
            <v>0.12993928676118205</v>
          </cell>
          <cell r="N446">
            <v>5.9714839797548838E-2</v>
          </cell>
          <cell r="O446">
            <v>2.8572890385947691E-2</v>
          </cell>
          <cell r="P446">
            <v>4.8497450437642392E-2</v>
          </cell>
        </row>
        <row r="447">
          <cell r="B447" t="str">
            <v>D-EH2R</v>
          </cell>
          <cell r="C447" t="str">
            <v>VAR_ncap</v>
          </cell>
          <cell r="D447" t="str">
            <v>-</v>
          </cell>
          <cell r="I447">
            <v>5.6582426963554897E-6</v>
          </cell>
          <cell r="J447">
            <v>1.51489715404479E-3</v>
          </cell>
          <cell r="K447">
            <v>1.79993994946468E-3</v>
          </cell>
          <cell r="L447">
            <v>3.60785147004684E-3</v>
          </cell>
          <cell r="M447">
            <v>3.9344434498722802E-3</v>
          </cell>
          <cell r="N447">
            <v>1.4960178513503101E-4</v>
          </cell>
          <cell r="O447">
            <v>1.73634918608815E-3</v>
          </cell>
          <cell r="P447">
            <v>1.7203036061741101E-3</v>
          </cell>
        </row>
        <row r="448">
          <cell r="B448" t="str">
            <v>D-EH2R</v>
          </cell>
          <cell r="C448" t="str">
            <v>VAR_cap</v>
          </cell>
          <cell r="D448" t="str">
            <v>-</v>
          </cell>
          <cell r="I448">
            <v>5.6582426963554897E-6</v>
          </cell>
          <cell r="J448">
            <v>1.51608536768473E-3</v>
          </cell>
          <cell r="K448">
            <v>1.79993994946468E-3</v>
          </cell>
          <cell r="L448">
            <v>5.40779141951153E-3</v>
          </cell>
          <cell r="M448">
            <v>5.30621274255172E-3</v>
          </cell>
          <cell r="N448">
            <v>3.13656092051543E-3</v>
          </cell>
          <cell r="O448">
            <v>1.76284694199456E-3</v>
          </cell>
          <cell r="P448">
            <v>3.4566527922622698E-3</v>
          </cell>
        </row>
        <row r="449">
          <cell r="B449" t="str">
            <v>G-INTC1</v>
          </cell>
          <cell r="C449" t="str">
            <v>VAR_fout</v>
          </cell>
          <cell r="D449" t="str">
            <v>ELC13</v>
          </cell>
          <cell r="E449">
            <v>125.0411927555227</v>
          </cell>
          <cell r="F449">
            <v>140.0191735769246</v>
          </cell>
          <cell r="G449">
            <v>134.63719767692697</v>
          </cell>
          <cell r="H449">
            <v>132.41122856419364</v>
          </cell>
          <cell r="I449">
            <v>118.94380901387785</v>
          </cell>
          <cell r="J449">
            <v>102.10603875299495</v>
          </cell>
          <cell r="K449">
            <v>77.753939009763258</v>
          </cell>
          <cell r="L449">
            <v>73.357845423516153</v>
          </cell>
          <cell r="M449">
            <v>72.247555489963716</v>
          </cell>
          <cell r="N449">
            <v>72.86292770587221</v>
          </cell>
          <cell r="O449">
            <v>72.723402228182209</v>
          </cell>
          <cell r="P449">
            <v>72.607185743965644</v>
          </cell>
        </row>
        <row r="450">
          <cell r="B450" t="str">
            <v>G-INTC1</v>
          </cell>
          <cell r="C450" t="str">
            <v>VAR_fin</v>
          </cell>
          <cell r="D450" t="str">
            <v>ELC</v>
          </cell>
          <cell r="E450">
            <v>126.35800622997</v>
          </cell>
          <cell r="F450">
            <v>143.64844743880104</v>
          </cell>
          <cell r="G450">
            <v>137.82713013965727</v>
          </cell>
          <cell r="H450">
            <v>135.05978271498634</v>
          </cell>
          <cell r="I450">
            <v>120.8871946818567</v>
          </cell>
          <cell r="J450">
            <v>103.40289890392583</v>
          </cell>
          <cell r="K450">
            <v>78.460681959092867</v>
          </cell>
          <cell r="L450">
            <v>73.761571776610566</v>
          </cell>
          <cell r="M450">
            <v>72.64517134045046</v>
          </cell>
          <cell r="N450">
            <v>73.263930269519548</v>
          </cell>
          <cell r="O450">
            <v>73.123636910603679</v>
          </cell>
          <cell r="P450">
            <v>73.006780826667821</v>
          </cell>
        </row>
        <row r="451">
          <cell r="B451" t="str">
            <v>G-INTC1</v>
          </cell>
          <cell r="C451" t="str">
            <v>VAR_ncap</v>
          </cell>
          <cell r="D451" t="str">
            <v>-</v>
          </cell>
          <cell r="E451">
            <v>6.6325079117512001E-7</v>
          </cell>
          <cell r="F451">
            <v>6.8992864051115598E-7</v>
          </cell>
          <cell r="G451">
            <v>2.6863515624005302E-6</v>
          </cell>
          <cell r="H451">
            <v>3.7284650378785999E-7</v>
          </cell>
          <cell r="I451">
            <v>5.0877884504809604E-7</v>
          </cell>
          <cell r="J451">
            <v>5.9632787576056E-7</v>
          </cell>
          <cell r="K451">
            <v>8.1928484071510597E-7</v>
          </cell>
          <cell r="L451">
            <v>9.00595120988395E-7</v>
          </cell>
          <cell r="M451">
            <v>1.41252394688411E-6</v>
          </cell>
          <cell r="N451">
            <v>6.24168684403493E-6</v>
          </cell>
        </row>
        <row r="452">
          <cell r="B452" t="str">
            <v>G-INTC1</v>
          </cell>
          <cell r="C452" t="str">
            <v>VAR_cap</v>
          </cell>
          <cell r="D452" t="str">
            <v>-</v>
          </cell>
          <cell r="E452">
            <v>15.305609183965201</v>
          </cell>
          <cell r="F452">
            <v>15.305609183965201</v>
          </cell>
          <cell r="G452">
            <v>15.305609183965201</v>
          </cell>
          <cell r="H452">
            <v>15.305609830028953</v>
          </cell>
          <cell r="I452">
            <v>15.305613313284297</v>
          </cell>
          <cell r="J452">
            <v>15.305613596342699</v>
          </cell>
          <cell r="K452">
            <v>15.305614108360768</v>
          </cell>
          <cell r="L452">
            <v>15.30561470144942</v>
          </cell>
          <cell r="M452">
            <v>15.305615394847804</v>
          </cell>
          <cell r="N452">
            <v>15.305616761490398</v>
          </cell>
          <cell r="O452">
            <v>15.305617833853328</v>
          </cell>
          <cell r="P452">
            <v>15.305624075540171</v>
          </cell>
        </row>
        <row r="453">
          <cell r="B453" t="str">
            <v>EHYD-RUNS00</v>
          </cell>
          <cell r="C453" t="str">
            <v>VAR_fout</v>
          </cell>
          <cell r="D453" t="str">
            <v>ELC35</v>
          </cell>
          <cell r="E453">
            <v>12.240028396306924</v>
          </cell>
          <cell r="F453">
            <v>12.237822619894342</v>
          </cell>
          <cell r="G453">
            <v>12.239241824068587</v>
          </cell>
          <cell r="H453">
            <v>12.246682930127173</v>
          </cell>
          <cell r="I453">
            <v>12.254790060426318</v>
          </cell>
          <cell r="J453">
            <v>12.262789803271456</v>
          </cell>
          <cell r="K453">
            <v>12.271043094700724</v>
          </cell>
          <cell r="L453">
            <v>12.279600849602446</v>
          </cell>
          <cell r="M453">
            <v>12.279376845796223</v>
          </cell>
          <cell r="N453">
            <v>12.279437823271055</v>
          </cell>
          <cell r="O453">
            <v>12.279319985803381</v>
          </cell>
          <cell r="P453">
            <v>12.27326925267641</v>
          </cell>
        </row>
        <row r="454">
          <cell r="B454" t="str">
            <v>EHYD-RUNS00</v>
          </cell>
          <cell r="C454" t="str">
            <v>VAR_fin</v>
          </cell>
          <cell r="D454" t="str">
            <v>HYDR</v>
          </cell>
          <cell r="E454">
            <v>12.240028396306924</v>
          </cell>
          <cell r="F454">
            <v>12.237822619894342</v>
          </cell>
          <cell r="G454">
            <v>12.239241824068587</v>
          </cell>
          <cell r="H454">
            <v>12.246682930127173</v>
          </cell>
          <cell r="I454">
            <v>12.254790060426318</v>
          </cell>
          <cell r="J454">
            <v>12.262789803271456</v>
          </cell>
          <cell r="K454">
            <v>12.271043094700724</v>
          </cell>
          <cell r="L454">
            <v>12.279600849602446</v>
          </cell>
          <cell r="M454">
            <v>12.279376845796223</v>
          </cell>
          <cell r="N454">
            <v>12.279437823271055</v>
          </cell>
          <cell r="O454">
            <v>12.279319985803381</v>
          </cell>
          <cell r="P454">
            <v>12.27326925267641</v>
          </cell>
        </row>
        <row r="455">
          <cell r="B455" t="str">
            <v>EHYD-RUNS00</v>
          </cell>
          <cell r="C455" t="str">
            <v>VAR_cap</v>
          </cell>
          <cell r="D455" t="str">
            <v>-</v>
          </cell>
          <cell r="E455">
            <v>0.85785999999999896</v>
          </cell>
          <cell r="F455">
            <v>0.88297936593724102</v>
          </cell>
          <cell r="G455">
            <v>0.89707999999999899</v>
          </cell>
          <cell r="H455">
            <v>0.89707999999999899</v>
          </cell>
          <cell r="I455">
            <v>0.89707999999999899</v>
          </cell>
          <cell r="J455">
            <v>0.89707999999999899</v>
          </cell>
          <cell r="K455">
            <v>0.89707999999999899</v>
          </cell>
          <cell r="L455">
            <v>0.89707999999999899</v>
          </cell>
          <cell r="M455">
            <v>0.89707999999999899</v>
          </cell>
          <cell r="N455">
            <v>0.89707999999999899</v>
          </cell>
          <cell r="O455">
            <v>0.89707999999999899</v>
          </cell>
          <cell r="P455">
            <v>0.89707999999999899</v>
          </cell>
        </row>
        <row r="456">
          <cell r="B456" t="str">
            <v>RHNS-SHSTG-CHPWOD</v>
          </cell>
          <cell r="C456" t="str">
            <v>VAR_fout</v>
          </cell>
          <cell r="D456" t="str">
            <v>AUX_RNS-CHPWOD_OUT</v>
          </cell>
          <cell r="E456">
            <v>1.0401283923092715E-4</v>
          </cell>
          <cell r="F456">
            <v>1.2740629910700343E-4</v>
          </cell>
          <cell r="G456">
            <v>1.428976360604696E-4</v>
          </cell>
          <cell r="H456">
            <v>2.643129126322836E-3</v>
          </cell>
          <cell r="I456">
            <v>4.3245003354389347E-3</v>
          </cell>
          <cell r="J456">
            <v>5.9232644013270082E-3</v>
          </cell>
          <cell r="K456">
            <v>5.1126050515074642E-3</v>
          </cell>
          <cell r="L456">
            <v>6.3577226556542849E-3</v>
          </cell>
          <cell r="M456">
            <v>1.0058056956439838E-2</v>
          </cell>
          <cell r="N456">
            <v>9.7510008706466964E-3</v>
          </cell>
          <cell r="O456">
            <v>1.3215322184494229E-2</v>
          </cell>
          <cell r="P456">
            <v>2.6110750096509854E-2</v>
          </cell>
        </row>
        <row r="457">
          <cell r="B457" t="str">
            <v>RHNS-SHSTG-CHPWOD</v>
          </cell>
          <cell r="C457" t="str">
            <v>VAR_fout</v>
          </cell>
          <cell r="D457" t="str">
            <v>RHNS_LTH_CHPWOD</v>
          </cell>
          <cell r="E457">
            <v>1.0401283923092691E-4</v>
          </cell>
          <cell r="F457">
            <v>1.2749123663974123E-4</v>
          </cell>
          <cell r="G457">
            <v>1.4304648776469905E-4</v>
          </cell>
          <cell r="H457">
            <v>2.643129126322836E-3</v>
          </cell>
          <cell r="I457">
            <v>4.3284750600119416E-3</v>
          </cell>
          <cell r="J457">
            <v>5.9232644013269874E-3</v>
          </cell>
          <cell r="K457">
            <v>5.1167820164188119E-3</v>
          </cell>
          <cell r="L457">
            <v>6.3577226556542788E-3</v>
          </cell>
          <cell r="M457">
            <v>1.0058056956439835E-2</v>
          </cell>
          <cell r="N457">
            <v>9.7510008706466877E-3</v>
          </cell>
          <cell r="O457">
            <v>1.3215322184494215E-2</v>
          </cell>
          <cell r="P457">
            <v>2.611075009650983E-2</v>
          </cell>
        </row>
        <row r="458">
          <cell r="B458" t="str">
            <v>RHNS-SHSTG-CHPWOD</v>
          </cell>
          <cell r="C458" t="str">
            <v>VAR_fin</v>
          </cell>
          <cell r="D458" t="str">
            <v>AUX_RNS-CHPWOD_IN</v>
          </cell>
          <cell r="E458">
            <v>8.1839829630890666E-5</v>
          </cell>
          <cell r="F458">
            <v>8.4729533512730774E-5</v>
          </cell>
          <cell r="G458">
            <v>1.0481120721095309E-4</v>
          </cell>
          <cell r="H458">
            <v>3.3110169024026994E-3</v>
          </cell>
          <cell r="I458">
            <v>5.2537419309084208E-3</v>
          </cell>
          <cell r="J458">
            <v>6.9756518488782353E-3</v>
          </cell>
          <cell r="K458">
            <v>5.8548563704708591E-3</v>
          </cell>
          <cell r="L458">
            <v>7.0712417788481733E-3</v>
          </cell>
          <cell r="M458">
            <v>1.118272433502044E-2</v>
          </cell>
          <cell r="N458">
            <v>1.0841550906952418E-2</v>
          </cell>
          <cell r="O458">
            <v>1.4690796810707573E-2</v>
          </cell>
          <cell r="P458">
            <v>2.9019050046038362E-2</v>
          </cell>
        </row>
        <row r="459">
          <cell r="B459" t="str">
            <v>RHNS-SHSTG-CHPWOD</v>
          </cell>
          <cell r="C459" t="str">
            <v>VAR_fin</v>
          </cell>
          <cell r="D459" t="str">
            <v>RHNS_LTH_CHPWOD</v>
          </cell>
          <cell r="E459">
            <v>8.1839829630890666E-5</v>
          </cell>
          <cell r="F459">
            <v>8.4729533512730774E-5</v>
          </cell>
          <cell r="G459">
            <v>1.0481120721095309E-4</v>
          </cell>
          <cell r="H459">
            <v>3.3110169024026994E-3</v>
          </cell>
          <cell r="I459">
            <v>5.2537419309084208E-3</v>
          </cell>
          <cell r="J459">
            <v>6.9756518488782353E-3</v>
          </cell>
          <cell r="K459">
            <v>5.8548563704708591E-3</v>
          </cell>
          <cell r="L459">
            <v>7.0712417788481733E-3</v>
          </cell>
          <cell r="M459">
            <v>1.118272433502044E-2</v>
          </cell>
          <cell r="N459">
            <v>1.0841550906952418E-2</v>
          </cell>
          <cell r="O459">
            <v>1.4690796810707573E-2</v>
          </cell>
          <cell r="P459">
            <v>2.9019050046038362E-2</v>
          </cell>
        </row>
        <row r="460">
          <cell r="B460" t="str">
            <v>RHNS-SHSTG-CHPWOD</v>
          </cell>
          <cell r="C460" t="str">
            <v>VAR_ncap</v>
          </cell>
          <cell r="D460" t="str">
            <v>-</v>
          </cell>
          <cell r="E460">
            <v>5.0542901055506502E-3</v>
          </cell>
          <cell r="F460">
            <v>1.2327160145096601E-4</v>
          </cell>
          <cell r="G460">
            <v>2.16582202743016E-4</v>
          </cell>
          <cell r="H460">
            <v>1.87698572208503E-4</v>
          </cell>
          <cell r="I460">
            <v>5.8086219846690997E-3</v>
          </cell>
          <cell r="J460">
            <v>2.3706369798083002E-3</v>
          </cell>
          <cell r="K460">
            <v>3.7945866493802201E-4</v>
          </cell>
          <cell r="L460">
            <v>9.2454939449878801E-3</v>
          </cell>
          <cell r="M460">
            <v>2.4569287690722402E-4</v>
          </cell>
          <cell r="N460">
            <v>6.6576362243346001E-3</v>
          </cell>
          <cell r="O460">
            <v>3.9727332272924002E-3</v>
          </cell>
          <cell r="P460">
            <v>1.59015007361385E-2</v>
          </cell>
        </row>
        <row r="461">
          <cell r="B461" t="str">
            <v>RHNS-SHSTG-CHPWOD</v>
          </cell>
          <cell r="C461" t="str">
            <v>VAR_cap</v>
          </cell>
          <cell r="D461" t="str">
            <v>-</v>
          </cell>
          <cell r="E461">
            <v>5.0542901055506502E-3</v>
          </cell>
          <cell r="F461">
            <v>5.1619353340655351E-3</v>
          </cell>
          <cell r="G461">
            <v>5.339551107043144E-3</v>
          </cell>
          <cell r="H461">
            <v>5.4652533564802002E-3</v>
          </cell>
          <cell r="I461">
            <v>7.4378953209542431E-3</v>
          </cell>
          <cell r="J461">
            <v>8.2805697916237663E-3</v>
          </cell>
          <cell r="K461">
            <v>8.4670009289901042E-3</v>
          </cell>
          <cell r="L461">
            <v>1.1897942684048987E-2</v>
          </cell>
          <cell r="M461">
            <v>1.001347744682694E-2</v>
          </cell>
          <cell r="N461">
            <v>1.600911650263458E-2</v>
          </cell>
          <cell r="O461">
            <v>1.225042785885911E-2</v>
          </cell>
          <cell r="P461">
            <v>2.6408458518950451E-2</v>
          </cell>
        </row>
        <row r="462">
          <cell r="B462" t="str">
            <v>HPLOIL</v>
          </cell>
          <cell r="C462" t="str">
            <v>VAR_fout</v>
          </cell>
          <cell r="D462" t="str">
            <v>LTH</v>
          </cell>
          <cell r="E462">
            <v>0.18409178243891483</v>
          </cell>
          <cell r="F462">
            <v>0.18581060766898236</v>
          </cell>
          <cell r="G462">
            <v>5.1322176178188447E-2</v>
          </cell>
          <cell r="H462">
            <v>5.3299150418887914E-2</v>
          </cell>
          <cell r="I462">
            <v>1.7123303006778931E-3</v>
          </cell>
          <cell r="J462">
            <v>4.9949977493405522E-4</v>
          </cell>
          <cell r="K462">
            <v>5.7547207752482493E-4</v>
          </cell>
          <cell r="L462">
            <v>8.5700114961330355E-5</v>
          </cell>
          <cell r="M462">
            <v>4.7958283253445361E-5</v>
          </cell>
          <cell r="N462">
            <v>3.3055506242223246E-5</v>
          </cell>
          <cell r="O462">
            <v>3.4902887286525807E-5</v>
          </cell>
          <cell r="P462">
            <v>2.8383377923708959E-5</v>
          </cell>
        </row>
        <row r="463">
          <cell r="B463" t="str">
            <v>HPLOIL</v>
          </cell>
          <cell r="C463" t="str">
            <v>VAR_fout</v>
          </cell>
          <cell r="D463" t="str">
            <v>CO2_E</v>
          </cell>
          <cell r="E463">
            <v>15.878617585847801</v>
          </cell>
          <cell r="F463">
            <v>16.026872810299199</v>
          </cell>
          <cell r="G463">
            <v>4.4267332219316602</v>
          </cell>
          <cell r="H463">
            <v>4.59725478204287</v>
          </cell>
          <cell r="I463">
            <v>0.14769501204729699</v>
          </cell>
          <cell r="J463">
            <v>4.3083758575843303E-2</v>
          </cell>
          <cell r="K463">
            <v>4.96366591125929E-2</v>
          </cell>
          <cell r="L463">
            <v>7.3919614146041096E-3</v>
          </cell>
          <cell r="M463">
            <v>4.1365846414568204E-3</v>
          </cell>
          <cell r="N463">
            <v>2.8511633478318301E-3</v>
          </cell>
          <cell r="O463">
            <v>3.0105070010313399E-3</v>
          </cell>
          <cell r="P463">
            <v>2.4481744805459498E-3</v>
          </cell>
        </row>
        <row r="464">
          <cell r="B464" t="str">
            <v>HPLOIL</v>
          </cell>
          <cell r="C464" t="str">
            <v>VAR_fin</v>
          </cell>
          <cell r="D464" t="str">
            <v>ELFO</v>
          </cell>
          <cell r="E464">
            <v>0.215449356660078</v>
          </cell>
          <cell r="F464">
            <v>0.21746096079103394</v>
          </cell>
          <cell r="G464">
            <v>6.0064222821325133E-2</v>
          </cell>
          <cell r="H464">
            <v>6.2377948195968418E-2</v>
          </cell>
          <cell r="I464">
            <v>2.0040028771682139E-3</v>
          </cell>
          <cell r="J464">
            <v>5.8458288433980066E-4</v>
          </cell>
          <cell r="K464">
            <v>6.7349605308809901E-4</v>
          </cell>
          <cell r="L464">
            <v>1.0029798391593101E-4</v>
          </cell>
          <cell r="M464">
            <v>5.6127335704977204E-5</v>
          </cell>
          <cell r="N464">
            <v>3.8686069848464518E-5</v>
          </cell>
          <cell r="O464">
            <v>4.0848127558091401E-5</v>
          </cell>
          <cell r="P464">
            <v>3.3218106927353446E-5</v>
          </cell>
        </row>
        <row r="465">
          <cell r="B465" t="str">
            <v>HPLOIL</v>
          </cell>
          <cell r="C465" t="str">
            <v>VAR_ncap</v>
          </cell>
          <cell r="D465" t="str">
            <v>-</v>
          </cell>
          <cell r="E465">
            <v>8.2316849842054194E-5</v>
          </cell>
          <cell r="F465">
            <v>5.91566160689851E-5</v>
          </cell>
          <cell r="G465">
            <v>5.6148057940570797E-5</v>
          </cell>
          <cell r="H465">
            <v>5.4336780910179501E-5</v>
          </cell>
          <cell r="I465">
            <v>1.6901722713792799E-3</v>
          </cell>
          <cell r="J465">
            <v>1.27640046072585E-4</v>
          </cell>
          <cell r="K465">
            <v>2.4372654141677899E-4</v>
          </cell>
          <cell r="L465">
            <v>1.0379580224076799E-3</v>
          </cell>
          <cell r="M465">
            <v>2.8030904915342001E-4</v>
          </cell>
          <cell r="N465">
            <v>1.5666667282077701E-3</v>
          </cell>
          <cell r="O465">
            <v>3.5945089938661801E-4</v>
          </cell>
          <cell r="P465">
            <v>3.8080581199576302E-3</v>
          </cell>
        </row>
        <row r="466">
          <cell r="B466" t="str">
            <v>HPLOIL</v>
          </cell>
          <cell r="C466" t="str">
            <v>VAR_cap</v>
          </cell>
          <cell r="D466" t="str">
            <v>-</v>
          </cell>
          <cell r="E466">
            <v>2.8635227044015055E-2</v>
          </cell>
          <cell r="F466">
            <v>2.4932000193082844E-2</v>
          </cell>
          <cell r="G466">
            <v>1.6528944434504911E-2</v>
          </cell>
          <cell r="H466">
            <v>7.495057889933588E-3</v>
          </cell>
          <cell r="I466">
            <v>1.8687961904884111E-3</v>
          </cell>
          <cell r="J466">
            <v>1.9128715383784245E-3</v>
          </cell>
          <cell r="K466">
            <v>2.0628197241352089E-3</v>
          </cell>
          <cell r="L466">
            <v>3.0376845908787402E-3</v>
          </cell>
          <cell r="M466">
            <v>2.1049633094028797E-3</v>
          </cell>
          <cell r="N466">
            <v>3.048432813941133E-3</v>
          </cell>
          <cell r="O466">
            <v>3.1560931008166116E-3</v>
          </cell>
          <cell r="P466">
            <v>5.9023575392610972E-3</v>
          </cell>
        </row>
        <row r="467">
          <cell r="B467" t="str">
            <v>V2G</v>
          </cell>
          <cell r="C467" t="str">
            <v>VAR_fout</v>
          </cell>
          <cell r="D467" t="str">
            <v>ELC35</v>
          </cell>
          <cell r="H467">
            <v>0.17950235637961198</v>
          </cell>
          <cell r="I467">
            <v>1.4125104272337294</v>
          </cell>
          <cell r="J467">
            <v>4.3539057757191282</v>
          </cell>
          <cell r="K467">
            <v>10.005943081087432</v>
          </cell>
          <cell r="L467">
            <v>13.253563492591342</v>
          </cell>
          <cell r="M467">
            <v>13.006566044800236</v>
          </cell>
          <cell r="N467">
            <v>14.340355791005619</v>
          </cell>
          <cell r="O467">
            <v>13.888241880670098</v>
          </cell>
          <cell r="P467">
            <v>14.754849689777245</v>
          </cell>
        </row>
        <row r="468">
          <cell r="B468" t="str">
            <v>V2G</v>
          </cell>
          <cell r="C468" t="str">
            <v>VAR_fin</v>
          </cell>
          <cell r="D468" t="str">
            <v>T-ELC-Bus_c_BatSTGout_S1</v>
          </cell>
          <cell r="H468">
            <v>3.9404569328717375E-3</v>
          </cell>
          <cell r="I468">
            <v>8.6617863120727404E-3</v>
          </cell>
          <cell r="J468">
            <v>5.8194765425894539E-3</v>
          </cell>
          <cell r="K468">
            <v>5.2277796039399372E-3</v>
          </cell>
          <cell r="L468">
            <v>5.9497491477830938E-3</v>
          </cell>
          <cell r="M468">
            <v>6.2617170901609082E-3</v>
          </cell>
          <cell r="N468">
            <v>8.066525090669378E-3</v>
          </cell>
          <cell r="O468">
            <v>7.0178091623610836E-3</v>
          </cell>
          <cell r="P468">
            <v>1.2117570687091635E-2</v>
          </cell>
        </row>
        <row r="469">
          <cell r="B469" t="str">
            <v>V2G</v>
          </cell>
          <cell r="C469" t="str">
            <v>VAR_fin</v>
          </cell>
          <cell r="D469" t="str">
            <v>T-ELC-Bus_c_BatSTGout_S2</v>
          </cell>
          <cell r="H469">
            <v>4.4204840853555531E-3</v>
          </cell>
          <cell r="I469">
            <v>7.053121579812068E-3</v>
          </cell>
          <cell r="J469">
            <v>6.5199217540355932E-3</v>
          </cell>
          <cell r="K469">
            <v>6.0948594024468165E-3</v>
          </cell>
          <cell r="L469">
            <v>6.8624972193273319E-3</v>
          </cell>
          <cell r="M469">
            <v>6.9520718422937909E-3</v>
          </cell>
          <cell r="N469">
            <v>8.7898515649218051E-3</v>
          </cell>
          <cell r="O469">
            <v>7.7588419848032301E-3</v>
          </cell>
          <cell r="P469">
            <v>1.301034956516634E-2</v>
          </cell>
        </row>
        <row r="470">
          <cell r="B470" t="str">
            <v>V2G</v>
          </cell>
          <cell r="C470" t="str">
            <v>VAR_fin</v>
          </cell>
          <cell r="D470" t="str">
            <v>T-ELC-Bus_c_BatSTGout_S3</v>
          </cell>
          <cell r="H470">
            <v>4.7457383835200609E-4</v>
          </cell>
          <cell r="I470">
            <v>2.9479629459799447E-3</v>
          </cell>
          <cell r="J470">
            <v>3.260627211155726E-3</v>
          </cell>
          <cell r="K470">
            <v>2.9770244241621321E-3</v>
          </cell>
          <cell r="L470">
            <v>3.9094271866976053E-3</v>
          </cell>
          <cell r="M470">
            <v>3.8884882718722919E-3</v>
          </cell>
          <cell r="N470">
            <v>4.5828276387230808E-3</v>
          </cell>
          <cell r="O470">
            <v>4.3791173683193699E-3</v>
          </cell>
          <cell r="P470">
            <v>6.366709239365497E-3</v>
          </cell>
        </row>
        <row r="471">
          <cell r="B471" t="str">
            <v>V2G</v>
          </cell>
          <cell r="C471" t="str">
            <v>VAR_fin</v>
          </cell>
          <cell r="D471" t="str">
            <v>T-ELC-Bus_c_BatSTGout_S4</v>
          </cell>
          <cell r="H471">
            <v>8.4528159647016311E-4</v>
          </cell>
          <cell r="I471">
            <v>5.7542469910683498E-4</v>
          </cell>
          <cell r="J471">
            <v>1.2436885001111924E-3</v>
          </cell>
          <cell r="K471">
            <v>1.4414533880446909E-3</v>
          </cell>
          <cell r="L471">
            <v>2.2855641504020098E-3</v>
          </cell>
          <cell r="M471">
            <v>2.3353556834928599E-3</v>
          </cell>
          <cell r="N471">
            <v>2.2525028314048204E-3</v>
          </cell>
          <cell r="O471">
            <v>3.0100052327476372E-3</v>
          </cell>
          <cell r="P471">
            <v>3.949213780274948E-3</v>
          </cell>
        </row>
        <row r="472">
          <cell r="B472" t="str">
            <v>V2G</v>
          </cell>
          <cell r="C472" t="str">
            <v>VAR_fin</v>
          </cell>
          <cell r="D472" t="str">
            <v>T-ELC-car-BatSTGOut_S1</v>
          </cell>
          <cell r="H472">
            <v>1.9737479831832331E-2</v>
          </cell>
          <cell r="I472">
            <v>0.28703948264110862</v>
          </cell>
          <cell r="J472">
            <v>1.4401059368686862</v>
          </cell>
          <cell r="K472">
            <v>2.7228783908982175</v>
          </cell>
          <cell r="L472">
            <v>4.0157246335167835</v>
          </cell>
          <cell r="M472">
            <v>3.3461516430477807</v>
          </cell>
          <cell r="N472">
            <v>4.0447482342508678</v>
          </cell>
          <cell r="O472">
            <v>3.7886128282317206</v>
          </cell>
          <cell r="P472">
            <v>4.3287438807945398</v>
          </cell>
        </row>
        <row r="473">
          <cell r="B473" t="str">
            <v>V2G</v>
          </cell>
          <cell r="C473" t="str">
            <v>VAR_fin</v>
          </cell>
          <cell r="D473" t="str">
            <v>T-ELC-car-BatSTGOut_S2</v>
          </cell>
          <cell r="H473">
            <v>1.5857236026929691E-2</v>
          </cell>
          <cell r="I473">
            <v>0.12697997917738699</v>
          </cell>
          <cell r="J473">
            <v>0.57305964072533688</v>
          </cell>
          <cell r="K473">
            <v>1.5130435519352203</v>
          </cell>
          <cell r="L473">
            <v>2.2880592691897332</v>
          </cell>
          <cell r="M473">
            <v>2.1312285045806973</v>
          </cell>
          <cell r="N473">
            <v>2.3598029016946054</v>
          </cell>
          <cell r="O473">
            <v>2.4048487592040173</v>
          </cell>
          <cell r="P473">
            <v>2.6047902665046392</v>
          </cell>
        </row>
        <row r="474">
          <cell r="B474" t="str">
            <v>V2G</v>
          </cell>
          <cell r="C474" t="str">
            <v>VAR_fin</v>
          </cell>
          <cell r="D474" t="str">
            <v>T-ELC-car-BatSTGOut_S3</v>
          </cell>
          <cell r="H474">
            <v>2.0784800588494759E-2</v>
          </cell>
          <cell r="I474">
            <v>0.18270764099886047</v>
          </cell>
          <cell r="J474">
            <v>0.61831551063017864</v>
          </cell>
          <cell r="K474">
            <v>1.661576510404722</v>
          </cell>
          <cell r="L474">
            <v>2.3370640208887683</v>
          </cell>
          <cell r="M474">
            <v>2.0646158733876687</v>
          </cell>
          <cell r="N474">
            <v>2.3550165699738641</v>
          </cell>
          <cell r="O474">
            <v>2.2135538657153826</v>
          </cell>
          <cell r="P474">
            <v>2.0714199814090084</v>
          </cell>
        </row>
        <row r="475">
          <cell r="B475" t="str">
            <v>V2G</v>
          </cell>
          <cell r="C475" t="str">
            <v>VAR_fin</v>
          </cell>
          <cell r="D475" t="str">
            <v>T-ELC-car-BatSTGOut_S4</v>
          </cell>
          <cell r="H475">
            <v>1.487398783987043E-2</v>
          </cell>
          <cell r="I475">
            <v>0.13611002463653535</v>
          </cell>
          <cell r="J475">
            <v>0.5553899216487872</v>
          </cell>
          <cell r="K475">
            <v>1.5569493288369882</v>
          </cell>
          <cell r="L475">
            <v>2.194329247556936</v>
          </cell>
          <cell r="M475">
            <v>2.1239303080057201</v>
          </cell>
          <cell r="N475">
            <v>2.3055031070907428</v>
          </cell>
          <cell r="O475">
            <v>2.4797669612102058</v>
          </cell>
          <cell r="P475">
            <v>2.3983273602506601</v>
          </cell>
        </row>
        <row r="476">
          <cell r="B476" t="str">
            <v>V2G</v>
          </cell>
          <cell r="C476" t="str">
            <v>VAR_fin</v>
          </cell>
          <cell r="D476" t="str">
            <v>T-ELC-car-PlgSTGOut_S1</v>
          </cell>
          <cell r="H476">
            <v>2.1302133840841366E-3</v>
          </cell>
          <cell r="I476">
            <v>4.1340198720051817E-3</v>
          </cell>
          <cell r="J476">
            <v>3.3681778898718481E-3</v>
          </cell>
          <cell r="K476">
            <v>1.2353714646389692E-2</v>
          </cell>
          <cell r="L476">
            <v>1.074516065923789E-2</v>
          </cell>
          <cell r="M476">
            <v>3.3576653176628446E-2</v>
          </cell>
          <cell r="N476">
            <v>3.4343830310045446E-2</v>
          </cell>
          <cell r="O476">
            <v>2.9507241516380692E-2</v>
          </cell>
          <cell r="P476">
            <v>2.7434557630090426E-2</v>
          </cell>
        </row>
        <row r="477">
          <cell r="B477" t="str">
            <v>V2G</v>
          </cell>
          <cell r="C477" t="str">
            <v>VAR_fin</v>
          </cell>
          <cell r="D477" t="str">
            <v>T-ELC-car-PlgSTGOut_S2</v>
          </cell>
          <cell r="H477">
            <v>9.0724207501944047E-4</v>
          </cell>
          <cell r="I477">
            <v>1.8121024704046136E-3</v>
          </cell>
          <cell r="J477">
            <v>3.175480439155734E-3</v>
          </cell>
          <cell r="K477">
            <v>7.3368113952705614E-3</v>
          </cell>
          <cell r="L477">
            <v>1.4647842773294138E-2</v>
          </cell>
          <cell r="M477">
            <v>1.5503527205309935E-2</v>
          </cell>
          <cell r="N477">
            <v>2.961219507279924E-2</v>
          </cell>
          <cell r="O477">
            <v>2.9808089032078499E-2</v>
          </cell>
          <cell r="P477">
            <v>4.2229770829296701E-2</v>
          </cell>
        </row>
        <row r="478">
          <cell r="B478" t="str">
            <v>V2G</v>
          </cell>
          <cell r="C478" t="str">
            <v>VAR_fin</v>
          </cell>
          <cell r="D478" t="str">
            <v>T-ELC-car-PlgSTGOut_S3</v>
          </cell>
          <cell r="H478">
            <v>1.6855399398043164E-2</v>
          </cell>
          <cell r="I478">
            <v>0.23110017155663123</v>
          </cell>
          <cell r="J478">
            <v>0.59272339809073993</v>
          </cell>
          <cell r="K478">
            <v>1.3605080244527323</v>
          </cell>
          <cell r="L478">
            <v>1.0292390664386331</v>
          </cell>
          <cell r="M478">
            <v>1.1654206178814133</v>
          </cell>
          <cell r="N478">
            <v>3.272350818972844E-2</v>
          </cell>
          <cell r="O478">
            <v>2.8665587580540056E-2</v>
          </cell>
          <cell r="P478">
            <v>1.824628754627396E-2</v>
          </cell>
        </row>
        <row r="479">
          <cell r="B479" t="str">
            <v>V2G</v>
          </cell>
          <cell r="C479" t="str">
            <v>VAR_fin</v>
          </cell>
          <cell r="D479" t="str">
            <v>T-ELC-TWSTGout_S1</v>
          </cell>
          <cell r="H479">
            <v>4.9351199688969826E-3</v>
          </cell>
          <cell r="I479">
            <v>1.5429689266188805E-2</v>
          </cell>
          <cell r="J479">
            <v>1.3448532444331735E-2</v>
          </cell>
          <cell r="K479">
            <v>9.3010191128767225E-3</v>
          </cell>
          <cell r="L479">
            <v>2.2637416432823392E-2</v>
          </cell>
          <cell r="M479">
            <v>1.3984943761718766E-2</v>
          </cell>
          <cell r="N479">
            <v>2.6756673008969178E-2</v>
          </cell>
          <cell r="O479">
            <v>1.957507289627294E-2</v>
          </cell>
          <cell r="P479">
            <v>4.6333269702907569E-2</v>
          </cell>
        </row>
        <row r="480">
          <cell r="B480" t="str">
            <v>V2G</v>
          </cell>
          <cell r="C480" t="str">
            <v>VAR_fin</v>
          </cell>
          <cell r="D480" t="str">
            <v>T-ELC-car-PlgSTGOut_S4</v>
          </cell>
          <cell r="H480">
            <v>1.4404497624517261E-2</v>
          </cell>
          <cell r="I480">
            <v>0.27013741230692251</v>
          </cell>
          <cell r="J480">
            <v>0.34407718301981965</v>
          </cell>
          <cell r="K480">
            <v>0.91468872931689704</v>
          </cell>
          <cell r="L480">
            <v>0.91919220089690001</v>
          </cell>
          <cell r="M480">
            <v>1.8025653947996259</v>
          </cell>
          <cell r="N480">
            <v>2.684311087120451</v>
          </cell>
          <cell r="O480">
            <v>2.4918111901295816</v>
          </cell>
          <cell r="P480">
            <v>2.5246402996535315</v>
          </cell>
        </row>
        <row r="481">
          <cell r="B481" t="str">
            <v>V2G</v>
          </cell>
          <cell r="C481" t="str">
            <v>VAR_fin</v>
          </cell>
          <cell r="D481" t="str">
            <v>T-ELC-TWSTGout_S2</v>
          </cell>
          <cell r="H481">
            <v>1.0807155939374662E-2</v>
          </cell>
          <cell r="I481">
            <v>1.8930622568625911E-2</v>
          </cell>
          <cell r="J481">
            <v>1.9480113850645877E-2</v>
          </cell>
          <cell r="K481">
            <v>1.8462526898645915E-2</v>
          </cell>
          <cell r="L481">
            <v>3.6091311124343606E-2</v>
          </cell>
          <cell r="M481">
            <v>3.0909971569966783E-2</v>
          </cell>
          <cell r="N481">
            <v>4.9322533975537743E-2</v>
          </cell>
          <cell r="O481">
            <v>3.7814497590288612E-2</v>
          </cell>
          <cell r="P481">
            <v>7.7475883922205654E-2</v>
          </cell>
        </row>
        <row r="482">
          <cell r="B482" t="str">
            <v>V2G</v>
          </cell>
          <cell r="C482" t="str">
            <v>VAR_fin</v>
          </cell>
          <cell r="D482" t="str">
            <v>T-ELC-TWSTGout_S3</v>
          </cell>
          <cell r="H482">
            <v>1.2569029803037835E-2</v>
          </cell>
          <cell r="I482">
            <v>3.076108591024334E-2</v>
          </cell>
          <cell r="J482">
            <v>3.1526168078116833E-2</v>
          </cell>
          <cell r="K482">
            <v>2.8336163949337349E-2</v>
          </cell>
          <cell r="L482">
            <v>5.8845671561641409E-2</v>
          </cell>
          <cell r="M482">
            <v>4.5738878322874897E-2</v>
          </cell>
          <cell r="N482">
            <v>6.3220554622407596E-2</v>
          </cell>
          <cell r="O482">
            <v>6.208811374880422E-2</v>
          </cell>
          <cell r="P482">
            <v>0.11099670852210149</v>
          </cell>
        </row>
        <row r="483">
          <cell r="B483" t="str">
            <v>V2G</v>
          </cell>
          <cell r="C483" t="str">
            <v>VAR_fin</v>
          </cell>
          <cell r="D483" t="str">
            <v>T-ELC-TWSTGout_S4</v>
          </cell>
          <cell r="H483">
            <v>1.4700839122765015E-2</v>
          </cell>
          <cell r="I483">
            <v>3.1581771206555781E-2</v>
          </cell>
          <cell r="J483">
            <v>3.7536809224315737E-2</v>
          </cell>
          <cell r="K483">
            <v>3.922027357444044E-2</v>
          </cell>
          <cell r="L483">
            <v>6.8566515526030103E-2</v>
          </cell>
          <cell r="M483">
            <v>5.8046884308956187E-2</v>
          </cell>
          <cell r="N483">
            <v>8.5491676107288639E-2</v>
          </cell>
          <cell r="O483">
            <v>7.9260297348875519E-2</v>
          </cell>
          <cell r="P483">
            <v>0.14568943575791088</v>
          </cell>
        </row>
        <row r="484">
          <cell r="B484" t="str">
            <v>V2G</v>
          </cell>
          <cell r="C484" t="str">
            <v>VAR_fin</v>
          </cell>
          <cell r="D484" t="str">
            <v>T-ELC-Bus_u_BatSTGout_S1</v>
          </cell>
          <cell r="H484">
            <v>6.603143177160972E-4</v>
          </cell>
          <cell r="I484">
            <v>1.0664177776341234E-3</v>
          </cell>
          <cell r="J484">
            <v>9.9732350220102582E-4</v>
          </cell>
          <cell r="K484">
            <v>1.4734195934221347E-3</v>
          </cell>
          <cell r="L484">
            <v>3.1615297342361152E-3</v>
          </cell>
          <cell r="M484">
            <v>2.305647852734764E-3</v>
          </cell>
          <cell r="N484">
            <v>4.129598111945347E-3</v>
          </cell>
          <cell r="O484">
            <v>2.9615499310613222E-3</v>
          </cell>
          <cell r="P484">
            <v>7.1576467298908389E-3</v>
          </cell>
        </row>
        <row r="485">
          <cell r="B485" t="str">
            <v>V2G</v>
          </cell>
          <cell r="C485" t="str">
            <v>VAR_fin</v>
          </cell>
          <cell r="D485" t="str">
            <v>T-ELC-Bus_u_BatSTGout_S2</v>
          </cell>
          <cell r="H485">
            <v>6.0159460675605696E-4</v>
          </cell>
          <cell r="I485">
            <v>9.1371048592996877E-4</v>
          </cell>
          <cell r="J485">
            <v>9.4023355836928653E-4</v>
          </cell>
          <cell r="K485">
            <v>1.2967891095349697E-3</v>
          </cell>
          <cell r="L485">
            <v>3.1044726864599488E-3</v>
          </cell>
          <cell r="M485">
            <v>2.1925583588877522E-3</v>
          </cell>
          <cell r="N485">
            <v>3.8863635535156382E-3</v>
          </cell>
          <cell r="O485">
            <v>2.9360152885068345E-3</v>
          </cell>
          <cell r="P485">
            <v>6.6287540584902003E-3</v>
          </cell>
        </row>
        <row r="486">
          <cell r="B486" t="str">
            <v>V2G</v>
          </cell>
          <cell r="C486" t="str">
            <v>VAR_fin</v>
          </cell>
          <cell r="D486" t="str">
            <v>T-ELC-Bus_u_BatSTGout_S3</v>
          </cell>
          <cell r="H486">
            <v>2.5620411744483278E-4</v>
          </cell>
          <cell r="I486">
            <v>3.554212185183612E-4</v>
          </cell>
          <cell r="J486">
            <v>3.8181583635913123E-4</v>
          </cell>
          <cell r="K486">
            <v>5.6215621355045506E-4</v>
          </cell>
          <cell r="L486">
            <v>1.2680005742748727E-3</v>
          </cell>
          <cell r="M486">
            <v>8.4639624242567124E-4</v>
          </cell>
          <cell r="N486">
            <v>1.2589940443042508E-3</v>
          </cell>
          <cell r="O486">
            <v>1.0846353685084352E-3</v>
          </cell>
          <cell r="P486">
            <v>2.2877435087089808E-3</v>
          </cell>
        </row>
        <row r="487">
          <cell r="B487" t="str">
            <v>V2G</v>
          </cell>
          <cell r="C487" t="str">
            <v>VAR_fin</v>
          </cell>
          <cell r="D487" t="str">
            <v>T-ELC-Bus_u_BatSTGout_S4</v>
          </cell>
          <cell r="H487">
            <v>8.0511256049734241E-4</v>
          </cell>
          <cell r="I487">
            <v>8.1477450515360318E-4</v>
          </cell>
          <cell r="J487">
            <v>1.0304844605260224E-3</v>
          </cell>
          <cell r="K487">
            <v>1.1959828099160415E-3</v>
          </cell>
          <cell r="L487">
            <v>2.5870124144859326E-3</v>
          </cell>
          <cell r="M487">
            <v>1.7711293327812127E-3</v>
          </cell>
          <cell r="N487">
            <v>2.3236630978368884E-3</v>
          </cell>
          <cell r="O487">
            <v>2.4647554962619923E-3</v>
          </cell>
          <cell r="P487">
            <v>3.9984359265034788E-3</v>
          </cell>
        </row>
        <row r="488">
          <cell r="B488" t="str">
            <v>V2G</v>
          </cell>
          <cell r="C488" t="str">
            <v>VAR_fin</v>
          </cell>
          <cell r="D488" t="str">
            <v>T-ELC-LGV_BatSTGout</v>
          </cell>
          <cell r="H488">
            <v>2.9588102860352229E-3</v>
          </cell>
          <cell r="I488">
            <v>2.6050900485222574E-3</v>
          </cell>
          <cell r="J488">
            <v>2.4355800116413954E-3</v>
          </cell>
          <cell r="K488">
            <v>3.0499864334952815E-3</v>
          </cell>
          <cell r="L488">
            <v>5.9963536740643402E-3</v>
          </cell>
          <cell r="M488">
            <v>3.3782750627195288E-3</v>
          </cell>
          <cell r="N488">
            <v>6.4797933740665991E-3</v>
          </cell>
          <cell r="O488">
            <v>4.3943077259555093E-3</v>
          </cell>
          <cell r="P488">
            <v>1.0476199413069929E-2</v>
          </cell>
        </row>
        <row r="489">
          <cell r="B489" t="str">
            <v>V2G</v>
          </cell>
          <cell r="C489" t="str">
            <v>VAR_fin</v>
          </cell>
          <cell r="D489" t="str">
            <v>T-ELC-HGV_BatSTGout</v>
          </cell>
          <cell r="H489">
            <v>1.6850472639719439E-2</v>
          </cell>
          <cell r="I489">
            <v>5.1581803267343178E-2</v>
          </cell>
          <cell r="J489">
            <v>9.9834532772347148E-2</v>
          </cell>
          <cell r="K489">
            <v>0.13872838388087666</v>
          </cell>
          <cell r="L489">
            <v>0.22401908509419682</v>
          </cell>
          <cell r="M489">
            <v>0.14569799633997507</v>
          </cell>
          <cell r="N489">
            <v>0.22848351464133451</v>
          </cell>
          <cell r="O489">
            <v>0.18764772326659662</v>
          </cell>
          <cell r="P489">
            <v>0.2932083176025157</v>
          </cell>
        </row>
        <row r="490">
          <cell r="B490" t="str">
            <v>V2G</v>
          </cell>
          <cell r="C490" t="str">
            <v>VAR_ncap</v>
          </cell>
          <cell r="D490" t="str">
            <v>-</v>
          </cell>
          <cell r="H490">
            <v>3.0062690304634699E-2</v>
          </cell>
          <cell r="I490">
            <v>1.33660115634689</v>
          </cell>
          <cell r="J490">
            <v>2.93830304035464</v>
          </cell>
          <cell r="K490">
            <v>2.18067741909173</v>
          </cell>
          <cell r="L490">
            <v>2.6459127754598701</v>
          </cell>
          <cell r="M490">
            <v>2.1059010977927102</v>
          </cell>
          <cell r="N490">
            <v>2.81337444882395</v>
          </cell>
          <cell r="O490">
            <v>2.4729298171674201</v>
          </cell>
          <cell r="P490">
            <v>1.8032104479204201</v>
          </cell>
        </row>
        <row r="491">
          <cell r="B491" t="str">
            <v>V2G</v>
          </cell>
          <cell r="C491" t="str">
            <v>VAR_cap</v>
          </cell>
          <cell r="D491" t="str">
            <v>-</v>
          </cell>
          <cell r="H491">
            <v>3.0062690304634699E-2</v>
          </cell>
          <cell r="I491">
            <v>1.3666471463362422</v>
          </cell>
          <cell r="J491">
            <v>4.2991952784467848</v>
          </cell>
          <cell r="K491">
            <v>6.4555356246375171</v>
          </cell>
          <cell r="L491">
            <v>7.764818291675545</v>
          </cell>
          <cell r="M491">
            <v>7.0949523665139438</v>
          </cell>
          <cell r="N491">
            <v>7.5651055302013717</v>
          </cell>
          <cell r="O491">
            <v>7.1931322484687543</v>
          </cell>
          <cell r="P491">
            <v>7.0894211192266088</v>
          </cell>
        </row>
        <row r="492">
          <cell r="B492" t="str">
            <v>D-EBIO</v>
          </cell>
          <cell r="C492" t="str">
            <v>VAR_fout</v>
          </cell>
          <cell r="D492" t="str">
            <v>EBIO</v>
          </cell>
          <cell r="E492">
            <v>1.1839863991542838</v>
          </cell>
          <cell r="F492">
            <v>1.183988001088214</v>
          </cell>
          <cell r="G492">
            <v>1.1839900402719357</v>
          </cell>
          <cell r="H492">
            <v>1.1839928636471257</v>
          </cell>
          <cell r="I492">
            <v>1.1839987834892971</v>
          </cell>
          <cell r="J492">
            <v>1.1840039940839351</v>
          </cell>
          <cell r="K492">
            <v>1.1840082507879339</v>
          </cell>
          <cell r="L492">
            <v>1.1840155606532068</v>
          </cell>
          <cell r="M492">
            <v>1.1840247969044022</v>
          </cell>
          <cell r="N492">
            <v>1.1840291455915997</v>
          </cell>
          <cell r="O492">
            <v>1.1840545035596064</v>
          </cell>
          <cell r="P492">
            <v>1.3314144161976222</v>
          </cell>
        </row>
        <row r="493">
          <cell r="B493" t="str">
            <v>D-EBIO</v>
          </cell>
          <cell r="C493" t="str">
            <v>VAR_fin</v>
          </cell>
          <cell r="D493" t="str">
            <v>BIO</v>
          </cell>
          <cell r="E493">
            <v>1.1839863991542838</v>
          </cell>
          <cell r="F493">
            <v>1.183988001088214</v>
          </cell>
          <cell r="G493">
            <v>1.1839900402719357</v>
          </cell>
          <cell r="H493">
            <v>1.1839928636471257</v>
          </cell>
          <cell r="I493">
            <v>1.1839987834892971</v>
          </cell>
          <cell r="J493">
            <v>1.1840039940839351</v>
          </cell>
          <cell r="K493">
            <v>1.1840082507879339</v>
          </cell>
          <cell r="L493">
            <v>1.1840155606532068</v>
          </cell>
          <cell r="M493">
            <v>1.1840247969044022</v>
          </cell>
          <cell r="N493">
            <v>1.1840291455915997</v>
          </cell>
          <cell r="O493">
            <v>1.1840545035596064</v>
          </cell>
          <cell r="P493">
            <v>1.3314144161976222</v>
          </cell>
        </row>
        <row r="494">
          <cell r="B494" t="str">
            <v>G-INTC3</v>
          </cell>
          <cell r="C494" t="str">
            <v>VAR_fout</v>
          </cell>
          <cell r="D494" t="str">
            <v>ELC35</v>
          </cell>
          <cell r="E494">
            <v>145.48136733686079</v>
          </cell>
          <cell r="F494">
            <v>105.38841473100697</v>
          </cell>
          <cell r="G494">
            <v>99.026600100372349</v>
          </cell>
          <cell r="H494">
            <v>134.55772834783104</v>
          </cell>
          <cell r="I494">
            <v>86.302398817246015</v>
          </cell>
          <cell r="J494">
            <v>116.16175670427646</v>
          </cell>
          <cell r="K494">
            <v>54.261461819295604</v>
          </cell>
          <cell r="L494">
            <v>92.955967069961147</v>
          </cell>
          <cell r="M494">
            <v>58.628458576236014</v>
          </cell>
          <cell r="N494">
            <v>59.461930271914085</v>
          </cell>
          <cell r="O494">
            <v>63.384369606264329</v>
          </cell>
          <cell r="P494">
            <v>64.490918187863244</v>
          </cell>
        </row>
        <row r="495">
          <cell r="B495" t="str">
            <v>G-INTC3</v>
          </cell>
          <cell r="C495" t="str">
            <v>VAR_fout</v>
          </cell>
          <cell r="D495" t="str">
            <v>ELC3</v>
          </cell>
          <cell r="E495">
            <v>30.468226693952765</v>
          </cell>
          <cell r="F495">
            <v>69.884265159625869</v>
          </cell>
          <cell r="G495">
            <v>81.034300131148441</v>
          </cell>
          <cell r="H495">
            <v>45.849366033185738</v>
          </cell>
          <cell r="I495">
            <v>81.411529422945677</v>
          </cell>
          <cell r="J495">
            <v>33.12665508295995</v>
          </cell>
          <cell r="K495">
            <v>71.306688817941364</v>
          </cell>
          <cell r="L495">
            <v>30.930313376834683</v>
          </cell>
          <cell r="M495">
            <v>66.479776129920083</v>
          </cell>
          <cell r="N495">
            <v>67.14880200125279</v>
          </cell>
          <cell r="O495">
            <v>63.186146957423844</v>
          </cell>
          <cell r="P495">
            <v>62.020321373209676</v>
          </cell>
        </row>
        <row r="496">
          <cell r="B496" t="str">
            <v>G-INTC3</v>
          </cell>
          <cell r="C496" t="str">
            <v>VAR_fout</v>
          </cell>
          <cell r="D496" t="str">
            <v>ELC</v>
          </cell>
          <cell r="E496">
            <v>7.2806195519155723E-2</v>
          </cell>
          <cell r="F496">
            <v>9.0663797974829992E-3</v>
          </cell>
          <cell r="G496">
            <v>9.3081360471517997E-3</v>
          </cell>
          <cell r="H496">
            <v>6.499689476006325E-3</v>
          </cell>
          <cell r="I496">
            <v>0.25907448848048487</v>
          </cell>
          <cell r="J496">
            <v>3.5196568391105769</v>
          </cell>
          <cell r="K496">
            <v>4.9844781530277826</v>
          </cell>
          <cell r="L496">
            <v>4.4546779071139619</v>
          </cell>
          <cell r="M496">
            <v>3.4606004975079174</v>
          </cell>
          <cell r="N496">
            <v>3.987676534551476</v>
          </cell>
          <cell r="O496">
            <v>3.8329147610985665</v>
          </cell>
          <cell r="P496">
            <v>3.7240354074147182</v>
          </cell>
        </row>
        <row r="497">
          <cell r="B497" t="str">
            <v>G-INTC3</v>
          </cell>
          <cell r="C497" t="str">
            <v>VAR_fin</v>
          </cell>
          <cell r="D497" t="str">
            <v>ELC13</v>
          </cell>
          <cell r="E497">
            <v>179.70979226406206</v>
          </cell>
          <cell r="F497">
            <v>183.54217029162334</v>
          </cell>
          <cell r="G497">
            <v>187.93672690032199</v>
          </cell>
          <cell r="H497">
            <v>187.26962985682542</v>
          </cell>
          <cell r="I497">
            <v>173.41176550575199</v>
          </cell>
          <cell r="J497">
            <v>156.90573186060331</v>
          </cell>
          <cell r="K497">
            <v>133.33518025931539</v>
          </cell>
          <cell r="L497">
            <v>130.37738279088222</v>
          </cell>
          <cell r="M497">
            <v>130.60916289103997</v>
          </cell>
          <cell r="N497">
            <v>132.67094488534187</v>
          </cell>
          <cell r="O497">
            <v>132.47287320033371</v>
          </cell>
          <cell r="P497">
            <v>132.30204828077834</v>
          </cell>
        </row>
        <row r="498">
          <cell r="B498" t="str">
            <v>G-INTC3</v>
          </cell>
          <cell r="C498" t="str">
            <v>VAR_ncap</v>
          </cell>
          <cell r="D498" t="str">
            <v>-</v>
          </cell>
          <cell r="E498">
            <v>1.05933257282579E-6</v>
          </cell>
          <cell r="F498">
            <v>1.0454481272403401E-6</v>
          </cell>
          <cell r="G498">
            <v>2.1327283989415798E-6</v>
          </cell>
          <cell r="H498">
            <v>5.1543676550980005E-7</v>
          </cell>
          <cell r="I498">
            <v>6.97388869306232E-7</v>
          </cell>
          <cell r="J498">
            <v>8.1005144981170505E-7</v>
          </cell>
          <cell r="K498">
            <v>1.10317262398463E-6</v>
          </cell>
          <cell r="L498">
            <v>1.1131057497559801E-6</v>
          </cell>
          <cell r="M498">
            <v>1.79581209419263E-6</v>
          </cell>
          <cell r="N498">
            <v>8.4900678064441499E-6</v>
          </cell>
        </row>
        <row r="499">
          <cell r="B499" t="str">
            <v>G-INTC3</v>
          </cell>
          <cell r="C499" t="str">
            <v>VAR_cap</v>
          </cell>
          <cell r="D499" t="str">
            <v>-</v>
          </cell>
          <cell r="E499">
            <v>13.914190167241101</v>
          </cell>
          <cell r="F499">
            <v>13.914190167241101</v>
          </cell>
          <cell r="G499">
            <v>13.914190167241101</v>
          </cell>
          <cell r="H499">
            <v>13.914191176101243</v>
          </cell>
          <cell r="I499">
            <v>13.914194528876587</v>
          </cell>
          <cell r="J499">
            <v>13.914194920186965</v>
          </cell>
          <cell r="K499">
            <v>13.914195620866506</v>
          </cell>
          <cell r="L499">
            <v>13.914196427627283</v>
          </cell>
          <cell r="M499">
            <v>13.914197361292937</v>
          </cell>
          <cell r="N499">
            <v>13.914199076369313</v>
          </cell>
          <cell r="O499">
            <v>13.914200439717753</v>
          </cell>
          <cell r="P499">
            <v>13.914208929785559</v>
          </cell>
        </row>
        <row r="500">
          <cell r="B500" t="str">
            <v>HPLBIO</v>
          </cell>
          <cell r="C500" t="str">
            <v>VAR_fout</v>
          </cell>
          <cell r="D500" t="str">
            <v>LTH</v>
          </cell>
          <cell r="E500">
            <v>0.90180202008672095</v>
          </cell>
          <cell r="F500">
            <v>0.90180324022510761</v>
          </cell>
          <cell r="G500">
            <v>0.90180479340173236</v>
          </cell>
          <cell r="H500">
            <v>0.90180694387022609</v>
          </cell>
          <cell r="I500">
            <v>0.90181145281191066</v>
          </cell>
          <cell r="J500">
            <v>0.9018154215439631</v>
          </cell>
          <cell r="K500">
            <v>0.90181866373007757</v>
          </cell>
          <cell r="L500">
            <v>0.90182423140490553</v>
          </cell>
          <cell r="M500">
            <v>0.90183126634212418</v>
          </cell>
          <cell r="N500">
            <v>0.90183457858870353</v>
          </cell>
          <cell r="O500">
            <v>0.90185389288723616</v>
          </cell>
          <cell r="P500">
            <v>1.0140929076188983</v>
          </cell>
        </row>
        <row r="501">
          <cell r="B501" t="str">
            <v>HPLBIO</v>
          </cell>
          <cell r="C501" t="str">
            <v>VAR_fin</v>
          </cell>
          <cell r="D501" t="str">
            <v>EBIO</v>
          </cell>
          <cell r="E501">
            <v>1.1839863991542838</v>
          </cell>
          <cell r="F501">
            <v>1.183988001088214</v>
          </cell>
          <cell r="G501">
            <v>1.1839900402719357</v>
          </cell>
          <cell r="H501">
            <v>1.1839928636471257</v>
          </cell>
          <cell r="I501">
            <v>1.1839987834892971</v>
          </cell>
          <cell r="J501">
            <v>1.1840039940839351</v>
          </cell>
          <cell r="K501">
            <v>1.1840082507879339</v>
          </cell>
          <cell r="L501">
            <v>1.1840155606532068</v>
          </cell>
          <cell r="M501">
            <v>1.1840247969044022</v>
          </cell>
          <cell r="N501">
            <v>1.1840291455915997</v>
          </cell>
          <cell r="O501">
            <v>1.1840545035596064</v>
          </cell>
          <cell r="P501">
            <v>1.3314144161976222</v>
          </cell>
        </row>
        <row r="502">
          <cell r="B502" t="str">
            <v>HPLBIO</v>
          </cell>
          <cell r="C502" t="str">
            <v>VAR_ncap</v>
          </cell>
          <cell r="D502" t="str">
            <v>-</v>
          </cell>
          <cell r="E502">
            <v>1.2281003223411701E-4</v>
          </cell>
          <cell r="F502">
            <v>8.0878706641777706E-5</v>
          </cell>
          <cell r="G502">
            <v>6.2821903333797806E-5</v>
          </cell>
          <cell r="H502">
            <v>6.2744477271663296E-2</v>
          </cell>
          <cell r="I502">
            <v>5.1476004421787201E-2</v>
          </cell>
          <cell r="J502">
            <v>2.1024227270555299E-4</v>
          </cell>
          <cell r="K502">
            <v>2.9579821100374201E-2</v>
          </cell>
          <cell r="L502">
            <v>6.1274972367611397E-2</v>
          </cell>
          <cell r="M502">
            <v>2.37992249141089E-2</v>
          </cell>
          <cell r="N502">
            <v>2.6496713319417299E-4</v>
          </cell>
          <cell r="O502">
            <v>4.9983503228703798E-2</v>
          </cell>
          <cell r="P502">
            <v>8.7707806174327996E-2</v>
          </cell>
        </row>
        <row r="503">
          <cell r="B503" t="str">
            <v>HPLBIO</v>
          </cell>
          <cell r="C503" t="str">
            <v>VAR_cap</v>
          </cell>
          <cell r="D503" t="str">
            <v>-</v>
          </cell>
          <cell r="E503">
            <v>0.11449496842320352</v>
          </cell>
          <cell r="F503">
            <v>0.11455476863274761</v>
          </cell>
          <cell r="G503">
            <v>0.1145939269661069</v>
          </cell>
          <cell r="H503">
            <v>0.11439817412872436</v>
          </cell>
          <cell r="I503">
            <v>0.11441680106551373</v>
          </cell>
          <cell r="J503">
            <v>0.11449283221343938</v>
          </cell>
          <cell r="K503">
            <v>0.12407812910577733</v>
          </cell>
          <cell r="L503">
            <v>0.14248129472566418</v>
          </cell>
          <cell r="M503">
            <v>0.1303889650564235</v>
          </cell>
          <cell r="N503">
            <v>0.11475885033041601</v>
          </cell>
          <cell r="O503">
            <v>0.13523330191043839</v>
          </cell>
          <cell r="P503">
            <v>0.16163928949016565</v>
          </cell>
        </row>
        <row r="504">
          <cell r="B504" t="str">
            <v>G-INTC5</v>
          </cell>
          <cell r="C504" t="str">
            <v>VAR_fout</v>
          </cell>
          <cell r="D504" t="str">
            <v>ELC5</v>
          </cell>
          <cell r="E504">
            <v>250.66551524533202</v>
          </cell>
          <cell r="F504">
            <v>119.86447592228525</v>
          </cell>
          <cell r="G504">
            <v>113.80063199277717</v>
          </cell>
          <cell r="H504">
            <v>149.23060256684448</v>
          </cell>
          <cell r="I504">
            <v>101.29420277036137</v>
          </cell>
          <cell r="J504">
            <v>135.18092142723137</v>
          </cell>
          <cell r="K504">
            <v>92.328512043072479</v>
          </cell>
          <cell r="L504">
            <v>136.46051261672844</v>
          </cell>
          <cell r="M504">
            <v>99.745161383519985</v>
          </cell>
          <cell r="N504">
            <v>98.290529675807036</v>
          </cell>
          <cell r="O504">
            <v>92.81402832070458</v>
          </cell>
          <cell r="P504">
            <v>90.855270461151818</v>
          </cell>
        </row>
        <row r="505">
          <cell r="B505" t="str">
            <v>G-INTC5</v>
          </cell>
          <cell r="C505" t="str">
            <v>VAR_fout</v>
          </cell>
          <cell r="D505" t="str">
            <v>ELC13</v>
          </cell>
          <cell r="E505">
            <v>0.30493482987765458</v>
          </cell>
          <cell r="F505">
            <v>7.7053337703736416E-3</v>
          </cell>
          <cell r="G505">
            <v>8.0702315360348057E-3</v>
          </cell>
          <cell r="H505">
            <v>5.8967164600053469E-3</v>
          </cell>
          <cell r="I505">
            <v>1.0374371434850319E-2</v>
          </cell>
          <cell r="J505">
            <v>1.0381985445802933</v>
          </cell>
          <cell r="K505">
            <v>2.4352089802673884</v>
          </cell>
          <cell r="L505">
            <v>2.2923459689538133</v>
          </cell>
          <cell r="M505">
            <v>2.1987461773897188</v>
          </cell>
          <cell r="N505">
            <v>2.4660327188762765</v>
          </cell>
          <cell r="O505">
            <v>2.4066246379926652</v>
          </cell>
          <cell r="P505">
            <v>2.3450717029059378</v>
          </cell>
        </row>
        <row r="506">
          <cell r="B506" t="str">
            <v>G-INTC5</v>
          </cell>
          <cell r="C506" t="str">
            <v>VAR_fin</v>
          </cell>
          <cell r="D506" t="str">
            <v>ELC35</v>
          </cell>
          <cell r="E506">
            <v>258.89701305526199</v>
          </cell>
          <cell r="F506">
            <v>125.5412863121789</v>
          </cell>
          <cell r="G506">
            <v>118.9323101771343</v>
          </cell>
          <cell r="H506">
            <v>155.3928840760814</v>
          </cell>
          <cell r="I506">
            <v>105.1047559402008</v>
          </cell>
          <cell r="J506">
            <v>140.8231969551928</v>
          </cell>
          <cell r="K506">
            <v>97.617263105636184</v>
          </cell>
          <cell r="L506">
            <v>142.42308118051901</v>
          </cell>
          <cell r="M506">
            <v>104.64047782800034</v>
          </cell>
          <cell r="N506">
            <v>103.42172558950632</v>
          </cell>
          <cell r="O506">
            <v>97.739382990974718</v>
          </cell>
          <cell r="P506">
            <v>95.665631925607457</v>
          </cell>
        </row>
        <row r="507">
          <cell r="B507" t="str">
            <v>G-INTC5</v>
          </cell>
          <cell r="C507" t="str">
            <v>VAR_ncap</v>
          </cell>
          <cell r="D507" t="str">
            <v>-</v>
          </cell>
          <cell r="E507">
            <v>5.1629007509329802E-6</v>
          </cell>
          <cell r="F507">
            <v>5.3741168967422001E-6</v>
          </cell>
          <cell r="G507">
            <v>1.6032107496200599E-5</v>
          </cell>
          <cell r="H507">
            <v>5.0062554978695798E-6</v>
          </cell>
          <cell r="I507">
            <v>7.12438644255277E-6</v>
          </cell>
          <cell r="J507">
            <v>7.3017329107065399E-6</v>
          </cell>
          <cell r="K507">
            <v>5.7914851010585397E-6</v>
          </cell>
          <cell r="L507">
            <v>2.1260212412635102E-6</v>
          </cell>
          <cell r="M507">
            <v>4.5962592813365503E-6</v>
          </cell>
          <cell r="N507">
            <v>7.3841330584152406E-5</v>
          </cell>
        </row>
        <row r="508">
          <cell r="B508" t="str">
            <v>G-INTC5</v>
          </cell>
          <cell r="C508" t="str">
            <v>VAR_cap</v>
          </cell>
          <cell r="D508" t="str">
            <v>-</v>
          </cell>
          <cell r="E508">
            <v>12.649263788401001</v>
          </cell>
          <cell r="F508">
            <v>12.649263788401001</v>
          </cell>
          <cell r="G508">
            <v>12.649263788401001</v>
          </cell>
          <cell r="H508">
            <v>12.649268818960214</v>
          </cell>
          <cell r="I508">
            <v>12.64929156312196</v>
          </cell>
          <cell r="J508">
            <v>12.649295363781643</v>
          </cell>
          <cell r="K508">
            <v>12.649302369369122</v>
          </cell>
          <cell r="L508">
            <v>12.649309789900995</v>
          </cell>
          <cell r="M508">
            <v>12.649314691500795</v>
          </cell>
          <cell r="N508">
            <v>12.649318814268735</v>
          </cell>
          <cell r="O508">
            <v>12.649322303666619</v>
          </cell>
          <cell r="P508">
            <v>12.649396144997203</v>
          </cell>
        </row>
        <row r="509">
          <cell r="B509" t="str">
            <v>D-SLFO</v>
          </cell>
          <cell r="C509" t="str">
            <v>VAR_fout</v>
          </cell>
          <cell r="D509" t="str">
            <v>CO2</v>
          </cell>
          <cell r="E509">
            <v>2267.7912033932098</v>
          </cell>
          <cell r="F509">
            <v>1917.10179578306</v>
          </cell>
          <cell r="G509">
            <v>1421.14650759299</v>
          </cell>
          <cell r="H509">
            <v>1183.84724745722</v>
          </cell>
          <cell r="I509">
            <v>654.287672917892</v>
          </cell>
          <cell r="J509">
            <v>446.98079735812797</v>
          </cell>
          <cell r="K509">
            <v>236.530616007188</v>
          </cell>
          <cell r="L509">
            <v>1.14858267641788E-3</v>
          </cell>
          <cell r="M509">
            <v>4.5606776941552601E-3</v>
          </cell>
          <cell r="N509">
            <v>6.2137141471691497E-3</v>
          </cell>
          <cell r="O509">
            <v>6.17023845911831E-3</v>
          </cell>
          <cell r="P509">
            <v>7.7788023958315902E-3</v>
          </cell>
        </row>
        <row r="510">
          <cell r="B510" t="str">
            <v>D-SLFO</v>
          </cell>
          <cell r="C510" t="str">
            <v>VAR_fout</v>
          </cell>
          <cell r="D510" t="str">
            <v>SLFO</v>
          </cell>
          <cell r="E510">
            <v>30.256668214695765</v>
          </cell>
          <cell r="F510">
            <v>25.577801378722434</v>
          </cell>
          <cell r="G510">
            <v>18.960812120930751</v>
          </cell>
          <cell r="H510">
            <v>15.795182603870595</v>
          </cell>
          <cell r="I510">
            <v>8.731524149540336</v>
          </cell>
          <cell r="J510">
            <v>5.9647793550804815</v>
          </cell>
          <cell r="K510">
            <v>3.1573232631014565</v>
          </cell>
          <cell r="L510">
            <v>0.85505935585326975</v>
          </cell>
          <cell r="M510">
            <v>0.84191286857331538</v>
          </cell>
          <cell r="N510">
            <v>0.8480977492886691</v>
          </cell>
          <cell r="O510">
            <v>0.84840575331989188</v>
          </cell>
          <cell r="P510">
            <v>0.84894854713631629</v>
          </cell>
        </row>
        <row r="511">
          <cell r="B511" t="str">
            <v>D-SLFO</v>
          </cell>
          <cell r="C511" t="str">
            <v>VAR_fin</v>
          </cell>
          <cell r="D511" t="str">
            <v>LFO</v>
          </cell>
          <cell r="E511">
            <v>30.770572637628316</v>
          </cell>
          <cell r="F511">
            <v>26.012236035048272</v>
          </cell>
          <cell r="G511">
            <v>19.282856276702667</v>
          </cell>
          <cell r="H511">
            <v>16.063056274860561</v>
          </cell>
          <cell r="I511">
            <v>8.8777160504463097</v>
          </cell>
          <cell r="J511">
            <v>6.0648683494997</v>
          </cell>
          <cell r="K511">
            <v>3.2093706378180151</v>
          </cell>
          <cell r="L511">
            <v>1.558456820105671E-5</v>
          </cell>
          <cell r="M511">
            <v>6.188165120970507E-5</v>
          </cell>
          <cell r="N511">
            <v>8.4310911087776753E-5</v>
          </cell>
          <cell r="O511">
            <v>8.372101030011278E-5</v>
          </cell>
          <cell r="P511">
            <v>1.055468439054491E-4</v>
          </cell>
        </row>
        <row r="512">
          <cell r="B512" t="str">
            <v>D-SLFO</v>
          </cell>
          <cell r="C512" t="str">
            <v>VAR_fin</v>
          </cell>
          <cell r="D512" t="str">
            <v>BDS</v>
          </cell>
          <cell r="G512">
            <v>7.503948678514055E-6</v>
          </cell>
          <cell r="H512">
            <v>4.103465119364821E-4</v>
          </cell>
          <cell r="I512">
            <v>2.1171086340652989E-3</v>
          </cell>
          <cell r="J512">
            <v>1.2281358062012837E-3</v>
          </cell>
          <cell r="K512">
            <v>1.5863369025985344E-3</v>
          </cell>
          <cell r="L512">
            <v>0.86957417096163292</v>
          </cell>
          <cell r="M512">
            <v>0.85615631816823901</v>
          </cell>
          <cell r="N512">
            <v>0.86242381878287389</v>
          </cell>
          <cell r="O512">
            <v>0.86273818498879129</v>
          </cell>
          <cell r="P512">
            <v>0.86327016561600545</v>
          </cell>
        </row>
        <row r="513">
          <cell r="B513" t="str">
            <v>D-RCOA</v>
          </cell>
          <cell r="C513" t="str">
            <v>VAR_fout</v>
          </cell>
          <cell r="D513" t="str">
            <v>CO2</v>
          </cell>
          <cell r="E513">
            <v>9.2734687306682098</v>
          </cell>
          <cell r="F513">
            <v>9.2734095249760404</v>
          </cell>
          <cell r="G513">
            <v>0.72537559086567005</v>
          </cell>
          <cell r="H513">
            <v>0.35033544648981302</v>
          </cell>
          <cell r="I513">
            <v>0.13533324454592899</v>
          </cell>
        </row>
        <row r="514">
          <cell r="B514" t="str">
            <v>D-RCOA</v>
          </cell>
          <cell r="C514" t="str">
            <v>VAR_fout</v>
          </cell>
          <cell r="D514" t="str">
            <v>RCOA</v>
          </cell>
          <cell r="E514">
            <v>0.10003741888530976</v>
          </cell>
          <cell r="F514">
            <v>0.10003678020470393</v>
          </cell>
          <cell r="G514">
            <v>7.8249794052391505E-3</v>
          </cell>
          <cell r="H514">
            <v>3.7792389049602312E-3</v>
          </cell>
          <cell r="I514">
            <v>1.459905550657267E-3</v>
          </cell>
        </row>
        <row r="515">
          <cell r="B515" t="str">
            <v>D-RCOA</v>
          </cell>
          <cell r="C515" t="str">
            <v>VAR_fin</v>
          </cell>
          <cell r="D515" t="str">
            <v>COA</v>
          </cell>
          <cell r="E515">
            <v>0.10003741888530976</v>
          </cell>
          <cell r="F515">
            <v>0.10003678020470393</v>
          </cell>
          <cell r="G515">
            <v>7.8249794052391505E-3</v>
          </cell>
          <cell r="H515">
            <v>3.7792389049602312E-3</v>
          </cell>
          <cell r="I515">
            <v>1.459905550657267E-3</v>
          </cell>
        </row>
        <row r="516">
          <cell r="B516" t="str">
            <v>EHYD-RUN00</v>
          </cell>
          <cell r="C516" t="str">
            <v>VAR_fout</v>
          </cell>
          <cell r="D516" t="str">
            <v>ELC13</v>
          </cell>
          <cell r="E516">
            <v>54.392428308198355</v>
          </cell>
          <cell r="F516">
            <v>43.510538089774329</v>
          </cell>
          <cell r="G516">
            <v>53.291241495271365</v>
          </cell>
          <cell r="H516">
            <v>52.197666223002969</v>
          </cell>
          <cell r="I516">
            <v>51.104603003408037</v>
          </cell>
          <cell r="J516">
            <v>50.011519582953888</v>
          </cell>
          <cell r="K516">
            <v>48.918542095370128</v>
          </cell>
          <cell r="L516">
            <v>47.825916180932573</v>
          </cell>
          <cell r="M516">
            <v>47.825879225243106</v>
          </cell>
          <cell r="N516">
            <v>47.825771549309252</v>
          </cell>
          <cell r="O516">
            <v>47.825687466179708</v>
          </cell>
          <cell r="P516">
            <v>47.819218939673874</v>
          </cell>
        </row>
        <row r="517">
          <cell r="B517" t="str">
            <v>EHYD-RUN00</v>
          </cell>
          <cell r="C517" t="str">
            <v>VAR_fin</v>
          </cell>
          <cell r="D517" t="str">
            <v>HYDR</v>
          </cell>
          <cell r="E517">
            <v>54.392428308198355</v>
          </cell>
          <cell r="F517">
            <v>43.510538089774329</v>
          </cell>
          <cell r="G517">
            <v>53.291241495271365</v>
          </cell>
          <cell r="H517">
            <v>52.197666223002969</v>
          </cell>
          <cell r="I517">
            <v>51.104603003408037</v>
          </cell>
          <cell r="J517">
            <v>50.011519582953888</v>
          </cell>
          <cell r="K517">
            <v>48.918542095370128</v>
          </cell>
          <cell r="L517">
            <v>47.825916180932573</v>
          </cell>
          <cell r="M517">
            <v>47.825879225243106</v>
          </cell>
          <cell r="N517">
            <v>47.825771549309252</v>
          </cell>
          <cell r="O517">
            <v>47.825687466179708</v>
          </cell>
          <cell r="P517">
            <v>47.819218939673874</v>
          </cell>
        </row>
        <row r="518">
          <cell r="B518" t="str">
            <v>EHYD-RUN00</v>
          </cell>
          <cell r="C518" t="str">
            <v>VAR_cap</v>
          </cell>
          <cell r="D518" t="str">
            <v>-</v>
          </cell>
          <cell r="E518">
            <v>3.86687</v>
          </cell>
          <cell r="F518">
            <v>3.9240852000672399</v>
          </cell>
          <cell r="G518">
            <v>3.9610124303882599</v>
          </cell>
          <cell r="H518">
            <v>3.9647700000000001</v>
          </cell>
          <cell r="I518">
            <v>3.9647700000000001</v>
          </cell>
          <cell r="J518">
            <v>3.9647700000000001</v>
          </cell>
          <cell r="K518">
            <v>3.9647700000000001</v>
          </cell>
          <cell r="L518">
            <v>3.9647700000000001</v>
          </cell>
          <cell r="M518">
            <v>3.9647700000000001</v>
          </cell>
          <cell r="N518">
            <v>3.9647700000000001</v>
          </cell>
          <cell r="O518">
            <v>3.9647700000000001</v>
          </cell>
          <cell r="P518">
            <v>3.9647700000000001</v>
          </cell>
        </row>
        <row r="519">
          <cell r="B519" t="str">
            <v>HPLELCHP</v>
          </cell>
          <cell r="C519" t="str">
            <v>VAR_fout</v>
          </cell>
          <cell r="D519" t="str">
            <v>LTH</v>
          </cell>
          <cell r="F519">
            <v>3.7064024603894103</v>
          </cell>
          <cell r="G519">
            <v>3.8187709001440817</v>
          </cell>
          <cell r="H519">
            <v>4.4781512685931713</v>
          </cell>
          <cell r="I519">
            <v>5.622951622768916</v>
          </cell>
          <cell r="J519">
            <v>5.9110102863390512</v>
          </cell>
          <cell r="K519">
            <v>6.3803669609900506</v>
          </cell>
          <cell r="L519">
            <v>9.7585973604533081</v>
          </cell>
          <cell r="M519">
            <v>10.260862145667677</v>
          </cell>
          <cell r="N519">
            <v>18.314982569196086</v>
          </cell>
          <cell r="O519">
            <v>19.249763490646178</v>
          </cell>
          <cell r="P519">
            <v>21.513701482236076</v>
          </cell>
        </row>
        <row r="520">
          <cell r="B520" t="str">
            <v>HPLELCHP</v>
          </cell>
          <cell r="C520" t="str">
            <v>VAR_fin</v>
          </cell>
          <cell r="D520" t="str">
            <v>ELC35</v>
          </cell>
          <cell r="F520">
            <v>1.2354674867964717</v>
          </cell>
          <cell r="G520">
            <v>1.2729236333813612</v>
          </cell>
          <cell r="H520">
            <v>1.4927170895310555</v>
          </cell>
          <cell r="I520">
            <v>1.8743172075896384</v>
          </cell>
          <cell r="J520">
            <v>1.9703367621130172</v>
          </cell>
          <cell r="K520">
            <v>2.1267889869966852</v>
          </cell>
          <cell r="L520">
            <v>3.2528657868177655</v>
          </cell>
          <cell r="M520">
            <v>3.420287381889231</v>
          </cell>
          <cell r="N520">
            <v>6.1049941897320306</v>
          </cell>
          <cell r="O520">
            <v>6.4165878302154002</v>
          </cell>
          <cell r="P520">
            <v>7.1712338274120198</v>
          </cell>
        </row>
        <row r="521">
          <cell r="B521" t="str">
            <v>HPLELCHP</v>
          </cell>
          <cell r="C521" t="str">
            <v>VAR_fin</v>
          </cell>
          <cell r="D521" t="str">
            <v>WWTPCC</v>
          </cell>
          <cell r="F521">
            <v>7.4128049207788198</v>
          </cell>
          <cell r="G521">
            <v>7.6375418002881696</v>
          </cell>
          <cell r="H521">
            <v>8.9563025371863407</v>
          </cell>
          <cell r="I521">
            <v>11.2459032455378</v>
          </cell>
          <cell r="J521">
            <v>11.822020572678101</v>
          </cell>
          <cell r="K521">
            <v>12.760733921980099</v>
          </cell>
          <cell r="L521">
            <v>19.517194720906598</v>
          </cell>
          <cell r="M521">
            <v>20.521724291335399</v>
          </cell>
          <cell r="N521">
            <v>36.629965138392201</v>
          </cell>
          <cell r="O521">
            <v>38.499526981292398</v>
          </cell>
          <cell r="P521">
            <v>43.027402964472202</v>
          </cell>
        </row>
        <row r="522">
          <cell r="B522" t="str">
            <v>HPLELCHP</v>
          </cell>
          <cell r="C522" t="str">
            <v>VAR_ncap</v>
          </cell>
          <cell r="D522" t="str">
            <v>-</v>
          </cell>
          <cell r="F522">
            <v>0.22843973486819599</v>
          </cell>
          <cell r="G522">
            <v>6.9325826456806301E-3</v>
          </cell>
          <cell r="H522">
            <v>4.2533075520249299E-2</v>
          </cell>
          <cell r="I522">
            <v>7.1207091684969304E-2</v>
          </cell>
          <cell r="J522">
            <v>0.106213241682653</v>
          </cell>
          <cell r="K522">
            <v>0.18999549511438699</v>
          </cell>
          <cell r="L522">
            <v>0.24098982053301601</v>
          </cell>
          <cell r="M522">
            <v>8.9816087758635005E-2</v>
          </cell>
          <cell r="N522">
            <v>0.61710545587968102</v>
          </cell>
          <cell r="O522">
            <v>0.24787186959325799</v>
          </cell>
          <cell r="P522">
            <v>0.38105010788892901</v>
          </cell>
        </row>
        <row r="523">
          <cell r="B523" t="str">
            <v>HPLELCHP</v>
          </cell>
          <cell r="C523" t="str">
            <v>VAR_cap</v>
          </cell>
          <cell r="D523" t="str">
            <v>-</v>
          </cell>
          <cell r="F523">
            <v>0.22843973486819599</v>
          </cell>
          <cell r="G523">
            <v>0.23537113646743701</v>
          </cell>
          <cell r="H523">
            <v>0.27790215507869759</v>
          </cell>
          <cell r="I523">
            <v>0.34910266640138177</v>
          </cell>
          <cell r="J523">
            <v>0.36730143437874391</v>
          </cell>
          <cell r="K523">
            <v>0.39767762093448017</v>
          </cell>
          <cell r="L523">
            <v>0.60838990664330295</v>
          </cell>
          <cell r="M523">
            <v>0.63453755037184434</v>
          </cell>
          <cell r="N523">
            <v>1.1378864250387928</v>
          </cell>
          <cell r="O523">
            <v>1.1957629743316438</v>
          </cell>
          <cell r="P523">
            <v>1.3358155763170763</v>
          </cell>
        </row>
        <row r="524">
          <cell r="B524" t="str">
            <v>D-ITOT_LTH</v>
          </cell>
          <cell r="C524" t="str">
            <v>VAR_fout</v>
          </cell>
          <cell r="D524" t="str">
            <v>ITOT_LTH_DH</v>
          </cell>
          <cell r="E524">
            <v>7.1200284219780059</v>
          </cell>
          <cell r="F524">
            <v>7.6289342334814352</v>
          </cell>
          <cell r="G524">
            <v>7.3930135101957442</v>
          </cell>
          <cell r="H524">
            <v>7.8095056383037402</v>
          </cell>
          <cell r="I524">
            <v>7.2442610808675392</v>
          </cell>
          <cell r="J524">
            <v>7.4403285565527542</v>
          </cell>
          <cell r="K524">
            <v>6.7683739720768914</v>
          </cell>
          <cell r="L524">
            <v>8.8335109523221558</v>
          </cell>
          <cell r="M524">
            <v>8.7620610590815176</v>
          </cell>
          <cell r="N524">
            <v>8.373741499204792</v>
          </cell>
          <cell r="O524">
            <v>7.5700258509594329</v>
          </cell>
          <cell r="P524">
            <v>7.1400845578626999</v>
          </cell>
        </row>
        <row r="525">
          <cell r="B525" t="str">
            <v>D-ITOT_LTH</v>
          </cell>
          <cell r="C525" t="str">
            <v>VAR_fin</v>
          </cell>
          <cell r="D525" t="str">
            <v>LTH</v>
          </cell>
          <cell r="E525">
            <v>7.7403665888083211</v>
          </cell>
          <cell r="F525">
            <v>8.2914315645789944</v>
          </cell>
          <cell r="G525">
            <v>8.0318571608418061</v>
          </cell>
          <cell r="H525">
            <v>8.4787705127701791</v>
          </cell>
          <cell r="I525">
            <v>7.8599264170454415</v>
          </cell>
          <cell r="J525">
            <v>8.0673655430529365</v>
          </cell>
          <cell r="K525">
            <v>7.3339744160085534</v>
          </cell>
          <cell r="L525">
            <v>9.5654191244110116</v>
          </cell>
          <cell r="M525">
            <v>9.4880491886142462</v>
          </cell>
          <cell r="N525">
            <v>9.0675550765362711</v>
          </cell>
          <cell r="O525">
            <v>8.1972468747568357</v>
          </cell>
          <cell r="P525">
            <v>7.7316824248389526</v>
          </cell>
        </row>
        <row r="526">
          <cell r="B526" t="str">
            <v>D-ITOT_LTH</v>
          </cell>
          <cell r="C526" t="str">
            <v>VAR_ncap</v>
          </cell>
          <cell r="D526" t="str">
            <v>-</v>
          </cell>
          <cell r="E526">
            <v>0.79549076540918395</v>
          </cell>
          <cell r="F526">
            <v>2.1792171764453301E-7</v>
          </cell>
          <cell r="G526">
            <v>2.4339086796175602E-7</v>
          </cell>
          <cell r="H526">
            <v>2.72644316829052E-7</v>
          </cell>
          <cell r="I526">
            <v>7.8828860801509301E-6</v>
          </cell>
          <cell r="J526">
            <v>4.3662838548134302E-7</v>
          </cell>
          <cell r="K526">
            <v>5.5395541671239204E-7</v>
          </cell>
          <cell r="L526">
            <v>3.8485828493584001E-5</v>
          </cell>
          <cell r="M526">
            <v>8.57690656175801E-7</v>
          </cell>
          <cell r="N526">
            <v>1.60533706720199E-6</v>
          </cell>
          <cell r="O526">
            <v>2.4331545582125502E-6</v>
          </cell>
          <cell r="P526">
            <v>1.7236779733759099E-5</v>
          </cell>
        </row>
        <row r="527">
          <cell r="B527" t="str">
            <v>D-ITOT_LTH</v>
          </cell>
          <cell r="C527" t="str">
            <v>VAR_cap</v>
          </cell>
          <cell r="D527" t="str">
            <v>-</v>
          </cell>
          <cell r="E527">
            <v>0.79549076540918395</v>
          </cell>
          <cell r="F527">
            <v>0.79549098333090196</v>
          </cell>
          <cell r="G527">
            <v>0.79549122672176997</v>
          </cell>
          <cell r="H527">
            <v>0.79549149936608599</v>
          </cell>
          <cell r="I527">
            <v>0.79549938225216599</v>
          </cell>
          <cell r="J527">
            <v>0.79549981888055199</v>
          </cell>
          <cell r="K527">
            <v>0.79550037283596897</v>
          </cell>
          <cell r="L527">
            <v>0.79553885866446195</v>
          </cell>
          <cell r="M527">
            <v>0.795539716355118</v>
          </cell>
          <cell r="N527">
            <v>0.79554132169218505</v>
          </cell>
          <cell r="O527">
            <v>0.795543754846744</v>
          </cell>
          <cell r="P527">
            <v>0.79556099162647698</v>
          </cell>
        </row>
        <row r="528">
          <cell r="B528" t="str">
            <v>D-IH2</v>
          </cell>
          <cell r="C528" t="str">
            <v>VAR_fout</v>
          </cell>
          <cell r="D528" t="str">
            <v>IH2</v>
          </cell>
          <cell r="I528">
            <v>1.0077351904138754</v>
          </cell>
          <cell r="J528">
            <v>1.4980007308254584</v>
          </cell>
          <cell r="K528">
            <v>1.5009841906882628</v>
          </cell>
          <cell r="L528">
            <v>2.7745969659174965</v>
          </cell>
          <cell r="M528">
            <v>11.030489263705464</v>
          </cell>
          <cell r="N528">
            <v>12.346211347092257</v>
          </cell>
          <cell r="O528">
            <v>14.942469901578537</v>
          </cell>
          <cell r="P528">
            <v>15.936255871372635</v>
          </cell>
        </row>
        <row r="529">
          <cell r="B529" t="str">
            <v>D-IH2</v>
          </cell>
          <cell r="C529" t="str">
            <v>VAR_fin</v>
          </cell>
          <cell r="D529" t="str">
            <v>H2</v>
          </cell>
          <cell r="I529">
            <v>1.0154125081141974</v>
          </cell>
          <cell r="J529">
            <v>1.509413081644664</v>
          </cell>
          <cell r="K529">
            <v>1.5124192706623389</v>
          </cell>
          <cell r="L529">
            <v>2.7957349221984011</v>
          </cell>
          <cell r="M529">
            <v>11.114523810948644</v>
          </cell>
          <cell r="N529">
            <v>12.440269575691012</v>
          </cell>
          <cell r="O529">
            <v>15.056307435241342</v>
          </cell>
          <cell r="P529">
            <v>16.057664452160516</v>
          </cell>
        </row>
        <row r="530">
          <cell r="B530" t="str">
            <v>D-IH2</v>
          </cell>
          <cell r="C530" t="str">
            <v>VAR_ncap</v>
          </cell>
          <cell r="D530" t="str">
            <v>-</v>
          </cell>
          <cell r="H530">
            <v>3.4838037404198302E-6</v>
          </cell>
          <cell r="I530">
            <v>7.4686246180874702E-2</v>
          </cell>
          <cell r="J530">
            <v>2.59587977098579E-2</v>
          </cell>
          <cell r="K530">
            <v>3.5630284895718303E-2</v>
          </cell>
          <cell r="L530">
            <v>9.3334721565043993E-2</v>
          </cell>
          <cell r="M530">
            <v>0.250795154575011</v>
          </cell>
          <cell r="N530">
            <v>7.4374884898676205E-2</v>
          </cell>
          <cell r="O530">
            <v>7.9570426650104803E-2</v>
          </cell>
          <cell r="P530">
            <v>2.70149231042058E-2</v>
          </cell>
        </row>
        <row r="531">
          <cell r="B531" t="str">
            <v>D-IH2</v>
          </cell>
          <cell r="C531" t="str">
            <v>VAR_cap</v>
          </cell>
          <cell r="D531" t="str">
            <v>-</v>
          </cell>
          <cell r="H531">
            <v>3.4838037404198302E-6</v>
          </cell>
          <cell r="I531">
            <v>7.4689729984615205E-2</v>
          </cell>
          <cell r="J531">
            <v>0.10064852769447299</v>
          </cell>
          <cell r="K531">
            <v>0.13627881259019101</v>
          </cell>
          <cell r="L531">
            <v>0.229613534155235</v>
          </cell>
          <cell r="M531">
            <v>0.480408688730246</v>
          </cell>
          <cell r="N531">
            <v>0.55478357362892206</v>
          </cell>
          <cell r="O531">
            <v>0.634352895865547</v>
          </cell>
          <cell r="P531">
            <v>0.66136543957949301</v>
          </cell>
        </row>
        <row r="532">
          <cell r="B532" t="str">
            <v>RHEM-ESOLPV</v>
          </cell>
          <cell r="C532" t="str">
            <v>VAR_fout</v>
          </cell>
          <cell r="D532" t="str">
            <v>RHEM_SOL_ELC</v>
          </cell>
          <cell r="E532">
            <v>0.86248322578584768</v>
          </cell>
          <cell r="F532">
            <v>1.287582754433851</v>
          </cell>
          <cell r="G532">
            <v>2.9291538464562841</v>
          </cell>
          <cell r="H532">
            <v>6.7961730267943876</v>
          </cell>
          <cell r="I532">
            <v>15.00100804318083</v>
          </cell>
          <cell r="J532">
            <v>18.959129163187981</v>
          </cell>
          <cell r="K532">
            <v>20.336684503056762</v>
          </cell>
          <cell r="L532">
            <v>21.374080665743499</v>
          </cell>
          <cell r="M532">
            <v>22.464374292142335</v>
          </cell>
          <cell r="N532">
            <v>23.610284360814248</v>
          </cell>
          <cell r="O532">
            <v>24.814649889514374</v>
          </cell>
          <cell r="P532">
            <v>26.080454515576584</v>
          </cell>
        </row>
        <row r="533">
          <cell r="B533" t="str">
            <v>RHEM-ESOLPV</v>
          </cell>
          <cell r="C533" t="str">
            <v>VAR_fin</v>
          </cell>
          <cell r="D533" t="str">
            <v>SOL</v>
          </cell>
          <cell r="E533">
            <v>0.86248322578584768</v>
          </cell>
          <cell r="F533">
            <v>1.287582754433851</v>
          </cell>
          <cell r="G533">
            <v>2.9291538464562841</v>
          </cell>
          <cell r="H533">
            <v>6.7961730267943876</v>
          </cell>
          <cell r="I533">
            <v>15.00100804318083</v>
          </cell>
          <cell r="J533">
            <v>18.959129163187981</v>
          </cell>
          <cell r="K533">
            <v>20.336684503056762</v>
          </cell>
          <cell r="L533">
            <v>21.374080665743499</v>
          </cell>
          <cell r="M533">
            <v>22.464374292142335</v>
          </cell>
          <cell r="N533">
            <v>23.610284360814248</v>
          </cell>
          <cell r="O533">
            <v>24.814649889514374</v>
          </cell>
          <cell r="P533">
            <v>26.080454515576584</v>
          </cell>
        </row>
        <row r="534">
          <cell r="B534" t="str">
            <v>RHEM-ESOLPV</v>
          </cell>
          <cell r="C534" t="str">
            <v>VAR_fin</v>
          </cell>
          <cell r="D534" t="str">
            <v>SOLPVC</v>
          </cell>
          <cell r="E534">
            <v>0.86248322578584802</v>
          </cell>
          <cell r="F534">
            <v>1.2875827544338501</v>
          </cell>
          <cell r="G534">
            <v>2.9291538464562801</v>
          </cell>
          <cell r="H534">
            <v>6.7961730267943903</v>
          </cell>
          <cell r="I534">
            <v>15.0010080431808</v>
          </cell>
          <cell r="J534">
            <v>18.959129163187999</v>
          </cell>
          <cell r="K534">
            <v>20.336684503056802</v>
          </cell>
          <cell r="L534">
            <v>21.374080665743499</v>
          </cell>
          <cell r="M534">
            <v>22.464374292142299</v>
          </cell>
          <cell r="N534">
            <v>23.610284360814301</v>
          </cell>
          <cell r="O534">
            <v>24.8146498895143</v>
          </cell>
          <cell r="P534">
            <v>26.080454515576601</v>
          </cell>
        </row>
        <row r="535">
          <cell r="B535" t="str">
            <v>RHEM-ESOLPV</v>
          </cell>
          <cell r="C535" t="str">
            <v>VAR_ncap</v>
          </cell>
          <cell r="D535" t="str">
            <v>-</v>
          </cell>
          <cell r="F535">
            <v>6.1749869579232703E-8</v>
          </cell>
          <cell r="G535">
            <v>0.39143382291255602</v>
          </cell>
          <cell r="H535">
            <v>0.81842815218289999</v>
          </cell>
          <cell r="I535">
            <v>2.1182218769251602</v>
          </cell>
          <cell r="J535">
            <v>1.17485504988378</v>
          </cell>
          <cell r="K535">
            <v>1.10965639997688</v>
          </cell>
          <cell r="L535">
            <v>0.88494570269844597</v>
          </cell>
          <cell r="M535">
            <v>1.9006014657407899</v>
          </cell>
          <cell r="N535">
            <v>1.9456845414675099</v>
          </cell>
          <cell r="O535">
            <v>1.4076015058120599</v>
          </cell>
          <cell r="P535">
            <v>1.19809007979288</v>
          </cell>
        </row>
        <row r="536">
          <cell r="B536" t="str">
            <v>RHEM-ESOLPV</v>
          </cell>
          <cell r="C536" t="str">
            <v>VAR_cap</v>
          </cell>
          <cell r="D536" t="str">
            <v>-</v>
          </cell>
          <cell r="E536">
            <v>0.27424799999999999</v>
          </cell>
          <cell r="F536">
            <v>0.43894537922628263</v>
          </cell>
          <cell r="G536">
            <v>0.87458188466242603</v>
          </cell>
          <cell r="H536">
            <v>1.6812852491048118</v>
          </cell>
          <cell r="I536">
            <v>3.7110598463472519</v>
          </cell>
          <cell r="J536">
            <v>4.6902500178346642</v>
          </cell>
          <cell r="K536">
            <v>5.0310400617073201</v>
          </cell>
          <cell r="L536">
            <v>5.2876790294842699</v>
          </cell>
          <cell r="M536">
            <v>5.5574041772900102</v>
          </cell>
          <cell r="N536">
            <v>5.8408881098836298</v>
          </cell>
          <cell r="O536">
            <v>6.1388332157188001</v>
          </cell>
          <cell r="P536">
            <v>6.4519775928132397</v>
          </cell>
        </row>
        <row r="537">
          <cell r="B537" t="str">
            <v>HPLNUC</v>
          </cell>
          <cell r="C537" t="str">
            <v>VAR_fout</v>
          </cell>
          <cell r="D537" t="str">
            <v>LTH</v>
          </cell>
          <cell r="E537">
            <v>1.4500284189369135</v>
          </cell>
          <cell r="F537">
            <v>3.8018637978141507</v>
          </cell>
          <cell r="G537">
            <v>3.8000856548160953</v>
          </cell>
          <cell r="H537">
            <v>1.1496281209364378</v>
          </cell>
          <cell r="I537">
            <v>0.66600018843743014</v>
          </cell>
        </row>
        <row r="538">
          <cell r="B538" t="str">
            <v>HPLNUC</v>
          </cell>
          <cell r="C538" t="str">
            <v>VAR_fin</v>
          </cell>
          <cell r="D538" t="str">
            <v>URN</v>
          </cell>
          <cell r="E538">
            <v>1.4500284189369135</v>
          </cell>
          <cell r="F538">
            <v>3.8018637978141507</v>
          </cell>
          <cell r="G538">
            <v>3.8000856548160953</v>
          </cell>
          <cell r="H538">
            <v>1.1496281209364378</v>
          </cell>
          <cell r="I538">
            <v>0.66600018843743014</v>
          </cell>
        </row>
        <row r="539">
          <cell r="B539" t="str">
            <v>HPLNUC</v>
          </cell>
          <cell r="C539" t="str">
            <v>VAR_cap</v>
          </cell>
          <cell r="D539" t="str">
            <v>-</v>
          </cell>
          <cell r="E539">
            <v>0.120558721922211</v>
          </cell>
          <cell r="F539">
            <v>0.120558721922211</v>
          </cell>
          <cell r="G539">
            <v>0.120558721922211</v>
          </cell>
          <cell r="H539">
            <v>0.120558721922211</v>
          </cell>
          <cell r="I539">
            <v>0.120558721922211</v>
          </cell>
          <cell r="J539">
            <v>0.120558721922211</v>
          </cell>
          <cell r="K539">
            <v>0.120558721922211</v>
          </cell>
          <cell r="L539">
            <v>0.120558721922211</v>
          </cell>
          <cell r="M539">
            <v>8.85558611937695E-2</v>
          </cell>
        </row>
        <row r="540">
          <cell r="B540" t="str">
            <v>ITOT-CHPWODCCS</v>
          </cell>
          <cell r="C540" t="str">
            <v>VAR_fout</v>
          </cell>
          <cell r="D540" t="str">
            <v>CO2_O</v>
          </cell>
          <cell r="J540">
            <v>493.42881643261586</v>
          </cell>
          <cell r="K540">
            <v>1087.1319589159925</v>
          </cell>
          <cell r="L540">
            <v>1256.9432192671118</v>
          </cell>
          <cell r="M540">
            <v>1256.9867829193392</v>
          </cell>
          <cell r="N540">
            <v>1256.9439863052739</v>
          </cell>
          <cell r="O540">
            <v>1256.9400678946859</v>
          </cell>
          <cell r="P540">
            <v>1256.9693238184916</v>
          </cell>
        </row>
        <row r="541">
          <cell r="B541" t="str">
            <v>ITOT-CHPWODCCS</v>
          </cell>
          <cell r="C541" t="str">
            <v>VAR_fout</v>
          </cell>
          <cell r="D541" t="str">
            <v>CO2</v>
          </cell>
          <cell r="J541">
            <v>-493.42881643261597</v>
          </cell>
          <cell r="K541">
            <v>-1087.13195891599</v>
          </cell>
          <cell r="L541">
            <v>-1256.94321926711</v>
          </cell>
          <cell r="M541">
            <v>-1256.9867829193399</v>
          </cell>
          <cell r="N541">
            <v>-1256.9439863052801</v>
          </cell>
          <cell r="O541">
            <v>-1256.9400678946899</v>
          </cell>
          <cell r="P541">
            <v>-1256.96932381849</v>
          </cell>
        </row>
        <row r="542">
          <cell r="B542" t="str">
            <v>ITOT-CHPWODCCS</v>
          </cell>
          <cell r="C542" t="str">
            <v>VAR_fout</v>
          </cell>
          <cell r="D542" t="str">
            <v>ITOT_LTH_CHP</v>
          </cell>
          <cell r="J542">
            <v>3.5126562603055342</v>
          </cell>
          <cell r="K542">
            <v>7.8958155536248302</v>
          </cell>
          <cell r="L542">
            <v>9.3177698324937257</v>
          </cell>
          <cell r="M542">
            <v>9.318092771571882</v>
          </cell>
          <cell r="N542">
            <v>9.3177755185779834</v>
          </cell>
          <cell r="O542">
            <v>9.3177464712452078</v>
          </cell>
          <cell r="P542">
            <v>9.3179633465662928</v>
          </cell>
        </row>
        <row r="543">
          <cell r="B543" t="str">
            <v>ITOT-CHPWODCCS</v>
          </cell>
          <cell r="C543" t="str">
            <v>VAR_fout</v>
          </cell>
          <cell r="D543" t="str">
            <v>ITOT_KEV_WOD_ELC_CHP</v>
          </cell>
          <cell r="J543">
            <v>1.6605284139626117</v>
          </cell>
          <cell r="K543">
            <v>3.7325673526226413</v>
          </cell>
          <cell r="L543">
            <v>4.4047639208152054</v>
          </cell>
          <cell r="M543">
            <v>4.4049165829248791</v>
          </cell>
          <cell r="N543">
            <v>4.4047666087823103</v>
          </cell>
          <cell r="O543">
            <v>4.4047528773159055</v>
          </cell>
          <cell r="P543">
            <v>4.4048554001949629</v>
          </cell>
        </row>
        <row r="544">
          <cell r="B544" t="str">
            <v>ITOT-CHPWODCCS</v>
          </cell>
          <cell r="C544" t="str">
            <v>VAR_fin</v>
          </cell>
          <cell r="D544" t="str">
            <v>IWOD</v>
          </cell>
          <cell r="J544">
            <v>4.9512348031023361</v>
          </cell>
          <cell r="K544">
            <v>10.910889014461349</v>
          </cell>
          <cell r="L544">
            <v>12.626364408440235</v>
          </cell>
          <cell r="M544">
            <v>12.641300207596634</v>
          </cell>
          <cell r="N544">
            <v>12.624865415547337</v>
          </cell>
          <cell r="O544">
            <v>12.62504571984063</v>
          </cell>
          <cell r="P544">
            <v>12.629872447259661</v>
          </cell>
        </row>
        <row r="545">
          <cell r="B545" t="str">
            <v>ITOT-CHPWODCCS</v>
          </cell>
          <cell r="C545" t="str">
            <v>VAR_ncap</v>
          </cell>
          <cell r="D545" t="str">
            <v>-</v>
          </cell>
          <cell r="J545">
            <v>6.1913505367343198E-2</v>
          </cell>
          <cell r="K545">
            <v>8.7073062996178702E-2</v>
          </cell>
          <cell r="L545">
            <v>4.3064811762046497E-2</v>
          </cell>
          <cell r="M545">
            <v>5.4729326954881197E-2</v>
          </cell>
          <cell r="N545">
            <v>8.9078615646754095E-2</v>
          </cell>
          <cell r="O545">
            <v>5.08598675317537E-2</v>
          </cell>
          <cell r="P545">
            <v>4.5548438191017997E-2</v>
          </cell>
        </row>
        <row r="546">
          <cell r="B546" t="str">
            <v>ITOT-CHPWODCCS</v>
          </cell>
          <cell r="C546" t="str">
            <v>VAR_cap</v>
          </cell>
          <cell r="D546" t="str">
            <v>-</v>
          </cell>
          <cell r="J546">
            <v>6.1913505367343198E-2</v>
          </cell>
          <cell r="K546">
            <v>0.148986568363522</v>
          </cell>
          <cell r="L546">
            <v>0.19205138012556799</v>
          </cell>
          <cell r="M546">
            <v>0.18284368149679001</v>
          </cell>
          <cell r="N546">
            <v>0.186872754363682</v>
          </cell>
          <cell r="O546">
            <v>0.18494558650953599</v>
          </cell>
          <cell r="P546">
            <v>0.18548692136952599</v>
          </cell>
        </row>
        <row r="547">
          <cell r="B547" t="str">
            <v>SUP_WODBIO</v>
          </cell>
          <cell r="C547" t="str">
            <v>VAR_fout</v>
          </cell>
          <cell r="D547" t="str">
            <v>ELC35</v>
          </cell>
          <cell r="F547">
            <v>1.7071424611563513E-5</v>
          </cell>
          <cell r="H547">
            <v>7.322234341238395E-5</v>
          </cell>
          <cell r="I547">
            <v>8.7307297601505094E-5</v>
          </cell>
          <cell r="J547">
            <v>5.2072831807632544E-5</v>
          </cell>
          <cell r="K547">
            <v>5.6656199768045795E-5</v>
          </cell>
          <cell r="L547">
            <v>4.7839179743308068E-5</v>
          </cell>
          <cell r="M547">
            <v>5.1606683946431141E-5</v>
          </cell>
          <cell r="N547">
            <v>5.4508515619824005E-5</v>
          </cell>
          <cell r="O547">
            <v>1.4191702244131519E-4</v>
          </cell>
          <cell r="P547">
            <v>3.2945092533024159E-4</v>
          </cell>
        </row>
        <row r="548">
          <cell r="B548" t="str">
            <v>SUP_WODBIO</v>
          </cell>
          <cell r="C548" t="str">
            <v>VAR_fout</v>
          </cell>
          <cell r="D548" t="str">
            <v>BIO</v>
          </cell>
          <cell r="F548">
            <v>4.2678561528908661E-4</v>
          </cell>
          <cell r="G548">
            <v>2.171253416559103E-5</v>
          </cell>
          <cell r="H548">
            <v>1.8305585853095963E-3</v>
          </cell>
          <cell r="I548">
            <v>2.1826824400376244E-3</v>
          </cell>
          <cell r="J548">
            <v>1.3018207951908123E-3</v>
          </cell>
          <cell r="K548">
            <v>1.4164049942011426E-3</v>
          </cell>
          <cell r="L548">
            <v>1.1959794935826995E-3</v>
          </cell>
          <cell r="M548">
            <v>1.2901670986607773E-3</v>
          </cell>
          <cell r="N548">
            <v>1.362712890495597E-3</v>
          </cell>
          <cell r="O548">
            <v>3.5479255610328751E-3</v>
          </cell>
          <cell r="P548">
            <v>8.2362731332560318E-3</v>
          </cell>
        </row>
        <row r="549">
          <cell r="B549" t="str">
            <v>SUP_WODBIO</v>
          </cell>
          <cell r="C549" t="str">
            <v>VAR_fout</v>
          </cell>
          <cell r="D549" t="str">
            <v>LTH</v>
          </cell>
          <cell r="F549">
            <v>5.1214273834690466E-5</v>
          </cell>
          <cell r="H549">
            <v>2.1966703023715156E-4</v>
          </cell>
          <cell r="I549">
            <v>2.6192189280451519E-4</v>
          </cell>
          <cell r="J549">
            <v>1.5621849542289733E-4</v>
          </cell>
          <cell r="K549">
            <v>1.6996859930413729E-4</v>
          </cell>
          <cell r="L549">
            <v>1.4351753922992405E-4</v>
          </cell>
          <cell r="M549">
            <v>1.5482005183929326E-4</v>
          </cell>
          <cell r="N549">
            <v>1.6352554685947194E-4</v>
          </cell>
          <cell r="O549">
            <v>4.2575106732394458E-4</v>
          </cell>
          <cell r="P549">
            <v>9.8835277599072335E-4</v>
          </cell>
        </row>
        <row r="550">
          <cell r="B550" t="str">
            <v>SUP_WODBIO</v>
          </cell>
          <cell r="C550" t="str">
            <v>VAR_fin</v>
          </cell>
          <cell r="D550" t="str">
            <v>CWOD</v>
          </cell>
          <cell r="F550">
            <v>5.7616058064026833E-4</v>
          </cell>
          <cell r="G550">
            <v>2.9311921123547874E-5</v>
          </cell>
          <cell r="H550">
            <v>2.471254090167956E-3</v>
          </cell>
          <cell r="I550">
            <v>2.9466212940507937E-3</v>
          </cell>
          <cell r="J550">
            <v>1.7574580735075956E-3</v>
          </cell>
          <cell r="K550">
            <v>1.9121467421715427E-3</v>
          </cell>
          <cell r="L550">
            <v>1.6145723163366458E-3</v>
          </cell>
          <cell r="M550">
            <v>1.7417255831920497E-3</v>
          </cell>
          <cell r="N550">
            <v>1.8396624021690575E-3</v>
          </cell>
          <cell r="O550">
            <v>4.7896995073943797E-3</v>
          </cell>
          <cell r="P550">
            <v>1.1118968729895654E-2</v>
          </cell>
        </row>
        <row r="551">
          <cell r="B551" t="str">
            <v>SUP_WODBIO</v>
          </cell>
          <cell r="C551" t="str">
            <v>VAR_ncap</v>
          </cell>
          <cell r="D551" t="str">
            <v>-</v>
          </cell>
          <cell r="E551">
            <v>5.2671933479938998E-6</v>
          </cell>
          <cell r="F551">
            <v>7.8569245829531495E-5</v>
          </cell>
          <cell r="G551">
            <v>4.2251204334704001E-6</v>
          </cell>
          <cell r="H551">
            <v>2.9145485664783102E-6</v>
          </cell>
          <cell r="I551">
            <v>5.7216444577399799E-5</v>
          </cell>
          <cell r="J551">
            <v>8.4207655117791092E-6</v>
          </cell>
          <cell r="K551">
            <v>3.8978203597671598E-5</v>
          </cell>
          <cell r="L551">
            <v>5.4965610778286901E-5</v>
          </cell>
          <cell r="M551">
            <v>6.8549422476825602E-6</v>
          </cell>
          <cell r="N551">
            <v>1.19004987627983E-4</v>
          </cell>
          <cell r="O551">
            <v>6.1323765383842401E-5</v>
          </cell>
          <cell r="P551">
            <v>3.8022552006128103E-4</v>
          </cell>
        </row>
        <row r="552">
          <cell r="B552" t="str">
            <v>SUP_WODBIO</v>
          </cell>
          <cell r="C552" t="str">
            <v>VAR_cap</v>
          </cell>
          <cell r="D552" t="str">
            <v>-</v>
          </cell>
          <cell r="E552">
            <v>5.2671933479938998E-6</v>
          </cell>
          <cell r="F552">
            <v>8.3565989675975317E-5</v>
          </cell>
          <cell r="G552">
            <v>8.6940042898226669E-5</v>
          </cell>
          <cell r="H552">
            <v>8.875338002851748E-5</v>
          </cell>
          <cell r="I552">
            <v>1.434781672655791E-4</v>
          </cell>
          <cell r="J552">
            <v>1.1614485643138115E-4</v>
          </cell>
          <cell r="K552">
            <v>1.0343297715432272E-4</v>
          </cell>
          <cell r="L552">
            <v>1.5637081106036605E-4</v>
          </cell>
          <cell r="M552">
            <v>1.1942653230182559E-4</v>
          </cell>
          <cell r="N552">
            <v>2.1420754167666343E-4</v>
          </cell>
          <cell r="O552">
            <v>2.377748000616823E-4</v>
          </cell>
          <cell r="P552">
            <v>5.6079992057509354E-4</v>
          </cell>
        </row>
        <row r="553">
          <cell r="B553" t="str">
            <v>D-RLFO</v>
          </cell>
          <cell r="C553" t="str">
            <v>VAR_fout</v>
          </cell>
          <cell r="D553" t="str">
            <v>CO2</v>
          </cell>
          <cell r="E553">
            <v>4514.4896212429103</v>
          </cell>
          <cell r="F553">
            <v>3846.5309414855101</v>
          </cell>
          <cell r="G553">
            <v>3605.5646095942602</v>
          </cell>
          <cell r="H553">
            <v>2976.7361259343202</v>
          </cell>
          <cell r="I553">
            <v>995.90287174976504</v>
          </cell>
          <cell r="J553">
            <v>2.66869163500116</v>
          </cell>
          <cell r="K553">
            <v>2.4473680164971698</v>
          </cell>
          <cell r="L553">
            <v>1.1849383209839399E-3</v>
          </cell>
          <cell r="M553">
            <v>4.5661725774371201E-3</v>
          </cell>
          <cell r="N553">
            <v>6.1397791718907999E-3</v>
          </cell>
          <cell r="O553">
            <v>6.2544257923190204E-3</v>
          </cell>
          <cell r="P553">
            <v>7.7950717681096598E-3</v>
          </cell>
        </row>
        <row r="554">
          <cell r="B554" t="str">
            <v>D-RLFO</v>
          </cell>
          <cell r="C554" t="str">
            <v>VAR_fout</v>
          </cell>
          <cell r="D554" t="str">
            <v>RLFO</v>
          </cell>
          <cell r="E554">
            <v>60.23191836367242</v>
          </cell>
          <cell r="F554">
            <v>51.320073161915737</v>
          </cell>
          <cell r="G554">
            <v>48.105129396863511</v>
          </cell>
          <cell r="H554">
            <v>39.715752899324052</v>
          </cell>
          <cell r="I554">
            <v>13.289325723744</v>
          </cell>
          <cell r="J554">
            <v>3.6532465566278177E-2</v>
          </cell>
          <cell r="K554">
            <v>3.4024796129862936E-2</v>
          </cell>
          <cell r="L554">
            <v>3.3342199752871941E-2</v>
          </cell>
          <cell r="M554">
            <v>1.2532082050402002E-2</v>
          </cell>
          <cell r="N554">
            <v>1.2875139922416238E-2</v>
          </cell>
          <cell r="O554">
            <v>1.3317204128635242E-2</v>
          </cell>
          <cell r="P554">
            <v>1.2256117146872461E-2</v>
          </cell>
        </row>
        <row r="555">
          <cell r="B555" t="str">
            <v>D-RLFO</v>
          </cell>
          <cell r="C555" t="str">
            <v>VAR_fin</v>
          </cell>
          <cell r="D555" t="str">
            <v>LFO</v>
          </cell>
          <cell r="E555">
            <v>61.254947371002807</v>
          </cell>
          <cell r="F555">
            <v>52.191735976736929</v>
          </cell>
          <cell r="G555">
            <v>48.922179234657563</v>
          </cell>
          <cell r="H555">
            <v>40.389906729095244</v>
          </cell>
          <cell r="I555">
            <v>13.512929060376738</v>
          </cell>
          <cell r="J555">
            <v>3.6210198575320963E-2</v>
          </cell>
          <cell r="K555">
            <v>3.3207164402946666E-2</v>
          </cell>
          <cell r="L555">
            <v>1.6077860528954394E-5</v>
          </cell>
          <cell r="M555">
            <v>6.1956208649079013E-5</v>
          </cell>
          <cell r="N555">
            <v>8.3307722820770734E-5</v>
          </cell>
          <cell r="O555">
            <v>8.4863307901207816E-5</v>
          </cell>
          <cell r="P555">
            <v>1.0576759522536855E-4</v>
          </cell>
        </row>
        <row r="556">
          <cell r="B556" t="str">
            <v>D-RLFO</v>
          </cell>
          <cell r="C556" t="str">
            <v>VAR_fin</v>
          </cell>
          <cell r="D556" t="str">
            <v>BDS</v>
          </cell>
          <cell r="G556">
            <v>7.5377958832545576E-6</v>
          </cell>
          <cell r="H556">
            <v>4.1140520065399304E-4</v>
          </cell>
          <cell r="I556">
            <v>2.1134797785696152E-3</v>
          </cell>
          <cell r="J556">
            <v>9.4265594430220558E-4</v>
          </cell>
          <cell r="K556">
            <v>1.3954205427634887E-3</v>
          </cell>
          <cell r="L556">
            <v>3.3892345545401006E-2</v>
          </cell>
          <cell r="M556">
            <v>1.2682838485848976E-2</v>
          </cell>
          <cell r="N556">
            <v>1.3010371623973446E-2</v>
          </cell>
          <cell r="O556">
            <v>1.3458411205412359E-2</v>
          </cell>
          <cell r="P556">
            <v>1.2358477460330079E-2</v>
          </cell>
        </row>
        <row r="557">
          <cell r="B557" t="str">
            <v>G-INTC-EXP00-IT</v>
          </cell>
          <cell r="C557" t="str">
            <v>VAR_fout</v>
          </cell>
          <cell r="D557" t="str">
            <v>ELC_E-IT</v>
          </cell>
          <cell r="E557">
            <v>71.694136009613999</v>
          </cell>
          <cell r="F557">
            <v>35.529403607212593</v>
          </cell>
          <cell r="G557">
            <v>54.154660424567666</v>
          </cell>
          <cell r="H557">
            <v>47.935974862463574</v>
          </cell>
          <cell r="I557">
            <v>46.359712448457465</v>
          </cell>
          <cell r="J557">
            <v>48.954624192487856</v>
          </cell>
          <cell r="K557">
            <v>47.394168960419698</v>
          </cell>
          <cell r="L557">
            <v>46.526121138717002</v>
          </cell>
          <cell r="M557">
            <v>43.595228046080862</v>
          </cell>
          <cell r="N557">
            <v>38.6197061144874</v>
          </cell>
          <cell r="O557">
            <v>39.980147042112698</v>
          </cell>
          <cell r="P557">
            <v>40.95035105304013</v>
          </cell>
        </row>
        <row r="558">
          <cell r="B558" t="str">
            <v>G-INTC-EXP00-IT</v>
          </cell>
          <cell r="C558" t="str">
            <v>VAR_fin</v>
          </cell>
          <cell r="D558" t="str">
            <v>ELC</v>
          </cell>
          <cell r="E558">
            <v>71.694136009613999</v>
          </cell>
          <cell r="F558">
            <v>35.529403607212593</v>
          </cell>
          <cell r="G558">
            <v>54.154660424567666</v>
          </cell>
          <cell r="H558">
            <v>47.935974862463574</v>
          </cell>
          <cell r="I558">
            <v>46.359712448457465</v>
          </cell>
          <cell r="J558">
            <v>48.954624192487856</v>
          </cell>
          <cell r="K558">
            <v>47.394168960419698</v>
          </cell>
          <cell r="L558">
            <v>46.526121138717002</v>
          </cell>
          <cell r="M558">
            <v>43.595228046080862</v>
          </cell>
          <cell r="N558">
            <v>38.6197061144874</v>
          </cell>
          <cell r="O558">
            <v>39.980147042112698</v>
          </cell>
          <cell r="P558">
            <v>40.95035105304013</v>
          </cell>
        </row>
        <row r="559">
          <cell r="B559" t="str">
            <v>G-INTC-EXP00-IT</v>
          </cell>
          <cell r="C559" t="str">
            <v>VAR_ncap</v>
          </cell>
          <cell r="D559" t="str">
            <v>-</v>
          </cell>
          <cell r="E559">
            <v>3.79029595321928E-5</v>
          </cell>
          <cell r="F559">
            <v>4.9179515744271303E-5</v>
          </cell>
          <cell r="G559">
            <v>1.18048867277077</v>
          </cell>
          <cell r="H559">
            <v>0.84142155012321596</v>
          </cell>
          <cell r="I559">
            <v>6.8178787234214798E-5</v>
          </cell>
          <cell r="J559">
            <v>4.0623077359298099E-5</v>
          </cell>
          <cell r="K559">
            <v>1.1378431692905899</v>
          </cell>
          <cell r="L559">
            <v>1.65976162036376</v>
          </cell>
          <cell r="M559">
            <v>0.95237738857960397</v>
          </cell>
          <cell r="N559">
            <v>7.3544209726411394E-5</v>
          </cell>
        </row>
        <row r="560">
          <cell r="B560" t="str">
            <v>G-INTC-EXP00-IT</v>
          </cell>
          <cell r="C560" t="str">
            <v>VAR_cap</v>
          </cell>
          <cell r="D560" t="str">
            <v>-</v>
          </cell>
          <cell r="E560">
            <v>3.7499944754712184</v>
          </cell>
          <cell r="F560">
            <v>3.7499878818730585</v>
          </cell>
          <cell r="G560">
            <v>3.7499860372837661</v>
          </cell>
          <cell r="H560">
            <v>3.7500242358061304</v>
          </cell>
          <cell r="I560">
            <v>5.1331726756848601</v>
          </cell>
          <cell r="J560">
            <v>5.7719539978005843</v>
          </cell>
          <cell r="K560">
            <v>5.7719989100253875</v>
          </cell>
          <cell r="L560">
            <v>5.7719986845074374</v>
          </cell>
          <cell r="M560">
            <v>5.7719990343015244</v>
          </cell>
          <cell r="N560">
            <v>5.771737763334766</v>
          </cell>
          <cell r="O560">
            <v>5.7719947409009924</v>
          </cell>
          <cell r="P560">
            <v>5.7719953961911301</v>
          </cell>
        </row>
        <row r="561">
          <cell r="B561" t="str">
            <v>EWOD-CCS</v>
          </cell>
          <cell r="C561" t="str">
            <v>VAR_fout</v>
          </cell>
          <cell r="D561" t="str">
            <v>CO2_O</v>
          </cell>
          <cell r="J561">
            <v>0.19613939919931953</v>
          </cell>
          <cell r="K561">
            <v>1.0790219821247462</v>
          </cell>
          <cell r="L561">
            <v>13.255113160144536</v>
          </cell>
          <cell r="M561">
            <v>170.36534937283139</v>
          </cell>
          <cell r="N561">
            <v>179.22750968455534</v>
          </cell>
          <cell r="O561">
            <v>182.29813745078425</v>
          </cell>
          <cell r="P561">
            <v>190.44658851809498</v>
          </cell>
        </row>
        <row r="562">
          <cell r="B562" t="str">
            <v>EWOD-CCS</v>
          </cell>
          <cell r="C562" t="str">
            <v>VAR_fout</v>
          </cell>
          <cell r="D562" t="str">
            <v>CO2</v>
          </cell>
          <cell r="J562">
            <v>-0.196139399199319</v>
          </cell>
          <cell r="K562">
            <v>-1.07902198212475</v>
          </cell>
          <cell r="L562">
            <v>-13.2551131601445</v>
          </cell>
          <cell r="M562">
            <v>-170.36534937283099</v>
          </cell>
          <cell r="N562">
            <v>-179.227509684555</v>
          </cell>
          <cell r="O562">
            <v>-182.298137450784</v>
          </cell>
          <cell r="P562">
            <v>-190.44658851809501</v>
          </cell>
        </row>
        <row r="563">
          <cell r="B563" t="str">
            <v>EWOD-CCS</v>
          </cell>
          <cell r="C563" t="str">
            <v>VAR_fout</v>
          </cell>
          <cell r="D563" t="str">
            <v>ELC13</v>
          </cell>
          <cell r="J563">
            <v>4.3471224866633369E-4</v>
          </cell>
          <cell r="K563">
            <v>2.3914831702588429E-3</v>
          </cell>
          <cell r="L563">
            <v>2.9377881607139823E-2</v>
          </cell>
          <cell r="M563">
            <v>0.37758810531191883</v>
          </cell>
          <cell r="N563">
            <v>0.39722969518563933</v>
          </cell>
          <cell r="O563">
            <v>0.40403526054641792</v>
          </cell>
          <cell r="P563">
            <v>0.42209502569854057</v>
          </cell>
        </row>
        <row r="564">
          <cell r="B564" t="str">
            <v>EWOD-CCS</v>
          </cell>
          <cell r="C564" t="str">
            <v>VAR_fin</v>
          </cell>
          <cell r="D564" t="str">
            <v>EWOD</v>
          </cell>
          <cell r="J564">
            <v>3.6420921157520624E-3</v>
          </cell>
          <cell r="K564">
            <v>1.1717158914678677E-2</v>
          </cell>
          <cell r="L564">
            <v>0.11235516569571428</v>
          </cell>
          <cell r="M564">
            <v>1.4298740752488823</v>
          </cell>
          <cell r="N564">
            <v>1.5040021294244159</v>
          </cell>
          <cell r="O564">
            <v>1.5292185649728069</v>
          </cell>
          <cell r="P564">
            <v>1.5995328015450914</v>
          </cell>
        </row>
        <row r="565">
          <cell r="B565" t="str">
            <v>EWOD-CCS</v>
          </cell>
          <cell r="C565" t="str">
            <v>VAR_ncap</v>
          </cell>
          <cell r="D565" t="str">
            <v>-</v>
          </cell>
          <cell r="J565">
            <v>4.1125144332905902E-4</v>
          </cell>
          <cell r="K565">
            <v>9.9307438329636604E-4</v>
          </cell>
          <cell r="L565">
            <v>1.73055503328042E-2</v>
          </cell>
          <cell r="M565">
            <v>6.6693803031053796E-6</v>
          </cell>
          <cell r="N565">
            <v>5.8350365967677001E-6</v>
          </cell>
          <cell r="O565">
            <v>5.3690789543222597E-4</v>
          </cell>
        </row>
        <row r="566">
          <cell r="B566" t="str">
            <v>EWOD-CCS</v>
          </cell>
          <cell r="C566" t="str">
            <v>VAR_cap</v>
          </cell>
          <cell r="D566" t="str">
            <v>-</v>
          </cell>
          <cell r="J566">
            <v>1.5843457420302399E-4</v>
          </cell>
          <cell r="K566">
            <v>7.6745781302023797E-4</v>
          </cell>
          <cell r="L566">
            <v>1.4032563047606192E-3</v>
          </cell>
          <cell r="M566">
            <v>1.871080452434502E-2</v>
          </cell>
          <cell r="N566">
            <v>1.8561018701332484E-2</v>
          </cell>
          <cell r="O566">
            <v>1.8497629494280673E-2</v>
          </cell>
          <cell r="P566">
            <v>1.8522481150341431E-2</v>
          </cell>
        </row>
        <row r="567">
          <cell r="B567" t="str">
            <v>EOIL-ENG</v>
          </cell>
          <cell r="C567" t="str">
            <v>VAR_fout</v>
          </cell>
          <cell r="D567" t="str">
            <v>ELC35</v>
          </cell>
          <cell r="E567">
            <v>3.9628421894954115E-2</v>
          </cell>
          <cell r="F567">
            <v>1.5048991307034745E-4</v>
          </cell>
          <cell r="G567">
            <v>9.6172898053957373E-3</v>
          </cell>
          <cell r="H567">
            <v>1.0983233432042764E-3</v>
          </cell>
          <cell r="I567">
            <v>1.3985054085508878E-3</v>
          </cell>
          <cell r="J567">
            <v>0.17006036599600638</v>
          </cell>
          <cell r="K567">
            <v>1.7439406904199799E-2</v>
          </cell>
          <cell r="L567">
            <v>6.5447333646418868E-5</v>
          </cell>
          <cell r="M567">
            <v>2.8698721465886127E-4</v>
          </cell>
          <cell r="N567">
            <v>4.3666315334153587E-4</v>
          </cell>
          <cell r="O567">
            <v>4.4171781102587097E-4</v>
          </cell>
          <cell r="P567">
            <v>6.0923957929699007E-4</v>
          </cell>
        </row>
        <row r="568">
          <cell r="B568" t="str">
            <v>EOIL-ENG</v>
          </cell>
          <cell r="C568" t="str">
            <v>VAR_fout</v>
          </cell>
          <cell r="D568" t="str">
            <v>CO2_E</v>
          </cell>
          <cell r="E568">
            <v>10.600033945415101</v>
          </cell>
          <cell r="F568">
            <v>30.374838998666899</v>
          </cell>
          <cell r="G568">
            <v>2.36719826914719</v>
          </cell>
          <cell r="H568">
            <v>0.32689663171605698</v>
          </cell>
          <cell r="I568">
            <v>0.35741227655555002</v>
          </cell>
          <cell r="J568">
            <v>36.249027066735302</v>
          </cell>
          <cell r="K568">
            <v>4.0505662895482697</v>
          </cell>
          <cell r="L568">
            <v>1.7781240831066799E-2</v>
          </cell>
          <cell r="M568">
            <v>7.4212740390268303E-2</v>
          </cell>
          <cell r="N568">
            <v>0.11068881289049</v>
          </cell>
          <cell r="O568">
            <v>0.112324897296276</v>
          </cell>
          <cell r="P568">
            <v>0.154450068475916</v>
          </cell>
        </row>
        <row r="569">
          <cell r="B569" t="str">
            <v>EOIL-ENG</v>
          </cell>
          <cell r="C569" t="str">
            <v>VAR_fin</v>
          </cell>
          <cell r="D569" t="str">
            <v>ELFO</v>
          </cell>
          <cell r="E569">
            <v>0.14382678351987921</v>
          </cell>
          <cell r="F569">
            <v>0.41214164177295592</v>
          </cell>
          <cell r="G569">
            <v>3.2119379499961943E-2</v>
          </cell>
          <cell r="H569">
            <v>4.4355038224702485E-3</v>
          </cell>
          <cell r="I569">
            <v>4.8495559912557669E-3</v>
          </cell>
          <cell r="J569">
            <v>0.4918456861158117</v>
          </cell>
          <cell r="K569">
            <v>5.4960193888036218E-2</v>
          </cell>
          <cell r="L569">
            <v>2.4126514017729686E-4</v>
          </cell>
          <cell r="M569">
            <v>1.006957128768905E-3</v>
          </cell>
          <cell r="N569">
            <v>1.5018834856240189E-3</v>
          </cell>
          <cell r="O569">
            <v>1.5240827312927587E-3</v>
          </cell>
          <cell r="P569">
            <v>2.0956590023869142E-3</v>
          </cell>
        </row>
        <row r="570">
          <cell r="B570" t="str">
            <v>EOIL-ENG</v>
          </cell>
          <cell r="C570" t="str">
            <v>VAR_ncap</v>
          </cell>
          <cell r="D570" t="str">
            <v>-</v>
          </cell>
          <cell r="F570">
            <v>4.20684801000835E-5</v>
          </cell>
          <cell r="G570">
            <v>9.9429109828546997E-3</v>
          </cell>
          <cell r="H570">
            <v>4.1025362688751801E-2</v>
          </cell>
          <cell r="I570">
            <v>8.6968632482103802E-3</v>
          </cell>
          <cell r="J570">
            <v>8.3219939953513194E-5</v>
          </cell>
          <cell r="K570">
            <v>3.7772909608976902E-5</v>
          </cell>
          <cell r="L570">
            <v>5.4359749380303598E-5</v>
          </cell>
          <cell r="M570">
            <v>7.7204909588222994E-5</v>
          </cell>
          <cell r="N570">
            <v>1.6390670001492501E-3</v>
          </cell>
          <cell r="O570">
            <v>8.7059288834326703E-5</v>
          </cell>
          <cell r="P570">
            <v>1.7360581619240299E-3</v>
          </cell>
        </row>
        <row r="571">
          <cell r="B571" t="str">
            <v>EOIL-ENG</v>
          </cell>
          <cell r="C571" t="str">
            <v>VAR_cap</v>
          </cell>
          <cell r="D571" t="str">
            <v>-</v>
          </cell>
          <cell r="E571">
            <v>2.6332013243106106E-2</v>
          </cell>
          <cell r="F571">
            <v>2.3875117797321779E-2</v>
          </cell>
          <cell r="G571">
            <v>2.270337066338509E-2</v>
          </cell>
          <cell r="H571">
            <v>5.7995840780929765E-2</v>
          </cell>
          <cell r="I571">
            <v>6.6683274242439861E-2</v>
          </cell>
          <cell r="J571">
            <v>6.6758114676707336E-2</v>
          </cell>
          <cell r="K571">
            <v>6.0997828724243093E-2</v>
          </cell>
          <cell r="L571">
            <v>1.0723595027494197E-2</v>
          </cell>
          <cell r="M571">
            <v>3.67903417396254E-3</v>
          </cell>
          <cell r="N571">
            <v>1.8515525101116715E-3</v>
          </cell>
          <cell r="O571">
            <v>1.8544101846869451E-3</v>
          </cell>
          <cell r="P571">
            <v>3.5534609528769415E-3</v>
          </cell>
        </row>
        <row r="572">
          <cell r="B572" t="str">
            <v>D-SWOD</v>
          </cell>
          <cell r="C572" t="str">
            <v>VAR_fout</v>
          </cell>
          <cell r="D572" t="str">
            <v>SWOD</v>
          </cell>
          <cell r="E572">
            <v>8.5744064569769716</v>
          </cell>
          <cell r="F572">
            <v>8.4065412009288245</v>
          </cell>
          <cell r="G572">
            <v>8.5215536579743958</v>
          </cell>
          <cell r="H572">
            <v>8.4173361788224845</v>
          </cell>
          <cell r="I572">
            <v>10.491555932915423</v>
          </cell>
          <cell r="J572">
            <v>13.444740854282271</v>
          </cell>
          <cell r="K572">
            <v>23.01381572993267</v>
          </cell>
          <cell r="L572">
            <v>8.8092243666673724</v>
          </cell>
          <cell r="M572">
            <v>3.1973641875784535</v>
          </cell>
          <cell r="N572">
            <v>2.1669395499368251</v>
          </cell>
          <cell r="O572">
            <v>0.55144457590301688</v>
          </cell>
          <cell r="P572">
            <v>0.55673038042029599</v>
          </cell>
        </row>
        <row r="573">
          <cell r="B573" t="str">
            <v>D-SWOD</v>
          </cell>
          <cell r="C573" t="str">
            <v>VAR_fin</v>
          </cell>
          <cell r="D573" t="str">
            <v>WOD</v>
          </cell>
          <cell r="E573">
            <v>8.5744064569769716</v>
          </cell>
          <cell r="F573">
            <v>8.4065412009288245</v>
          </cell>
          <cell r="G573">
            <v>8.5215536579743958</v>
          </cell>
          <cell r="H573">
            <v>8.4173361788224845</v>
          </cell>
          <cell r="I573">
            <v>10.491555932915423</v>
          </cell>
          <cell r="J573">
            <v>13.444740854282271</v>
          </cell>
          <cell r="K573">
            <v>23.01381572993267</v>
          </cell>
          <cell r="L573">
            <v>8.8092243666673724</v>
          </cell>
          <cell r="M573">
            <v>3.1973641875784535</v>
          </cell>
          <cell r="N573">
            <v>2.1669395499368251</v>
          </cell>
          <cell r="O573">
            <v>0.55144457590301688</v>
          </cell>
          <cell r="P573">
            <v>0.55673038042029599</v>
          </cell>
        </row>
        <row r="574">
          <cell r="B574" t="str">
            <v>SCOM-CHPWOD</v>
          </cell>
          <cell r="C574" t="str">
            <v>VAR_fout</v>
          </cell>
          <cell r="D574" t="str">
            <v>SCOM_KEV_WOD_ELC_CHP</v>
          </cell>
          <cell r="H574">
            <v>2.1990996642316089E-3</v>
          </cell>
          <cell r="I574">
            <v>3.8274064363547338E-3</v>
          </cell>
          <cell r="J574">
            <v>9.0742565981943041E-3</v>
          </cell>
          <cell r="K574">
            <v>7.6853324652532929E-3</v>
          </cell>
          <cell r="L574">
            <v>1.1096880168741769E-2</v>
          </cell>
          <cell r="M574">
            <v>8.136402504409836E-3</v>
          </cell>
          <cell r="N574">
            <v>5.5924162724526189E-3</v>
          </cell>
          <cell r="O574">
            <v>1.1055358246034397E-2</v>
          </cell>
          <cell r="P574">
            <v>1.1123225591817103E-2</v>
          </cell>
        </row>
        <row r="575">
          <cell r="B575" t="str">
            <v>SCOM-CHPWOD</v>
          </cell>
          <cell r="C575" t="str">
            <v>VAR_fout</v>
          </cell>
          <cell r="D575" t="str">
            <v>SCOM_LTH_CHPWOD</v>
          </cell>
          <cell r="H575">
            <v>3.5145316277813568E-3</v>
          </cell>
          <cell r="I575">
            <v>5.9850116330505479E-3</v>
          </cell>
          <cell r="J575">
            <v>1.3877095887734482E-2</v>
          </cell>
          <cell r="K575">
            <v>1.151984419812929E-2</v>
          </cell>
          <cell r="L575">
            <v>1.6296834484266692E-2</v>
          </cell>
          <cell r="M575">
            <v>1.1949088653335875E-2</v>
          </cell>
          <cell r="N575">
            <v>8.2130004986450018E-3</v>
          </cell>
          <cell r="O575">
            <v>1.6235855552211822E-2</v>
          </cell>
          <cell r="P575">
            <v>1.6335525268770811E-2</v>
          </cell>
        </row>
        <row r="576">
          <cell r="B576" t="str">
            <v>SCOM-CHPWOD</v>
          </cell>
          <cell r="C576" t="str">
            <v>VAR_fin</v>
          </cell>
          <cell r="D576" t="str">
            <v>SWOD</v>
          </cell>
          <cell r="H576">
            <v>9.3659175478050041E-3</v>
          </cell>
          <cell r="I576">
            <v>1.5723123927264136E-2</v>
          </cell>
          <cell r="J576">
            <v>2.7705585858859273E-2</v>
          </cell>
          <cell r="K576">
            <v>2.3069605966339852E-2</v>
          </cell>
          <cell r="L576">
            <v>3.1746223747529313E-2</v>
          </cell>
          <cell r="M576">
            <v>2.4099936452700022E-2</v>
          </cell>
          <cell r="N576">
            <v>1.7606686923374699E-2</v>
          </cell>
          <cell r="O576">
            <v>3.1723692141721091E-2</v>
          </cell>
          <cell r="P576">
            <v>3.5267888915373739E-2</v>
          </cell>
        </row>
        <row r="577">
          <cell r="B577" t="str">
            <v>SCOM-CHPWOD</v>
          </cell>
          <cell r="C577" t="str">
            <v>VAR_ncap</v>
          </cell>
          <cell r="D577" t="str">
            <v>-</v>
          </cell>
          <cell r="H577">
            <v>2.4339750554348101E-4</v>
          </cell>
          <cell r="I577">
            <v>1.76452675749156E-4</v>
          </cell>
          <cell r="J577">
            <v>3.77425971302842E-4</v>
          </cell>
          <cell r="K577">
            <v>1.0043479994492099E-4</v>
          </cell>
          <cell r="L577">
            <v>5.8838105037593998E-4</v>
          </cell>
          <cell r="M577">
            <v>9.6989912042142499E-6</v>
          </cell>
          <cell r="N577">
            <v>7.10300312214635E-5</v>
          </cell>
          <cell r="O577">
            <v>8.2091077104418802E-4</v>
          </cell>
          <cell r="P577">
            <v>3.4258966229256901E-4</v>
          </cell>
        </row>
        <row r="578">
          <cell r="B578" t="str">
            <v>SCOM-CHPWOD</v>
          </cell>
          <cell r="C578" t="str">
            <v>VAR_cap</v>
          </cell>
          <cell r="D578" t="str">
            <v>-</v>
          </cell>
          <cell r="H578">
            <v>2.4339750554348101E-4</v>
          </cell>
          <cell r="I578">
            <v>4.1953840652831536E-4</v>
          </cell>
          <cell r="J578">
            <v>7.4993909274805102E-4</v>
          </cell>
          <cell r="K578">
            <v>6.5334036899863327E-4</v>
          </cell>
          <cell r="L578">
            <v>1.0643962823857079E-3</v>
          </cell>
          <cell r="M578">
            <v>7.4099201867989779E-4</v>
          </cell>
          <cell r="N578">
            <v>6.6713173682777821E-4</v>
          </cell>
          <cell r="O578">
            <v>1.0000613645237209E-3</v>
          </cell>
          <cell r="P578">
            <v>1.2324935958466039E-3</v>
          </cell>
        </row>
        <row r="579">
          <cell r="B579" t="str">
            <v>ENUC_BMGL</v>
          </cell>
          <cell r="C579" t="str">
            <v>VAR_fout</v>
          </cell>
          <cell r="D579" t="str">
            <v>ELC</v>
          </cell>
          <cell r="E579">
            <v>32.820828353143177</v>
          </cell>
          <cell r="F579">
            <v>1.0986185503823244E-2</v>
          </cell>
        </row>
        <row r="580">
          <cell r="B580" t="str">
            <v>ENUC_BMGL</v>
          </cell>
          <cell r="C580" t="str">
            <v>VAR_fin</v>
          </cell>
          <cell r="D580" t="str">
            <v>URN</v>
          </cell>
          <cell r="E580">
            <v>98.945584883431238</v>
          </cell>
          <cell r="F580">
            <v>3.3120265540450979E-2</v>
          </cell>
        </row>
        <row r="581">
          <cell r="B581" t="str">
            <v>ENUC_BMGL</v>
          </cell>
          <cell r="C581" t="str">
            <v>VAR_cap</v>
          </cell>
          <cell r="D581" t="str">
            <v>-</v>
          </cell>
          <cell r="E581">
            <v>1.2329999152836961</v>
          </cell>
          <cell r="F581">
            <v>4.0761471944006367E-4</v>
          </cell>
        </row>
        <row r="582">
          <cell r="B582" t="str">
            <v>D-RSH2R</v>
          </cell>
          <cell r="C582" t="str">
            <v>VAR_fout</v>
          </cell>
          <cell r="D582" t="str">
            <v>RSH2</v>
          </cell>
          <cell r="H582">
            <v>3.6906682685423479E-3</v>
          </cell>
          <cell r="I582">
            <v>7.5510875422890008E-3</v>
          </cell>
          <cell r="J582">
            <v>8.625468760503166E-2</v>
          </cell>
          <cell r="K582">
            <v>8.4450799766170228E-3</v>
          </cell>
          <cell r="L582">
            <v>6.8288613111329138E-2</v>
          </cell>
          <cell r="M582">
            <v>1.6636044888886103E-2</v>
          </cell>
          <cell r="N582">
            <v>2.1905499467267452E-2</v>
          </cell>
          <cell r="O582">
            <v>5.6982527295772127E-2</v>
          </cell>
          <cell r="P582">
            <v>4.3911081001617135E-2</v>
          </cell>
        </row>
        <row r="583">
          <cell r="B583" t="str">
            <v>D-RSH2R</v>
          </cell>
          <cell r="C583" t="str">
            <v>VAR_fin</v>
          </cell>
          <cell r="D583" t="str">
            <v>H2</v>
          </cell>
          <cell r="H583">
            <v>3.6906682685423479E-3</v>
          </cell>
          <cell r="I583">
            <v>7.5510875422890008E-3</v>
          </cell>
          <cell r="J583">
            <v>8.625468760503166E-2</v>
          </cell>
          <cell r="K583">
            <v>8.4450799766170228E-3</v>
          </cell>
          <cell r="L583">
            <v>6.8288613111329138E-2</v>
          </cell>
          <cell r="M583">
            <v>1.6636044888886103E-2</v>
          </cell>
          <cell r="N583">
            <v>2.1905499467267452E-2</v>
          </cell>
          <cell r="O583">
            <v>5.6982527295772127E-2</v>
          </cell>
          <cell r="P583">
            <v>4.3911081001617135E-2</v>
          </cell>
        </row>
        <row r="584">
          <cell r="B584" t="str">
            <v>D-RSH2R</v>
          </cell>
          <cell r="C584" t="str">
            <v>VAR_ncap</v>
          </cell>
          <cell r="D584" t="str">
            <v>-</v>
          </cell>
          <cell r="H584">
            <v>2.5684671726201701E-4</v>
          </cell>
          <cell r="I584">
            <v>4.5732241870277202E-4</v>
          </cell>
          <cell r="J584">
            <v>5.3319657575315801E-3</v>
          </cell>
          <cell r="K584">
            <v>6.9326168976137999E-4</v>
          </cell>
          <cell r="L584">
            <v>2.0855288010424699E-3</v>
          </cell>
          <cell r="M584">
            <v>1.12109944845373E-5</v>
          </cell>
          <cell r="N584">
            <v>1.05189964728968E-3</v>
          </cell>
          <cell r="O584">
            <v>2.0284737955706999E-3</v>
          </cell>
          <cell r="P584">
            <v>1.11283527926448E-4</v>
          </cell>
        </row>
        <row r="585">
          <cell r="B585" t="str">
            <v>D-RSH2R</v>
          </cell>
          <cell r="C585" t="str">
            <v>VAR_cap</v>
          </cell>
          <cell r="D585" t="str">
            <v>-</v>
          </cell>
          <cell r="H585">
            <v>2.5684671726201701E-4</v>
          </cell>
          <cell r="I585">
            <v>6.5231585507892704E-4</v>
          </cell>
          <cell r="J585">
            <v>5.4280020650766501E-3</v>
          </cell>
          <cell r="K585">
            <v>6.9326168976137999E-4</v>
          </cell>
          <cell r="L585">
            <v>2.77879049080385E-3</v>
          </cell>
          <cell r="M585">
            <v>7.5081763612028902E-4</v>
          </cell>
          <cell r="N585">
            <v>1.0604108338956001E-3</v>
          </cell>
          <cell r="O585">
            <v>2.2147882841762898E-3</v>
          </cell>
          <cell r="P585">
            <v>2.13975732349715E-3</v>
          </cell>
        </row>
        <row r="586">
          <cell r="B586" t="str">
            <v>ENGA-GTOC</v>
          </cell>
          <cell r="C586" t="str">
            <v>VAR_fout</v>
          </cell>
          <cell r="D586" t="str">
            <v>ELC13</v>
          </cell>
          <cell r="J586">
            <v>1.2095783885262992E-4</v>
          </cell>
          <cell r="K586">
            <v>3.0509054961138559E-4</v>
          </cell>
          <cell r="L586">
            <v>5.9394163710176119E-3</v>
          </cell>
          <cell r="M586">
            <v>5.4959428445266086E-3</v>
          </cell>
          <cell r="N586">
            <v>4.5666521033356586E-3</v>
          </cell>
          <cell r="O586">
            <v>5.9075342066603562E-3</v>
          </cell>
          <cell r="P586">
            <v>1.0126387249159308E-2</v>
          </cell>
        </row>
        <row r="587">
          <cell r="B587" t="str">
            <v>ENGA-GTOC</v>
          </cell>
          <cell r="C587" t="str">
            <v>VAR_fout</v>
          </cell>
          <cell r="D587" t="str">
            <v>CO2_E</v>
          </cell>
          <cell r="J587">
            <v>2.7372681967179902E-2</v>
          </cell>
          <cell r="K587">
            <v>4.6775412877855402E-2</v>
          </cell>
          <cell r="L587">
            <v>0.85616827700466203</v>
          </cell>
          <cell r="M587">
            <v>0.80576711348280505</v>
          </cell>
          <cell r="N587">
            <v>0.67946500187293402</v>
          </cell>
          <cell r="O587">
            <v>0.86540398929469697</v>
          </cell>
          <cell r="P587">
            <v>1.4962785266779799</v>
          </cell>
        </row>
        <row r="588">
          <cell r="B588" t="str">
            <v>ENGA-GTOC</v>
          </cell>
          <cell r="C588" t="str">
            <v>VAR_fin</v>
          </cell>
          <cell r="D588" t="str">
            <v>ENGA</v>
          </cell>
          <cell r="J588">
            <v>4.8533124055283636E-4</v>
          </cell>
          <cell r="K588">
            <v>8.2935129216055604E-4</v>
          </cell>
          <cell r="L588">
            <v>1.5180288599373449E-2</v>
          </cell>
          <cell r="M588">
            <v>1.4286650948276695E-2</v>
          </cell>
          <cell r="N588">
            <v>1.2047251806257707E-2</v>
          </cell>
          <cell r="O588">
            <v>1.5344042363381155E-2</v>
          </cell>
          <cell r="P588">
            <v>2.6529761111311643E-2</v>
          </cell>
        </row>
        <row r="589">
          <cell r="B589" t="str">
            <v>ENGA-GTOC</v>
          </cell>
          <cell r="C589" t="str">
            <v>VAR_fin</v>
          </cell>
          <cell r="D589" t="str">
            <v>GTC</v>
          </cell>
          <cell r="I589">
            <v>7.65959563649177E-4</v>
          </cell>
          <cell r="J589">
            <v>3.1845826389619216E-3</v>
          </cell>
          <cell r="K589">
            <v>3.2292624353885231E-3</v>
          </cell>
          <cell r="L589">
            <v>3.2668771605197421E-3</v>
          </cell>
          <cell r="M589">
            <v>4.1481158459795919E-3</v>
          </cell>
          <cell r="N589">
            <v>3.6031580366481823E-3</v>
          </cell>
          <cell r="O589">
            <v>4.1804111352805855E-3</v>
          </cell>
          <cell r="P589">
            <v>6.8022268788355267E-3</v>
          </cell>
        </row>
        <row r="590">
          <cell r="B590" t="str">
            <v>ENGA-GTOC</v>
          </cell>
          <cell r="C590" t="str">
            <v>VAR_ncap</v>
          </cell>
          <cell r="D590" t="str">
            <v>-</v>
          </cell>
          <cell r="I590">
            <v>3.1806590800214801E-3</v>
          </cell>
          <cell r="J590">
            <v>2.76051698973681E-5</v>
          </cell>
          <cell r="K590">
            <v>7.4397093076279498E-5</v>
          </cell>
          <cell r="L590">
            <v>7.9845881205770899E-4</v>
          </cell>
          <cell r="M590">
            <v>1.8048848818988199E-4</v>
          </cell>
          <cell r="N590">
            <v>6.7413523244383704E-4</v>
          </cell>
          <cell r="O590">
            <v>5.1461635340560698E-3</v>
          </cell>
        </row>
        <row r="591">
          <cell r="B591" t="str">
            <v>ENGA-GTOC</v>
          </cell>
          <cell r="C591" t="str">
            <v>VAR_cap</v>
          </cell>
          <cell r="D591" t="str">
            <v>-</v>
          </cell>
          <cell r="I591">
            <v>7.65959563649177E-4</v>
          </cell>
          <cell r="J591">
            <v>3.184582638961919E-3</v>
          </cell>
          <cell r="K591">
            <v>3.2292624353885205E-3</v>
          </cell>
          <cell r="L591">
            <v>3.2668771605197438E-3</v>
          </cell>
          <cell r="M591">
            <v>4.1481158459795858E-3</v>
          </cell>
          <cell r="N591">
            <v>3.6031580366481901E-3</v>
          </cell>
          <cell r="O591">
            <v>4.1804111352805881E-3</v>
          </cell>
          <cell r="P591">
            <v>6.8022268788355232E-3</v>
          </cell>
        </row>
        <row r="592">
          <cell r="B592" t="str">
            <v>D-RSH2</v>
          </cell>
          <cell r="C592" t="str">
            <v>VAR_fout</v>
          </cell>
          <cell r="D592" t="str">
            <v>RSH2</v>
          </cell>
          <cell r="H592">
            <v>3.2721454116179985E-3</v>
          </cell>
          <cell r="I592">
            <v>1.0286769886236479E-2</v>
          </cell>
          <cell r="J592">
            <v>2.7364160196015511E-2</v>
          </cell>
          <cell r="K592">
            <v>1.8047488008845716E-2</v>
          </cell>
          <cell r="L592">
            <v>0.62559316031736301</v>
          </cell>
          <cell r="M592">
            <v>1.3623992975111852</v>
          </cell>
          <cell r="N592">
            <v>1.4096007241532447</v>
          </cell>
          <cell r="O592">
            <v>1.6355513715501862</v>
          </cell>
          <cell r="P592">
            <v>1.2135873706110845</v>
          </cell>
        </row>
        <row r="593">
          <cell r="B593" t="str">
            <v>D-RSH2</v>
          </cell>
          <cell r="C593" t="str">
            <v>VAR_fin</v>
          </cell>
          <cell r="D593" t="str">
            <v>H2</v>
          </cell>
          <cell r="H593">
            <v>3.297073885016179E-3</v>
          </cell>
          <cell r="I593">
            <v>1.0365138490685349E-2</v>
          </cell>
          <cell r="J593">
            <v>2.7572630986185127E-2</v>
          </cell>
          <cell r="K593">
            <v>1.8184980775253691E-2</v>
          </cell>
          <cell r="L593">
            <v>0.63035917175428857</v>
          </cell>
          <cell r="M593">
            <v>1.3727785839955569</v>
          </cell>
          <cell r="N593">
            <v>1.4203396094207965</v>
          </cell>
          <cell r="O593">
            <v>1.6480116365226063</v>
          </cell>
          <cell r="P593">
            <v>1.2228329500945723</v>
          </cell>
        </row>
        <row r="594">
          <cell r="B594" t="str">
            <v>D-RSH2</v>
          </cell>
          <cell r="C594" t="str">
            <v>VAR_ncap</v>
          </cell>
          <cell r="D594" t="str">
            <v>-</v>
          </cell>
          <cell r="H594">
            <v>3.21572870883311E-4</v>
          </cell>
          <cell r="I594">
            <v>7.0074806566546705E-4</v>
          </cell>
          <cell r="J594">
            <v>9.6947346555466599E-4</v>
          </cell>
          <cell r="K594">
            <v>1.58317249041778E-5</v>
          </cell>
          <cell r="L594">
            <v>2.60647397280451E-2</v>
          </cell>
          <cell r="M594">
            <v>3.1436430221635801E-2</v>
          </cell>
          <cell r="N594">
            <v>1.2730779807414499E-2</v>
          </cell>
          <cell r="O594">
            <v>1.55437192465042E-3</v>
          </cell>
          <cell r="P594">
            <v>6.7171498596022702E-5</v>
          </cell>
        </row>
        <row r="595">
          <cell r="B595" t="str">
            <v>D-RSH2</v>
          </cell>
          <cell r="C595" t="str">
            <v>VAR_cap</v>
          </cell>
          <cell r="D595" t="str">
            <v>-</v>
          </cell>
          <cell r="H595">
            <v>3.21572870883311E-4</v>
          </cell>
          <cell r="I595">
            <v>1.0223209365487801E-3</v>
          </cell>
          <cell r="J595">
            <v>1.9917944021034398E-3</v>
          </cell>
          <cell r="K595">
            <v>2.0076261270076199E-3</v>
          </cell>
          <cell r="L595">
            <v>2.8072365855052701E-2</v>
          </cell>
          <cell r="M595">
            <v>5.9508796076688603E-2</v>
          </cell>
          <cell r="N595">
            <v>7.2239575884103097E-2</v>
          </cell>
          <cell r="O595">
            <v>7.3692004806240205E-2</v>
          </cell>
          <cell r="P595">
            <v>7.3539546436466194E-2</v>
          </cell>
        </row>
        <row r="596">
          <cell r="B596" t="str">
            <v>D-RWOD</v>
          </cell>
          <cell r="C596" t="str">
            <v>VAR_fout</v>
          </cell>
          <cell r="D596" t="str">
            <v>RWOD</v>
          </cell>
          <cell r="E596">
            <v>13.723114751751089</v>
          </cell>
          <cell r="F596">
            <v>15.890054789657279</v>
          </cell>
          <cell r="G596">
            <v>13.509782472338992</v>
          </cell>
          <cell r="H596">
            <v>11.345606980259904</v>
          </cell>
          <cell r="I596">
            <v>9.0971657144973666</v>
          </cell>
          <cell r="J596">
            <v>8.3229856167244183</v>
          </cell>
          <cell r="K596">
            <v>8.4753918161853878</v>
          </cell>
          <cell r="L596">
            <v>10.631350691636353</v>
          </cell>
          <cell r="M596">
            <v>7.3767705219710571</v>
          </cell>
          <cell r="N596">
            <v>6.783380625741227</v>
          </cell>
          <cell r="O596">
            <v>5.0480414949853758</v>
          </cell>
          <cell r="P596">
            <v>3.7892334083391113</v>
          </cell>
        </row>
        <row r="597">
          <cell r="B597" t="str">
            <v>D-RWOD</v>
          </cell>
          <cell r="C597" t="str">
            <v>VAR_fin</v>
          </cell>
          <cell r="D597" t="str">
            <v>WOD</v>
          </cell>
          <cell r="E597">
            <v>13.723114751751089</v>
          </cell>
          <cell r="F597">
            <v>15.890054789657279</v>
          </cell>
          <cell r="G597">
            <v>13.509782472338992</v>
          </cell>
          <cell r="H597">
            <v>11.345606980259904</v>
          </cell>
          <cell r="I597">
            <v>9.0971657144973666</v>
          </cell>
          <cell r="J597">
            <v>8.3229856167244183</v>
          </cell>
          <cell r="K597">
            <v>8.4753918161853878</v>
          </cell>
          <cell r="L597">
            <v>10.631350691636353</v>
          </cell>
          <cell r="M597">
            <v>7.3767705219710571</v>
          </cell>
          <cell r="N597">
            <v>6.783380625741227</v>
          </cell>
          <cell r="O597">
            <v>5.0480414949853758</v>
          </cell>
          <cell r="P597">
            <v>3.7892334083391113</v>
          </cell>
        </row>
        <row r="598">
          <cell r="B598" t="str">
            <v>SCOM-CHPGFC</v>
          </cell>
          <cell r="C598" t="str">
            <v>VAR_fout</v>
          </cell>
          <cell r="D598" t="str">
            <v>CO2_S</v>
          </cell>
          <cell r="M598">
            <v>0.42849590039579499</v>
          </cell>
          <cell r="N598">
            <v>0.54384664078939404</v>
          </cell>
          <cell r="O598">
            <v>0.93486581592005602</v>
          </cell>
          <cell r="P598">
            <v>2.0130232831608699</v>
          </cell>
        </row>
        <row r="599">
          <cell r="B599" t="str">
            <v>SCOM-CHPGFC</v>
          </cell>
          <cell r="C599" t="str">
            <v>VAR_fout</v>
          </cell>
          <cell r="D599" t="str">
            <v>SCOM_NKEV_GAS_ELC_CHP</v>
          </cell>
          <cell r="M599">
            <v>4.7104159263367598E-3</v>
          </cell>
          <cell r="N599">
            <v>5.9784559803089414E-3</v>
          </cell>
          <cell r="O599">
            <v>1.0276893721107001E-2</v>
          </cell>
          <cell r="P599">
            <v>2.212897935389609E-2</v>
          </cell>
        </row>
        <row r="600">
          <cell r="B600" t="str">
            <v>SCOM-CHPGFC</v>
          </cell>
          <cell r="C600" t="str">
            <v>VAR_fout</v>
          </cell>
          <cell r="D600" t="str">
            <v>SCOM_LTH_CHPNGA</v>
          </cell>
          <cell r="M600">
            <v>1.3675401076461539E-3</v>
          </cell>
          <cell r="N600">
            <v>1.7356807684767877E-3</v>
          </cell>
          <cell r="O600">
            <v>2.9836143061278361E-3</v>
          </cell>
          <cell r="P600">
            <v>6.4245423930666002E-3</v>
          </cell>
        </row>
        <row r="601">
          <cell r="B601" t="str">
            <v>SCOM-CHPGFC</v>
          </cell>
          <cell r="C601" t="str">
            <v>VAR_fin</v>
          </cell>
          <cell r="D601" t="str">
            <v>SNGA</v>
          </cell>
          <cell r="M601">
            <v>7.5974450424786391E-3</v>
          </cell>
          <cell r="N601">
            <v>9.6426709359821658E-3</v>
          </cell>
          <cell r="O601">
            <v>1.6575635034043554E-2</v>
          </cell>
          <cell r="P601">
            <v>3.5691902183703363E-2</v>
          </cell>
        </row>
        <row r="602">
          <cell r="B602" t="str">
            <v>SCOM-CHPGFC</v>
          </cell>
          <cell r="C602" t="str">
            <v>VAR_ncap</v>
          </cell>
          <cell r="D602" t="str">
            <v>-</v>
          </cell>
          <cell r="M602">
            <v>5.6635358571253199E-4</v>
          </cell>
          <cell r="N602">
            <v>3.8129369591058702E-4</v>
          </cell>
          <cell r="O602">
            <v>1.6427496189354499E-4</v>
          </cell>
          <cell r="P602">
            <v>1.40761794274859E-3</v>
          </cell>
        </row>
        <row r="603">
          <cell r="B603" t="str">
            <v>SCOM-CHPGFC</v>
          </cell>
          <cell r="C603" t="str">
            <v>VAR_cap</v>
          </cell>
          <cell r="D603" t="str">
            <v>-</v>
          </cell>
          <cell r="M603">
            <v>5.6635358571253199E-4</v>
          </cell>
          <cell r="N603">
            <v>9.4712405403829774E-4</v>
          </cell>
          <cell r="O603">
            <v>9.310364210187755E-4</v>
          </cell>
          <cell r="P603">
            <v>1.951622148632298E-3</v>
          </cell>
        </row>
        <row r="604">
          <cell r="B604" t="str">
            <v>CHPOIL</v>
          </cell>
          <cell r="C604" t="str">
            <v>VAR_fout</v>
          </cell>
          <cell r="D604" t="str">
            <v>ELC35</v>
          </cell>
          <cell r="E604">
            <v>1.8284219742322509E-3</v>
          </cell>
          <cell r="F604">
            <v>1.0901577436305898E-4</v>
          </cell>
          <cell r="G604">
            <v>2.6816853046051805E-3</v>
          </cell>
          <cell r="H604">
            <v>6.8632652847808173E-4</v>
          </cell>
          <cell r="I604">
            <v>3.8753474085779642E-4</v>
          </cell>
          <cell r="J604">
            <v>1.6581906781969861E-3</v>
          </cell>
          <cell r="K604">
            <v>1.5548675263547358E-3</v>
          </cell>
          <cell r="L604">
            <v>1.1755400554348552E-5</v>
          </cell>
          <cell r="M604">
            <v>4.693327543727533E-5</v>
          </cell>
          <cell r="N604">
            <v>6.1642579432776056E-5</v>
          </cell>
          <cell r="O604">
            <v>6.0939045171047899E-5</v>
          </cell>
          <cell r="P604">
            <v>6.95751728708296E-5</v>
          </cell>
        </row>
        <row r="605">
          <cell r="B605" t="str">
            <v>CHPOIL</v>
          </cell>
          <cell r="C605" t="str">
            <v>VAR_fout</v>
          </cell>
          <cell r="D605" t="str">
            <v>LTH</v>
          </cell>
          <cell r="E605">
            <v>9.40331301033729E-3</v>
          </cell>
          <cell r="F605">
            <v>5.6065255386715984E-4</v>
          </cell>
          <cell r="G605">
            <v>1.3791524423683789E-2</v>
          </cell>
          <cell r="H605">
            <v>3.5296792893158417E-3</v>
          </cell>
          <cell r="I605">
            <v>1.9930358101258078E-3</v>
          </cell>
          <cell r="J605">
            <v>8.5278377735844915E-3</v>
          </cell>
          <cell r="K605">
            <v>7.9964615641100641E-3</v>
          </cell>
          <cell r="L605">
            <v>6.0456345708078191E-5</v>
          </cell>
          <cell r="M605">
            <v>2.4137113082027268E-4</v>
          </cell>
          <cell r="N605">
            <v>3.1701897993999088E-4</v>
          </cell>
          <cell r="O605">
            <v>3.1340080373681785E-4</v>
          </cell>
          <cell r="P605">
            <v>3.5781517476426631E-4</v>
          </cell>
        </row>
        <row r="606">
          <cell r="B606" t="str">
            <v>CHPOIL</v>
          </cell>
          <cell r="C606" t="str">
            <v>VAR_fout</v>
          </cell>
          <cell r="D606" t="str">
            <v>CO2_E</v>
          </cell>
          <cell r="E606">
            <v>2.95105794940446</v>
          </cell>
          <cell r="F606">
            <v>30.4225811464459</v>
          </cell>
          <cell r="G606">
            <v>2.0274304087384198</v>
          </cell>
          <cell r="H606">
            <v>0.549420182992017</v>
          </cell>
          <cell r="I606">
            <v>0.30505400934761601</v>
          </cell>
          <cell r="J606">
            <v>1.21684144055738</v>
          </cell>
          <cell r="K606">
            <v>1.10129082594117</v>
          </cell>
          <cell r="L606">
            <v>1.2040618129223701E-2</v>
          </cell>
          <cell r="M606">
            <v>4.3056748815359001E-2</v>
          </cell>
          <cell r="N606">
            <v>5.4285961920343302E-2</v>
          </cell>
          <cell r="O606">
            <v>5.49371063555582E-2</v>
          </cell>
          <cell r="P606">
            <v>6.4129766845473501E-2</v>
          </cell>
        </row>
        <row r="607">
          <cell r="B607" t="str">
            <v>CHPOIL</v>
          </cell>
          <cell r="C607" t="str">
            <v>VAR_fin</v>
          </cell>
          <cell r="D607" t="str">
            <v>ELFO</v>
          </cell>
          <cell r="E607">
            <v>4.0041491850806819E-2</v>
          </cell>
          <cell r="F607">
            <v>0.41278943210917102</v>
          </cell>
          <cell r="G607">
            <v>2.7509232140277042E-2</v>
          </cell>
          <cell r="H607">
            <v>7.4548193078971068E-3</v>
          </cell>
          <cell r="I607">
            <v>4.1391317414873246E-3</v>
          </cell>
          <cell r="J607">
            <v>1.6510738677847775E-2</v>
          </cell>
          <cell r="K607">
            <v>1.4942887733258761E-2</v>
          </cell>
          <cell r="L607">
            <v>1.6337338031511146E-4</v>
          </cell>
          <cell r="M607">
            <v>5.8421640183662206E-4</v>
          </cell>
          <cell r="N607">
            <v>7.3658021601551279E-4</v>
          </cell>
          <cell r="O607">
            <v>7.454152829790802E-4</v>
          </cell>
          <cell r="P607">
            <v>8.7014609016924818E-4</v>
          </cell>
        </row>
        <row r="608">
          <cell r="B608" t="str">
            <v>CHPOIL</v>
          </cell>
          <cell r="C608" t="str">
            <v>VAR_ncap</v>
          </cell>
          <cell r="D608" t="str">
            <v>-</v>
          </cell>
          <cell r="F608">
            <v>1.0125246203408799E-5</v>
          </cell>
          <cell r="G608">
            <v>1.1741696377403801E-5</v>
          </cell>
          <cell r="H608">
            <v>1.5098468560287101E-5</v>
          </cell>
          <cell r="I608">
            <v>6.1906946307578101E-5</v>
          </cell>
          <cell r="J608">
            <v>2.5112038143600401E-4</v>
          </cell>
          <cell r="K608">
            <v>3.3213273657485402E-4</v>
          </cell>
          <cell r="L608">
            <v>4.08839055866771E-5</v>
          </cell>
          <cell r="M608">
            <v>6.1483847045975306E-5</v>
          </cell>
          <cell r="N608">
            <v>4.33722371545273E-4</v>
          </cell>
          <cell r="O608">
            <v>2.3239600813455E-4</v>
          </cell>
          <cell r="P608">
            <v>8.2497445352980705E-4</v>
          </cell>
        </row>
        <row r="609">
          <cell r="B609" t="str">
            <v>CHPOIL</v>
          </cell>
          <cell r="C609" t="str">
            <v>VAR_cap</v>
          </cell>
          <cell r="D609" t="str">
            <v>-</v>
          </cell>
          <cell r="E609">
            <v>5.4856768585690007E-3</v>
          </cell>
          <cell r="F609">
            <v>2.5078599463849681E-3</v>
          </cell>
          <cell r="G609">
            <v>2.1724907660572827E-3</v>
          </cell>
          <cell r="H609">
            <v>1.4780808803081897E-3</v>
          </cell>
          <cell r="I609">
            <v>1.336405279089228E-3</v>
          </cell>
          <cell r="J609">
            <v>7.3282724805121241E-4</v>
          </cell>
          <cell r="K609">
            <v>6.4536964537151883E-4</v>
          </cell>
          <cell r="L609">
            <v>6.723466376436139E-4</v>
          </cell>
          <cell r="M609">
            <v>6.5050016576610585E-4</v>
          </cell>
          <cell r="N609">
            <v>8.4659237894505531E-4</v>
          </cell>
          <cell r="O609">
            <v>7.4857558724828832E-4</v>
          </cell>
          <cell r="P609">
            <v>1.5222148401451648E-3</v>
          </cell>
        </row>
        <row r="610">
          <cell r="B610" t="str">
            <v>CHPHFC</v>
          </cell>
          <cell r="C610" t="str">
            <v>VAR_fout</v>
          </cell>
          <cell r="D610" t="str">
            <v>ELC35</v>
          </cell>
          <cell r="J610">
            <v>3.659695528774614E-2</v>
          </cell>
          <cell r="K610">
            <v>3.7313924476233155E-2</v>
          </cell>
          <cell r="L610">
            <v>5.0614902062027865E-2</v>
          </cell>
          <cell r="M610">
            <v>0.86884630081509584</v>
          </cell>
          <cell r="N610">
            <v>1.0873517624175999</v>
          </cell>
          <cell r="O610">
            <v>1.0874342349510862</v>
          </cell>
          <cell r="P610">
            <v>1.1192074614303709</v>
          </cell>
        </row>
        <row r="611">
          <cell r="B611" t="str">
            <v>CHPHFC</v>
          </cell>
          <cell r="C611" t="str">
            <v>VAR_fout</v>
          </cell>
          <cell r="D611" t="str">
            <v>LTH</v>
          </cell>
          <cell r="J611">
            <v>4.4439159992263041E-2</v>
          </cell>
          <cell r="K611">
            <v>4.6198192208669511E-2</v>
          </cell>
          <cell r="L611">
            <v>6.3871185935415978E-2</v>
          </cell>
          <cell r="M611">
            <v>1.0964012843619049</v>
          </cell>
          <cell r="N611">
            <v>1.3721343668603023</v>
          </cell>
          <cell r="O611">
            <v>1.3722384393430356</v>
          </cell>
          <cell r="P611">
            <v>1.4123332251383225</v>
          </cell>
        </row>
        <row r="612">
          <cell r="B612" t="str">
            <v>CHPHFC</v>
          </cell>
          <cell r="C612" t="str">
            <v>VAR_fin</v>
          </cell>
          <cell r="D612" t="str">
            <v>EH2</v>
          </cell>
          <cell r="J612">
            <v>8.7135607827967004E-2</v>
          </cell>
          <cell r="K612">
            <v>8.8842677324364711E-2</v>
          </cell>
          <cell r="L612">
            <v>0.12051167157625678</v>
          </cell>
          <cell r="M612">
            <v>2.0686816686073692</v>
          </cell>
          <cell r="N612">
            <v>2.5889327676609488</v>
          </cell>
          <cell r="O612">
            <v>2.5891291308359214</v>
          </cell>
          <cell r="P612">
            <v>2.6647796700723108</v>
          </cell>
        </row>
        <row r="613">
          <cell r="B613" t="str">
            <v>CHPHFC</v>
          </cell>
          <cell r="C613" t="str">
            <v>VAR_ncap</v>
          </cell>
          <cell r="D613" t="str">
            <v>-</v>
          </cell>
          <cell r="J613">
            <v>2.33217598076968E-3</v>
          </cell>
          <cell r="K613">
            <v>1.0178823999930801E-4</v>
          </cell>
          <cell r="L613">
            <v>8.0787394590117398E-4</v>
          </cell>
          <cell r="M613">
            <v>4.0771804774470399E-2</v>
          </cell>
          <cell r="N613">
            <v>3.0192759918034301E-2</v>
          </cell>
          <cell r="O613">
            <v>2.2622930755931801E-4</v>
          </cell>
          <cell r="P613">
            <v>1.3876880858169899E-2</v>
          </cell>
        </row>
        <row r="614">
          <cell r="B614" t="str">
            <v>CHPHFC</v>
          </cell>
          <cell r="C614" t="str">
            <v>VAR_cap</v>
          </cell>
          <cell r="D614" t="str">
            <v>-</v>
          </cell>
          <cell r="J614">
            <v>2.33217598076968E-3</v>
          </cell>
          <cell r="K614">
            <v>2.4335759535013056E-3</v>
          </cell>
          <cell r="L614">
            <v>3.2398691088094257E-3</v>
          </cell>
          <cell r="M614">
            <v>4.370049464445816E-2</v>
          </cell>
          <cell r="N614">
            <v>7.1868671668123552E-2</v>
          </cell>
          <cell r="O614">
            <v>7.1993007435410872E-2</v>
          </cell>
          <cell r="P614">
            <v>8.5060204947392956E-2</v>
          </cell>
        </row>
        <row r="615">
          <cell r="B615" t="str">
            <v>ITOT-ESOLPV</v>
          </cell>
          <cell r="C615" t="str">
            <v>VAR_fout</v>
          </cell>
          <cell r="D615" t="str">
            <v>ITOT_SOL_ELC</v>
          </cell>
          <cell r="E615">
            <v>3.517953999707534</v>
          </cell>
          <cell r="F615">
            <v>4.8486224180395263</v>
          </cell>
          <cell r="G615">
            <v>8.4550825265422365</v>
          </cell>
          <cell r="H615">
            <v>9.926144174025012</v>
          </cell>
          <cell r="I615">
            <v>19.784617135491548</v>
          </cell>
          <cell r="J615">
            <v>20.793900898128385</v>
          </cell>
          <cell r="K615">
            <v>21.854605212615262</v>
          </cell>
          <cell r="L615">
            <v>22.969412315912109</v>
          </cell>
          <cell r="M615">
            <v>24.141083330105005</v>
          </cell>
          <cell r="N615">
            <v>25.37252149187724</v>
          </cell>
          <cell r="O615">
            <v>26.666775752836962</v>
          </cell>
          <cell r="P615">
            <v>28.027050278303932</v>
          </cell>
        </row>
        <row r="616">
          <cell r="B616" t="str">
            <v>ITOT-ESOLPV</v>
          </cell>
          <cell r="C616" t="str">
            <v>VAR_fin</v>
          </cell>
          <cell r="D616" t="str">
            <v>SOL</v>
          </cell>
          <cell r="E616">
            <v>3.517953999707534</v>
          </cell>
          <cell r="F616">
            <v>4.8486224180395263</v>
          </cell>
          <cell r="G616">
            <v>8.4550825265422365</v>
          </cell>
          <cell r="H616">
            <v>9.926144174025012</v>
          </cell>
          <cell r="I616">
            <v>19.784617135491548</v>
          </cell>
          <cell r="J616">
            <v>20.793900898128385</v>
          </cell>
          <cell r="K616">
            <v>21.854605212615262</v>
          </cell>
          <cell r="L616">
            <v>22.969412315912109</v>
          </cell>
          <cell r="M616">
            <v>24.141083330105005</v>
          </cell>
          <cell r="N616">
            <v>25.37252149187724</v>
          </cell>
          <cell r="O616">
            <v>26.666775752836962</v>
          </cell>
          <cell r="P616">
            <v>28.027050278303932</v>
          </cell>
        </row>
        <row r="617">
          <cell r="B617" t="str">
            <v>ITOT-ESOLPV</v>
          </cell>
          <cell r="C617" t="str">
            <v>VAR_fin</v>
          </cell>
          <cell r="D617" t="str">
            <v>SOLPVC</v>
          </cell>
          <cell r="E617">
            <v>3.51795399970753</v>
          </cell>
          <cell r="F617">
            <v>4.8486224180395299</v>
          </cell>
          <cell r="G617">
            <v>8.45508252654224</v>
          </cell>
          <cell r="H617">
            <v>9.9261441740250103</v>
          </cell>
          <cell r="I617">
            <v>19.784617135491501</v>
          </cell>
          <cell r="J617">
            <v>20.793900898128399</v>
          </cell>
          <cell r="K617">
            <v>21.854605212615301</v>
          </cell>
          <cell r="L617">
            <v>22.969412315912098</v>
          </cell>
          <cell r="M617">
            <v>24.141083330105001</v>
          </cell>
          <cell r="N617">
            <v>25.372521491877201</v>
          </cell>
          <cell r="O617">
            <v>26.666775752837001</v>
          </cell>
          <cell r="P617">
            <v>28.0270502783039</v>
          </cell>
        </row>
        <row r="618">
          <cell r="B618" t="str">
            <v>ITOT-ESOLPV</v>
          </cell>
          <cell r="C618" t="str">
            <v>VAR_ncap</v>
          </cell>
          <cell r="D618" t="str">
            <v>-</v>
          </cell>
          <cell r="F618">
            <v>6.8105370851207303E-8</v>
          </cell>
          <cell r="G618">
            <v>0.73129221353368401</v>
          </cell>
          <cell r="H618">
            <v>3.9383059211171402E-6</v>
          </cell>
          <cell r="I618">
            <v>2.9512473762060201</v>
          </cell>
          <cell r="J618">
            <v>0.86940561266174399</v>
          </cell>
          <cell r="K618">
            <v>1.4563712713252801</v>
          </cell>
          <cell r="L618">
            <v>0.40532004824907503</v>
          </cell>
          <cell r="M618">
            <v>2.4604144349452701</v>
          </cell>
          <cell r="N618">
            <v>1.9547379817991</v>
          </cell>
          <cell r="O618">
            <v>1.7765537355108101</v>
          </cell>
          <cell r="P618">
            <v>0.74183510767009697</v>
          </cell>
        </row>
        <row r="619">
          <cell r="B619" t="str">
            <v>ITOT-ESOLPV</v>
          </cell>
          <cell r="C619" t="str">
            <v>VAR_cap</v>
          </cell>
          <cell r="D619" t="str">
            <v>-</v>
          </cell>
          <cell r="E619">
            <v>1.1186210000000001</v>
          </cell>
          <cell r="F619">
            <v>1.6529270826924209</v>
          </cell>
          <cell r="G619">
            <v>2.524513281639055</v>
          </cell>
          <cell r="H619">
            <v>2.4556013231408671</v>
          </cell>
          <cell r="I619">
            <v>4.89446545321056</v>
          </cell>
          <cell r="J619">
            <v>5.1441498071810008</v>
          </cell>
          <cell r="K619">
            <v>5.4065548333290003</v>
          </cell>
          <cell r="L619">
            <v>5.6823443084421204</v>
          </cell>
          <cell r="M619">
            <v>5.9722012134604903</v>
          </cell>
          <cell r="N619">
            <v>6.2768437363187202</v>
          </cell>
          <cell r="O619">
            <v>6.5970262005042501</v>
          </cell>
          <cell r="P619">
            <v>6.9335412599252804</v>
          </cell>
        </row>
        <row r="620">
          <cell r="B620" t="str">
            <v>SUP_WODBIOCCS</v>
          </cell>
          <cell r="C620" t="str">
            <v>VAR_fout</v>
          </cell>
          <cell r="D620" t="str">
            <v>ELC35</v>
          </cell>
          <cell r="J620">
            <v>6.9205191373011417E-5</v>
          </cell>
          <cell r="K620">
            <v>7.7154332553130108E-5</v>
          </cell>
          <cell r="L620">
            <v>1.5906108371502306E-4</v>
          </cell>
          <cell r="M620">
            <v>1.5329784902269296E-4</v>
          </cell>
          <cell r="N620">
            <v>4.6033396451282573E-4</v>
          </cell>
          <cell r="O620">
            <v>4.2902633604466621E-4</v>
          </cell>
          <cell r="P620">
            <v>5.6669701141595413E-4</v>
          </cell>
        </row>
        <row r="621">
          <cell r="B621" t="str">
            <v>SUP_WODBIOCCS</v>
          </cell>
          <cell r="C621" t="str">
            <v>VAR_fout</v>
          </cell>
          <cell r="D621" t="str">
            <v>CO2_O</v>
          </cell>
          <cell r="J621">
            <v>7.889488047794703E-2</v>
          </cell>
          <cell r="K621">
            <v>0.10196876710280767</v>
          </cell>
          <cell r="L621">
            <v>0.25017401021219154</v>
          </cell>
          <cell r="M621">
            <v>0.23116523995043364</v>
          </cell>
          <cell r="N621">
            <v>0.70848233556631857</v>
          </cell>
          <cell r="O621">
            <v>0.68213845324707312</v>
          </cell>
          <cell r="P621">
            <v>0.90280397852855043</v>
          </cell>
        </row>
        <row r="622">
          <cell r="B622" t="str">
            <v>SUP_WODBIOCCS</v>
          </cell>
          <cell r="C622" t="str">
            <v>VAR_fout</v>
          </cell>
          <cell r="D622" t="str">
            <v>CO2</v>
          </cell>
          <cell r="J622">
            <v>-7.8894880477947002E-2</v>
          </cell>
          <cell r="K622">
            <v>-0.101968767102808</v>
          </cell>
          <cell r="L622">
            <v>-0.25017401021219099</v>
          </cell>
          <cell r="M622">
            <v>-0.231165239950434</v>
          </cell>
          <cell r="N622">
            <v>-0.70848233556631801</v>
          </cell>
          <cell r="O622">
            <v>-0.68213845324707301</v>
          </cell>
          <cell r="P622">
            <v>-0.90280397852855099</v>
          </cell>
        </row>
        <row r="623">
          <cell r="B623" t="str">
            <v>SUP_WODBIOCCS</v>
          </cell>
          <cell r="C623" t="str">
            <v>VAR_fout</v>
          </cell>
          <cell r="D623" t="str">
            <v>BIO</v>
          </cell>
          <cell r="J623">
            <v>1.2138161017933215E-3</v>
          </cell>
          <cell r="K623">
            <v>1.5854694764905286E-3</v>
          </cell>
          <cell r="L623">
            <v>3.9240958574562846E-3</v>
          </cell>
          <cell r="M623">
            <v>3.6202892867417866E-3</v>
          </cell>
          <cell r="N623">
            <v>1.1103283841169638E-2</v>
          </cell>
          <cell r="O623">
            <v>1.070383655920386E-2</v>
          </cell>
          <cell r="P623">
            <v>1.4167425285398811E-2</v>
          </cell>
        </row>
        <row r="624">
          <cell r="B624" t="str">
            <v>SUP_WODBIOCCS</v>
          </cell>
          <cell r="C624" t="str">
            <v>VAR_fout</v>
          </cell>
          <cell r="D624" t="str">
            <v>LTH</v>
          </cell>
          <cell r="J624">
            <v>1.5314350820783891E-4</v>
          </cell>
          <cell r="K624">
            <v>1.9356702698286517E-4</v>
          </cell>
          <cell r="L624">
            <v>4.7089150289475354E-4</v>
          </cell>
          <cell r="M624">
            <v>4.344347144090144E-4</v>
          </cell>
          <cell r="N624">
            <v>1.3332569543994136E-3</v>
          </cell>
          <cell r="O624">
            <v>1.2844603871044634E-3</v>
          </cell>
          <cell r="P624">
            <v>1.7000910342478606E-3</v>
          </cell>
        </row>
        <row r="625">
          <cell r="B625" t="str">
            <v>SUP_WODBIOCCS</v>
          </cell>
          <cell r="C625" t="str">
            <v>VAR_fin</v>
          </cell>
          <cell r="D625" t="str">
            <v>CWOD</v>
          </cell>
          <cell r="J625">
            <v>1.8174137451396379E-3</v>
          </cell>
          <cell r="K625">
            <v>2.3738802070726378E-3</v>
          </cell>
          <cell r="L625">
            <v>5.8754417065731736E-3</v>
          </cell>
          <cell r="M625">
            <v>5.4205604138761153E-3</v>
          </cell>
          <cell r="N625">
            <v>1.6624644078551278E-2</v>
          </cell>
          <cell r="O625">
            <v>1.6027689221030844E-2</v>
          </cell>
          <cell r="P625">
            <v>2.1212499495501667E-2</v>
          </cell>
        </row>
        <row r="626">
          <cell r="B626" t="str">
            <v>SUP_WODBIOCCS</v>
          </cell>
          <cell r="C626" t="str">
            <v>VAR_ncap</v>
          </cell>
          <cell r="D626" t="str">
            <v>-</v>
          </cell>
          <cell r="J626">
            <v>8.4969344212342202E-5</v>
          </cell>
          <cell r="K626">
            <v>2.8470759851947801E-5</v>
          </cell>
          <cell r="L626">
            <v>9.6889454850947597E-5</v>
          </cell>
          <cell r="M626">
            <v>1.09359784119068E-4</v>
          </cell>
          <cell r="N626">
            <v>3.69215079772899E-4</v>
          </cell>
          <cell r="O626">
            <v>8.6447476581773893E-6</v>
          </cell>
          <cell r="P626">
            <v>3.0324134873424601E-4</v>
          </cell>
        </row>
        <row r="627">
          <cell r="B627" t="str">
            <v>SUP_WODBIOCCS</v>
          </cell>
          <cell r="C627" t="str">
            <v>VAR_cap</v>
          </cell>
          <cell r="D627" t="str">
            <v>-</v>
          </cell>
          <cell r="J627">
            <v>8.4969344212342202E-5</v>
          </cell>
          <cell r="K627">
            <v>1.1344010406429001E-4</v>
          </cell>
          <cell r="L627">
            <v>2.10329558915238E-4</v>
          </cell>
          <cell r="M627">
            <v>3.08431293362773E-4</v>
          </cell>
          <cell r="N627">
            <v>6.0393507859486195E-4</v>
          </cell>
          <cell r="O627">
            <v>5.8410906640109196E-4</v>
          </cell>
          <cell r="P627">
            <v>7.9046096028438997E-4</v>
          </cell>
        </row>
        <row r="628">
          <cell r="B628" t="str">
            <v>RHNS-CHPNGA</v>
          </cell>
          <cell r="C628" t="str">
            <v>VAR_fout</v>
          </cell>
          <cell r="D628" t="str">
            <v>CO2_R</v>
          </cell>
          <cell r="F628">
            <v>0.71317301713322601</v>
          </cell>
          <cell r="G628">
            <v>1.3863688764187601</v>
          </cell>
          <cell r="H628">
            <v>1.0961596652944301</v>
          </cell>
          <cell r="I628">
            <v>1.189733227544</v>
          </cell>
          <cell r="J628">
            <v>0.63074032959757398</v>
          </cell>
          <cell r="M628">
            <v>0.50783945656946305</v>
          </cell>
          <cell r="N628">
            <v>0.62818797072440802</v>
          </cell>
          <cell r="O628">
            <v>0.60618534344666997</v>
          </cell>
          <cell r="P628">
            <v>1.32779667077657</v>
          </cell>
        </row>
        <row r="629">
          <cell r="B629" t="str">
            <v>RHNS-CHPNGA</v>
          </cell>
          <cell r="C629" t="str">
            <v>VAR_fout</v>
          </cell>
          <cell r="D629" t="str">
            <v>RHNS_LTH_CHPNGA</v>
          </cell>
          <cell r="F629">
            <v>8.0560857361046869E-3</v>
          </cell>
          <cell r="G629">
            <v>1.0595442529292422E-2</v>
          </cell>
          <cell r="H629">
            <v>1.0317301044971689E-2</v>
          </cell>
          <cell r="I629">
            <v>1.0234561042644042E-2</v>
          </cell>
          <cell r="J629">
            <v>6.263856510877964E-3</v>
          </cell>
          <cell r="M629">
            <v>4.9894948234595294E-3</v>
          </cell>
          <cell r="N629">
            <v>6.2046566909466656E-3</v>
          </cell>
          <cell r="O629">
            <v>5.8002200491309962E-3</v>
          </cell>
          <cell r="P629">
            <v>1.2785300607292202E-2</v>
          </cell>
        </row>
        <row r="630">
          <cell r="B630" t="str">
            <v>RHNS-CHPNGA</v>
          </cell>
          <cell r="C630" t="str">
            <v>VAR_fout</v>
          </cell>
          <cell r="D630" t="str">
            <v>RHNS_NKEV_GAS_ELC_CHP</v>
          </cell>
          <cell r="F630">
            <v>3.3805510748751879E-3</v>
          </cell>
          <cell r="G630">
            <v>4.5153069628777083E-3</v>
          </cell>
          <cell r="H630">
            <v>4.5138192071751048E-3</v>
          </cell>
          <cell r="I630">
            <v>4.5172454159457644E-3</v>
          </cell>
          <cell r="J630">
            <v>2.789373602500343E-3</v>
          </cell>
          <cell r="M630">
            <v>2.2967515854020017E-3</v>
          </cell>
          <cell r="N630">
            <v>2.8561118101182981E-3</v>
          </cell>
          <cell r="O630">
            <v>2.6699425622983943E-3</v>
          </cell>
          <cell r="P630">
            <v>5.885297104944026E-3</v>
          </cell>
        </row>
        <row r="631">
          <cell r="B631" t="str">
            <v>RHNS-CHPNGA</v>
          </cell>
          <cell r="C631" t="str">
            <v>VAR_fin</v>
          </cell>
          <cell r="D631" t="str">
            <v>RNGA</v>
          </cell>
          <cell r="F631">
            <v>1.2644911651298335E-2</v>
          </cell>
          <cell r="G631">
            <v>2.4581008447141141E-2</v>
          </cell>
          <cell r="H631">
            <v>1.9435455058411936E-2</v>
          </cell>
          <cell r="I631">
            <v>2.1094560772056792E-2</v>
          </cell>
          <cell r="J631">
            <v>1.118333917726194E-2</v>
          </cell>
          <cell r="M631">
            <v>9.0042456838557369E-3</v>
          </cell>
          <cell r="N631">
            <v>1.113808458731219E-2</v>
          </cell>
          <cell r="O631">
            <v>1.074796708238776E-2</v>
          </cell>
          <cell r="P631">
            <v>2.3542494162705211E-2</v>
          </cell>
        </row>
        <row r="632">
          <cell r="B632" t="str">
            <v>RHNS-CHPNGA</v>
          </cell>
          <cell r="C632" t="str">
            <v>VAR_ncap</v>
          </cell>
          <cell r="D632" t="str">
            <v>-</v>
          </cell>
          <cell r="F632">
            <v>3.98879146015868E-4</v>
          </cell>
          <cell r="M632">
            <v>2.2446466571135099E-4</v>
          </cell>
          <cell r="N632">
            <v>1.05742436052835E-4</v>
          </cell>
          <cell r="O632">
            <v>1.46518222851705E-6</v>
          </cell>
          <cell r="P632">
            <v>3.29396635447589E-4</v>
          </cell>
        </row>
        <row r="633">
          <cell r="B633" t="str">
            <v>RHNS-CHPNGA</v>
          </cell>
          <cell r="C633" t="str">
            <v>VAR_cap</v>
          </cell>
          <cell r="D633" t="str">
            <v>-</v>
          </cell>
          <cell r="F633">
            <v>3.98879146015868E-4</v>
          </cell>
          <cell r="G633">
            <v>3.9886562917623773E-4</v>
          </cell>
          <cell r="H633">
            <v>3.9884758470445442E-4</v>
          </cell>
          <cell r="I633">
            <v>3.9882413036549156E-4</v>
          </cell>
          <cell r="J633">
            <v>2.4513951622356125E-4</v>
          </cell>
          <cell r="M633">
            <v>2.2446466571135099E-4</v>
          </cell>
          <cell r="N633">
            <v>3.3007618246076346E-4</v>
          </cell>
          <cell r="O633">
            <v>3.3129057779504297E-4</v>
          </cell>
          <cell r="P633">
            <v>6.5999562389119264E-4</v>
          </cell>
        </row>
        <row r="634">
          <cell r="B634" t="str">
            <v>ENUC_BEZ</v>
          </cell>
          <cell r="C634" t="str">
            <v>VAR_fout</v>
          </cell>
          <cell r="D634" t="str">
            <v>ELC</v>
          </cell>
          <cell r="E634">
            <v>20.224828379560428</v>
          </cell>
          <cell r="F634">
            <v>20.22479848737866</v>
          </cell>
          <cell r="G634">
            <v>19.096532843703816</v>
          </cell>
          <cell r="H634">
            <v>16.171507166727491</v>
          </cell>
        </row>
        <row r="635">
          <cell r="B635" t="str">
            <v>ENUC_BEZ</v>
          </cell>
          <cell r="C635" t="str">
            <v>VAR_fin</v>
          </cell>
          <cell r="D635" t="str">
            <v>URN</v>
          </cell>
          <cell r="E635">
            <v>60.972180581511083</v>
          </cell>
          <cell r="F635">
            <v>60.972090464973547</v>
          </cell>
          <cell r="G635">
            <v>57.570686246405216</v>
          </cell>
          <cell r="H635">
            <v>48.752554866739501</v>
          </cell>
        </row>
        <row r="636">
          <cell r="B636" t="str">
            <v>ENUC_BEZ</v>
          </cell>
          <cell r="C636" t="str">
            <v>VAR_cap</v>
          </cell>
          <cell r="D636" t="str">
            <v>-</v>
          </cell>
          <cell r="E636">
            <v>0.72999982537686958</v>
          </cell>
          <cell r="F636">
            <v>0.7299989201382292</v>
          </cell>
          <cell r="G636">
            <v>0.72998939605598068</v>
          </cell>
          <cell r="H636">
            <v>0.58369892625980879</v>
          </cell>
        </row>
        <row r="637">
          <cell r="B637" t="str">
            <v>RHNM-CHPWOD</v>
          </cell>
          <cell r="C637" t="str">
            <v>VAR_fout</v>
          </cell>
          <cell r="D637" t="str">
            <v>RHNM_LTH_CHPWOD</v>
          </cell>
          <cell r="H637">
            <v>4.379227392407912E-3</v>
          </cell>
          <cell r="I637">
            <v>1.046609954981177E-2</v>
          </cell>
          <cell r="J637">
            <v>1.7717331288918597E-2</v>
          </cell>
          <cell r="K637">
            <v>1.6066858558949106E-2</v>
          </cell>
          <cell r="L637">
            <v>1.2488134416059308E-2</v>
          </cell>
          <cell r="M637">
            <v>1.5059889140032172E-2</v>
          </cell>
          <cell r="N637">
            <v>1.7291286586399938E-2</v>
          </cell>
          <cell r="O637">
            <v>1.0699957974461282E-2</v>
          </cell>
          <cell r="P637">
            <v>1.4616225006915199E-2</v>
          </cell>
        </row>
        <row r="638">
          <cell r="B638" t="str">
            <v>RHNM-CHPWOD</v>
          </cell>
          <cell r="C638" t="str">
            <v>VAR_fout</v>
          </cell>
          <cell r="D638" t="str">
            <v>RHNM_KEV_WOD_ELC_CHP</v>
          </cell>
          <cell r="H638">
            <v>1.646265112331121E-3</v>
          </cell>
          <cell r="I638">
            <v>3.9344781640959017E-3</v>
          </cell>
          <cell r="J638">
            <v>6.6604041697230932E-3</v>
          </cell>
          <cell r="K638">
            <v>6.0399486804938252E-3</v>
          </cell>
          <cell r="L638">
            <v>4.6946134934445155E-3</v>
          </cell>
          <cell r="M638">
            <v>5.6614027693083846E-3</v>
          </cell>
          <cell r="N638">
            <v>6.5002429204429344E-3</v>
          </cell>
          <cell r="O638">
            <v>4.0223916089178495E-3</v>
          </cell>
          <cell r="P638">
            <v>5.494617919266258E-3</v>
          </cell>
        </row>
        <row r="639">
          <cell r="B639" t="str">
            <v>RHNM-CHPWOD</v>
          </cell>
          <cell r="C639" t="str">
            <v>VAR_fin</v>
          </cell>
          <cell r="D639" t="str">
            <v>RWOD</v>
          </cell>
          <cell r="H639">
            <v>8.5896906830547019E-3</v>
          </cell>
          <cell r="I639">
            <v>1.85197263163773E-2</v>
          </cell>
          <cell r="J639">
            <v>2.607053163616016E-2</v>
          </cell>
          <cell r="K639">
            <v>2.3119456929824214E-2</v>
          </cell>
          <cell r="L639">
            <v>1.7961654611595729E-2</v>
          </cell>
          <cell r="M639">
            <v>2.1519621219688801E-2</v>
          </cell>
          <cell r="N639">
            <v>2.4988449880780382E-2</v>
          </cell>
          <cell r="O639">
            <v>1.5725764096008933E-2</v>
          </cell>
          <cell r="P639">
            <v>2.4247860616811046E-2</v>
          </cell>
        </row>
        <row r="640">
          <cell r="B640" t="str">
            <v>RHNM-CHPWOD</v>
          </cell>
          <cell r="C640" t="str">
            <v>VAR_ncap</v>
          </cell>
          <cell r="D640" t="str">
            <v>-</v>
          </cell>
          <cell r="H640">
            <v>1.4469132515557099E-4</v>
          </cell>
          <cell r="I640">
            <v>2.2924335161069099E-4</v>
          </cell>
          <cell r="J640">
            <v>1.7667598229003799E-4</v>
          </cell>
          <cell r="K640">
            <v>7.2157664671661494E-5</v>
          </cell>
          <cell r="L640">
            <v>2.45750709281623E-4</v>
          </cell>
          <cell r="M640">
            <v>1.23464008365776E-4</v>
          </cell>
          <cell r="N640">
            <v>2.6786252213357997E-4</v>
          </cell>
          <cell r="O640">
            <v>2.2032750008513999E-5</v>
          </cell>
          <cell r="P640">
            <v>4.6644718618029599E-4</v>
          </cell>
        </row>
        <row r="641">
          <cell r="B641" t="str">
            <v>RHNM-CHPWOD</v>
          </cell>
          <cell r="C641" t="str">
            <v>VAR_cap</v>
          </cell>
          <cell r="D641" t="str">
            <v>-</v>
          </cell>
          <cell r="H641">
            <v>1.4469132515557099E-4</v>
          </cell>
          <cell r="I641">
            <v>3.7372722340065959E-4</v>
          </cell>
          <cell r="J641">
            <v>5.2231753923835623E-4</v>
          </cell>
          <cell r="K641">
            <v>4.7747018442679612E-4</v>
          </cell>
          <cell r="L641">
            <v>4.9307576050566207E-4</v>
          </cell>
          <cell r="M641">
            <v>4.5727238228820743E-4</v>
          </cell>
          <cell r="N641">
            <v>6.3571967535891157E-4</v>
          </cell>
          <cell r="O641">
            <v>4.1553740241789176E-4</v>
          </cell>
          <cell r="P641">
            <v>7.5478639359264266E-4</v>
          </cell>
        </row>
        <row r="642">
          <cell r="B642" t="str">
            <v>RHNM-SHSTG-CHPNGA</v>
          </cell>
          <cell r="C642" t="str">
            <v>VAR_fout</v>
          </cell>
          <cell r="D642" t="str">
            <v>AUX_RNM-CHPNGA_OUT</v>
          </cell>
          <cell r="E642">
            <v>1.0401288439290271E-4</v>
          </cell>
          <cell r="F642">
            <v>3.7581226724891375E-4</v>
          </cell>
          <cell r="G642">
            <v>1.2459027871719524E-2</v>
          </cell>
          <cell r="H642">
            <v>8.6962800227447963E-3</v>
          </cell>
          <cell r="I642">
            <v>1.028222543170729E-2</v>
          </cell>
          <cell r="J642">
            <v>7.0493452792343486E-3</v>
          </cell>
          <cell r="K642">
            <v>2.3892803469046988E-4</v>
          </cell>
          <cell r="L642">
            <v>2.5983099287474933E-4</v>
          </cell>
          <cell r="M642">
            <v>8.3206669334299037E-3</v>
          </cell>
          <cell r="N642">
            <v>8.7134002444736909E-3</v>
          </cell>
          <cell r="O642">
            <v>1.7057763356101683E-2</v>
          </cell>
          <cell r="P642">
            <v>4.3394757727891108E-2</v>
          </cell>
        </row>
        <row r="643">
          <cell r="B643" t="str">
            <v>RHNM-SHSTG-CHPNGA</v>
          </cell>
          <cell r="C643" t="str">
            <v>VAR_fout</v>
          </cell>
          <cell r="D643" t="str">
            <v>RHNM_LTH_CHPNGA</v>
          </cell>
          <cell r="E643">
            <v>1.0401288439290242E-4</v>
          </cell>
          <cell r="F643">
            <v>3.7606280876041235E-4</v>
          </cell>
          <cell r="G643">
            <v>1.247200602575255E-2</v>
          </cell>
          <cell r="H643">
            <v>8.6962800227447963E-3</v>
          </cell>
          <cell r="I643">
            <v>1.0291676006552595E-2</v>
          </cell>
          <cell r="J643">
            <v>7.0493452792343217E-3</v>
          </cell>
          <cell r="K643">
            <v>2.391232373331905E-4</v>
          </cell>
          <cell r="L643">
            <v>2.5983099287474906E-4</v>
          </cell>
          <cell r="M643">
            <v>8.3206669334298967E-3</v>
          </cell>
          <cell r="N643">
            <v>8.7134002444736874E-3</v>
          </cell>
          <cell r="O643">
            <v>1.7057763356101666E-2</v>
          </cell>
          <cell r="P643">
            <v>4.3394757727891073E-2</v>
          </cell>
        </row>
        <row r="644">
          <cell r="B644" t="str">
            <v>RHNM-SHSTG-CHPNGA</v>
          </cell>
          <cell r="C644" t="str">
            <v>VAR_fin</v>
          </cell>
          <cell r="D644" t="str">
            <v>AUX_RNM-CHPNGA_IN</v>
          </cell>
          <cell r="E644">
            <v>8.1839889806108326E-5</v>
          </cell>
          <cell r="F644">
            <v>5.019249795574878E-4</v>
          </cell>
          <cell r="G644">
            <v>1.6100016495415974E-2</v>
          </cell>
          <cell r="H644">
            <v>1.0877455523316962E-2</v>
          </cell>
          <cell r="I644">
            <v>1.2481864290313295E-2</v>
          </cell>
          <cell r="J644">
            <v>8.3004528819814027E-3</v>
          </cell>
          <cell r="K644">
            <v>1.9831975845833934E-4</v>
          </cell>
          <cell r="L644">
            <v>2.2236962646769083E-4</v>
          </cell>
          <cell r="M644">
            <v>9.2522909761059216E-3</v>
          </cell>
          <cell r="N644">
            <v>9.6886613218064837E-3</v>
          </cell>
          <cell r="O644">
            <v>1.8960175890301908E-2</v>
          </cell>
          <cell r="P644">
            <v>4.8223502971169702E-2</v>
          </cell>
        </row>
        <row r="645">
          <cell r="B645" t="str">
            <v>RHNM-SHSTG-CHPNGA</v>
          </cell>
          <cell r="C645" t="str">
            <v>VAR_fin</v>
          </cell>
          <cell r="D645" t="str">
            <v>RHNM_LTH_CHPNGA</v>
          </cell>
          <cell r="E645">
            <v>8.1839889806108326E-5</v>
          </cell>
          <cell r="F645">
            <v>5.019249795574878E-4</v>
          </cell>
          <cell r="G645">
            <v>1.6100016495415974E-2</v>
          </cell>
          <cell r="H645">
            <v>1.0877455523316962E-2</v>
          </cell>
          <cell r="I645">
            <v>1.2481864290313295E-2</v>
          </cell>
          <cell r="J645">
            <v>8.3004528819814027E-3</v>
          </cell>
          <cell r="K645">
            <v>1.9831975845833934E-4</v>
          </cell>
          <cell r="L645">
            <v>2.2236962646769083E-4</v>
          </cell>
          <cell r="M645">
            <v>9.2522909761059216E-3</v>
          </cell>
          <cell r="N645">
            <v>9.6886613218064837E-3</v>
          </cell>
          <cell r="O645">
            <v>1.8960175890301908E-2</v>
          </cell>
          <cell r="P645">
            <v>4.8223502971169702E-2</v>
          </cell>
        </row>
        <row r="646">
          <cell r="B646" t="str">
            <v>RHNM-SHSTG-CHPNGA</v>
          </cell>
          <cell r="C646" t="str">
            <v>VAR_ncap</v>
          </cell>
          <cell r="D646" t="str">
            <v>-</v>
          </cell>
          <cell r="E646">
            <v>1.0877221287036601E-2</v>
          </cell>
          <cell r="F646">
            <v>3.1654568705859101E-4</v>
          </cell>
          <cell r="G646">
            <v>2.9019896079881402E-4</v>
          </cell>
          <cell r="H646">
            <v>1.7901650394036399E-4</v>
          </cell>
          <cell r="I646">
            <v>9.0838303512332103E-3</v>
          </cell>
          <cell r="J646">
            <v>8.4253492654782396E-4</v>
          </cell>
          <cell r="K646">
            <v>2.0630138939618301E-4</v>
          </cell>
          <cell r="L646">
            <v>1.2084383301770999E-2</v>
          </cell>
          <cell r="M646">
            <v>1.2060105751190201E-3</v>
          </cell>
          <cell r="N646">
            <v>1.2082357832673399E-2</v>
          </cell>
          <cell r="O646">
            <v>4.6512130144858903E-3</v>
          </cell>
          <cell r="P646">
            <v>2.5076122588577301E-2</v>
          </cell>
        </row>
        <row r="647">
          <cell r="B647" t="str">
            <v>RHNM-SHSTG-CHPNGA</v>
          </cell>
          <cell r="C647" t="str">
            <v>VAR_cap</v>
          </cell>
          <cell r="D647" t="str">
            <v>-</v>
          </cell>
          <cell r="E647">
            <v>1.0877221287036601E-2</v>
          </cell>
          <cell r="F647">
            <v>1.1171939256956231E-2</v>
          </cell>
          <cell r="G647">
            <v>1.1399405576751929E-2</v>
          </cell>
          <cell r="H647">
            <v>1.1426008238047455E-2</v>
          </cell>
          <cell r="I647">
            <v>1.2272234618483927E-2</v>
          </cell>
          <cell r="J647">
            <v>1.0015269705199904E-2</v>
          </cell>
          <cell r="K647">
            <v>9.9074117805966963E-3</v>
          </cell>
          <cell r="L647">
            <v>1.2951642781850766E-2</v>
          </cell>
          <cell r="M647">
            <v>1.3419319916688752E-2</v>
          </cell>
          <cell r="N647">
            <v>2.5152145576482345E-2</v>
          </cell>
          <cell r="O647">
            <v>1.9377702529133678E-2</v>
          </cell>
          <cell r="P647">
            <v>4.1614612364168635E-2</v>
          </cell>
        </row>
        <row r="648">
          <cell r="B648" t="str">
            <v>CT_CWODBDS</v>
          </cell>
          <cell r="C648" t="str">
            <v>VAR_fout</v>
          </cell>
          <cell r="D648" t="str">
            <v>BDS</v>
          </cell>
          <cell r="E648">
            <v>1.2032855978345156</v>
          </cell>
          <cell r="F648">
            <v>1.2026178308673523</v>
          </cell>
          <cell r="G648">
            <v>1.8766746621706886E-5</v>
          </cell>
          <cell r="H648">
            <v>3.9398519567567349E-3</v>
          </cell>
          <cell r="I648">
            <v>3.0612861726733139E-3</v>
          </cell>
          <cell r="J648">
            <v>2.2093813182928555E-3</v>
          </cell>
          <cell r="K648">
            <v>1.6865557489389885E-3</v>
          </cell>
          <cell r="L648">
            <v>6.713932406667173E-4</v>
          </cell>
          <cell r="M648">
            <v>2.8666831356887504E-4</v>
          </cell>
          <cell r="N648">
            <v>1.2376244169682311E-3</v>
          </cell>
          <cell r="O648">
            <v>3.6687510547266366E-4</v>
          </cell>
          <cell r="P648">
            <v>1.0616747159845783E-3</v>
          </cell>
        </row>
        <row r="649">
          <cell r="B649" t="str">
            <v>CT_CWODBDS</v>
          </cell>
          <cell r="C649" t="str">
            <v>VAR_fout</v>
          </cell>
          <cell r="D649" t="str">
            <v>LTH</v>
          </cell>
          <cell r="E649">
            <v>0.4692813831554607</v>
          </cell>
          <cell r="F649">
            <v>0.46902095403826621</v>
          </cell>
          <cell r="G649">
            <v>7.3190311824656728E-6</v>
          </cell>
          <cell r="H649">
            <v>1.5365422631351232E-3</v>
          </cell>
          <cell r="I649">
            <v>1.1939016073425916E-3</v>
          </cell>
          <cell r="J649">
            <v>8.6165871413421179E-4</v>
          </cell>
          <cell r="K649">
            <v>6.5775674208620478E-4</v>
          </cell>
          <cell r="L649">
            <v>2.6184336386001958E-4</v>
          </cell>
          <cell r="M649">
            <v>1.1180064229186109E-4</v>
          </cell>
          <cell r="N649">
            <v>4.8267352261760943E-4</v>
          </cell>
          <cell r="O649">
            <v>1.430812911343386E-4</v>
          </cell>
          <cell r="P649">
            <v>4.1405313923398464E-4</v>
          </cell>
        </row>
        <row r="650">
          <cell r="B650" t="str">
            <v>CT_CWODBDS</v>
          </cell>
          <cell r="C650" t="str">
            <v>VAR_fin</v>
          </cell>
          <cell r="D650" t="str">
            <v>CWOD</v>
          </cell>
          <cell r="E650">
            <v>3.4287623110294527</v>
          </cell>
          <cell r="F650">
            <v>3.4268595090565181</v>
          </cell>
          <cell r="G650">
            <v>5.3475844498553755E-5</v>
          </cell>
          <cell r="H650">
            <v>1.1226608150778306E-2</v>
          </cell>
          <cell r="I650">
            <v>8.7231349490326064E-3</v>
          </cell>
          <cell r="J650">
            <v>6.2956320664754855E-3</v>
          </cell>
          <cell r="K650">
            <v>4.8058406066016426E-3</v>
          </cell>
          <cell r="L650">
            <v>1.9131350392798104E-3</v>
          </cell>
          <cell r="M650">
            <v>8.1686135951450887E-4</v>
          </cell>
          <cell r="N650">
            <v>3.526610776150975E-3</v>
          </cell>
          <cell r="O650">
            <v>1.0454106130443537E-3</v>
          </cell>
          <cell r="P650">
            <v>3.0252421031980565E-3</v>
          </cell>
        </row>
        <row r="651">
          <cell r="B651" t="str">
            <v>CT_CWODBDS</v>
          </cell>
          <cell r="C651" t="str">
            <v>VAR_fin</v>
          </cell>
          <cell r="D651" t="str">
            <v>CELC</v>
          </cell>
          <cell r="E651">
            <v>8.3628349049498812E-2</v>
          </cell>
          <cell r="F651">
            <v>8.3581939245281026E-2</v>
          </cell>
          <cell r="G651">
            <v>1.3042888902086279E-6</v>
          </cell>
          <cell r="H651">
            <v>2.7381971099459281E-4</v>
          </cell>
          <cell r="I651">
            <v>2.1275938900079528E-4</v>
          </cell>
          <cell r="J651">
            <v>1.5355200162135314E-4</v>
          </cell>
          <cell r="K651">
            <v>1.1721562455125972E-4</v>
          </cell>
          <cell r="L651">
            <v>4.6661830226336809E-5</v>
          </cell>
          <cell r="M651">
            <v>1.9923447793036814E-5</v>
          </cell>
          <cell r="N651">
            <v>8.6014896979292037E-5</v>
          </cell>
          <cell r="O651">
            <v>2.5497819830350122E-5</v>
          </cell>
          <cell r="P651">
            <v>7.3786392760928111E-5</v>
          </cell>
        </row>
        <row r="652">
          <cell r="B652" t="str">
            <v>CT_CWODBDS</v>
          </cell>
          <cell r="C652" t="str">
            <v>VAR_ncap</v>
          </cell>
          <cell r="D652" t="str">
            <v>-</v>
          </cell>
          <cell r="E652">
            <v>1.5725907194870999E-6</v>
          </cell>
          <cell r="F652">
            <v>6.6443166253201104E-7</v>
          </cell>
          <cell r="G652">
            <v>9.9747959512113097E-7</v>
          </cell>
          <cell r="H652">
            <v>5.8422725996517599E-7</v>
          </cell>
          <cell r="I652">
            <v>1.51206898675553E-4</v>
          </cell>
          <cell r="J652">
            <v>1.41326096298021E-5</v>
          </cell>
          <cell r="K652">
            <v>7.1618180929340603E-6</v>
          </cell>
          <cell r="L652">
            <v>8.4977627409154398E-5</v>
          </cell>
          <cell r="M652">
            <v>1.8733322615844899E-5</v>
          </cell>
          <cell r="N652">
            <v>1.69982269952934E-4</v>
          </cell>
          <cell r="O652">
            <v>5.5160498271006798E-6</v>
          </cell>
          <cell r="P652">
            <v>3.0743749317430801E-4</v>
          </cell>
        </row>
        <row r="653">
          <cell r="B653" t="str">
            <v>CT_CWODBDS</v>
          </cell>
          <cell r="C653" t="str">
            <v>VAR_cap</v>
          </cell>
          <cell r="D653" t="str">
            <v>-</v>
          </cell>
          <cell r="E653">
            <v>6.2402495728577825E-2</v>
          </cell>
          <cell r="F653">
            <v>6.2363346396645321E-2</v>
          </cell>
          <cell r="G653">
            <v>2.9851634466653704E-4</v>
          </cell>
          <cell r="H653">
            <v>2.839710839370041E-4</v>
          </cell>
          <cell r="I653">
            <v>2.2255700707050734E-4</v>
          </cell>
          <cell r="J653">
            <v>1.6406450138061515E-4</v>
          </cell>
          <cell r="K653">
            <v>1.6871349411706605E-4</v>
          </cell>
          <cell r="L653">
            <v>2.5350810179908452E-4</v>
          </cell>
          <cell r="M653">
            <v>1.6180744160155839E-4</v>
          </cell>
          <cell r="N653">
            <v>2.7593224996680621E-4</v>
          </cell>
          <cell r="O653">
            <v>2.7119328406312868E-4</v>
          </cell>
          <cell r="P653">
            <v>4.9377980552918704E-4</v>
          </cell>
        </row>
        <row r="654">
          <cell r="B654" t="str">
            <v>RHNS-EBAT</v>
          </cell>
          <cell r="C654" t="str">
            <v>VAR_fout</v>
          </cell>
          <cell r="D654" t="str">
            <v>RHNS_ELC</v>
          </cell>
          <cell r="E654">
            <v>4.6122527187135607E-3</v>
          </cell>
          <cell r="F654">
            <v>4.6238675901637809E-3</v>
          </cell>
          <cell r="G654">
            <v>4.6782341819516654E-3</v>
          </cell>
          <cell r="H654">
            <v>4.3584167189930634E-2</v>
          </cell>
          <cell r="I654">
            <v>6.3307725927260791E-2</v>
          </cell>
          <cell r="J654">
            <v>7.4606877985607722E-2</v>
          </cell>
          <cell r="K654">
            <v>0.11378227606509517</v>
          </cell>
          <cell r="L654">
            <v>0.12843697294847012</v>
          </cell>
          <cell r="M654">
            <v>0.14650630257801692</v>
          </cell>
          <cell r="N654">
            <v>0.15365642607351196</v>
          </cell>
          <cell r="O654">
            <v>0.15893464192332676</v>
          </cell>
          <cell r="P654">
            <v>0.17392447285331186</v>
          </cell>
        </row>
        <row r="655">
          <cell r="B655" t="str">
            <v>RHNS-EBAT</v>
          </cell>
          <cell r="C655" t="str">
            <v>VAR_fout</v>
          </cell>
          <cell r="D655" t="str">
            <v>AUX_RHNS-EBAT_OUT</v>
          </cell>
          <cell r="E655">
            <v>4.6122527187135659E-3</v>
          </cell>
          <cell r="F655">
            <v>4.6238675901637835E-3</v>
          </cell>
          <cell r="G655">
            <v>4.6782341819516697E-3</v>
          </cell>
          <cell r="H655">
            <v>4.3584167189930682E-2</v>
          </cell>
          <cell r="I655">
            <v>6.3307725927260847E-2</v>
          </cell>
          <cell r="J655">
            <v>7.460687798560782E-2</v>
          </cell>
          <cell r="K655">
            <v>0.11378227606509528</v>
          </cell>
          <cell r="L655">
            <v>0.12843697294847028</v>
          </cell>
          <cell r="M655">
            <v>0.14650630257801708</v>
          </cell>
          <cell r="N655">
            <v>0.15365642607351215</v>
          </cell>
          <cell r="O655">
            <v>0.15893464192332693</v>
          </cell>
          <cell r="P655">
            <v>0.17392447285331195</v>
          </cell>
        </row>
        <row r="656">
          <cell r="B656" t="str">
            <v>RHNS-EBAT</v>
          </cell>
          <cell r="C656" t="str">
            <v>VAR_fin</v>
          </cell>
          <cell r="D656" t="str">
            <v>RHNS_ELC</v>
          </cell>
          <cell r="E656">
            <v>5.1100019062171546E-3</v>
          </cell>
          <cell r="F656">
            <v>5.1228463836705679E-3</v>
          </cell>
          <cell r="G656">
            <v>5.1809625590201868E-3</v>
          </cell>
          <cell r="H656">
            <v>4.8205664242149969E-2</v>
          </cell>
          <cell r="I656">
            <v>7.0017253508737082E-2</v>
          </cell>
          <cell r="J656">
            <v>8.251258799880061E-2</v>
          </cell>
          <cell r="K656">
            <v>0.12583528161836585</v>
          </cell>
          <cell r="L656">
            <v>0.14204146666930839</v>
          </cell>
          <cell r="M656">
            <v>0.16202363053421376</v>
          </cell>
          <cell r="N656">
            <v>0.169930700397523</v>
          </cell>
          <cell r="O656">
            <v>0.17576769349343108</v>
          </cell>
          <cell r="P656">
            <v>0.19234547436330426</v>
          </cell>
        </row>
        <row r="657">
          <cell r="B657" t="str">
            <v>RHNS-EBAT</v>
          </cell>
          <cell r="C657" t="str">
            <v>VAR_fin</v>
          </cell>
          <cell r="D657" t="str">
            <v>AUX_RHNS-EBAT_IN</v>
          </cell>
          <cell r="E657">
            <v>5.1100019062171546E-3</v>
          </cell>
          <cell r="F657">
            <v>5.1228463836705679E-3</v>
          </cell>
          <cell r="G657">
            <v>5.1809625590201868E-3</v>
          </cell>
          <cell r="H657">
            <v>4.8205664242149969E-2</v>
          </cell>
          <cell r="I657">
            <v>7.0017253508737082E-2</v>
          </cell>
          <cell r="J657">
            <v>8.251258799880061E-2</v>
          </cell>
          <cell r="K657">
            <v>0.12583528161836585</v>
          </cell>
          <cell r="L657">
            <v>0.14204146666930839</v>
          </cell>
          <cell r="M657">
            <v>0.16202363053421376</v>
          </cell>
          <cell r="N657">
            <v>0.169930700397523</v>
          </cell>
          <cell r="O657">
            <v>0.17576769349343108</v>
          </cell>
          <cell r="P657">
            <v>0.19234547436330426</v>
          </cell>
        </row>
        <row r="658">
          <cell r="B658" t="str">
            <v>RHNS-EBAT</v>
          </cell>
          <cell r="C658" t="str">
            <v>VAR_ncap</v>
          </cell>
          <cell r="D658" t="str">
            <v>-</v>
          </cell>
          <cell r="E658">
            <v>1.88901394397161E-3</v>
          </cell>
          <cell r="F658">
            <v>4.8018474654152198E-6</v>
          </cell>
          <cell r="G658">
            <v>2.7488937496289101E-5</v>
          </cell>
          <cell r="H658">
            <v>1.6534940891186699E-2</v>
          </cell>
          <cell r="I658">
            <v>9.4912253760287904E-3</v>
          </cell>
          <cell r="J658">
            <v>1.7723886332098301E-2</v>
          </cell>
          <cell r="K658">
            <v>2.4012106050282599E-2</v>
          </cell>
          <cell r="L658">
            <v>2.78874627989356E-2</v>
          </cell>
          <cell r="M658">
            <v>2.1337366387332302E-2</v>
          </cell>
          <cell r="N658">
            <v>2.73637813413505E-2</v>
          </cell>
          <cell r="O658">
            <v>3.4019200725350897E-2</v>
          </cell>
          <cell r="P658">
            <v>1.8810716073360701E-2</v>
          </cell>
        </row>
        <row r="659">
          <cell r="B659" t="str">
            <v>RHNS-EBAT</v>
          </cell>
          <cell r="C659" t="str">
            <v>VAR_cap</v>
          </cell>
          <cell r="D659" t="str">
            <v>-</v>
          </cell>
          <cell r="E659">
            <v>1.8916025848209614E-3</v>
          </cell>
          <cell r="F659">
            <v>1.895617684962591E-3</v>
          </cell>
          <cell r="G659">
            <v>1.9214541736633766E-3</v>
          </cell>
          <cell r="H659">
            <v>1.7945447760491874E-2</v>
          </cell>
          <cell r="I659">
            <v>2.6037959696882742E-2</v>
          </cell>
          <cell r="J659">
            <v>3.0682564664488869E-2</v>
          </cell>
          <cell r="K659">
            <v>4.6655048380098277E-2</v>
          </cell>
          <cell r="L659">
            <v>5.7949235156163993E-2</v>
          </cell>
          <cell r="M659">
            <v>6.0023022218354732E-2</v>
          </cell>
          <cell r="N659">
            <v>6.2983841891358097E-2</v>
          </cell>
          <cell r="O659">
            <v>6.5157792217634167E-2</v>
          </cell>
          <cell r="P659">
            <v>7.1289188372102921E-2</v>
          </cell>
        </row>
        <row r="660">
          <cell r="B660" t="str">
            <v>G-INTC-EXP00-AT</v>
          </cell>
          <cell r="C660" t="str">
            <v>VAR_fout</v>
          </cell>
          <cell r="D660" t="str">
            <v>ELC_E-AT</v>
          </cell>
          <cell r="E660">
            <v>6.2295828745127446</v>
          </cell>
          <cell r="F660">
            <v>2.6623877758463381E-3</v>
          </cell>
          <cell r="G660">
            <v>3.3864990991592523E-3</v>
          </cell>
          <cell r="H660">
            <v>9.4470919425678672E-4</v>
          </cell>
          <cell r="I660">
            <v>1.1250845905638334E-3</v>
          </cell>
          <cell r="J660">
            <v>9.8772166008024654E-4</v>
          </cell>
          <cell r="K660">
            <v>6.7253927252540003E-4</v>
          </cell>
          <cell r="L660">
            <v>5.9408285371458005E-4</v>
          </cell>
          <cell r="M660">
            <v>5.2584904673408101E-4</v>
          </cell>
          <cell r="N660">
            <v>5.5645424137431036E-4</v>
          </cell>
          <cell r="O660">
            <v>5.3960607376810695E-4</v>
          </cell>
          <cell r="P660">
            <v>9.3094672652564822E-4</v>
          </cell>
        </row>
        <row r="661">
          <cell r="B661" t="str">
            <v>G-INTC-EXP00-AT</v>
          </cell>
          <cell r="C661" t="str">
            <v>VAR_fin</v>
          </cell>
          <cell r="D661" t="str">
            <v>ELC</v>
          </cell>
          <cell r="E661">
            <v>6.2295828745127446</v>
          </cell>
          <cell r="F661">
            <v>2.6623877758463381E-3</v>
          </cell>
          <cell r="G661">
            <v>3.3864990991592523E-3</v>
          </cell>
          <cell r="H661">
            <v>9.4470919425678672E-4</v>
          </cell>
          <cell r="I661">
            <v>1.1250845905638334E-3</v>
          </cell>
          <cell r="J661">
            <v>9.8772166008024654E-4</v>
          </cell>
          <cell r="K661">
            <v>6.7253927252540003E-4</v>
          </cell>
          <cell r="L661">
            <v>5.9408285371458005E-4</v>
          </cell>
          <cell r="M661">
            <v>5.2584904673408101E-4</v>
          </cell>
          <cell r="N661">
            <v>5.5645424137431036E-4</v>
          </cell>
          <cell r="O661">
            <v>5.3960607376810695E-4</v>
          </cell>
          <cell r="P661">
            <v>9.3094672652564822E-4</v>
          </cell>
        </row>
        <row r="662">
          <cell r="B662" t="str">
            <v>G-INTC-EXP00-AT</v>
          </cell>
          <cell r="C662" t="str">
            <v>VAR_ncap</v>
          </cell>
          <cell r="D662" t="str">
            <v>-</v>
          </cell>
          <cell r="E662">
            <v>1.1130152870510199E-5</v>
          </cell>
          <cell r="F662">
            <v>9.4829785308306102E-6</v>
          </cell>
          <cell r="G662">
            <v>1.20139923450024E-5</v>
          </cell>
          <cell r="H662">
            <v>1.08883074340238E-5</v>
          </cell>
          <cell r="I662">
            <v>1.03729187687855E-5</v>
          </cell>
          <cell r="J662">
            <v>1.1497858175104499E-5</v>
          </cell>
          <cell r="K662">
            <v>9.9243699735408107E-6</v>
          </cell>
          <cell r="L662">
            <v>7.2052670876834099E-6</v>
          </cell>
          <cell r="M662">
            <v>1.14909837112E-5</v>
          </cell>
          <cell r="N662">
            <v>1.13395290404655E-3</v>
          </cell>
        </row>
        <row r="663">
          <cell r="B663" t="str">
            <v>G-INTC-EXP00-AT</v>
          </cell>
          <cell r="C663" t="str">
            <v>VAR_cap</v>
          </cell>
          <cell r="D663" t="str">
            <v>-</v>
          </cell>
          <cell r="E663">
            <v>0.23903969165905092</v>
          </cell>
          <cell r="F663">
            <v>1.7907679552000566E-3</v>
          </cell>
          <cell r="G663">
            <v>1.7791072798198915E-3</v>
          </cell>
          <cell r="H663">
            <v>1.7738732688135084E-3</v>
          </cell>
          <cell r="I663">
            <v>1.7874172009146871E-3</v>
          </cell>
          <cell r="J663">
            <v>1.7843804651302975E-3</v>
          </cell>
          <cell r="K663">
            <v>1.7851720712664942E-3</v>
          </cell>
          <cell r="L663">
            <v>1.7842782169843474E-3</v>
          </cell>
          <cell r="M663">
            <v>1.7808706136206442E-3</v>
          </cell>
          <cell r="N663">
            <v>1.780248994414757E-3</v>
          </cell>
          <cell r="O663">
            <v>1.7738367082964501E-3</v>
          </cell>
          <cell r="P663">
            <v>2.8938491026431201E-3</v>
          </cell>
        </row>
        <row r="664">
          <cell r="B664" t="str">
            <v>G-INTC-IMP00-DE</v>
          </cell>
          <cell r="C664" t="str">
            <v>VAR_fout</v>
          </cell>
          <cell r="D664" t="str">
            <v>ELC</v>
          </cell>
          <cell r="E664">
            <v>46.398503883065466</v>
          </cell>
          <cell r="F664">
            <v>27.347140768762415</v>
          </cell>
          <cell r="G664">
            <v>22.57097826178126</v>
          </cell>
          <cell r="H664">
            <v>25.458585977772422</v>
          </cell>
          <cell r="I664">
            <v>17.569553636152548</v>
          </cell>
          <cell r="J664">
            <v>18.067397844155842</v>
          </cell>
          <cell r="K664">
            <v>12.178244716370051</v>
          </cell>
          <cell r="L664">
            <v>6.4828843405358185</v>
          </cell>
          <cell r="M664">
            <v>4.298754932243094</v>
          </cell>
          <cell r="N664">
            <v>2.2229238958250122</v>
          </cell>
          <cell r="O664">
            <v>2.507217473553196</v>
          </cell>
          <cell r="P664">
            <v>3.824948418848916</v>
          </cell>
        </row>
        <row r="665">
          <cell r="B665" t="str">
            <v>G-INTC-IMP00-DE</v>
          </cell>
          <cell r="C665" t="str">
            <v>VAR_fin</v>
          </cell>
          <cell r="D665" t="str">
            <v>ELC_I-DE</v>
          </cell>
          <cell r="E665">
            <v>46.398503883065466</v>
          </cell>
          <cell r="F665">
            <v>27.347140768762415</v>
          </cell>
          <cell r="G665">
            <v>22.57097826178126</v>
          </cell>
          <cell r="H665">
            <v>25.458585977772422</v>
          </cell>
          <cell r="I665">
            <v>17.569553636152548</v>
          </cell>
          <cell r="J665">
            <v>18.067397844155842</v>
          </cell>
          <cell r="K665">
            <v>12.178244716370051</v>
          </cell>
          <cell r="L665">
            <v>6.4828843405358185</v>
          </cell>
          <cell r="M665">
            <v>4.298754932243094</v>
          </cell>
          <cell r="N665">
            <v>2.2229238958250122</v>
          </cell>
          <cell r="O665">
            <v>2.507217473553196</v>
          </cell>
          <cell r="P665">
            <v>3.824948418848916</v>
          </cell>
        </row>
        <row r="666">
          <cell r="B666" t="str">
            <v>G-INTC-IMP00-DE</v>
          </cell>
          <cell r="C666" t="str">
            <v>VAR_ncap</v>
          </cell>
          <cell r="D666" t="str">
            <v>-</v>
          </cell>
          <cell r="E666">
            <v>1.2986380231775199E-5</v>
          </cell>
          <cell r="F666">
            <v>1.18124238229541E-5</v>
          </cell>
          <cell r="G666">
            <v>1.6233133508595101E-5</v>
          </cell>
          <cell r="H666">
            <v>1.6896034890331901E-5</v>
          </cell>
          <cell r="I666">
            <v>3.0046342150535501E-5</v>
          </cell>
          <cell r="J666">
            <v>1.7569445870587098E-5</v>
          </cell>
          <cell r="K666">
            <v>9.8099386806871307E-5</v>
          </cell>
          <cell r="L666">
            <v>4.95725472935506E-5</v>
          </cell>
          <cell r="M666">
            <v>0.37969236232173298</v>
          </cell>
          <cell r="N666">
            <v>0.22413328693516599</v>
          </cell>
        </row>
        <row r="667">
          <cell r="B667" t="str">
            <v>G-INTC-IMP00-DE</v>
          </cell>
          <cell r="C667" t="str">
            <v>VAR_cap</v>
          </cell>
          <cell r="D667" t="str">
            <v>-</v>
          </cell>
          <cell r="E667">
            <v>1.8966781101048602</v>
          </cell>
          <cell r="F667">
            <v>1.7523590922893502</v>
          </cell>
          <cell r="G667">
            <v>1.7523311153453502</v>
          </cell>
          <cell r="H667">
            <v>1.7523298103068701</v>
          </cell>
          <cell r="I667">
            <v>1.7523428748626073</v>
          </cell>
          <cell r="J667">
            <v>1.7523419493174437</v>
          </cell>
          <cell r="K667">
            <v>1.7523579454201952</v>
          </cell>
          <cell r="L667">
            <v>1.292775909005305</v>
          </cell>
          <cell r="M667">
            <v>0.86869647545593898</v>
          </cell>
          <cell r="N667">
            <v>0.31687698746088122</v>
          </cell>
          <cell r="O667">
            <v>0.37987426153159498</v>
          </cell>
          <cell r="P667">
            <v>0.60398827713425118</v>
          </cell>
        </row>
        <row r="668">
          <cell r="B668" t="str">
            <v>RHEM-SHSTG-CHPWOD</v>
          </cell>
          <cell r="C668" t="str">
            <v>VAR_fout</v>
          </cell>
          <cell r="D668" t="str">
            <v>AUX_REM-CHPWOD_OUT</v>
          </cell>
          <cell r="E668">
            <v>1.0401288416963687E-4</v>
          </cell>
          <cell r="F668">
            <v>1.2740640381501601E-4</v>
          </cell>
          <cell r="G668">
            <v>1.4289780777254851E-4</v>
          </cell>
          <cell r="H668">
            <v>2.7565207933951713E-3</v>
          </cell>
          <cell r="I668">
            <v>5.1558249419615615E-3</v>
          </cell>
          <cell r="J668">
            <v>1.2228102011336645E-2</v>
          </cell>
          <cell r="K668">
            <v>1.7496242384695604E-2</v>
          </cell>
          <cell r="L668">
            <v>3.016966647019402E-2</v>
          </cell>
          <cell r="M668">
            <v>3.1578763051014667E-2</v>
          </cell>
          <cell r="N668">
            <v>1.9758693026303474E-2</v>
          </cell>
          <cell r="O668">
            <v>2.31280219051835E-2</v>
          </cell>
          <cell r="P668">
            <v>2.0372730023733583E-2</v>
          </cell>
        </row>
        <row r="669">
          <cell r="B669" t="str">
            <v>RHEM-SHSTG-CHPWOD</v>
          </cell>
          <cell r="C669" t="str">
            <v>VAR_fout</v>
          </cell>
          <cell r="D669" t="str">
            <v>RHEM_LTH_CHPWOD</v>
          </cell>
          <cell r="E669">
            <v>1.0401288416963651E-4</v>
          </cell>
          <cell r="F669">
            <v>1.2749134141755918E-4</v>
          </cell>
          <cell r="G669">
            <v>1.4304665965564472E-4</v>
          </cell>
          <cell r="H669">
            <v>2.7565207933951713E-3</v>
          </cell>
          <cell r="I669">
            <v>5.1605637516508578E-3</v>
          </cell>
          <cell r="J669">
            <v>1.2228102011336599E-2</v>
          </cell>
          <cell r="K669">
            <v>1.7510536700369349E-2</v>
          </cell>
          <cell r="L669">
            <v>3.0169666470193989E-2</v>
          </cell>
          <cell r="M669">
            <v>3.157876305101464E-2</v>
          </cell>
          <cell r="N669">
            <v>1.9758693026303464E-2</v>
          </cell>
          <cell r="O669">
            <v>2.3128021905183479E-2</v>
          </cell>
          <cell r="P669">
            <v>2.0372730023733566E-2</v>
          </cell>
        </row>
        <row r="670">
          <cell r="B670" t="str">
            <v>RHEM-SHSTG-CHPWOD</v>
          </cell>
          <cell r="C670" t="str">
            <v>VAR_fin</v>
          </cell>
          <cell r="D670" t="str">
            <v>AUX_REM-CHPWOD_IN</v>
          </cell>
          <cell r="E670">
            <v>8.1839889546963488E-5</v>
          </cell>
          <cell r="F670">
            <v>8.4729671360111867E-5</v>
          </cell>
          <cell r="G670">
            <v>1.0481142905754176E-4</v>
          </cell>
          <cell r="H670">
            <v>3.4527564865010759E-3</v>
          </cell>
          <cell r="I670">
            <v>6.2623342841045121E-3</v>
          </cell>
          <cell r="J670">
            <v>1.4393107860866989E-2</v>
          </cell>
          <cell r="K670">
            <v>2.0019147437549015E-2</v>
          </cell>
          <cell r="L670">
            <v>3.3528957128176419E-2</v>
          </cell>
          <cell r="M670">
            <v>3.5094619995125614E-2</v>
          </cell>
          <cell r="N670">
            <v>2.1961208857533481E-2</v>
          </cell>
          <cell r="O670">
            <v>2.5704907611814296E-2</v>
          </cell>
          <cell r="P670">
            <v>2.2643472186754384E-2</v>
          </cell>
        </row>
        <row r="671">
          <cell r="B671" t="str">
            <v>RHEM-SHSTG-CHPWOD</v>
          </cell>
          <cell r="C671" t="str">
            <v>VAR_fin</v>
          </cell>
          <cell r="D671" t="str">
            <v>RHEM_LTH_CHPWOD</v>
          </cell>
          <cell r="E671">
            <v>8.1839889546963488E-5</v>
          </cell>
          <cell r="F671">
            <v>8.4729671360111867E-5</v>
          </cell>
          <cell r="G671">
            <v>1.0481142905754176E-4</v>
          </cell>
          <cell r="H671">
            <v>3.4527564865010759E-3</v>
          </cell>
          <cell r="I671">
            <v>6.2623342841045121E-3</v>
          </cell>
          <cell r="J671">
            <v>1.4393107860866989E-2</v>
          </cell>
          <cell r="K671">
            <v>2.0019147437549015E-2</v>
          </cell>
          <cell r="L671">
            <v>3.3528957128176419E-2</v>
          </cell>
          <cell r="M671">
            <v>3.5094619995125614E-2</v>
          </cell>
          <cell r="N671">
            <v>2.1961208857533481E-2</v>
          </cell>
          <cell r="O671">
            <v>2.5704907611814296E-2</v>
          </cell>
          <cell r="P671">
            <v>2.2643472186754384E-2</v>
          </cell>
        </row>
        <row r="672">
          <cell r="B672" t="str">
            <v>RHEM-SHSTG-CHPWOD</v>
          </cell>
          <cell r="C672" t="str">
            <v>VAR_ncap</v>
          </cell>
          <cell r="D672" t="str">
            <v>-</v>
          </cell>
          <cell r="E672">
            <v>7.9855370215341694E-3</v>
          </cell>
          <cell r="F672">
            <v>1.9420429564863601E-4</v>
          </cell>
          <cell r="G672">
            <v>3.3242020318142399E-4</v>
          </cell>
          <cell r="H672">
            <v>2.8312011859503601E-4</v>
          </cell>
          <cell r="I672">
            <v>9.3631355078344601E-3</v>
          </cell>
          <cell r="J672">
            <v>3.8748675459726999E-3</v>
          </cell>
          <cell r="K672">
            <v>7.2940877234927803E-4</v>
          </cell>
          <cell r="L672">
            <v>1.5698860531505002E-2</v>
          </cell>
          <cell r="M672">
            <v>4.2045942241189299E-4</v>
          </cell>
          <cell r="N672">
            <v>9.6270447534924902E-3</v>
          </cell>
          <cell r="O672">
            <v>7.2802221709503401E-3</v>
          </cell>
          <cell r="P672">
            <v>2.4936236766530302E-2</v>
          </cell>
        </row>
        <row r="673">
          <cell r="B673" t="str">
            <v>RHEM-SHSTG-CHPWOD</v>
          </cell>
          <cell r="C673" t="str">
            <v>VAR_cap</v>
          </cell>
          <cell r="D673" t="str">
            <v>-</v>
          </cell>
          <cell r="E673">
            <v>7.9855370215341694E-3</v>
          </cell>
          <cell r="F673">
            <v>8.155360919717098E-3</v>
          </cell>
          <cell r="G673">
            <v>8.4265714345970102E-3</v>
          </cell>
          <cell r="H673">
            <v>8.6121106932675832E-3</v>
          </cell>
          <cell r="I673">
            <v>1.1911991886457462E-2</v>
          </cell>
          <cell r="J673">
            <v>1.3386990362200379E-2</v>
          </cell>
          <cell r="K673">
            <v>1.3825912347691286E-2</v>
          </cell>
          <cell r="L673">
            <v>2.0145675910419051E-2</v>
          </cell>
          <cell r="M673">
            <v>1.7081857092080297E-2</v>
          </cell>
          <cell r="N673">
            <v>2.5525272904194186E-2</v>
          </cell>
          <cell r="O673">
            <v>1.9679357849846382E-2</v>
          </cell>
          <cell r="P673">
            <v>4.1648756830015218E-2</v>
          </cell>
        </row>
        <row r="674">
          <cell r="B674" t="str">
            <v>RHNM-CHPGFC</v>
          </cell>
          <cell r="C674" t="str">
            <v>VAR_fout</v>
          </cell>
          <cell r="D674" t="str">
            <v>CO2_R</v>
          </cell>
          <cell r="M674">
            <v>0.59343816756150303</v>
          </cell>
          <cell r="N674">
            <v>0.90928688634824795</v>
          </cell>
          <cell r="O674">
            <v>0.81072753414602605</v>
          </cell>
          <cell r="P674">
            <v>1.7690505580661799</v>
          </cell>
        </row>
        <row r="675">
          <cell r="B675" t="str">
            <v>RHNM-CHPGFC</v>
          </cell>
          <cell r="C675" t="str">
            <v>VAR_fout</v>
          </cell>
          <cell r="D675" t="str">
            <v>RHNM_NKEV_GAS_ELC_CHP</v>
          </cell>
          <cell r="M675">
            <v>4.734878996501355E-3</v>
          </cell>
          <cell r="N675">
            <v>7.2549485612892102E-3</v>
          </cell>
          <cell r="O675">
            <v>6.468570751165104E-3</v>
          </cell>
          <cell r="P675">
            <v>1.4114765090953529E-2</v>
          </cell>
        </row>
        <row r="676">
          <cell r="B676" t="str">
            <v>RHNM-CHPGFC</v>
          </cell>
          <cell r="C676" t="str">
            <v>VAR_fout</v>
          </cell>
          <cell r="D676" t="str">
            <v>RHNM_LTH_CHPNGA</v>
          </cell>
          <cell r="M676">
            <v>4.734878996501355E-3</v>
          </cell>
          <cell r="N676">
            <v>7.2549485612892102E-3</v>
          </cell>
          <cell r="O676">
            <v>6.468570751165104E-3</v>
          </cell>
          <cell r="P676">
            <v>1.4114765090953529E-2</v>
          </cell>
        </row>
        <row r="677">
          <cell r="B677" t="str">
            <v>RHNM-CHPGFC</v>
          </cell>
          <cell r="C677" t="str">
            <v>VAR_fin</v>
          </cell>
          <cell r="D677" t="str">
            <v>RNGA</v>
          </cell>
          <cell r="M677">
            <v>1.0521953325558577E-2</v>
          </cell>
          <cell r="N677">
            <v>1.6122107913976017E-2</v>
          </cell>
          <cell r="O677">
            <v>1.437460166925577E-2</v>
          </cell>
          <cell r="P677">
            <v>3.1366144646563378E-2</v>
          </cell>
        </row>
        <row r="678">
          <cell r="B678" t="str">
            <v>RHNM-CHPGFC</v>
          </cell>
          <cell r="C678" t="str">
            <v>VAR_ncap</v>
          </cell>
          <cell r="D678" t="str">
            <v>-</v>
          </cell>
          <cell r="M678">
            <v>5.0382858738885305E-4</v>
          </cell>
          <cell r="N678">
            <v>3.13628264796517E-4</v>
          </cell>
          <cell r="O678">
            <v>5.6501520322675999E-6</v>
          </cell>
          <cell r="P678">
            <v>7.2907172686013195E-4</v>
          </cell>
        </row>
        <row r="679">
          <cell r="B679" t="str">
            <v>RHNM-CHPGFC</v>
          </cell>
          <cell r="C679" t="str">
            <v>VAR_cap</v>
          </cell>
          <cell r="D679" t="str">
            <v>-</v>
          </cell>
          <cell r="M679">
            <v>5.0382858738885305E-4</v>
          </cell>
          <cell r="N679">
            <v>8.1673144773170491E-4</v>
          </cell>
          <cell r="O679">
            <v>8.203889052502732E-4</v>
          </cell>
          <cell r="P679">
            <v>1.5455506516278278E-3</v>
          </cell>
        </row>
        <row r="680">
          <cell r="B680" t="str">
            <v>G-INTC-EXP00-FR</v>
          </cell>
          <cell r="C680" t="str">
            <v>VAR_fout</v>
          </cell>
          <cell r="D680" t="str">
            <v>ELC_E-FR</v>
          </cell>
          <cell r="E680">
            <v>12.753386937230355</v>
          </cell>
          <cell r="F680">
            <v>2.1684619764709154E-3</v>
          </cell>
          <cell r="G680">
            <v>2.1670442978022602E-3</v>
          </cell>
          <cell r="H680">
            <v>1.1491329170163372E-3</v>
          </cell>
          <cell r="I680">
            <v>1.795500319470817E-3</v>
          </cell>
          <cell r="J680">
            <v>2.5160183035241564E-3</v>
          </cell>
          <cell r="K680">
            <v>3.2946472456098328E-3</v>
          </cell>
          <cell r="L680">
            <v>3.0892900181914164E-3</v>
          </cell>
          <cell r="M680">
            <v>2.688220108514315E-3</v>
          </cell>
          <cell r="N680">
            <v>3.0098067200582906E-3</v>
          </cell>
          <cell r="O680">
            <v>2.8926996183140457E-3</v>
          </cell>
          <cell r="P680">
            <v>5.485485972578575E-3</v>
          </cell>
        </row>
        <row r="681">
          <cell r="B681" t="str">
            <v>G-INTC-EXP00-FR</v>
          </cell>
          <cell r="C681" t="str">
            <v>VAR_fin</v>
          </cell>
          <cell r="D681" t="str">
            <v>ELC</v>
          </cell>
          <cell r="E681">
            <v>12.753386937230355</v>
          </cell>
          <cell r="F681">
            <v>2.1684619764709154E-3</v>
          </cell>
          <cell r="G681">
            <v>2.1670442978022602E-3</v>
          </cell>
          <cell r="H681">
            <v>1.1491329170163372E-3</v>
          </cell>
          <cell r="I681">
            <v>1.795500319470817E-3</v>
          </cell>
          <cell r="J681">
            <v>2.5160183035241564E-3</v>
          </cell>
          <cell r="K681">
            <v>3.2946472456098328E-3</v>
          </cell>
          <cell r="L681">
            <v>3.0892900181914164E-3</v>
          </cell>
          <cell r="M681">
            <v>2.688220108514315E-3</v>
          </cell>
          <cell r="N681">
            <v>3.0098067200582906E-3</v>
          </cell>
          <cell r="O681">
            <v>2.8926996183140457E-3</v>
          </cell>
          <cell r="P681">
            <v>5.485485972578575E-3</v>
          </cell>
        </row>
        <row r="682">
          <cell r="B682" t="str">
            <v>G-INTC-EXP00-FR</v>
          </cell>
          <cell r="C682" t="str">
            <v>VAR_ncap</v>
          </cell>
          <cell r="D682" t="str">
            <v>-</v>
          </cell>
          <cell r="E682">
            <v>1.35028969527415E-5</v>
          </cell>
          <cell r="F682">
            <v>1.1407133419124599E-5</v>
          </cell>
          <cell r="G682">
            <v>1.4989505986514699E-5</v>
          </cell>
          <cell r="H682">
            <v>1.7184533158667799E-5</v>
          </cell>
          <cell r="I682">
            <v>3.4717107712159003E-5</v>
          </cell>
          <cell r="J682">
            <v>2.5052465229268101E-5</v>
          </cell>
          <cell r="K682">
            <v>1.47514930845312E-5</v>
          </cell>
          <cell r="L682">
            <v>9.0441459658271397E-6</v>
          </cell>
          <cell r="M682">
            <v>1.47335614785386E-5</v>
          </cell>
          <cell r="N682">
            <v>2.0052788714870198E-3</v>
          </cell>
        </row>
        <row r="683">
          <cell r="B683" t="str">
            <v>G-INTC-EXP00-FR</v>
          </cell>
          <cell r="C683" t="str">
            <v>VAR_cap</v>
          </cell>
          <cell r="D683" t="str">
            <v>-</v>
          </cell>
          <cell r="E683">
            <v>1.2999866908921807</v>
          </cell>
          <cell r="F683">
            <v>2.3472558513999431E-3</v>
          </cell>
          <cell r="G683">
            <v>2.3338842155200545E-3</v>
          </cell>
          <cell r="H683">
            <v>2.3366077931494811E-3</v>
          </cell>
          <cell r="I683">
            <v>2.3533278289922244E-3</v>
          </cell>
          <cell r="J683">
            <v>2.3574170339770717E-3</v>
          </cell>
          <cell r="K683">
            <v>2.3836400879253539E-3</v>
          </cell>
          <cell r="L683">
            <v>2.3999130937786273E-3</v>
          </cell>
          <cell r="M683">
            <v>2.4002989492255544E-3</v>
          </cell>
          <cell r="N683">
            <v>2.4024465391687677E-3</v>
          </cell>
          <cell r="O683">
            <v>2.3971897441974477E-3</v>
          </cell>
          <cell r="P683">
            <v>4.3856553652745767E-3</v>
          </cell>
        </row>
        <row r="684">
          <cell r="B684" t="str">
            <v>RHNM-EBAT</v>
          </cell>
          <cell r="C684" t="str">
            <v>VAR_fout</v>
          </cell>
          <cell r="D684" t="str">
            <v>RHNM_ELC</v>
          </cell>
          <cell r="E684">
            <v>4.6103153663299779E-3</v>
          </cell>
          <cell r="F684">
            <v>4.6217760569467106E-3</v>
          </cell>
          <cell r="G684">
            <v>4.6784118938807155E-3</v>
          </cell>
          <cell r="H684">
            <v>4.4415565162255095E-2</v>
          </cell>
          <cell r="I684">
            <v>7.7248575315044699E-2</v>
          </cell>
          <cell r="J684">
            <v>0.12228184132923595</v>
          </cell>
          <cell r="K684">
            <v>0.15460482785348481</v>
          </cell>
          <cell r="L684">
            <v>0.13015977573518675</v>
          </cell>
          <cell r="M684">
            <v>0.15173416152325134</v>
          </cell>
          <cell r="N684">
            <v>0.15544321262759958</v>
          </cell>
          <cell r="O684">
            <v>0.16077752498052428</v>
          </cell>
          <cell r="P684">
            <v>0.17596138981468612</v>
          </cell>
        </row>
        <row r="685">
          <cell r="B685" t="str">
            <v>RHNM-EBAT</v>
          </cell>
          <cell r="C685" t="str">
            <v>VAR_fout</v>
          </cell>
          <cell r="D685" t="str">
            <v>AUX_RHNM-EBAT_OUT</v>
          </cell>
          <cell r="E685">
            <v>4.6103153663299805E-3</v>
          </cell>
          <cell r="F685">
            <v>4.6217760569467158E-3</v>
          </cell>
          <cell r="G685">
            <v>4.6784118938807207E-3</v>
          </cell>
          <cell r="H685">
            <v>4.441556516225513E-2</v>
          </cell>
          <cell r="I685">
            <v>7.7248575315044782E-2</v>
          </cell>
          <cell r="J685">
            <v>0.12228184132923604</v>
          </cell>
          <cell r="K685">
            <v>0.15460482785348492</v>
          </cell>
          <cell r="L685">
            <v>0.13015977573518683</v>
          </cell>
          <cell r="M685">
            <v>0.1517341615232515</v>
          </cell>
          <cell r="N685">
            <v>0.15544321262759975</v>
          </cell>
          <cell r="O685">
            <v>0.16077752498052447</v>
          </cell>
          <cell r="P685">
            <v>0.17596138981468626</v>
          </cell>
        </row>
        <row r="686">
          <cell r="B686" t="str">
            <v>RHNM-EBAT</v>
          </cell>
          <cell r="C686" t="str">
            <v>VAR_fin</v>
          </cell>
          <cell r="D686" t="str">
            <v>RHNM_ELC</v>
          </cell>
          <cell r="E686">
            <v>5.1078594564134142E-3</v>
          </cell>
          <cell r="F686">
            <v>5.1205334307162231E-3</v>
          </cell>
          <cell r="G686">
            <v>5.1811590843820528E-3</v>
          </cell>
          <cell r="H686">
            <v>4.9125077991510321E-2</v>
          </cell>
          <cell r="I686">
            <v>8.5433948078068783E-2</v>
          </cell>
          <cell r="J686">
            <v>0.13523465162835813</v>
          </cell>
          <cell r="K686">
            <v>0.17097950453880134</v>
          </cell>
          <cell r="L686">
            <v>0.14394665143316046</v>
          </cell>
          <cell r="M686">
            <v>0.16780493570209384</v>
          </cell>
          <cell r="N686">
            <v>0.17190664474629933</v>
          </cell>
          <cell r="O686">
            <v>0.17780567299019717</v>
          </cell>
          <cell r="P686">
            <v>0.19459802819956504</v>
          </cell>
        </row>
        <row r="687">
          <cell r="B687" t="str">
            <v>RHNM-EBAT</v>
          </cell>
          <cell r="C687" t="str">
            <v>VAR_fin</v>
          </cell>
          <cell r="D687" t="str">
            <v>AUX_RHNM-EBAT_IN</v>
          </cell>
          <cell r="E687">
            <v>5.1078594564134142E-3</v>
          </cell>
          <cell r="F687">
            <v>5.1205334307162231E-3</v>
          </cell>
          <cell r="G687">
            <v>5.1811590843820528E-3</v>
          </cell>
          <cell r="H687">
            <v>4.9125077991510321E-2</v>
          </cell>
          <cell r="I687">
            <v>8.5433948078068783E-2</v>
          </cell>
          <cell r="J687">
            <v>0.13523465162835813</v>
          </cell>
          <cell r="K687">
            <v>0.17097950453880134</v>
          </cell>
          <cell r="L687">
            <v>0.14394665143316046</v>
          </cell>
          <cell r="M687">
            <v>0.16780493570209384</v>
          </cell>
          <cell r="N687">
            <v>0.17190664474629933</v>
          </cell>
          <cell r="O687">
            <v>0.17780567299019717</v>
          </cell>
          <cell r="P687">
            <v>0.19459802819956504</v>
          </cell>
        </row>
        <row r="688">
          <cell r="B688" t="str">
            <v>RHNM-EBAT</v>
          </cell>
          <cell r="C688" t="str">
            <v>VAR_ncap</v>
          </cell>
          <cell r="D688" t="str">
            <v>-</v>
          </cell>
          <cell r="E688">
            <v>1.8882365502335601E-3</v>
          </cell>
          <cell r="F688">
            <v>4.8177055451489403E-6</v>
          </cell>
          <cell r="G688">
            <v>2.80271447119769E-5</v>
          </cell>
          <cell r="H688">
            <v>1.68722691027074E-2</v>
          </cell>
          <cell r="I688">
            <v>1.48197423448631E-2</v>
          </cell>
          <cell r="J688">
            <v>3.2122331835266901E-2</v>
          </cell>
          <cell r="K688">
            <v>2.3581995374571701E-2</v>
          </cell>
          <cell r="L688">
            <v>2.4151926575505099E-2</v>
          </cell>
          <cell r="M688">
            <v>2.7406412127736899E-2</v>
          </cell>
          <cell r="N688">
            <v>2.3938262068237501E-2</v>
          </cell>
          <cell r="O688">
            <v>3.71196661000575E-2</v>
          </cell>
          <cell r="P688">
            <v>1.8853899904816802E-2</v>
          </cell>
        </row>
        <row r="689">
          <cell r="B689" t="str">
            <v>RHNM-EBAT</v>
          </cell>
          <cell r="C689" t="str">
            <v>VAR_cap</v>
          </cell>
          <cell r="D689" t="str">
            <v>-</v>
          </cell>
          <cell r="E689">
            <v>1.8908252536594039E-3</v>
          </cell>
          <cell r="F689">
            <v>1.8948561442501143E-3</v>
          </cell>
          <cell r="G689">
            <v>1.9212288717283534E-3</v>
          </cell>
          <cell r="H689">
            <v>1.8282761765278734E-2</v>
          </cell>
          <cell r="I689">
            <v>3.1704084944554366E-2</v>
          </cell>
          <cell r="J689">
            <v>5.0480324557012075E-2</v>
          </cell>
          <cell r="K689">
            <v>6.3386277118993084E-2</v>
          </cell>
          <cell r="L689">
            <v>5.8702059364970811E-2</v>
          </cell>
          <cell r="M689">
            <v>6.2163061365967082E-2</v>
          </cell>
          <cell r="N689">
            <v>6.3713493966912615E-2</v>
          </cell>
          <cell r="O689">
            <v>6.5907701737510663E-2</v>
          </cell>
          <cell r="P689">
            <v>7.2121082064429964E-2</v>
          </cell>
        </row>
        <row r="690">
          <cell r="B690" t="str">
            <v>ITOT-CHPWST</v>
          </cell>
          <cell r="C690" t="str">
            <v>VAR_fout</v>
          </cell>
          <cell r="D690" t="str">
            <v>ITOT_LTH_CHP</v>
          </cell>
          <cell r="E690">
            <v>1.935257622212696</v>
          </cell>
          <cell r="F690">
            <v>1.9673347770153415</v>
          </cell>
          <cell r="G690">
            <v>2.5505036369789567</v>
          </cell>
          <cell r="H690">
            <v>2.2435319650864538</v>
          </cell>
          <cell r="I690">
            <v>1.9428551013173674</v>
          </cell>
          <cell r="J690">
            <v>1.4189873982460031</v>
          </cell>
          <cell r="K690">
            <v>5.5317459910642136E-3</v>
          </cell>
          <cell r="L690">
            <v>2.3296893299345057E-3</v>
          </cell>
          <cell r="M690">
            <v>2.1901884585543321E-3</v>
          </cell>
          <cell r="N690">
            <v>1.1902415513737367E-3</v>
          </cell>
          <cell r="O690">
            <v>1.1157500212439903E-3</v>
          </cell>
          <cell r="P690">
            <v>7.1079428756127118E-4</v>
          </cell>
        </row>
        <row r="691">
          <cell r="B691" t="str">
            <v>ITOT-CHPWST</v>
          </cell>
          <cell r="C691" t="str">
            <v>VAR_fout</v>
          </cell>
          <cell r="D691" t="str">
            <v>ITOT_KEV_WST_ELC_CHP</v>
          </cell>
          <cell r="E691">
            <v>0.23009684347355058</v>
          </cell>
          <cell r="F691">
            <v>0.24360069529544917</v>
          </cell>
          <cell r="G691">
            <v>0.33673453965701605</v>
          </cell>
          <cell r="H691">
            <v>0.33297542009678138</v>
          </cell>
          <cell r="I691">
            <v>0.32921741625747086</v>
          </cell>
          <cell r="J691">
            <v>0.28015330524963583</v>
          </cell>
          <cell r="K691">
            <v>1.3081609969500748E-3</v>
          </cell>
          <cell r="L691">
            <v>6.8676871935824922E-4</v>
          </cell>
          <cell r="M691">
            <v>6.4564528132893262E-4</v>
          </cell>
          <cell r="N691">
            <v>3.50871103481809E-4</v>
          </cell>
          <cell r="O691">
            <v>3.2891175804767778E-4</v>
          </cell>
          <cell r="P691">
            <v>2.095349265343189E-4</v>
          </cell>
        </row>
        <row r="692">
          <cell r="B692" t="str">
            <v>ITOT-CHPWST</v>
          </cell>
          <cell r="C692" t="str">
            <v>VAR_fout</v>
          </cell>
          <cell r="D692" t="str">
            <v>CO2_I</v>
          </cell>
          <cell r="E692">
            <v>344.51244733483901</v>
          </cell>
          <cell r="F692">
            <v>364.73358420085401</v>
          </cell>
          <cell r="G692">
            <v>504.23799844106998</v>
          </cell>
          <cell r="H692">
            <v>498.60896221305501</v>
          </cell>
          <cell r="I692">
            <v>492.98159670431301</v>
          </cell>
          <cell r="J692">
            <v>419.51129230643301</v>
          </cell>
          <cell r="K692">
            <v>1.9588857246798901</v>
          </cell>
          <cell r="L692">
            <v>1.0283913399375699</v>
          </cell>
          <cell r="M692">
            <v>0.96681167513087196</v>
          </cell>
          <cell r="N692">
            <v>0.52540658024176301</v>
          </cell>
          <cell r="O692">
            <v>0.49252389348185799</v>
          </cell>
          <cell r="P692">
            <v>0.31376487860965502</v>
          </cell>
        </row>
        <row r="693">
          <cell r="B693" t="str">
            <v>ITOT-CHPWST</v>
          </cell>
          <cell r="C693" t="str">
            <v>VAR_fin</v>
          </cell>
          <cell r="D693" t="str">
            <v>IWST</v>
          </cell>
          <cell r="E693">
            <v>3.7124186135219817</v>
          </cell>
          <cell r="F693">
            <v>3.9303187952678331</v>
          </cell>
          <cell r="G693">
            <v>5.4335991211322279</v>
          </cell>
          <cell r="H693">
            <v>5.3729414031579203</v>
          </cell>
          <cell r="I693">
            <v>5.3123016886240606</v>
          </cell>
          <cell r="J693">
            <v>4.5205958222675999</v>
          </cell>
          <cell r="K693">
            <v>2.1108682378016008E-2</v>
          </cell>
          <cell r="L693">
            <v>1.1081803232085909E-2</v>
          </cell>
          <cell r="M693">
            <v>1.0418229257875786E-2</v>
          </cell>
          <cell r="N693">
            <v>5.6617088388121036E-3</v>
          </cell>
          <cell r="O693">
            <v>5.3073695418303663E-3</v>
          </cell>
          <cell r="P693">
            <v>3.3810870539833521E-3</v>
          </cell>
        </row>
        <row r="694">
          <cell r="B694" t="str">
            <v>ITOT-CHPWST</v>
          </cell>
          <cell r="C694" t="str">
            <v>VAR_ncap</v>
          </cell>
          <cell r="D694" t="str">
            <v>-</v>
          </cell>
          <cell r="F694">
            <v>1.12759574522577E-6</v>
          </cell>
          <cell r="G694">
            <v>3.9564124903901503E-6</v>
          </cell>
          <cell r="H694">
            <v>1.4966337962369701E-3</v>
          </cell>
          <cell r="I694">
            <v>5.0525876850444898E-3</v>
          </cell>
          <cell r="J694">
            <v>1.83928032654557E-6</v>
          </cell>
          <cell r="K694">
            <v>8.01227169067675E-7</v>
          </cell>
          <cell r="L694">
            <v>1.21218033252128E-6</v>
          </cell>
          <cell r="M694">
            <v>7.75855745184959E-7</v>
          </cell>
          <cell r="N694">
            <v>3.61985326812437E-6</v>
          </cell>
          <cell r="O694">
            <v>1.00461485869306E-4</v>
          </cell>
          <cell r="P694">
            <v>1.0200841731443E-4</v>
          </cell>
        </row>
        <row r="695">
          <cell r="B695" t="str">
            <v>ITOT-CHPWST</v>
          </cell>
          <cell r="C695" t="str">
            <v>VAR_cap</v>
          </cell>
          <cell r="D695" t="str">
            <v>-</v>
          </cell>
          <cell r="E695">
            <v>4.7646837685754041E-2</v>
          </cell>
          <cell r="F695">
            <v>1.3842629479197129E-2</v>
          </cell>
          <cell r="G695">
            <v>1.3842883615304918E-2</v>
          </cell>
          <cell r="H695">
            <v>1.3553593458884079E-2</v>
          </cell>
          <cell r="I695">
            <v>1.339409220223926E-2</v>
          </cell>
          <cell r="J695">
            <v>1.2592682509745332E-2</v>
          </cell>
          <cell r="K695">
            <v>3.6794017333842931E-4</v>
          </cell>
          <cell r="L695">
            <v>3.3952606241448042E-4</v>
          </cell>
          <cell r="M695">
            <v>2.7655286226568009E-4</v>
          </cell>
          <cell r="N695">
            <v>2.734568863129597E-4</v>
          </cell>
          <cell r="O695">
            <v>1.5224150859297005E-4</v>
          </cell>
          <cell r="P695">
            <v>2.0577956633250055E-4</v>
          </cell>
        </row>
        <row r="696">
          <cell r="B696" t="str">
            <v>CAES-EBAT</v>
          </cell>
          <cell r="C696" t="str">
            <v>VAR_fout</v>
          </cell>
          <cell r="D696" t="str">
            <v>ELC13</v>
          </cell>
          <cell r="E696">
            <v>9.4709525270851039E-2</v>
          </cell>
          <cell r="F696">
            <v>1.489688265439054E-2</v>
          </cell>
          <cell r="G696">
            <v>3.1711859635974282E-2</v>
          </cell>
          <cell r="H696">
            <v>9.4477232399656816E-2</v>
          </cell>
          <cell r="I696">
            <v>8.6136731922430362E-2</v>
          </cell>
          <cell r="J696">
            <v>6.9791663606863896E-2</v>
          </cell>
          <cell r="K696">
            <v>9.4484402588599622E-2</v>
          </cell>
          <cell r="L696">
            <v>7.6388743998097072E-2</v>
          </cell>
          <cell r="M696">
            <v>9.4511444576772033E-2</v>
          </cell>
          <cell r="N696">
            <v>9.4518785164775132E-2</v>
          </cell>
          <cell r="O696">
            <v>9.4508808621834917E-2</v>
          </cell>
          <cell r="P696">
            <v>9.4557073704089667E-2</v>
          </cell>
        </row>
        <row r="697">
          <cell r="B697" t="str">
            <v>CAES-EBAT</v>
          </cell>
          <cell r="C697" t="str">
            <v>VAR_fout</v>
          </cell>
          <cell r="D697" t="str">
            <v>AUX_CAES_OUT</v>
          </cell>
          <cell r="E697">
            <v>9.4709525270850928E-2</v>
          </cell>
          <cell r="F697">
            <v>1.4896882654390525E-2</v>
          </cell>
          <cell r="G697">
            <v>3.1711859635974261E-2</v>
          </cell>
          <cell r="H697">
            <v>9.4477232399656705E-2</v>
          </cell>
          <cell r="I697">
            <v>8.6136731922430251E-2</v>
          </cell>
          <cell r="J697">
            <v>6.9791663606863827E-2</v>
          </cell>
          <cell r="K697">
            <v>9.4484402588599539E-2</v>
          </cell>
          <cell r="L697">
            <v>7.6388743998097045E-2</v>
          </cell>
          <cell r="M697">
            <v>9.4511444576772019E-2</v>
          </cell>
          <cell r="N697">
            <v>9.4518785164774966E-2</v>
          </cell>
          <cell r="O697">
            <v>9.4508808621834736E-2</v>
          </cell>
          <cell r="P697">
            <v>9.4557073704089584E-2</v>
          </cell>
        </row>
        <row r="698">
          <cell r="B698" t="str">
            <v>CAES-EBAT</v>
          </cell>
          <cell r="C698" t="str">
            <v>VAR_fin</v>
          </cell>
          <cell r="D698" t="str">
            <v>ELC13</v>
          </cell>
          <cell r="E698">
            <v>0.13530879580225955</v>
          </cell>
          <cell r="F698">
            <v>2.1290734933807703E-2</v>
          </cell>
          <cell r="G698">
            <v>4.5312130640239832E-2</v>
          </cell>
          <cell r="H698">
            <v>0.1349769488330102</v>
          </cell>
          <cell r="I698">
            <v>0.12306194816752009</v>
          </cell>
          <cell r="J698">
            <v>9.9711850570823907E-2</v>
          </cell>
          <cell r="K698">
            <v>0.13498719197690126</v>
          </cell>
          <cell r="L698">
            <v>0.10913625112715143</v>
          </cell>
          <cell r="M698">
            <v>0.13502582338871946</v>
          </cell>
          <cell r="N698">
            <v>0.13503630994264931</v>
          </cell>
          <cell r="O698">
            <v>0.13502205773939727</v>
          </cell>
          <cell r="P698">
            <v>0.13509104220383042</v>
          </cell>
        </row>
        <row r="699">
          <cell r="B699" t="str">
            <v>CAES-EBAT</v>
          </cell>
          <cell r="C699" t="str">
            <v>VAR_fin</v>
          </cell>
          <cell r="D699" t="str">
            <v>AUX_CAES_IN</v>
          </cell>
          <cell r="E699">
            <v>0.13530879580225955</v>
          </cell>
          <cell r="F699">
            <v>2.1290734933807703E-2</v>
          </cell>
          <cell r="G699">
            <v>4.5312130640239832E-2</v>
          </cell>
          <cell r="H699">
            <v>0.1349769488330102</v>
          </cell>
          <cell r="I699">
            <v>0.12306194816752009</v>
          </cell>
          <cell r="J699">
            <v>9.9711850570823907E-2</v>
          </cell>
          <cell r="K699">
            <v>0.13498719197690126</v>
          </cell>
          <cell r="L699">
            <v>0.10913625112715143</v>
          </cell>
          <cell r="M699">
            <v>0.13502582338871946</v>
          </cell>
          <cell r="N699">
            <v>0.13503630994264931</v>
          </cell>
          <cell r="O699">
            <v>0.13502205773939727</v>
          </cell>
          <cell r="P699">
            <v>0.13509104220383042</v>
          </cell>
        </row>
        <row r="700">
          <cell r="B700" t="str">
            <v>CAES-EBAT</v>
          </cell>
          <cell r="C700" t="str">
            <v>VAR_ncap</v>
          </cell>
          <cell r="D700" t="str">
            <v>-</v>
          </cell>
          <cell r="F700">
            <v>3.6558124524816302E-6</v>
          </cell>
          <cell r="G700">
            <v>3.8153451664776498E-6</v>
          </cell>
          <cell r="H700">
            <v>3.9830760129458299E-6</v>
          </cell>
          <cell r="I700">
            <v>5.2976912768082399E-6</v>
          </cell>
          <cell r="J700">
            <v>4.9619367041550503E-6</v>
          </cell>
          <cell r="K700">
            <v>4.7031750735395403E-6</v>
          </cell>
          <cell r="L700">
            <v>4.5866794930884697E-6</v>
          </cell>
          <cell r="M700">
            <v>4.4884866974018399E-6</v>
          </cell>
          <cell r="N700">
            <v>5.4596381616966897E-6</v>
          </cell>
          <cell r="O700">
            <v>6.5020233624615199E-6</v>
          </cell>
          <cell r="P700">
            <v>8.2724022993921599E-6</v>
          </cell>
        </row>
        <row r="701">
          <cell r="B701" t="str">
            <v>CAES-EBAT</v>
          </cell>
          <cell r="C701" t="str">
            <v>VAR_cap</v>
          </cell>
          <cell r="D701" t="str">
            <v>-</v>
          </cell>
          <cell r="E701">
            <v>0.1</v>
          </cell>
          <cell r="F701">
            <v>9.9990784741026781E-2</v>
          </cell>
          <cell r="G701">
            <v>9.9990927195739335E-2</v>
          </cell>
          <cell r="H701">
            <v>9.9991614995817699E-2</v>
          </cell>
          <cell r="I701">
            <v>9.9994019457274361E-2</v>
          </cell>
          <cell r="J701">
            <v>9.9995338937539105E-2</v>
          </cell>
          <cell r="K701">
            <v>9.999541219877485E-2</v>
          </cell>
          <cell r="L701">
            <v>9.9993888193171454E-2</v>
          </cell>
          <cell r="M701">
            <v>9.9992240129436319E-2</v>
          </cell>
          <cell r="N701">
            <v>9.9990415111611969E-2</v>
          </cell>
          <cell r="O701">
            <v>9.9989105977788331E-2</v>
          </cell>
          <cell r="P701">
            <v>9.9988760263436491E-2</v>
          </cell>
        </row>
        <row r="702">
          <cell r="B702" t="str">
            <v>HPLSOL</v>
          </cell>
          <cell r="C702" t="str">
            <v>VAR_fout</v>
          </cell>
          <cell r="D702" t="str">
            <v>LTH</v>
          </cell>
          <cell r="H702">
            <v>1.4810563710989833E-4</v>
          </cell>
          <cell r="I702">
            <v>2.4911596730367005E-4</v>
          </cell>
          <cell r="J702">
            <v>2.7184178099977396E-4</v>
          </cell>
          <cell r="K702">
            <v>2.8867491714550624E-4</v>
          </cell>
          <cell r="L702">
            <v>4.4049589728140104E-4</v>
          </cell>
          <cell r="M702">
            <v>4.489933768985335E-4</v>
          </cell>
          <cell r="N702">
            <v>5.2769062867861496E-4</v>
          </cell>
          <cell r="O702">
            <v>5.461505683061089E-4</v>
          </cell>
          <cell r="P702">
            <v>1.5346031078278311E-3</v>
          </cell>
        </row>
        <row r="703">
          <cell r="B703" t="str">
            <v>HPLSOL</v>
          </cell>
          <cell r="C703" t="str">
            <v>VAR_fin</v>
          </cell>
          <cell r="D703" t="str">
            <v>SOL</v>
          </cell>
          <cell r="H703">
            <v>1.4810563710989833E-4</v>
          </cell>
          <cell r="I703">
            <v>2.4911596730367005E-4</v>
          </cell>
          <cell r="J703">
            <v>2.7184178099977396E-4</v>
          </cell>
          <cell r="K703">
            <v>2.8867491714550624E-4</v>
          </cell>
          <cell r="L703">
            <v>4.4049589728140104E-4</v>
          </cell>
          <cell r="M703">
            <v>4.489933768985335E-4</v>
          </cell>
          <cell r="N703">
            <v>5.2769062867861496E-4</v>
          </cell>
          <cell r="O703">
            <v>5.461505683061089E-4</v>
          </cell>
          <cell r="P703">
            <v>1.5346031078278311E-3</v>
          </cell>
        </row>
        <row r="704">
          <cell r="B704" t="str">
            <v>HPLSOL</v>
          </cell>
          <cell r="C704" t="str">
            <v>VAR_fin</v>
          </cell>
          <cell r="D704" t="str">
            <v>SOLPVC</v>
          </cell>
          <cell r="H704">
            <v>1.4810563710989801E-4</v>
          </cell>
          <cell r="I704">
            <v>2.4911596730367E-4</v>
          </cell>
          <cell r="J704">
            <v>2.7184178099977401E-4</v>
          </cell>
          <cell r="K704">
            <v>2.8867491714550602E-4</v>
          </cell>
          <cell r="L704">
            <v>4.4049589728140098E-4</v>
          </cell>
          <cell r="M704">
            <v>4.4899337689853399E-4</v>
          </cell>
          <cell r="N704">
            <v>5.2769062867861496E-4</v>
          </cell>
          <cell r="O704">
            <v>5.4615056830610901E-4</v>
          </cell>
          <cell r="P704">
            <v>1.5346031078278301E-3</v>
          </cell>
        </row>
        <row r="705">
          <cell r="B705" t="str">
            <v>HPLSOL</v>
          </cell>
          <cell r="C705" t="str">
            <v>VAR_ncap</v>
          </cell>
          <cell r="D705" t="str">
            <v>-</v>
          </cell>
          <cell r="H705">
            <v>3.3478480487408298E-5</v>
          </cell>
          <cell r="I705">
            <v>2.39888565005795E-5</v>
          </cell>
          <cell r="J705">
            <v>2.9853772914054799E-6</v>
          </cell>
          <cell r="K705">
            <v>2.2268172021138501E-5</v>
          </cell>
          <cell r="L705">
            <v>6.1802545409132804E-5</v>
          </cell>
          <cell r="M705">
            <v>2.4041607340893902E-6</v>
          </cell>
          <cell r="N705">
            <v>3.7363680232670397E-5</v>
          </cell>
          <cell r="O705">
            <v>1.3837085900073401E-5</v>
          </cell>
          <cell r="P705">
            <v>2.3905032374540501E-4</v>
          </cell>
        </row>
        <row r="706">
          <cell r="B706" t="str">
            <v>HPLSOL</v>
          </cell>
          <cell r="C706" t="str">
            <v>VAR_cap</v>
          </cell>
          <cell r="D706" t="str">
            <v>-</v>
          </cell>
          <cell r="H706">
            <v>3.3478480487408298E-5</v>
          </cell>
          <cell r="I706">
            <v>5.74673369879879E-5</v>
          </cell>
          <cell r="J706">
            <v>6.0452714279393299E-5</v>
          </cell>
          <cell r="K706">
            <v>7.2107749654101198E-5</v>
          </cell>
          <cell r="L706">
            <v>1.1104495122225599E-4</v>
          </cell>
          <cell r="M706">
            <v>9.6346775774926004E-5</v>
          </cell>
          <cell r="N706">
            <v>1.2383855839703101E-4</v>
          </cell>
          <cell r="O706">
            <v>1.15407472275966E-4</v>
          </cell>
          <cell r="P706">
            <v>2.92655250612238E-4</v>
          </cell>
        </row>
        <row r="707">
          <cell r="B707" t="str">
            <v>RHEM-CHPNGA</v>
          </cell>
          <cell r="C707" t="str">
            <v>VAR_fout</v>
          </cell>
          <cell r="D707" t="str">
            <v>CO2_R</v>
          </cell>
          <cell r="E707">
            <v>8.6768873827367496</v>
          </cell>
          <cell r="F707">
            <v>6.2998576832941797</v>
          </cell>
          <cell r="G707">
            <v>25.811273403162001</v>
          </cell>
          <cell r="H707">
            <v>25.052897959475501</v>
          </cell>
          <cell r="I707">
            <v>24.582512107527599</v>
          </cell>
          <cell r="J707">
            <v>10.639719243860201</v>
          </cell>
          <cell r="M707">
            <v>2.01633627379876</v>
          </cell>
          <cell r="N707">
            <v>14.7596278597522</v>
          </cell>
          <cell r="O707">
            <v>21.5165063843829</v>
          </cell>
          <cell r="P707">
            <v>36.344172370259599</v>
          </cell>
        </row>
        <row r="708">
          <cell r="B708" t="str">
            <v>RHEM-CHPNGA</v>
          </cell>
          <cell r="C708" t="str">
            <v>VAR_fout</v>
          </cell>
          <cell r="D708" t="str">
            <v>RHEM_LTH_CHPNGA</v>
          </cell>
          <cell r="E708">
            <v>6.6273402628920022E-2</v>
          </cell>
          <cell r="F708">
            <v>7.0055863164279447E-2</v>
          </cell>
          <cell r="G708">
            <v>0.2807039434626617</v>
          </cell>
          <cell r="H708">
            <v>0.27291951758304694</v>
          </cell>
          <cell r="I708">
            <v>0.26492989501389713</v>
          </cell>
          <cell r="J708">
            <v>0.11491244642565712</v>
          </cell>
          <cell r="M708">
            <v>2.111421439218162E-2</v>
          </cell>
          <cell r="N708">
            <v>0.15862584460933235</v>
          </cell>
          <cell r="O708">
            <v>0.23134055477884818</v>
          </cell>
          <cell r="P708">
            <v>0.39023504105614737</v>
          </cell>
        </row>
        <row r="709">
          <cell r="B709" t="str">
            <v>RHEM-CHPNGA</v>
          </cell>
          <cell r="C709" t="str">
            <v>VAR_fout</v>
          </cell>
          <cell r="D709" t="str">
            <v>RHEM_NKEV_GAS_ELC_CHP</v>
          </cell>
          <cell r="E709">
            <v>3.0506804384740939E-2</v>
          </cell>
          <cell r="F709">
            <v>3.2564971656830005E-2</v>
          </cell>
          <cell r="G709">
            <v>0.1324362423061364</v>
          </cell>
          <cell r="H709">
            <v>0.13205783108857092</v>
          </cell>
          <cell r="I709">
            <v>0.12977026442061865</v>
          </cell>
          <cell r="J709">
            <v>5.6989099446870577E-2</v>
          </cell>
          <cell r="M709">
            <v>1.073017452717427E-2</v>
          </cell>
          <cell r="N709">
            <v>8.0613134145726337E-2</v>
          </cell>
          <cell r="O709">
            <v>0.11756651144498856</v>
          </cell>
          <cell r="P709">
            <v>0.19831616840558322</v>
          </cell>
        </row>
        <row r="710">
          <cell r="B710" t="str">
            <v>RHEM-CHPNGA</v>
          </cell>
          <cell r="C710" t="str">
            <v>VAR_fin</v>
          </cell>
          <cell r="D710" t="str">
            <v>RNGA</v>
          </cell>
          <cell r="E710">
            <v>0.15384552097050963</v>
          </cell>
          <cell r="F710">
            <v>0.11169960431372662</v>
          </cell>
          <cell r="G710">
            <v>0.45764669154542548</v>
          </cell>
          <cell r="H710">
            <v>0.44420031843041563</v>
          </cell>
          <cell r="I710">
            <v>0.43586014375049009</v>
          </cell>
          <cell r="J710">
            <v>0.18864750432376226</v>
          </cell>
          <cell r="M710">
            <v>3.5750643152460279E-2</v>
          </cell>
          <cell r="N710">
            <v>0.26169552942822977</v>
          </cell>
          <cell r="O710">
            <v>0.38149834014863199</v>
          </cell>
          <cell r="P710">
            <v>0.64440021933084357</v>
          </cell>
        </row>
        <row r="711">
          <cell r="B711" t="str">
            <v>RHEM-CHPNGA</v>
          </cell>
          <cell r="C711" t="str">
            <v>VAR_ncap</v>
          </cell>
          <cell r="D711" t="str">
            <v>-</v>
          </cell>
          <cell r="F711">
            <v>1.2425081035527901E-3</v>
          </cell>
          <cell r="M711">
            <v>9.3082653176211096E-4</v>
          </cell>
          <cell r="N711">
            <v>5.0661150088113296E-3</v>
          </cell>
          <cell r="O711">
            <v>2.7698991052166199E-3</v>
          </cell>
          <cell r="P711">
            <v>6.07007338792957E-3</v>
          </cell>
        </row>
        <row r="712">
          <cell r="B712" t="str">
            <v>RHEM-CHPNGA</v>
          </cell>
          <cell r="C712" t="str">
            <v>VAR_cap</v>
          </cell>
          <cell r="D712" t="str">
            <v>-</v>
          </cell>
          <cell r="E712">
            <v>8.8879130274033911E-3</v>
          </cell>
          <cell r="F712">
            <v>9.8265619301372911E-3</v>
          </cell>
          <cell r="G712">
            <v>9.8248578442349729E-3</v>
          </cell>
          <cell r="H712">
            <v>9.7989708318900661E-3</v>
          </cell>
          <cell r="I712">
            <v>9.6271597744687441E-3</v>
          </cell>
          <cell r="J712">
            <v>4.2266937152773297E-3</v>
          </cell>
          <cell r="M712">
            <v>9.3082653176211096E-4</v>
          </cell>
          <cell r="N712">
            <v>5.9963774780538541E-3</v>
          </cell>
          <cell r="O712">
            <v>8.7649602185586178E-3</v>
          </cell>
          <cell r="P712">
            <v>1.4831436685914308E-2</v>
          </cell>
        </row>
        <row r="713">
          <cell r="B713" t="str">
            <v>D-DH2</v>
          </cell>
          <cell r="C713" t="str">
            <v>VAR_fout</v>
          </cell>
          <cell r="D713" t="str">
            <v>H2</v>
          </cell>
          <cell r="H713">
            <v>6.9225856697878245E-6</v>
          </cell>
          <cell r="I713">
            <v>9.8654039906978636E-5</v>
          </cell>
          <cell r="J713">
            <v>2.5909531798758878</v>
          </cell>
          <cell r="K713">
            <v>3.4795729954695087</v>
          </cell>
          <cell r="L713">
            <v>3.5777515530430493</v>
          </cell>
          <cell r="M713">
            <v>3.5777538155927866</v>
          </cell>
          <cell r="N713">
            <v>3.5777559166230746</v>
          </cell>
          <cell r="O713">
            <v>3.5777578275145361</v>
          </cell>
          <cell r="P713">
            <v>3.5777693942707889</v>
          </cell>
        </row>
        <row r="714">
          <cell r="B714" t="str">
            <v>D-DH2</v>
          </cell>
          <cell r="C714" t="str">
            <v>VAR_fin</v>
          </cell>
          <cell r="D714" t="str">
            <v>H2_E</v>
          </cell>
          <cell r="H714">
            <v>6.9925107775634599E-6</v>
          </cell>
          <cell r="I714">
            <v>9.9650545360584528E-5</v>
          </cell>
          <cell r="J714">
            <v>2.6171244241170579</v>
          </cell>
          <cell r="K714">
            <v>3.5147201974439506</v>
          </cell>
          <cell r="L714">
            <v>3.6138904576192439</v>
          </cell>
          <cell r="M714">
            <v>3.6138927430230163</v>
          </cell>
          <cell r="N714">
            <v>3.6138948652758325</v>
          </cell>
          <cell r="O714">
            <v>3.6138967954692265</v>
          </cell>
          <cell r="P714">
            <v>3.6139084790614033</v>
          </cell>
        </row>
        <row r="715">
          <cell r="B715" t="str">
            <v>D-DH2</v>
          </cell>
          <cell r="C715" t="str">
            <v>VAR_ncap</v>
          </cell>
          <cell r="D715" t="str">
            <v>-</v>
          </cell>
          <cell r="H715">
            <v>1.4419896392701601E-4</v>
          </cell>
          <cell r="I715">
            <v>1.4033975414049101E-4</v>
          </cell>
          <cell r="J715">
            <v>0.34779528990701603</v>
          </cell>
          <cell r="K715">
            <v>0.119336072072787</v>
          </cell>
          <cell r="L715">
            <v>1.32631118688286E-2</v>
          </cell>
          <cell r="M715">
            <v>2.49291960471336E-5</v>
          </cell>
          <cell r="N715">
            <v>1.3921532529462101E-4</v>
          </cell>
          <cell r="O715">
            <v>5.5764640197460003E-5</v>
          </cell>
          <cell r="P715">
            <v>6.2862329608354898E-4</v>
          </cell>
        </row>
        <row r="716">
          <cell r="B716" t="str">
            <v>D-DH2</v>
          </cell>
          <cell r="C716" t="str">
            <v>VAR_cap</v>
          </cell>
          <cell r="D716" t="str">
            <v>-</v>
          </cell>
          <cell r="H716">
            <v>1.4419896392701601E-4</v>
          </cell>
          <cell r="I716">
            <v>2.8453871806750799E-4</v>
          </cell>
          <cell r="J716">
            <v>0.34807982862508302</v>
          </cell>
          <cell r="K716">
            <v>0.46741590069786998</v>
          </cell>
          <cell r="L716">
            <v>0.48067901256669898</v>
          </cell>
          <cell r="M716">
            <v>0.480703941762746</v>
          </cell>
          <cell r="N716">
            <v>0.48084315708803999</v>
          </cell>
          <cell r="O716">
            <v>0.48085320868254</v>
          </cell>
          <cell r="P716">
            <v>0.48138334606039401</v>
          </cell>
        </row>
        <row r="717">
          <cell r="B717" t="str">
            <v>D-SBIO</v>
          </cell>
          <cell r="C717" t="str">
            <v>VAR_fout</v>
          </cell>
          <cell r="D717" t="str">
            <v>SBIO</v>
          </cell>
          <cell r="E717">
            <v>4.0477954772422784</v>
          </cell>
          <cell r="F717">
            <v>4.5868582615942541</v>
          </cell>
          <cell r="G717">
            <v>4.499211398842748</v>
          </cell>
          <cell r="H717">
            <v>4.4477130670830523</v>
          </cell>
          <cell r="I717">
            <v>4.6319879401937767</v>
          </cell>
          <cell r="J717">
            <v>6.5810936664337891</v>
          </cell>
          <cell r="K717">
            <v>6.5810982642922848</v>
          </cell>
          <cell r="L717">
            <v>6.5811022951826281</v>
          </cell>
          <cell r="M717">
            <v>6.5811505377229764</v>
          </cell>
          <cell r="N717">
            <v>6.5812091136849178</v>
          </cell>
          <cell r="O717">
            <v>7.5922473308497018</v>
          </cell>
          <cell r="P717">
            <v>7.5941272185460909</v>
          </cell>
        </row>
        <row r="718">
          <cell r="B718" t="str">
            <v>D-SBIO</v>
          </cell>
          <cell r="C718" t="str">
            <v>VAR_fin</v>
          </cell>
          <cell r="D718" t="str">
            <v>BIO</v>
          </cell>
          <cell r="E718">
            <v>4.0477954772422784</v>
          </cell>
          <cell r="F718">
            <v>4.5868582615942541</v>
          </cell>
          <cell r="G718">
            <v>4.499211398842748</v>
          </cell>
          <cell r="H718">
            <v>4.4477130670830523</v>
          </cell>
          <cell r="I718">
            <v>4.6319879401937767</v>
          </cell>
          <cell r="J718">
            <v>6.5810936664337891</v>
          </cell>
          <cell r="K718">
            <v>6.5810982642922848</v>
          </cell>
          <cell r="L718">
            <v>6.5811022951826281</v>
          </cell>
          <cell r="M718">
            <v>6.5811505377229764</v>
          </cell>
          <cell r="N718">
            <v>6.5812091136849178</v>
          </cell>
          <cell r="O718">
            <v>7.5922473308497018</v>
          </cell>
          <cell r="P718">
            <v>7.5941272185460909</v>
          </cell>
        </row>
        <row r="719">
          <cell r="B719" t="str">
            <v>SCOM-CHPBIO</v>
          </cell>
          <cell r="C719" t="str">
            <v>VAR_fout</v>
          </cell>
          <cell r="D719" t="str">
            <v>SCOM_LTH_CHPBIO</v>
          </cell>
          <cell r="E719">
            <v>1.4243919803161298</v>
          </cell>
          <cell r="F719">
            <v>1.5797946271892793</v>
          </cell>
          <cell r="G719">
            <v>1.4937013010389746</v>
          </cell>
          <cell r="H719">
            <v>1.3345841796014093</v>
          </cell>
          <cell r="I719">
            <v>1.174340495054228</v>
          </cell>
          <cell r="J719">
            <v>1.0140628378988885</v>
          </cell>
          <cell r="K719">
            <v>1.0260358292198013</v>
          </cell>
          <cell r="L719">
            <v>1.0395289722069931</v>
          </cell>
          <cell r="M719">
            <v>1.0395314559728952</v>
          </cell>
          <cell r="N719">
            <v>1.0395484554670329</v>
          </cell>
          <cell r="O719">
            <v>1.1977435223086976</v>
          </cell>
          <cell r="P719">
            <v>1.6142831692462103</v>
          </cell>
        </row>
        <row r="720">
          <cell r="B720" t="str">
            <v>SCOM-CHPBIO</v>
          </cell>
          <cell r="C720" t="str">
            <v>VAR_fout</v>
          </cell>
          <cell r="D720" t="str">
            <v>SCOM_KEV_BIO_ELC_CHP</v>
          </cell>
          <cell r="E720">
            <v>0.95942092783543942</v>
          </cell>
          <cell r="F720">
            <v>1.1069743065028093</v>
          </cell>
          <cell r="G720">
            <v>1.1139828773575073</v>
          </cell>
          <cell r="H720">
            <v>1.1148532974386145</v>
          </cell>
          <cell r="I720">
            <v>1.1148917977313888</v>
          </cell>
          <cell r="J720">
            <v>1.1149051184397003</v>
          </cell>
          <cell r="K720">
            <v>1.1280687497333792</v>
          </cell>
          <cell r="L720">
            <v>1.1429037023793382</v>
          </cell>
          <cell r="M720">
            <v>1.1429064331404066</v>
          </cell>
          <cell r="N720">
            <v>1.1429251231291493</v>
          </cell>
          <cell r="O720">
            <v>1.3168517114450387</v>
          </cell>
          <cell r="P720">
            <v>1.7748136513243538</v>
          </cell>
        </row>
        <row r="721">
          <cell r="B721" t="str">
            <v>SCOM-CHPBIO</v>
          </cell>
          <cell r="C721" t="str">
            <v>VAR_fin</v>
          </cell>
          <cell r="D721" t="str">
            <v>SBIO</v>
          </cell>
          <cell r="E721">
            <v>2.6454866086035751</v>
          </cell>
          <cell r="F721">
            <v>3.0496030927974114</v>
          </cell>
          <cell r="G721">
            <v>3.0657450263636483</v>
          </cell>
          <cell r="H721">
            <v>3.0575805387081956</v>
          </cell>
          <cell r="I721">
            <v>3.027020345740048</v>
          </cell>
          <cell r="J721">
            <v>2.9792336661977412</v>
          </cell>
          <cell r="K721">
            <v>2.973773609342885</v>
          </cell>
          <cell r="L721">
            <v>2.9736401016256666</v>
          </cell>
          <cell r="M721">
            <v>2.9752285803717204</v>
          </cell>
          <cell r="N721">
            <v>2.9732349811588308</v>
          </cell>
          <cell r="O721">
            <v>3.4290601060601089</v>
          </cell>
          <cell r="P721">
            <v>4.6239053790868052</v>
          </cell>
        </row>
        <row r="722">
          <cell r="B722" t="str">
            <v>SCOM-CHPBIO</v>
          </cell>
          <cell r="C722" t="str">
            <v>VAR_ncap</v>
          </cell>
          <cell r="D722" t="str">
            <v>-</v>
          </cell>
          <cell r="F722">
            <v>2.6266551818290101E-2</v>
          </cell>
          <cell r="G722">
            <v>7.1139482167868898E-3</v>
          </cell>
          <cell r="H722">
            <v>1.22937278298383E-2</v>
          </cell>
          <cell r="I722">
            <v>4.4114273726746402E-2</v>
          </cell>
          <cell r="J722">
            <v>2.9869471111500501E-2</v>
          </cell>
          <cell r="K722">
            <v>1.24566167923709E-2</v>
          </cell>
          <cell r="L722">
            <v>4.52545680685882E-2</v>
          </cell>
          <cell r="M722">
            <v>2.69285753734726E-2</v>
          </cell>
          <cell r="N722">
            <v>1.53988520585103E-2</v>
          </cell>
          <cell r="O722">
            <v>5.9102894622295801E-2</v>
          </cell>
          <cell r="P722">
            <v>6.1503517516337099E-2</v>
          </cell>
        </row>
        <row r="723">
          <cell r="B723" t="str">
            <v>SCOM-CHPBIO</v>
          </cell>
          <cell r="C723" t="str">
            <v>VAR_cap</v>
          </cell>
          <cell r="D723" t="str">
            <v>-</v>
          </cell>
          <cell r="E723">
            <v>7.3511729642918411E-2</v>
          </cell>
          <cell r="F723">
            <v>8.4819938321455082E-2</v>
          </cell>
          <cell r="G723">
            <v>8.5359400538916094E-2</v>
          </cell>
          <cell r="H723">
            <v>8.5427845423519652E-2</v>
          </cell>
          <cell r="I723">
            <v>8.5431290337566232E-2</v>
          </cell>
          <cell r="J723">
            <v>8.5430340042078126E-2</v>
          </cell>
          <cell r="K723">
            <v>8.6439156829990121E-2</v>
          </cell>
          <cell r="L723">
            <v>8.7578379925627434E-2</v>
          </cell>
          <cell r="M723">
            <v>8.7576337655781197E-2</v>
          </cell>
          <cell r="N723">
            <v>8.7579732474211441E-2</v>
          </cell>
          <cell r="O723">
            <v>0.10090610145816614</v>
          </cell>
          <cell r="P723">
            <v>0.13600255506993278</v>
          </cell>
        </row>
        <row r="724">
          <cell r="B724" t="str">
            <v>SCOM-CHPHFC</v>
          </cell>
          <cell r="C724" t="str">
            <v>VAR_fout</v>
          </cell>
          <cell r="D724" t="str">
            <v>SCOM_KEV_HFC_ELC_CHP</v>
          </cell>
          <cell r="H724">
            <v>5.6692784032239506E-3</v>
          </cell>
          <cell r="I724">
            <v>2.0109587051575444E-2</v>
          </cell>
          <cell r="J724">
            <v>1.9083021627599644E-2</v>
          </cell>
          <cell r="K724">
            <v>1.507660674049424E-2</v>
          </cell>
          <cell r="L724">
            <v>4.594067280266613E-2</v>
          </cell>
          <cell r="M724">
            <v>5.5716851704075553E-2</v>
          </cell>
          <cell r="N724">
            <v>5.4876760065497542E-2</v>
          </cell>
          <cell r="O724">
            <v>0.18072454392272269</v>
          </cell>
          <cell r="P724">
            <v>0.40089192926355688</v>
          </cell>
        </row>
        <row r="725">
          <cell r="B725" t="str">
            <v>SCOM-CHPHFC</v>
          </cell>
          <cell r="C725" t="str">
            <v>VAR_fout</v>
          </cell>
          <cell r="D725" t="str">
            <v>SCOM_LTH_CHPHFC</v>
          </cell>
          <cell r="H725">
            <v>4.2668779561106538E-3</v>
          </cell>
          <cell r="I725">
            <v>1.3898351050947527E-2</v>
          </cell>
          <cell r="J725">
            <v>1.2015235839599786E-2</v>
          </cell>
          <cell r="K725">
            <v>9.0071193248363341E-3</v>
          </cell>
          <cell r="L725">
            <v>2.596646723628954E-2</v>
          </cell>
          <cell r="M725">
            <v>3.1492133571868801E-2</v>
          </cell>
          <cell r="N725">
            <v>3.1017299167455124E-2</v>
          </cell>
          <cell r="O725">
            <v>0.10214865526066945</v>
          </cell>
          <cell r="P725">
            <v>0.22659109045331471</v>
          </cell>
        </row>
        <row r="726">
          <cell r="B726" t="str">
            <v>SCOM-CHPHFC</v>
          </cell>
          <cell r="C726" t="str">
            <v>VAR_fin</v>
          </cell>
          <cell r="D726" t="str">
            <v>RSH2</v>
          </cell>
          <cell r="H726">
            <v>1.193532295415568E-2</v>
          </cell>
          <cell r="I726">
            <v>3.9624802072069844E-2</v>
          </cell>
          <cell r="J726">
            <v>3.5338928939999327E-2</v>
          </cell>
          <cell r="K726">
            <v>2.7043240790124216E-2</v>
          </cell>
          <cell r="L726">
            <v>7.989682226550622E-2</v>
          </cell>
          <cell r="M726">
            <v>9.6898872528827007E-2</v>
          </cell>
          <cell r="N726">
            <v>9.543784359216953E-2</v>
          </cell>
          <cell r="O726">
            <v>0.31430355464821369</v>
          </cell>
          <cell r="P726">
            <v>0.69720335524096821</v>
          </cell>
        </row>
        <row r="727">
          <cell r="B727" t="str">
            <v>SCOM-CHPHFC</v>
          </cell>
          <cell r="C727" t="str">
            <v>VAR_ncap</v>
          </cell>
          <cell r="D727" t="str">
            <v>-</v>
          </cell>
          <cell r="H727">
            <v>3.3239297866489602E-4</v>
          </cell>
          <cell r="I727">
            <v>8.5208343281901599E-4</v>
          </cell>
          <cell r="J727">
            <v>8.1767219855725197E-5</v>
          </cell>
          <cell r="K727">
            <v>6.6498125902527403E-5</v>
          </cell>
          <cell r="L727">
            <v>3.4001969085307201E-3</v>
          </cell>
          <cell r="M727">
            <v>5.5377560305368495E-4</v>
          </cell>
          <cell r="N727">
            <v>5.6470515435577597E-4</v>
          </cell>
          <cell r="O727">
            <v>1.1953135736349299E-2</v>
          </cell>
          <cell r="P727">
            <v>1.7279033773013201E-2</v>
          </cell>
        </row>
        <row r="728">
          <cell r="B728" t="str">
            <v>SCOM-CHPHFC</v>
          </cell>
          <cell r="C728" t="str">
            <v>VAR_cap</v>
          </cell>
          <cell r="D728" t="str">
            <v>-</v>
          </cell>
          <cell r="H728">
            <v>3.3239297866489602E-4</v>
          </cell>
          <cell r="I728">
            <v>1.1842847473761164E-3</v>
          </cell>
          <cell r="J728">
            <v>1.2024071738028924E-3</v>
          </cell>
          <cell r="K728">
            <v>9.9994503210682319E-4</v>
          </cell>
          <cell r="L728">
            <v>3.5472158583202333E-3</v>
          </cell>
          <cell r="M728">
            <v>4.0190917663915481E-3</v>
          </cell>
          <cell r="N728">
            <v>4.5166457654244501E-3</v>
          </cell>
          <cell r="O728">
            <v>1.3495785466195028E-2</v>
          </cell>
          <cell r="P728">
            <v>2.9794439273090331E-2</v>
          </cell>
        </row>
        <row r="729">
          <cell r="B729" t="str">
            <v>RHES-EBAT</v>
          </cell>
          <cell r="C729" t="str">
            <v>VAR_fout</v>
          </cell>
          <cell r="D729" t="str">
            <v>RHES_ELC</v>
          </cell>
          <cell r="E729">
            <v>4.6122703974325538E-3</v>
          </cell>
          <cell r="F729">
            <v>4.6236661496436753E-3</v>
          </cell>
          <cell r="G729">
            <v>4.6781814676161203E-3</v>
          </cell>
          <cell r="H729">
            <v>4.359853744932176E-2</v>
          </cell>
          <cell r="I729">
            <v>6.3330721891200301E-2</v>
          </cell>
          <cell r="J729">
            <v>7.4637505623163014E-2</v>
          </cell>
          <cell r="K729">
            <v>0.11384086533412133</v>
          </cell>
          <cell r="L729">
            <v>0.12856038921893306</v>
          </cell>
          <cell r="M729">
            <v>0.14664437476052217</v>
          </cell>
          <cell r="N729">
            <v>0.15379368084543921</v>
          </cell>
          <cell r="O729">
            <v>0.15910021131000071</v>
          </cell>
          <cell r="P729">
            <v>0.17409212656971318</v>
          </cell>
        </row>
        <row r="730">
          <cell r="B730" t="str">
            <v>RHES-EBAT</v>
          </cell>
          <cell r="C730" t="str">
            <v>VAR_fout</v>
          </cell>
          <cell r="D730" t="str">
            <v>AUX_RHES-EBAT_OUT</v>
          </cell>
          <cell r="E730">
            <v>4.6122703974325573E-3</v>
          </cell>
          <cell r="F730">
            <v>4.6236661496436814E-3</v>
          </cell>
          <cell r="G730">
            <v>4.6781814676161281E-3</v>
          </cell>
          <cell r="H730">
            <v>4.3598537449321802E-2</v>
          </cell>
          <cell r="I730">
            <v>6.3330721891200342E-2</v>
          </cell>
          <cell r="J730">
            <v>7.4637505623163097E-2</v>
          </cell>
          <cell r="K730">
            <v>0.11384086533412142</v>
          </cell>
          <cell r="L730">
            <v>0.12856038921893315</v>
          </cell>
          <cell r="M730">
            <v>0.14664437476052228</v>
          </cell>
          <cell r="N730">
            <v>0.15379368084543937</v>
          </cell>
          <cell r="O730">
            <v>0.15910021131000082</v>
          </cell>
          <cell r="P730">
            <v>0.17409212656971337</v>
          </cell>
        </row>
        <row r="731">
          <cell r="B731" t="str">
            <v>RHES-EBAT</v>
          </cell>
          <cell r="C731" t="str">
            <v>VAR_fin</v>
          </cell>
          <cell r="D731" t="str">
            <v>RHES_ELC</v>
          </cell>
          <cell r="E731">
            <v>5.1100214564951873E-3</v>
          </cell>
          <cell r="F731">
            <v>5.1226236176881027E-3</v>
          </cell>
          <cell r="G731">
            <v>5.1809042640875401E-3</v>
          </cell>
          <cell r="H731">
            <v>4.8221555806125208E-2</v>
          </cell>
          <cell r="I731">
            <v>7.0042683935716041E-2</v>
          </cell>
          <cell r="J731">
            <v>8.2546458024969155E-2</v>
          </cell>
          <cell r="K731">
            <v>0.12590007342842569</v>
          </cell>
          <cell r="L731">
            <v>0.14217794564261502</v>
          </cell>
          <cell r="M731">
            <v>0.16217631970020435</v>
          </cell>
          <cell r="N731">
            <v>0.17008248561792755</v>
          </cell>
          <cell r="O731">
            <v>0.17595079084950777</v>
          </cell>
          <cell r="P731">
            <v>0.19253087385600048</v>
          </cell>
        </row>
        <row r="732">
          <cell r="B732" t="str">
            <v>RHES-EBAT</v>
          </cell>
          <cell r="C732" t="str">
            <v>VAR_fin</v>
          </cell>
          <cell r="D732" t="str">
            <v>AUX_RHES-EBAT_IN</v>
          </cell>
          <cell r="E732">
            <v>5.1100214564951873E-3</v>
          </cell>
          <cell r="F732">
            <v>5.1226236176881027E-3</v>
          </cell>
          <cell r="G732">
            <v>5.1809042640875401E-3</v>
          </cell>
          <cell r="H732">
            <v>4.8221555806125208E-2</v>
          </cell>
          <cell r="I732">
            <v>7.0042683935716041E-2</v>
          </cell>
          <cell r="J732">
            <v>8.2546458024969155E-2</v>
          </cell>
          <cell r="K732">
            <v>0.12590007342842569</v>
          </cell>
          <cell r="L732">
            <v>0.14217794564261502</v>
          </cell>
          <cell r="M732">
            <v>0.16217631970020435</v>
          </cell>
          <cell r="N732">
            <v>0.17008248561792755</v>
          </cell>
          <cell r="O732">
            <v>0.17595079084950777</v>
          </cell>
          <cell r="P732">
            <v>0.19253087385600048</v>
          </cell>
        </row>
        <row r="733">
          <cell r="B733" t="str">
            <v>RHES-EBAT</v>
          </cell>
          <cell r="C733" t="str">
            <v>VAR_ncap</v>
          </cell>
          <cell r="D733" t="str">
            <v>-</v>
          </cell>
          <cell r="E733">
            <v>1.8889860173723E-3</v>
          </cell>
          <cell r="F733">
            <v>4.7972517215584E-6</v>
          </cell>
          <cell r="G733">
            <v>2.7501541764978998E-5</v>
          </cell>
          <cell r="H733">
            <v>1.6540684901994899E-2</v>
          </cell>
          <cell r="I733">
            <v>9.4947891224060298E-3</v>
          </cell>
          <cell r="J733">
            <v>1.77315291564548E-2</v>
          </cell>
          <cell r="K733">
            <v>2.40264784135172E-2</v>
          </cell>
          <cell r="L733">
            <v>2.79209656806302E-2</v>
          </cell>
          <cell r="M733">
            <v>2.1353848634899301E-2</v>
          </cell>
          <cell r="N733">
            <v>2.7386136164330301E-2</v>
          </cell>
          <cell r="O733">
            <v>3.4061566194503998E-2</v>
          </cell>
          <cell r="P733">
            <v>1.8821665094417201E-2</v>
          </cell>
        </row>
        <row r="734">
          <cell r="B734" t="str">
            <v>RHES-EBAT</v>
          </cell>
          <cell r="C734" t="str">
            <v>VAR_cap</v>
          </cell>
          <cell r="D734" t="str">
            <v>-</v>
          </cell>
          <cell r="E734">
            <v>1.8915746195947171E-3</v>
          </cell>
          <cell r="F734">
            <v>1.8955850805527845E-3</v>
          </cell>
          <cell r="G734">
            <v>1.9214330662691292E-3</v>
          </cell>
          <cell r="H734">
            <v>1.7951179746312801E-2</v>
          </cell>
          <cell r="I734">
            <v>2.6047275504684917E-2</v>
          </cell>
          <cell r="J734">
            <v>3.0694976622748248E-2</v>
          </cell>
          <cell r="K734">
            <v>4.6678911371339164E-2</v>
          </cell>
          <cell r="L734">
            <v>5.7999721459881172E-2</v>
          </cell>
          <cell r="M734">
            <v>6.0079472258454704E-2</v>
          </cell>
          <cell r="N734">
            <v>6.3039844119864005E-2</v>
          </cell>
          <cell r="O734">
            <v>6.5225434017190415E-2</v>
          </cell>
          <cell r="P734">
            <v>7.1357589114145956E-2</v>
          </cell>
        </row>
        <row r="735">
          <cell r="B735" t="str">
            <v>D-INGA</v>
          </cell>
          <cell r="C735" t="str">
            <v>VAR_fout</v>
          </cell>
          <cell r="D735" t="str">
            <v>CO2</v>
          </cell>
          <cell r="E735">
            <v>2103.1547285797801</v>
          </cell>
          <cell r="F735">
            <v>1693.71204108452</v>
          </cell>
          <cell r="G735">
            <v>1910.9417353587501</v>
          </cell>
          <cell r="H735">
            <v>1341.2842209391199</v>
          </cell>
          <cell r="I735">
            <v>648.69830910976498</v>
          </cell>
          <cell r="J735">
            <v>339.058945769655</v>
          </cell>
          <cell r="K735">
            <v>123.7616811036</v>
          </cell>
          <cell r="L735">
            <v>15.446915856893201</v>
          </cell>
          <cell r="M735">
            <v>2.7121864923139598</v>
          </cell>
          <cell r="N735">
            <v>0.22144211663571201</v>
          </cell>
          <cell r="O735">
            <v>0.95117344119928304</v>
          </cell>
          <cell r="P735">
            <v>7.4675865183819898E-2</v>
          </cell>
        </row>
        <row r="736">
          <cell r="B736" t="str">
            <v>D-INGA</v>
          </cell>
          <cell r="C736" t="str">
            <v>VAR_fout</v>
          </cell>
          <cell r="D736" t="str">
            <v>IH2</v>
          </cell>
          <cell r="I736">
            <v>0.2943771511204451</v>
          </cell>
          <cell r="J736">
            <v>0.21006107984713024</v>
          </cell>
          <cell r="K736">
            <v>0.1443080770260575</v>
          </cell>
          <cell r="L736">
            <v>8.8426331649545553E-2</v>
          </cell>
          <cell r="M736">
            <v>7.9927267651517003E-2</v>
          </cell>
          <cell r="N736">
            <v>7.8002238567886864E-2</v>
          </cell>
          <cell r="O736">
            <v>8.0322369814917444E-2</v>
          </cell>
          <cell r="P736">
            <v>4.4719349318647898E-2</v>
          </cell>
        </row>
        <row r="737">
          <cell r="B737" t="str">
            <v>D-INGA</v>
          </cell>
          <cell r="C737" t="str">
            <v>VAR_fout</v>
          </cell>
          <cell r="D737" t="str">
            <v>INGA</v>
          </cell>
          <cell r="E737">
            <v>37.496167214614758</v>
          </cell>
          <cell r="F737">
            <v>29.935121067163365</v>
          </cell>
          <cell r="G737">
            <v>36.245820871185515</v>
          </cell>
          <cell r="H737">
            <v>26.301727825424198</v>
          </cell>
          <cell r="I737">
            <v>14.060065285651373</v>
          </cell>
          <cell r="J737">
            <v>8.5880313354505962</v>
          </cell>
          <cell r="K737">
            <v>4.7828708478331894</v>
          </cell>
          <cell r="L737">
            <v>2.8686872979979334</v>
          </cell>
          <cell r="M737">
            <v>2.6436179377896609</v>
          </cell>
          <cell r="N737">
            <v>2.5996274367303513</v>
          </cell>
          <cell r="O737">
            <v>2.6125287585972554</v>
          </cell>
          <cell r="P737">
            <v>2.5992339932328878</v>
          </cell>
        </row>
        <row r="738">
          <cell r="B738" t="str">
            <v>D-INGA</v>
          </cell>
          <cell r="C738" t="str">
            <v>VAR_fin</v>
          </cell>
          <cell r="D738" t="str">
            <v>NGA</v>
          </cell>
          <cell r="E738">
            <v>37.289977457088298</v>
          </cell>
          <cell r="F738">
            <v>30.030355338378069</v>
          </cell>
          <cell r="G738">
            <v>33.881945662389242</v>
          </cell>
          <cell r="H738">
            <v>23.781635123034043</v>
          </cell>
          <cell r="I738">
            <v>11.501743069322078</v>
          </cell>
          <cell r="J738">
            <v>6.0116834356321789</v>
          </cell>
          <cell r="K738">
            <v>2.1943560479361635</v>
          </cell>
          <cell r="L738">
            <v>0.27388148682434682</v>
          </cell>
          <cell r="M738">
            <v>4.8088412984290022E-2</v>
          </cell>
          <cell r="N738">
            <v>3.9262786637537629E-3</v>
          </cell>
          <cell r="O738">
            <v>1.6864777326228417E-2</v>
          </cell>
          <cell r="P738">
            <v>1.3240401628336869E-3</v>
          </cell>
        </row>
        <row r="739">
          <cell r="B739" t="str">
            <v>D-INGA</v>
          </cell>
          <cell r="C739" t="str">
            <v>VAR_fin</v>
          </cell>
          <cell r="D739" t="str">
            <v>BNGA</v>
          </cell>
          <cell r="E739">
            <v>0.32597574778755739</v>
          </cell>
          <cell r="F739">
            <v>3.89995714045916E-4</v>
          </cell>
          <cell r="G739">
            <v>2.4796668181367765</v>
          </cell>
          <cell r="H739">
            <v>2.6041450484817266</v>
          </cell>
          <cell r="I739">
            <v>2.6041478722223279</v>
          </cell>
          <cell r="J739">
            <v>2.6041484976495886</v>
          </cell>
          <cell r="K739">
            <v>2.6041481859946161</v>
          </cell>
          <cell r="L739">
            <v>2.6041475216069778</v>
          </cell>
          <cell r="M739">
            <v>2.6041580134914408</v>
          </cell>
          <cell r="N739">
            <v>2.6041650427994463</v>
          </cell>
          <cell r="O739">
            <v>2.604173333111063</v>
          </cell>
          <cell r="P739">
            <v>2.6062462333022434</v>
          </cell>
        </row>
        <row r="740">
          <cell r="B740" t="str">
            <v>D-INGA</v>
          </cell>
          <cell r="C740" t="str">
            <v>VAR_fin</v>
          </cell>
          <cell r="D740" t="str">
            <v>H2</v>
          </cell>
          <cell r="I740">
            <v>0.29437715112044727</v>
          </cell>
          <cell r="J740">
            <v>0.2100534258504296</v>
          </cell>
          <cell r="K740">
            <v>0.14430686617924751</v>
          </cell>
          <cell r="L740">
            <v>8.8429840144450406E-2</v>
          </cell>
          <cell r="M740">
            <v>7.9927267651515185E-2</v>
          </cell>
          <cell r="N740">
            <v>7.7995195341659856E-2</v>
          </cell>
          <cell r="O740">
            <v>8.0318115659984035E-2</v>
          </cell>
          <cell r="P740">
            <v>4.4719907939274453E-2</v>
          </cell>
        </row>
        <row r="741">
          <cell r="B741" t="str">
            <v>D-INGA</v>
          </cell>
          <cell r="C741" t="str">
            <v>VAR_ncap</v>
          </cell>
          <cell r="D741" t="str">
            <v>-</v>
          </cell>
          <cell r="E741">
            <v>4.3525755764504004E-6</v>
          </cell>
          <cell r="F741">
            <v>2.05719816102687E-6</v>
          </cell>
          <cell r="G741">
            <v>2.7085397193286498E-6</v>
          </cell>
          <cell r="H741">
            <v>3.5353949129319101E-6</v>
          </cell>
          <cell r="I741">
            <v>1.0151895252155899E-5</v>
          </cell>
          <cell r="J741">
            <v>1.06131098617775E-5</v>
          </cell>
          <cell r="K741">
            <v>1.9377109747253099E-5</v>
          </cell>
          <cell r="L741">
            <v>9.9435877418356106E-2</v>
          </cell>
          <cell r="M741">
            <v>0.12677837561222899</v>
          </cell>
          <cell r="N741">
            <v>9.9508710561079395E-3</v>
          </cell>
          <cell r="O741">
            <v>3.91122274104789E-2</v>
          </cell>
          <cell r="P741">
            <v>1.7705600219107501E-2</v>
          </cell>
        </row>
        <row r="742">
          <cell r="B742" t="str">
            <v>D-INGA</v>
          </cell>
          <cell r="C742" t="str">
            <v>VAR_cap</v>
          </cell>
          <cell r="D742" t="str">
            <v>-</v>
          </cell>
          <cell r="E742">
            <v>1.9844877228416764</v>
          </cell>
          <cell r="F742">
            <v>1.9844897800398376</v>
          </cell>
          <cell r="G742">
            <v>1.9844924885795567</v>
          </cell>
          <cell r="H742">
            <v>1.9844960239744698</v>
          </cell>
          <cell r="I742">
            <v>1.984506175869722</v>
          </cell>
          <cell r="J742">
            <v>1.9845167889795836</v>
          </cell>
          <cell r="K742">
            <v>1.984536166089331</v>
          </cell>
          <cell r="L742">
            <v>0.99290292844963401</v>
          </cell>
          <cell r="M742">
            <v>0.33311509805249601</v>
          </cell>
          <cell r="N742">
            <v>0.23621369290198599</v>
          </cell>
          <cell r="O742">
            <v>0.27532038798012298</v>
          </cell>
          <cell r="P742">
            <v>0.293023093831141</v>
          </cell>
        </row>
        <row r="743">
          <cell r="B743" t="str">
            <v>EWIND</v>
          </cell>
          <cell r="C743" t="str">
            <v>VAR_fout</v>
          </cell>
          <cell r="D743" t="str">
            <v>ELC35</v>
          </cell>
          <cell r="E743">
            <v>0.52400000000000047</v>
          </cell>
          <cell r="F743">
            <v>0.54529224792023867</v>
          </cell>
          <cell r="G743">
            <v>0.5031648462537881</v>
          </cell>
          <cell r="H743">
            <v>2.0502655520161239</v>
          </cell>
          <cell r="I743">
            <v>3.6358377699965962</v>
          </cell>
          <cell r="J743">
            <v>4.6752286052272352</v>
          </cell>
          <cell r="K743">
            <v>10.311576017769067</v>
          </cell>
          <cell r="L743">
            <v>15.577633031308066</v>
          </cell>
          <cell r="M743">
            <v>15.585586570253962</v>
          </cell>
          <cell r="N743">
            <v>15.5963791999812</v>
          </cell>
          <cell r="O743">
            <v>15.596657591332681</v>
          </cell>
          <cell r="P743">
            <v>15.619074249162857</v>
          </cell>
        </row>
        <row r="744">
          <cell r="B744" t="str">
            <v>EWIND</v>
          </cell>
          <cell r="C744" t="str">
            <v>VAR_fin</v>
          </cell>
          <cell r="D744" t="str">
            <v>WND</v>
          </cell>
          <cell r="E744">
            <v>0.52400000000000047</v>
          </cell>
          <cell r="F744">
            <v>0.54529224792023867</v>
          </cell>
          <cell r="G744">
            <v>0.5031648462537881</v>
          </cell>
          <cell r="H744">
            <v>2.0502655520161239</v>
          </cell>
          <cell r="I744">
            <v>3.6358377699965962</v>
          </cell>
          <cell r="J744">
            <v>4.6752286052272352</v>
          </cell>
          <cell r="K744">
            <v>10.311576017769067</v>
          </cell>
          <cell r="L744">
            <v>15.577633031308066</v>
          </cell>
          <cell r="M744">
            <v>15.585586570253962</v>
          </cell>
          <cell r="N744">
            <v>15.5963791999812</v>
          </cell>
          <cell r="O744">
            <v>15.596657591332681</v>
          </cell>
          <cell r="P744">
            <v>15.619074249162857</v>
          </cell>
        </row>
        <row r="745">
          <cell r="B745" t="str">
            <v>EWIND</v>
          </cell>
          <cell r="C745" t="str">
            <v>VAR_ncap</v>
          </cell>
          <cell r="D745" t="str">
            <v>-</v>
          </cell>
          <cell r="F745">
            <v>7.1321513504371001E-3</v>
          </cell>
          <cell r="G745">
            <v>0.292006818668267</v>
          </cell>
          <cell r="H745">
            <v>0.28587254862032402</v>
          </cell>
          <cell r="I745">
            <v>0.240707848366322</v>
          </cell>
          <cell r="J745">
            <v>0.67910669176714</v>
          </cell>
          <cell r="K745">
            <v>1.38424345055873</v>
          </cell>
          <cell r="L745">
            <v>0.338855329897367</v>
          </cell>
          <cell r="M745">
            <v>0.19084298075591999</v>
          </cell>
          <cell r="N745">
            <v>0.858807926890232</v>
          </cell>
          <cell r="O745">
            <v>1.2083154839179</v>
          </cell>
        </row>
        <row r="746">
          <cell r="B746" t="str">
            <v>EWIND</v>
          </cell>
          <cell r="C746" t="str">
            <v>VAR_cap</v>
          </cell>
          <cell r="D746" t="str">
            <v>-</v>
          </cell>
          <cell r="E746">
            <v>8.7120000000000003E-2</v>
          </cell>
          <cell r="F746">
            <v>9.0660039387044297E-2</v>
          </cell>
          <cell r="G746">
            <v>8.3655956880973298E-2</v>
          </cell>
          <cell r="H746">
            <v>0.34087182838744734</v>
          </cell>
          <cell r="I746">
            <v>0.60448868781315379</v>
          </cell>
          <cell r="J746">
            <v>0.77729854137989229</v>
          </cell>
          <cell r="K746">
            <v>1.7143971777442999</v>
          </cell>
          <cell r="L746">
            <v>2.5899305393125198</v>
          </cell>
          <cell r="M746">
            <v>2.59125401963274</v>
          </cell>
          <cell r="N746">
            <v>2.59304845297916</v>
          </cell>
          <cell r="O746">
            <v>2.59309445852245</v>
          </cell>
          <cell r="P746">
            <v>2.5968217214614202</v>
          </cell>
        </row>
        <row r="747">
          <cell r="B747" t="str">
            <v>EGEO</v>
          </cell>
          <cell r="C747" t="str">
            <v>VAR_fout</v>
          </cell>
          <cell r="D747" t="str">
            <v>ELC35</v>
          </cell>
          <cell r="K747">
            <v>7.3803712160078055E-2</v>
          </cell>
          <cell r="L747">
            <v>0.1766332726082091</v>
          </cell>
          <cell r="M747">
            <v>0.17651554023443072</v>
          </cell>
          <cell r="N747">
            <v>0.17681539113253819</v>
          </cell>
          <cell r="O747">
            <v>0.17882768757931677</v>
          </cell>
          <cell r="P747">
            <v>0.18659219490740672</v>
          </cell>
        </row>
        <row r="748">
          <cell r="B748" t="str">
            <v>EGEO</v>
          </cell>
          <cell r="C748" t="str">
            <v>VAR_fin</v>
          </cell>
          <cell r="D748" t="str">
            <v>GEO</v>
          </cell>
          <cell r="K748">
            <v>0.4920247477338543</v>
          </cell>
          <cell r="L748">
            <v>1.1775551507213948</v>
          </cell>
          <cell r="M748">
            <v>1.1767702682295378</v>
          </cell>
          <cell r="N748">
            <v>1.1787692742169216</v>
          </cell>
          <cell r="O748">
            <v>1.1921845838621119</v>
          </cell>
          <cell r="P748">
            <v>1.2439479660493789</v>
          </cell>
        </row>
        <row r="749">
          <cell r="B749" t="str">
            <v>EGEO</v>
          </cell>
          <cell r="C749" t="str">
            <v>VAR_ncap</v>
          </cell>
          <cell r="D749" t="str">
            <v>-</v>
          </cell>
          <cell r="J749">
            <v>2.1685070204031402E-3</v>
          </cell>
          <cell r="K749">
            <v>4.8549741465963997E-3</v>
          </cell>
          <cell r="L749">
            <v>1.39398053162497E-6</v>
          </cell>
          <cell r="M749">
            <v>5.7547916877355799E-6</v>
          </cell>
          <cell r="N749">
            <v>2.76785258258587E-5</v>
          </cell>
          <cell r="O749">
            <v>3.55971450378201E-4</v>
          </cell>
        </row>
        <row r="750">
          <cell r="B750" t="str">
            <v>EGEO</v>
          </cell>
          <cell r="C750" t="str">
            <v>VAR_cap</v>
          </cell>
          <cell r="D750" t="str">
            <v>-</v>
          </cell>
          <cell r="K750">
            <v>2.9284202478014687E-3</v>
          </cell>
          <cell r="L750">
            <v>7.0230320589990116E-3</v>
          </cell>
          <cell r="M750">
            <v>7.0247624141361598E-3</v>
          </cell>
          <cell r="N750">
            <v>7.0287932219874503E-3</v>
          </cell>
          <cell r="O750">
            <v>7.1065583394747589E-3</v>
          </cell>
          <cell r="P750">
            <v>7.4105053634441944E-3</v>
          </cell>
        </row>
        <row r="751">
          <cell r="B751" t="str">
            <v>D-SPLT</v>
          </cell>
          <cell r="C751" t="str">
            <v>VAR_fout</v>
          </cell>
          <cell r="D751" t="str">
            <v>SPLT</v>
          </cell>
          <cell r="E751">
            <v>2.0856645756020882</v>
          </cell>
          <cell r="F751">
            <v>2.4001222873750088</v>
          </cell>
          <cell r="G751">
            <v>2.0094666962344134</v>
          </cell>
          <cell r="H751">
            <v>2.1752547073304038</v>
          </cell>
          <cell r="I751">
            <v>2.2997708887666866</v>
          </cell>
          <cell r="J751">
            <v>2.4399665054912796</v>
          </cell>
          <cell r="K751">
            <v>2.3976168735110543</v>
          </cell>
          <cell r="L751">
            <v>2.4274371819577114</v>
          </cell>
          <cell r="M751">
            <v>2.3888853154271912</v>
          </cell>
          <cell r="N751">
            <v>2.4067004006270194</v>
          </cell>
          <cell r="O751">
            <v>2.407307839292776</v>
          </cell>
          <cell r="P751">
            <v>2.4088065124837779</v>
          </cell>
        </row>
        <row r="752">
          <cell r="B752" t="str">
            <v>D-SPLT</v>
          </cell>
          <cell r="C752" t="str">
            <v>VAR_fin</v>
          </cell>
          <cell r="D752" t="str">
            <v>PLT</v>
          </cell>
          <cell r="E752">
            <v>2.0856645756020882</v>
          </cell>
          <cell r="F752">
            <v>2.4001222873750088</v>
          </cell>
          <cell r="G752">
            <v>2.0094666962344134</v>
          </cell>
          <cell r="H752">
            <v>2.1752547073304038</v>
          </cell>
          <cell r="I752">
            <v>2.2997708887666866</v>
          </cell>
          <cell r="J752">
            <v>2.4399665054912796</v>
          </cell>
          <cell r="K752">
            <v>2.3976168735110543</v>
          </cell>
          <cell r="L752">
            <v>2.4274371819577114</v>
          </cell>
          <cell r="M752">
            <v>2.3888853154271912</v>
          </cell>
          <cell r="N752">
            <v>2.4067004006270194</v>
          </cell>
          <cell r="O752">
            <v>2.407307839292776</v>
          </cell>
          <cell r="P752">
            <v>2.4088065124837779</v>
          </cell>
        </row>
        <row r="753">
          <cell r="B753" t="str">
            <v>RHES-ESOLPV</v>
          </cell>
          <cell r="C753" t="str">
            <v>VAR_fout</v>
          </cell>
          <cell r="D753" t="str">
            <v>RHES_SOL_ELC</v>
          </cell>
          <cell r="E753">
            <v>2.1349390887346629</v>
          </cell>
          <cell r="F753">
            <v>3.390665317883228</v>
          </cell>
          <cell r="G753">
            <v>10.592557845387942</v>
          </cell>
          <cell r="H753">
            <v>18.912230775701829</v>
          </cell>
          <cell r="I753">
            <v>19.877178290409898</v>
          </cell>
          <cell r="J753">
            <v>20.891227171545605</v>
          </cell>
          <cell r="K753">
            <v>34.741445698962188</v>
          </cell>
          <cell r="L753">
            <v>38.314954884981574</v>
          </cell>
          <cell r="M753">
            <v>40.26940336304542</v>
          </cell>
          <cell r="N753">
            <v>42.323549078501898</v>
          </cell>
          <cell r="O753">
            <v>44.48248034456234</v>
          </cell>
          <cell r="P753">
            <v>46.751552598697884</v>
          </cell>
        </row>
        <row r="754">
          <cell r="B754" t="str">
            <v>RHES-ESOLPV</v>
          </cell>
          <cell r="C754" t="str">
            <v>VAR_fin</v>
          </cell>
          <cell r="D754" t="str">
            <v>SOL</v>
          </cell>
          <cell r="E754">
            <v>2.1349390887346629</v>
          </cell>
          <cell r="F754">
            <v>3.390665317883228</v>
          </cell>
          <cell r="G754">
            <v>10.592557845387942</v>
          </cell>
          <cell r="H754">
            <v>18.912230775701829</v>
          </cell>
          <cell r="I754">
            <v>19.877178290409898</v>
          </cell>
          <cell r="J754">
            <v>20.891227171545605</v>
          </cell>
          <cell r="K754">
            <v>34.741445698962188</v>
          </cell>
          <cell r="L754">
            <v>38.314954884981574</v>
          </cell>
          <cell r="M754">
            <v>40.26940336304542</v>
          </cell>
          <cell r="N754">
            <v>42.323549078501898</v>
          </cell>
          <cell r="O754">
            <v>44.48248034456234</v>
          </cell>
          <cell r="P754">
            <v>46.751552598697884</v>
          </cell>
        </row>
        <row r="755">
          <cell r="B755" t="str">
            <v>RHES-ESOLPV</v>
          </cell>
          <cell r="C755" t="str">
            <v>VAR_fin</v>
          </cell>
          <cell r="D755" t="str">
            <v>SOLPVC</v>
          </cell>
          <cell r="E755">
            <v>2.1349390887346602</v>
          </cell>
          <cell r="F755">
            <v>3.3906653178832298</v>
          </cell>
          <cell r="G755">
            <v>10.592557845387899</v>
          </cell>
          <cell r="H755">
            <v>18.912230775701801</v>
          </cell>
          <cell r="I755">
            <v>19.877178290409901</v>
          </cell>
          <cell r="J755">
            <v>20.891227171545601</v>
          </cell>
          <cell r="K755">
            <v>34.741445698962202</v>
          </cell>
          <cell r="L755">
            <v>38.314954884981603</v>
          </cell>
          <cell r="M755">
            <v>40.269403363045399</v>
          </cell>
          <cell r="N755">
            <v>42.323549078501898</v>
          </cell>
          <cell r="O755">
            <v>44.482480344562298</v>
          </cell>
          <cell r="P755">
            <v>46.751552598697899</v>
          </cell>
        </row>
        <row r="756">
          <cell r="B756" t="str">
            <v>RHES-ESOLPV</v>
          </cell>
          <cell r="C756" t="str">
            <v>VAR_ncap</v>
          </cell>
          <cell r="D756" t="str">
            <v>-</v>
          </cell>
          <cell r="F756">
            <v>5.74205875681565E-8</v>
          </cell>
          <cell r="G756">
            <v>1.8735634525927001</v>
          </cell>
          <cell r="H756">
            <v>1.5528101058008901</v>
          </cell>
          <cell r="I756">
            <v>0.46159883043106098</v>
          </cell>
          <cell r="J756">
            <v>0.75113705858784197</v>
          </cell>
          <cell r="K756">
            <v>5.9894663653698199</v>
          </cell>
          <cell r="L756">
            <v>2.2764391049785302</v>
          </cell>
          <cell r="M756">
            <v>0.90450423569789096</v>
          </cell>
          <cell r="N756">
            <v>1.29990817741396</v>
          </cell>
          <cell r="O756">
            <v>6.5235592585339299</v>
          </cell>
          <cell r="P756">
            <v>2.8377794789143098</v>
          </cell>
        </row>
        <row r="757">
          <cell r="B757" t="str">
            <v>RHES-ESOLPV</v>
          </cell>
          <cell r="C757" t="str">
            <v>VAR_cap</v>
          </cell>
          <cell r="D757" t="str">
            <v>-</v>
          </cell>
          <cell r="E757">
            <v>0.67885700000000004</v>
          </cell>
          <cell r="F757">
            <v>1.1558999750987375</v>
          </cell>
          <cell r="G757">
            <v>3.16272051001329</v>
          </cell>
          <cell r="H757">
            <v>4.67864778087056</v>
          </cell>
          <cell r="I757">
            <v>4.9173639354239</v>
          </cell>
          <cell r="J757">
            <v>5.1682271209063497</v>
          </cell>
          <cell r="K757">
            <v>8.5945994602207296</v>
          </cell>
          <cell r="L757">
            <v>9.4786413593672503</v>
          </cell>
          <cell r="M757">
            <v>9.9621477078148697</v>
          </cell>
          <cell r="N757">
            <v>10.470317883460201</v>
          </cell>
          <cell r="O757">
            <v>11.004410776624299</v>
          </cell>
          <cell r="P757">
            <v>11.5657511505601</v>
          </cell>
        </row>
        <row r="758">
          <cell r="B758" t="str">
            <v>SUP_DAC</v>
          </cell>
          <cell r="C758" t="str">
            <v>VAR_fout</v>
          </cell>
          <cell r="D758" t="str">
            <v>CO2_O</v>
          </cell>
          <cell r="J758">
            <v>2.072429233341741E-2</v>
          </cell>
          <cell r="K758">
            <v>2.6468371680148019E-2</v>
          </cell>
          <cell r="L758">
            <v>21.81453697128013</v>
          </cell>
          <cell r="M758">
            <v>219.36350943276329</v>
          </cell>
          <cell r="N758">
            <v>1579.3373942402559</v>
          </cell>
          <cell r="O758">
            <v>1749.199141600393</v>
          </cell>
          <cell r="P758">
            <v>2413.7728765842658</v>
          </cell>
        </row>
        <row r="759">
          <cell r="B759" t="str">
            <v>SUP_DAC</v>
          </cell>
          <cell r="C759" t="str">
            <v>VAR_fout</v>
          </cell>
          <cell r="D759" t="str">
            <v>CO2</v>
          </cell>
          <cell r="J759">
            <v>-2.07242923334174E-2</v>
          </cell>
          <cell r="K759">
            <v>-2.6468371680148001E-2</v>
          </cell>
          <cell r="L759">
            <v>-21.814536971280098</v>
          </cell>
          <cell r="M759">
            <v>-219.363509432764</v>
          </cell>
          <cell r="N759">
            <v>-1579.33739424025</v>
          </cell>
          <cell r="O759">
            <v>-1749.19914160039</v>
          </cell>
          <cell r="P759">
            <v>-2413.7728765842699</v>
          </cell>
        </row>
        <row r="760">
          <cell r="B760" t="str">
            <v>SUP_DAC</v>
          </cell>
          <cell r="C760" t="str">
            <v>VAR_fin</v>
          </cell>
          <cell r="D760" t="str">
            <v>CHEAT</v>
          </cell>
          <cell r="J760">
            <v>1.3779955689236233E-4</v>
          </cell>
          <cell r="K760">
            <v>1.7234815133368539E-4</v>
          </cell>
          <cell r="L760">
            <v>0.13904085203989713</v>
          </cell>
          <cell r="M760">
            <v>1.398172663400959</v>
          </cell>
          <cell r="N760">
            <v>10.066334080010009</v>
          </cell>
          <cell r="O760">
            <v>11.14899387302021</v>
          </cell>
          <cell r="P760">
            <v>15.384834334687916</v>
          </cell>
        </row>
        <row r="761">
          <cell r="B761" t="str">
            <v>SUP_DAC</v>
          </cell>
          <cell r="C761" t="str">
            <v>VAR_fin</v>
          </cell>
          <cell r="D761" t="str">
            <v>CELC</v>
          </cell>
          <cell r="J761">
            <v>2.8737685369005495E-5</v>
          </cell>
          <cell r="K761">
            <v>3.039451347937E-5</v>
          </cell>
          <cell r="L761">
            <v>1.9851228643864922E-2</v>
          </cell>
          <cell r="M761">
            <v>0.19962079358381482</v>
          </cell>
          <cell r="N761">
            <v>1.4371970287586306</v>
          </cell>
          <cell r="O761">
            <v>1.5917712188563575</v>
          </cell>
          <cell r="P761">
            <v>2.1965333176916833</v>
          </cell>
        </row>
        <row r="762">
          <cell r="B762" t="str">
            <v>SUP_DAC</v>
          </cell>
          <cell r="C762" t="str">
            <v>VAR_ncap</v>
          </cell>
          <cell r="D762" t="str">
            <v>-</v>
          </cell>
          <cell r="J762">
            <v>6.2021861010206E-3</v>
          </cell>
          <cell r="K762">
            <v>1.0094310363036E-3</v>
          </cell>
          <cell r="L762">
            <v>2.7605788714065</v>
          </cell>
          <cell r="M762">
            <v>25.062024493027302</v>
          </cell>
          <cell r="N762">
            <v>172.499673207077</v>
          </cell>
          <cell r="O762">
            <v>31.761842420394601</v>
          </cell>
          <cell r="P762">
            <v>101.900007755037</v>
          </cell>
        </row>
        <row r="763">
          <cell r="B763" t="str">
            <v>SUP_DAC</v>
          </cell>
          <cell r="C763" t="str">
            <v>VAR_cap</v>
          </cell>
          <cell r="D763" t="str">
            <v>-</v>
          </cell>
          <cell r="J763">
            <v>6.2021861010206E-3</v>
          </cell>
          <cell r="K763">
            <v>7.1795040534671662E-3</v>
          </cell>
          <cell r="L763">
            <v>2.7675049866108243</v>
          </cell>
          <cell r="M763">
            <v>27.823974132844427</v>
          </cell>
          <cell r="N763">
            <v>200.32200994212343</v>
          </cell>
          <cell r="O763">
            <v>221.86708589228135</v>
          </cell>
          <cell r="P763">
            <v>306.16122965057588</v>
          </cell>
        </row>
        <row r="764">
          <cell r="B764" t="str">
            <v>EHYD-DAM10</v>
          </cell>
          <cell r="C764" t="str">
            <v>VAR_fout</v>
          </cell>
          <cell r="D764" t="str">
            <v>ELC</v>
          </cell>
          <cell r="F764">
            <v>3.5021063189656768E-2</v>
          </cell>
          <cell r="G764">
            <v>0.22380010270121115</v>
          </cell>
          <cell r="H764">
            <v>0.68722403429823664</v>
          </cell>
          <cell r="I764">
            <v>0.71655092840020751</v>
          </cell>
          <cell r="J764">
            <v>0.72238506461540164</v>
          </cell>
          <cell r="K764">
            <v>0.72555549846987744</v>
          </cell>
          <cell r="L764">
            <v>0.72812558282645579</v>
          </cell>
          <cell r="M764">
            <v>0.73088158727870911</v>
          </cell>
          <cell r="N764">
            <v>0.72926993586058964</v>
          </cell>
          <cell r="O764">
            <v>0.72955115303006168</v>
          </cell>
          <cell r="P764">
            <v>0.72895742691770027</v>
          </cell>
        </row>
        <row r="765">
          <cell r="B765" t="str">
            <v>EHYD-DAM10</v>
          </cell>
          <cell r="C765" t="str">
            <v>VAR_fin</v>
          </cell>
          <cell r="D765" t="str">
            <v>HYDD</v>
          </cell>
          <cell r="F765">
            <v>3.5021063189656768E-2</v>
          </cell>
          <cell r="G765">
            <v>0.22380010270121115</v>
          </cell>
          <cell r="H765">
            <v>0.68722403429823664</v>
          </cell>
          <cell r="I765">
            <v>0.71655092840020751</v>
          </cell>
          <cell r="J765">
            <v>0.72238506461540164</v>
          </cell>
          <cell r="K765">
            <v>0.72555549846987744</v>
          </cell>
          <cell r="L765">
            <v>0.72812558282645579</v>
          </cell>
          <cell r="M765">
            <v>0.73088158727870911</v>
          </cell>
          <cell r="N765">
            <v>0.72926993586058964</v>
          </cell>
          <cell r="O765">
            <v>0.72955115303006168</v>
          </cell>
          <cell r="P765">
            <v>0.72895742691770027</v>
          </cell>
        </row>
        <row r="766">
          <cell r="B766" t="str">
            <v>EHYD-DAM10</v>
          </cell>
          <cell r="C766" t="str">
            <v>VAR_ncap</v>
          </cell>
          <cell r="D766" t="str">
            <v>-</v>
          </cell>
          <cell r="F766">
            <v>4.5029877549969798E-3</v>
          </cell>
          <cell r="G766">
            <v>1.9947237449523099E-2</v>
          </cell>
          <cell r="H766">
            <v>5.0849065775089401E-2</v>
          </cell>
          <cell r="I766">
            <v>1.13763421247391E-6</v>
          </cell>
          <cell r="J766">
            <v>2.20956602507039E-6</v>
          </cell>
          <cell r="K766">
            <v>2.67047924417874E-7</v>
          </cell>
          <cell r="L766">
            <v>1.08508789732125E-7</v>
          </cell>
          <cell r="M766">
            <v>1.9512815789131699E-6</v>
          </cell>
          <cell r="N766">
            <v>2.3040662545441401E-7</v>
          </cell>
          <cell r="O766">
            <v>3.4580774321595498E-7</v>
          </cell>
          <cell r="P766">
            <v>1.40899370605974E-7</v>
          </cell>
        </row>
        <row r="767">
          <cell r="B767" t="str">
            <v>EHYD-DAM10</v>
          </cell>
          <cell r="C767" t="str">
            <v>VAR_cap</v>
          </cell>
          <cell r="D767" t="str">
            <v>-</v>
          </cell>
          <cell r="F767">
            <v>4.5029877549969798E-3</v>
          </cell>
          <cell r="G767">
            <v>2.4450225204520101E-2</v>
          </cell>
          <cell r="H767">
            <v>7.5299290979609496E-2</v>
          </cell>
          <cell r="I767">
            <v>7.5300428613821996E-2</v>
          </cell>
          <cell r="J767">
            <v>7.5302638179847003E-2</v>
          </cell>
          <cell r="K767">
            <v>7.5302905227771402E-2</v>
          </cell>
          <cell r="L767">
            <v>7.5303013736561203E-2</v>
          </cell>
          <cell r="M767">
            <v>7.5304965018140102E-2</v>
          </cell>
          <cell r="N767">
            <v>7.5305195424765506E-2</v>
          </cell>
          <cell r="O767">
            <v>7.5305541232508794E-2</v>
          </cell>
          <cell r="P767">
            <v>7.5305682131879395E-2</v>
          </cell>
        </row>
        <row r="768">
          <cell r="B768" t="str">
            <v>DH-EBAT</v>
          </cell>
          <cell r="C768" t="str">
            <v>VAR_fout</v>
          </cell>
          <cell r="D768" t="str">
            <v>ELC35</v>
          </cell>
          <cell r="E768">
            <v>1.3320891291589407E-2</v>
          </cell>
          <cell r="F768">
            <v>1.0414841106323231E-2</v>
          </cell>
          <cell r="G768">
            <v>1.0727394611736807E-2</v>
          </cell>
          <cell r="H768">
            <v>1.2079913349600626E-2</v>
          </cell>
          <cell r="I768">
            <v>0.11980715728775058</v>
          </cell>
          <cell r="J768">
            <v>3.0080915760519824</v>
          </cell>
          <cell r="K768">
            <v>6.5477748966194484</v>
          </cell>
          <cell r="L768">
            <v>7.9716802715371191</v>
          </cell>
          <cell r="M768">
            <v>13.359255279595642</v>
          </cell>
          <cell r="N768">
            <v>15.732200379448413</v>
          </cell>
          <cell r="O768">
            <v>14.639986289352123</v>
          </cell>
          <cell r="P768">
            <v>15.323238671135654</v>
          </cell>
        </row>
        <row r="769">
          <cell r="B769" t="str">
            <v>DH-EBAT</v>
          </cell>
          <cell r="C769" t="str">
            <v>VAR_fout</v>
          </cell>
          <cell r="D769" t="str">
            <v>AUX_DH-EBAT_OUT</v>
          </cell>
          <cell r="E769">
            <v>1.3320891291589403E-2</v>
          </cell>
          <cell r="F769">
            <v>1.0414841106323226E-2</v>
          </cell>
          <cell r="G769">
            <v>1.0727394611736803E-2</v>
          </cell>
          <cell r="H769">
            <v>1.207991334960062E-2</v>
          </cell>
          <cell r="I769">
            <v>0.11980715728775052</v>
          </cell>
          <cell r="J769">
            <v>3.0080915760519824</v>
          </cell>
          <cell r="K769">
            <v>6.5477748966194467</v>
          </cell>
          <cell r="L769">
            <v>7.9716802715371173</v>
          </cell>
          <cell r="M769">
            <v>13.35925527959564</v>
          </cell>
          <cell r="N769">
            <v>15.732200379448395</v>
          </cell>
          <cell r="O769">
            <v>14.639986289352112</v>
          </cell>
          <cell r="P769">
            <v>15.323238671135643</v>
          </cell>
        </row>
        <row r="770">
          <cell r="B770" t="str">
            <v>DH-EBAT</v>
          </cell>
          <cell r="C770" t="str">
            <v>VAR_fin</v>
          </cell>
          <cell r="D770" t="str">
            <v>ELC35</v>
          </cell>
          <cell r="E770">
            <v>1.490530649595141E-2</v>
          </cell>
          <cell r="F770">
            <v>1.1655671328301476E-2</v>
          </cell>
          <cell r="G770">
            <v>1.2002938084010453E-2</v>
          </cell>
          <cell r="H770">
            <v>1.35153663544438E-2</v>
          </cell>
          <cell r="I770">
            <v>0.13397930128342875</v>
          </cell>
          <cell r="J770">
            <v>3.3637513457010777</v>
          </cell>
          <cell r="K770">
            <v>7.3219315700802401</v>
          </cell>
          <cell r="L770">
            <v>8.9141867521283498</v>
          </cell>
          <cell r="M770">
            <v>14.938739534608061</v>
          </cell>
          <cell r="N770">
            <v>17.592240154813918</v>
          </cell>
          <cell r="O770">
            <v>16.370892547910817</v>
          </cell>
          <cell r="P770">
            <v>17.134926880751692</v>
          </cell>
        </row>
        <row r="771">
          <cell r="B771" t="str">
            <v>DH-EBAT</v>
          </cell>
          <cell r="C771" t="str">
            <v>VAR_fin</v>
          </cell>
          <cell r="D771" t="str">
            <v>AUX_DH-EBAT_IN</v>
          </cell>
          <cell r="E771">
            <v>1.490530649595141E-2</v>
          </cell>
          <cell r="F771">
            <v>1.1655671328301476E-2</v>
          </cell>
          <cell r="G771">
            <v>1.2002938084010453E-2</v>
          </cell>
          <cell r="H771">
            <v>1.35153663544438E-2</v>
          </cell>
          <cell r="I771">
            <v>0.13397930128342875</v>
          </cell>
          <cell r="J771">
            <v>3.3637513457010777</v>
          </cell>
          <cell r="K771">
            <v>7.3219315700802401</v>
          </cell>
          <cell r="L771">
            <v>8.9141867521283498</v>
          </cell>
          <cell r="M771">
            <v>14.938739534608061</v>
          </cell>
          <cell r="N771">
            <v>17.592240154813918</v>
          </cell>
          <cell r="O771">
            <v>16.370892547910817</v>
          </cell>
          <cell r="P771">
            <v>17.134926880751692</v>
          </cell>
        </row>
        <row r="772">
          <cell r="B772" t="str">
            <v>DH-EBAT</v>
          </cell>
          <cell r="C772" t="str">
            <v>VAR_ncap</v>
          </cell>
          <cell r="D772" t="str">
            <v>-</v>
          </cell>
          <cell r="E772">
            <v>1.8669084425136399E-3</v>
          </cell>
          <cell r="F772">
            <v>3.9396792950754204E-6</v>
          </cell>
          <cell r="G772">
            <v>1.1473432583183601E-5</v>
          </cell>
          <cell r="H772">
            <v>2.9206673574860999E-4</v>
          </cell>
          <cell r="I772">
            <v>1.8989156242243201E-2</v>
          </cell>
          <cell r="J772">
            <v>0.72001694707946795</v>
          </cell>
          <cell r="K772">
            <v>0.60281379431270998</v>
          </cell>
          <cell r="L772">
            <v>1.34395795274761</v>
          </cell>
          <cell r="M772">
            <v>0.35279747678027601</v>
          </cell>
          <cell r="N772">
            <v>1.2169451577072701</v>
          </cell>
          <cell r="O772">
            <v>0.89611625023994901</v>
          </cell>
          <cell r="P772">
            <v>0.51752458914684496</v>
          </cell>
        </row>
        <row r="773">
          <cell r="B773" t="str">
            <v>DH-EBAT</v>
          </cell>
          <cell r="C773" t="str">
            <v>VAR_cap</v>
          </cell>
          <cell r="D773" t="str">
            <v>-</v>
          </cell>
          <cell r="E773">
            <v>1.8669084425136399E-3</v>
          </cell>
          <cell r="F773">
            <v>1.8702336810966316E-3</v>
          </cell>
          <cell r="G773">
            <v>1.8799408088438464E-3</v>
          </cell>
          <cell r="H773">
            <v>1.6682955464719692E-3</v>
          </cell>
          <cell r="I773">
            <v>1.9284347386389851E-2</v>
          </cell>
          <cell r="J773">
            <v>0.7390645118042154</v>
          </cell>
          <cell r="K773">
            <v>1.3326729776039656</v>
          </cell>
          <cell r="L773">
            <v>2.1927190092380209</v>
          </cell>
          <cell r="M773">
            <v>1.9679012676889889</v>
          </cell>
          <cell r="N773">
            <v>2.2583001588692682</v>
          </cell>
          <cell r="O773">
            <v>2.1755419833156107</v>
          </cell>
          <cell r="P773">
            <v>2.2348958558632406</v>
          </cell>
        </row>
        <row r="774">
          <cell r="B774" t="str">
            <v>RHEM-EBAT</v>
          </cell>
          <cell r="C774" t="str">
            <v>VAR_fout</v>
          </cell>
          <cell r="D774" t="str">
            <v>RHEM_ELC</v>
          </cell>
          <cell r="E774">
            <v>4.6105352117805989E-3</v>
          </cell>
          <cell r="F774">
            <v>4.6217302553306413E-3</v>
          </cell>
          <cell r="G774">
            <v>4.6784675754886415E-3</v>
          </cell>
          <cell r="H774">
            <v>4.441280465021849E-2</v>
          </cell>
          <cell r="I774">
            <v>7.7247573344936232E-2</v>
          </cell>
          <cell r="J774">
            <v>0.12229012056660235</v>
          </cell>
          <cell r="K774">
            <v>0.15462077521406331</v>
          </cell>
          <cell r="L774">
            <v>0.13017301352852129</v>
          </cell>
          <cell r="M774">
            <v>0.1517474611038005</v>
          </cell>
          <cell r="N774">
            <v>0.15545596677396023</v>
          </cell>
          <cell r="O774">
            <v>0.16079220430455721</v>
          </cell>
          <cell r="P774">
            <v>0.17598119203448565</v>
          </cell>
        </row>
        <row r="775">
          <cell r="B775" t="str">
            <v>RHEM-EBAT</v>
          </cell>
          <cell r="C775" t="str">
            <v>VAR_fout</v>
          </cell>
          <cell r="D775" t="str">
            <v>AUX_RHEM-EBAT_OUT</v>
          </cell>
          <cell r="E775">
            <v>4.6105352117806015E-3</v>
          </cell>
          <cell r="F775">
            <v>4.6217302553306474E-3</v>
          </cell>
          <cell r="G775">
            <v>4.6784675754886441E-3</v>
          </cell>
          <cell r="H775">
            <v>4.4412804650218546E-2</v>
          </cell>
          <cell r="I775">
            <v>7.7247573344936316E-2</v>
          </cell>
          <cell r="J775">
            <v>0.12229012056660246</v>
          </cell>
          <cell r="K775">
            <v>0.15462077521406362</v>
          </cell>
          <cell r="L775">
            <v>0.1301730135285214</v>
          </cell>
          <cell r="M775">
            <v>0.15174746110380063</v>
          </cell>
          <cell r="N775">
            <v>0.15545596677396034</v>
          </cell>
          <cell r="O775">
            <v>0.1607922043045574</v>
          </cell>
          <cell r="P775">
            <v>0.17598119203448584</v>
          </cell>
        </row>
        <row r="776">
          <cell r="B776" t="str">
            <v>RHEM-EBAT</v>
          </cell>
          <cell r="C776" t="str">
            <v>VAR_fin</v>
          </cell>
          <cell r="D776" t="str">
            <v>RHEM_ELC</v>
          </cell>
          <cell r="E776">
            <v>5.1081025757624869E-3</v>
          </cell>
          <cell r="F776">
            <v>5.1204827803207351E-3</v>
          </cell>
          <cell r="G776">
            <v>5.1812206607123098E-3</v>
          </cell>
          <cell r="H776">
            <v>4.9122025238428881E-2</v>
          </cell>
          <cell r="I776">
            <v>8.5432840034598334E-2</v>
          </cell>
          <cell r="J776">
            <v>0.13524380734550204</v>
          </cell>
          <cell r="K776">
            <v>0.17099714016345829</v>
          </cell>
          <cell r="L776">
            <v>0.14396128952875262</v>
          </cell>
          <cell r="M776">
            <v>0.16781964324002921</v>
          </cell>
          <cell r="N776">
            <v>0.17192074910776928</v>
          </cell>
          <cell r="O776">
            <v>0.1778219063378807</v>
          </cell>
          <cell r="P776">
            <v>0.19461992446086168</v>
          </cell>
        </row>
        <row r="777">
          <cell r="B777" t="str">
            <v>RHEM-EBAT</v>
          </cell>
          <cell r="C777" t="str">
            <v>VAR_fin</v>
          </cell>
          <cell r="D777" t="str">
            <v>AUX_RHEM-EBAT_IN</v>
          </cell>
          <cell r="E777">
            <v>5.1081025757624869E-3</v>
          </cell>
          <cell r="F777">
            <v>5.1204827803207351E-3</v>
          </cell>
          <cell r="G777">
            <v>5.1812206607123098E-3</v>
          </cell>
          <cell r="H777">
            <v>4.9122025238428881E-2</v>
          </cell>
          <cell r="I777">
            <v>8.5432840034598334E-2</v>
          </cell>
          <cell r="J777">
            <v>0.13524380734550204</v>
          </cell>
          <cell r="K777">
            <v>0.17099714016345829</v>
          </cell>
          <cell r="L777">
            <v>0.14396128952875262</v>
          </cell>
          <cell r="M777">
            <v>0.16781964324002921</v>
          </cell>
          <cell r="N777">
            <v>0.17192074910776928</v>
          </cell>
          <cell r="O777">
            <v>0.1778219063378807</v>
          </cell>
          <cell r="P777">
            <v>0.19461992446086168</v>
          </cell>
        </row>
        <row r="778">
          <cell r="B778" t="str">
            <v>RHEM-EBAT</v>
          </cell>
          <cell r="C778" t="str">
            <v>VAR_ncap</v>
          </cell>
          <cell r="D778" t="str">
            <v>-</v>
          </cell>
          <cell r="E778">
            <v>1.8882935007177499E-3</v>
          </cell>
          <cell r="F778">
            <v>4.8131355174834802E-6</v>
          </cell>
          <cell r="G778">
            <v>2.80083542481498E-5</v>
          </cell>
          <cell r="H778">
            <v>1.6871108972212299E-2</v>
          </cell>
          <cell r="I778">
            <v>1.48204997313417E-2</v>
          </cell>
          <cell r="J778">
            <v>3.2125295620931499E-2</v>
          </cell>
          <cell r="K778">
            <v>2.3585196366530298E-2</v>
          </cell>
          <cell r="L778">
            <v>2.4153407035284E-2</v>
          </cell>
          <cell r="M778">
            <v>2.74089422372308E-2</v>
          </cell>
          <cell r="N778">
            <v>2.3940176442163001E-2</v>
          </cell>
          <cell r="O778">
            <v>3.7123320838820903E-2</v>
          </cell>
          <cell r="P778">
            <v>1.8857065434738501E-2</v>
          </cell>
        </row>
        <row r="779">
          <cell r="B779" t="str">
            <v>RHEM-EBAT</v>
          </cell>
          <cell r="C779" t="str">
            <v>VAR_cap</v>
          </cell>
          <cell r="D779" t="str">
            <v>-</v>
          </cell>
          <cell r="E779">
            <v>1.8908821522827454E-3</v>
          </cell>
          <cell r="F779">
            <v>1.8949084049697707E-3</v>
          </cell>
          <cell r="G779">
            <v>1.9212620868148814E-3</v>
          </cell>
          <cell r="H779">
            <v>1.8281621117195831E-2</v>
          </cell>
          <cell r="I779">
            <v>3.1703673532056664E-2</v>
          </cell>
          <cell r="J779">
            <v>5.0483802541917609E-2</v>
          </cell>
          <cell r="K779">
            <v>6.3392834589981739E-2</v>
          </cell>
          <cell r="L779">
            <v>5.8707753237242102E-2</v>
          </cell>
          <cell r="M779">
            <v>6.2168511750263562E-2</v>
          </cell>
          <cell r="N779">
            <v>6.3718696891057011E-2</v>
          </cell>
          <cell r="O779">
            <v>6.591371901589059E-2</v>
          </cell>
          <cell r="P779">
            <v>7.2129194198023217E-2</v>
          </cell>
        </row>
        <row r="780">
          <cell r="B780" t="str">
            <v>HPLGEO</v>
          </cell>
          <cell r="C780" t="str">
            <v>VAR_fout</v>
          </cell>
          <cell r="D780" t="str">
            <v>LTH</v>
          </cell>
          <cell r="J780">
            <v>2.0687314757246388E-3</v>
          </cell>
          <cell r="K780">
            <v>2.0750959735464035E-3</v>
          </cell>
          <cell r="L780">
            <v>2.1032238759752394E-3</v>
          </cell>
          <cell r="M780">
            <v>2.1141690930305407E-3</v>
          </cell>
          <cell r="N780">
            <v>3.2426822510482271E-3</v>
          </cell>
          <cell r="O780">
            <v>3.2708621848487182E-3</v>
          </cell>
          <cell r="P780">
            <v>6.6343781262286766E-3</v>
          </cell>
        </row>
        <row r="781">
          <cell r="B781" t="str">
            <v>HPLGEO</v>
          </cell>
          <cell r="C781" t="str">
            <v>VAR_fin</v>
          </cell>
          <cell r="D781" t="str">
            <v>GEO</v>
          </cell>
          <cell r="J781">
            <v>2.4338017361466334E-3</v>
          </cell>
          <cell r="K781">
            <v>2.4412893806428256E-3</v>
          </cell>
          <cell r="L781">
            <v>2.4743810305591072E-3</v>
          </cell>
          <cell r="M781">
            <v>2.487257756506519E-3</v>
          </cell>
          <cell r="N781">
            <v>3.8149202953508543E-3</v>
          </cell>
          <cell r="O781">
            <v>3.8480731586455533E-3</v>
          </cell>
          <cell r="P781">
            <v>7.8051507367396245E-3</v>
          </cell>
        </row>
        <row r="782">
          <cell r="B782" t="str">
            <v>HPLGEO</v>
          </cell>
          <cell r="C782" t="str">
            <v>VAR_ncap</v>
          </cell>
          <cell r="D782" t="str">
            <v>-</v>
          </cell>
          <cell r="J782">
            <v>1.06808861187397E-4</v>
          </cell>
          <cell r="K782">
            <v>2.12782867633805E-6</v>
          </cell>
          <cell r="L782">
            <v>2.98802235525002E-5</v>
          </cell>
          <cell r="M782">
            <v>2.1841684779150599E-6</v>
          </cell>
          <cell r="N782">
            <v>1.5352800147493801E-4</v>
          </cell>
          <cell r="O782">
            <v>4.8010633127799602E-6</v>
          </cell>
          <cell r="P782">
            <v>2.2125543631919899E-4</v>
          </cell>
        </row>
        <row r="783">
          <cell r="B783" t="str">
            <v>HPLGEO</v>
          </cell>
          <cell r="C783" t="str">
            <v>VAR_cap</v>
          </cell>
          <cell r="D783" t="str">
            <v>-</v>
          </cell>
          <cell r="J783">
            <v>1.06808861187397E-4</v>
          </cell>
          <cell r="K783">
            <v>1.08936689863735E-4</v>
          </cell>
          <cell r="L783">
            <v>1.38816913416235E-4</v>
          </cell>
          <cell r="M783">
            <v>1.2684939606258101E-4</v>
          </cell>
          <cell r="N783">
            <v>1.8772022218169101E-4</v>
          </cell>
          <cell r="O783">
            <v>1.9039345681813301E-4</v>
          </cell>
          <cell r="P783">
            <v>3.8176866958483202E-4</v>
          </cell>
        </row>
        <row r="784">
          <cell r="B784" t="str">
            <v>CT_CWODBDSCCS</v>
          </cell>
          <cell r="C784" t="str">
            <v>VAR_fout</v>
          </cell>
          <cell r="D784" t="str">
            <v>CO2_O</v>
          </cell>
          <cell r="J784">
            <v>0.12873107397199357</v>
          </cell>
          <cell r="K784">
            <v>0.19999003452981245</v>
          </cell>
          <cell r="L784">
            <v>542.15581196523146</v>
          </cell>
          <cell r="M784">
            <v>717.53964835653312</v>
          </cell>
          <cell r="N784">
            <v>604.31595485824334</v>
          </cell>
          <cell r="O784">
            <v>709.82589400666541</v>
          </cell>
          <cell r="P784">
            <v>709.06486839441379</v>
          </cell>
        </row>
        <row r="785">
          <cell r="B785" t="str">
            <v>CT_CWODBDSCCS</v>
          </cell>
          <cell r="C785" t="str">
            <v>VAR_fout</v>
          </cell>
          <cell r="D785" t="str">
            <v>CO2</v>
          </cell>
          <cell r="J785">
            <v>-0.12873107397199399</v>
          </cell>
          <cell r="K785">
            <v>-0.19999003452981301</v>
          </cell>
          <cell r="L785">
            <v>-542.15581196523101</v>
          </cell>
          <cell r="M785">
            <v>-717.53964835653301</v>
          </cell>
          <cell r="N785">
            <v>-604.315954858243</v>
          </cell>
          <cell r="O785">
            <v>-709.82589400666598</v>
          </cell>
          <cell r="P785">
            <v>-709.06486839441402</v>
          </cell>
        </row>
        <row r="786">
          <cell r="B786" t="str">
            <v>CT_CWODBDSCCS</v>
          </cell>
          <cell r="C786" t="str">
            <v>VAR_fout</v>
          </cell>
          <cell r="D786" t="str">
            <v>BDS</v>
          </cell>
          <cell r="J786">
            <v>7.2029214964759367E-4</v>
          </cell>
          <cell r="K786">
            <v>1.1190091672109758E-3</v>
          </cell>
          <cell r="L786">
            <v>3.0335377713801326</v>
          </cell>
          <cell r="M786">
            <v>4.0148672719420331</v>
          </cell>
          <cell r="N786">
            <v>3.3813439503027931</v>
          </cell>
          <cell r="O786">
            <v>3.9717063121901646</v>
          </cell>
          <cell r="P786">
            <v>3.9674481268331099</v>
          </cell>
        </row>
        <row r="787">
          <cell r="B787" t="str">
            <v>CT_CWODBDSCCS</v>
          </cell>
          <cell r="C787" t="str">
            <v>VAR_fout</v>
          </cell>
          <cell r="D787" t="str">
            <v>LTH</v>
          </cell>
          <cell r="J787">
            <v>2.8091393836256109E-4</v>
          </cell>
          <cell r="K787">
            <v>4.3641357521227958E-4</v>
          </cell>
          <cell r="L787">
            <v>1.1830797308382512</v>
          </cell>
          <cell r="M787">
            <v>1.5657982360573917</v>
          </cell>
          <cell r="N787">
            <v>1.3187241406180874</v>
          </cell>
          <cell r="O787">
            <v>1.5489654617541628</v>
          </cell>
          <cell r="P787">
            <v>1.5473047694649096</v>
          </cell>
        </row>
        <row r="788">
          <cell r="B788" t="str">
            <v>CT_CWODBDSCCS</v>
          </cell>
          <cell r="C788" t="str">
            <v>VAR_fin</v>
          </cell>
          <cell r="D788" t="str">
            <v>CWOD</v>
          </cell>
          <cell r="J788">
            <v>2.0524724804208178E-3</v>
          </cell>
          <cell r="K788">
            <v>3.1886166219676731E-3</v>
          </cell>
          <cell r="L788">
            <v>8.6440658795476892</v>
          </cell>
          <cell r="M788">
            <v>11.440364291398813</v>
          </cell>
          <cell r="N788">
            <v>9.6351395863878064</v>
          </cell>
          <cell r="O788">
            <v>11.317377136585863</v>
          </cell>
          <cell r="P788">
            <v>11.305243437410942</v>
          </cell>
        </row>
        <row r="789">
          <cell r="B789" t="str">
            <v>CT_CWODBDSCCS</v>
          </cell>
          <cell r="C789" t="str">
            <v>VAR_fin</v>
          </cell>
          <cell r="D789" t="str">
            <v>CELC</v>
          </cell>
          <cell r="J789">
            <v>9.2969136743800132E-5</v>
          </cell>
          <cell r="K789">
            <v>1.4443211179644531E-4</v>
          </cell>
          <cell r="L789">
            <v>0.39154305377742188</v>
          </cell>
          <cell r="M789">
            <v>0.51820465431423157</v>
          </cell>
          <cell r="N789">
            <v>0.43643489415693942</v>
          </cell>
          <cell r="O789">
            <v>0.51263380758054511</v>
          </cell>
          <cell r="P789">
            <v>0.51208419751338752</v>
          </cell>
        </row>
        <row r="790">
          <cell r="B790" t="str">
            <v>CT_CWODBDSCCS</v>
          </cell>
          <cell r="C790" t="str">
            <v>VAR_ncap</v>
          </cell>
          <cell r="D790" t="str">
            <v>-</v>
          </cell>
          <cell r="J790">
            <v>1.20812649421253E-4</v>
          </cell>
          <cell r="K790">
            <v>1.04407614853386E-5</v>
          </cell>
          <cell r="L790">
            <v>0.23253738210191099</v>
          </cell>
          <cell r="M790">
            <v>4.2236435292905301E-6</v>
          </cell>
          <cell r="N790">
            <v>4.6438090689793096E-6</v>
          </cell>
          <cell r="O790">
            <v>7.46704353108912E-6</v>
          </cell>
          <cell r="P790">
            <v>0.207206188549865</v>
          </cell>
        </row>
        <row r="791">
          <cell r="B791" t="str">
            <v>CT_CWODBDSCCS</v>
          </cell>
          <cell r="C791" t="str">
            <v>VAR_cap</v>
          </cell>
          <cell r="D791" t="str">
            <v>-</v>
          </cell>
          <cell r="J791">
            <v>1.20812649421253E-4</v>
          </cell>
          <cell r="K791">
            <v>1.3125341090659099E-4</v>
          </cell>
          <cell r="L791">
            <v>0.232668635512817</v>
          </cell>
          <cell r="M791">
            <v>0.23265685203259201</v>
          </cell>
          <cell r="N791">
            <v>0.23255669031599399</v>
          </cell>
          <cell r="O791">
            <v>0.23255371659804</v>
          </cell>
          <cell r="P791">
            <v>0.20722252304599401</v>
          </cell>
        </row>
        <row r="792">
          <cell r="B792" t="str">
            <v>EHYD-PUM15</v>
          </cell>
          <cell r="C792" t="str">
            <v>VAR_fout</v>
          </cell>
          <cell r="D792" t="str">
            <v>ELC</v>
          </cell>
          <cell r="F792">
            <v>7.3829078680003194E-3</v>
          </cell>
          <cell r="G792">
            <v>7.254566202037736E-3</v>
          </cell>
          <cell r="H792">
            <v>8.7536301303879124E-3</v>
          </cell>
          <cell r="I792">
            <v>8.7503180575825516E-3</v>
          </cell>
          <cell r="J792">
            <v>8.4344167318993919E-3</v>
          </cell>
          <cell r="K792">
            <v>9.3980338957520716E-3</v>
          </cell>
          <cell r="L792">
            <v>1.2965387880044553E-2</v>
          </cell>
          <cell r="M792">
            <v>1.2329860368170941E-2</v>
          </cell>
          <cell r="N792">
            <v>1.6102389190731328E-2</v>
          </cell>
          <cell r="O792">
            <v>1.5419553627213195E-2</v>
          </cell>
          <cell r="P792">
            <v>2.977790692020877E-2</v>
          </cell>
        </row>
        <row r="793">
          <cell r="B793" t="str">
            <v>EHYD-PUM15</v>
          </cell>
          <cell r="C793" t="str">
            <v>VAR_fout</v>
          </cell>
          <cell r="D793" t="str">
            <v>AUX_PUMP_OUT</v>
          </cell>
          <cell r="F793">
            <v>7.3829078680003194E-3</v>
          </cell>
          <cell r="G793">
            <v>7.254566202037736E-3</v>
          </cell>
          <cell r="H793">
            <v>8.7536301303879124E-3</v>
          </cell>
          <cell r="I793">
            <v>8.7503180575825516E-3</v>
          </cell>
          <cell r="J793">
            <v>8.4344167318993919E-3</v>
          </cell>
          <cell r="K793">
            <v>9.3980338957520716E-3</v>
          </cell>
          <cell r="L793">
            <v>1.2965387880044553E-2</v>
          </cell>
          <cell r="M793">
            <v>1.2329860368170941E-2</v>
          </cell>
          <cell r="N793">
            <v>1.6102389190731328E-2</v>
          </cell>
          <cell r="O793">
            <v>1.5419553627213195E-2</v>
          </cell>
          <cell r="P793">
            <v>2.977790692020877E-2</v>
          </cell>
        </row>
        <row r="794">
          <cell r="B794" t="str">
            <v>EHYD-PUM15</v>
          </cell>
          <cell r="C794" t="str">
            <v>VAR_fin</v>
          </cell>
          <cell r="D794" t="str">
            <v>AUX_PUMP_IN</v>
          </cell>
          <cell r="F794">
            <v>9.2286348348572297E-3</v>
          </cell>
          <cell r="G794">
            <v>9.0611022586325474E-3</v>
          </cell>
          <cell r="H794">
            <v>1.0934932168625729E-2</v>
          </cell>
          <cell r="I794">
            <v>1.0930792079306067E-2</v>
          </cell>
          <cell r="J794">
            <v>1.053608425199183E-2</v>
          </cell>
          <cell r="K794">
            <v>1.1740436877092903E-2</v>
          </cell>
          <cell r="L794">
            <v>1.6199753227262231E-2</v>
          </cell>
          <cell r="M794">
            <v>1.5405219967472669E-2</v>
          </cell>
          <cell r="N794">
            <v>2.0120880994097111E-2</v>
          </cell>
          <cell r="O794">
            <v>1.9267336541501846E-2</v>
          </cell>
          <cell r="P794">
            <v>3.7216377337033063E-2</v>
          </cell>
        </row>
        <row r="795">
          <cell r="B795" t="str">
            <v>EHYD-PUM15</v>
          </cell>
          <cell r="C795" t="str">
            <v>VAR_fin</v>
          </cell>
          <cell r="D795" t="str">
            <v>ELC</v>
          </cell>
          <cell r="F795">
            <v>9.2286348348572297E-3</v>
          </cell>
          <cell r="G795">
            <v>9.0611022586325474E-3</v>
          </cell>
          <cell r="H795">
            <v>1.0934932168625729E-2</v>
          </cell>
          <cell r="I795">
            <v>1.0930792079306067E-2</v>
          </cell>
          <cell r="J795">
            <v>1.053608425199183E-2</v>
          </cell>
          <cell r="K795">
            <v>1.1740436877092903E-2</v>
          </cell>
          <cell r="L795">
            <v>1.6199753227262231E-2</v>
          </cell>
          <cell r="M795">
            <v>1.5405219967472669E-2</v>
          </cell>
          <cell r="N795">
            <v>2.0120880994097111E-2</v>
          </cell>
          <cell r="O795">
            <v>1.9267336541501846E-2</v>
          </cell>
          <cell r="P795">
            <v>3.7216377337033063E-2</v>
          </cell>
        </row>
        <row r="796">
          <cell r="B796" t="str">
            <v>EHYD-PUM15</v>
          </cell>
          <cell r="C796" t="str">
            <v>VAR_ncap</v>
          </cell>
          <cell r="D796" t="str">
            <v>-</v>
          </cell>
          <cell r="F796">
            <v>9.2421361778097602E-4</v>
          </cell>
          <cell r="G796">
            <v>9.5101355654210804E-6</v>
          </cell>
          <cell r="H796">
            <v>5.5732170959101701E-6</v>
          </cell>
          <cell r="I796">
            <v>5.2443314975727096E-6</v>
          </cell>
          <cell r="J796">
            <v>3.8254181162980597E-4</v>
          </cell>
          <cell r="K796">
            <v>2.9510060195230002E-6</v>
          </cell>
          <cell r="L796">
            <v>3.24932698990705E-4</v>
          </cell>
          <cell r="M796">
            <v>1.7238450037007199E-5</v>
          </cell>
          <cell r="N796">
            <v>1.56284729623582E-3</v>
          </cell>
        </row>
        <row r="797">
          <cell r="B797" t="str">
            <v>EHYD-PUM15</v>
          </cell>
          <cell r="C797" t="str">
            <v>VAR_cap</v>
          </cell>
          <cell r="D797" t="str">
            <v>-</v>
          </cell>
          <cell r="F797">
            <v>9.2421361778097602E-4</v>
          </cell>
          <cell r="G797">
            <v>9.2421361778097602E-4</v>
          </cell>
          <cell r="H797">
            <v>9.2421361778097602E-4</v>
          </cell>
          <cell r="I797">
            <v>9.3506588364942697E-4</v>
          </cell>
          <cell r="J797">
            <v>9.3929697044230697E-4</v>
          </cell>
          <cell r="K797">
            <v>1.0034993249005101E-3</v>
          </cell>
          <cell r="L797">
            <v>1.3270831135696901E-3</v>
          </cell>
          <cell r="M797">
            <v>1.32958068548039E-3</v>
          </cell>
          <cell r="N797">
            <v>1.65911814550183E-3</v>
          </cell>
          <cell r="O797">
            <v>1.6722052686169199E-3</v>
          </cell>
          <cell r="P797">
            <v>3.2350525648527401E-3</v>
          </cell>
        </row>
        <row r="798">
          <cell r="B798" t="str">
            <v>D-EWST</v>
          </cell>
          <cell r="C798" t="str">
            <v>VAR_fout</v>
          </cell>
          <cell r="D798" t="str">
            <v>CO2</v>
          </cell>
          <cell r="E798">
            <v>2266.3061452736702</v>
          </cell>
          <cell r="F798">
            <v>2247.7453155961698</v>
          </cell>
          <cell r="G798">
            <v>2318.1909623506899</v>
          </cell>
          <cell r="H798">
            <v>2238.5135914785701</v>
          </cell>
          <cell r="I798">
            <v>2240.4556026182199</v>
          </cell>
          <cell r="J798">
            <v>2460.27747136681</v>
          </cell>
          <cell r="K798">
            <v>2506.59562334156</v>
          </cell>
          <cell r="L798">
            <v>2552.9140077622201</v>
          </cell>
          <cell r="M798">
            <v>2434.2719061595599</v>
          </cell>
          <cell r="N798">
            <v>2382.80386678889</v>
          </cell>
          <cell r="O798">
            <v>2379.9882714083401</v>
          </cell>
          <cell r="P798">
            <v>2382.5117539574298</v>
          </cell>
        </row>
        <row r="799">
          <cell r="B799" t="str">
            <v>D-EWST</v>
          </cell>
          <cell r="C799" t="str">
            <v>VAR_fout</v>
          </cell>
          <cell r="D799" t="str">
            <v>EWST</v>
          </cell>
          <cell r="E799">
            <v>48.842804855036057</v>
          </cell>
          <cell r="F799">
            <v>48.443416493162147</v>
          </cell>
          <cell r="G799">
            <v>49.961641638735948</v>
          </cell>
          <cell r="H799">
            <v>48.244456921664842</v>
          </cell>
          <cell r="I799">
            <v>48.286310610019825</v>
          </cell>
          <cell r="J799">
            <v>53.023221365663872</v>
          </cell>
          <cell r="K799">
            <v>54.02145739960249</v>
          </cell>
          <cell r="L799">
            <v>55.019698443151128</v>
          </cell>
          <cell r="M799">
            <v>52.462756598266381</v>
          </cell>
          <cell r="N799">
            <v>51.35353161182956</v>
          </cell>
          <cell r="O799">
            <v>51.292850676903932</v>
          </cell>
          <cell r="P799">
            <v>51.347236076668672</v>
          </cell>
        </row>
        <row r="800">
          <cell r="B800" t="str">
            <v>D-EWST</v>
          </cell>
          <cell r="C800" t="str">
            <v>VAR_fin</v>
          </cell>
          <cell r="D800" t="str">
            <v>WSTNREN</v>
          </cell>
          <cell r="E800">
            <v>24.421402427518025</v>
          </cell>
          <cell r="F800">
            <v>24.22139348702769</v>
          </cell>
          <cell r="G800">
            <v>24.980506059813461</v>
          </cell>
          <cell r="H800">
            <v>24.12191370127767</v>
          </cell>
          <cell r="I800">
            <v>24.142840545454995</v>
          </cell>
          <cell r="J800">
            <v>26.511610682831947</v>
          </cell>
          <cell r="K800">
            <v>27.010728699801259</v>
          </cell>
          <cell r="L800">
            <v>27.509849221575585</v>
          </cell>
          <cell r="M800">
            <v>26.231378299133187</v>
          </cell>
          <cell r="N800">
            <v>25.676765805914776</v>
          </cell>
          <cell r="O800">
            <v>25.646425338451955</v>
          </cell>
          <cell r="P800">
            <v>25.673618038334332</v>
          </cell>
        </row>
        <row r="801">
          <cell r="B801" t="str">
            <v>D-EWST</v>
          </cell>
          <cell r="C801" t="str">
            <v>VAR_fin</v>
          </cell>
          <cell r="D801" t="str">
            <v>WSTREN</v>
          </cell>
          <cell r="E801">
            <v>24.421402427518025</v>
          </cell>
          <cell r="F801">
            <v>24.22139348702769</v>
          </cell>
          <cell r="G801">
            <v>24.980506059813461</v>
          </cell>
          <cell r="H801">
            <v>24.12191370127767</v>
          </cell>
          <cell r="I801">
            <v>24.142840545454995</v>
          </cell>
          <cell r="J801">
            <v>26.511610682831947</v>
          </cell>
          <cell r="K801">
            <v>27.010728699801259</v>
          </cell>
          <cell r="L801">
            <v>27.509849221575585</v>
          </cell>
          <cell r="M801">
            <v>26.231378299133187</v>
          </cell>
          <cell r="N801">
            <v>25.676765805914776</v>
          </cell>
          <cell r="O801">
            <v>25.646425338451955</v>
          </cell>
          <cell r="P801">
            <v>25.673618038334332</v>
          </cell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 t="str">
            <v>2040</v>
          </cell>
          <cell r="E3" t="str">
            <v>2045</v>
          </cell>
          <cell r="F3" t="str">
            <v>2050</v>
          </cell>
          <cell r="G3" t="str">
            <v>2055</v>
          </cell>
          <cell r="H3" t="str">
            <v>2060</v>
          </cell>
          <cell r="I3" t="str">
            <v>2065</v>
          </cell>
          <cell r="J3" t="str">
            <v>2070</v>
          </cell>
        </row>
        <row r="4">
          <cell r="A4" t="str">
            <v>CO2_M</v>
          </cell>
          <cell r="B4" t="str">
            <v>VAR_fout</v>
          </cell>
          <cell r="C4" t="str">
            <v>D-CO2_O</v>
          </cell>
          <cell r="D4">
            <v>382.85870054280491</v>
          </cell>
          <cell r="E4">
            <v>481.5550915605005</v>
          </cell>
          <cell r="F4">
            <v>770.20427094336651</v>
          </cell>
          <cell r="G4">
            <v>695.24428132193759</v>
          </cell>
          <cell r="H4">
            <v>647.18100364525878</v>
          </cell>
          <cell r="I4">
            <v>670.96178303986301</v>
          </cell>
          <cell r="J4">
            <v>667.89639462454988</v>
          </cell>
        </row>
        <row r="5">
          <cell r="A5" t="str">
            <v>CO2_M</v>
          </cell>
          <cell r="B5" t="str">
            <v>VAR_fin</v>
          </cell>
          <cell r="C5" t="str">
            <v>SUP_H2NGA</v>
          </cell>
          <cell r="D5">
            <v>95.167521282867739</v>
          </cell>
          <cell r="E5">
            <v>308.14522583050064</v>
          </cell>
          <cell r="F5">
            <v>743.85016834161672</v>
          </cell>
          <cell r="G5">
            <v>656.37266697339282</v>
          </cell>
          <cell r="H5">
            <v>632.59804811740025</v>
          </cell>
          <cell r="I5">
            <v>649.81652672734117</v>
          </cell>
          <cell r="J5">
            <v>650.36532974022316</v>
          </cell>
        </row>
        <row r="6">
          <cell r="A6" t="str">
            <v>CO2_M</v>
          </cell>
          <cell r="B6" t="str">
            <v>VAR_fin</v>
          </cell>
          <cell r="C6" t="str">
            <v>SUP_H2GSL</v>
          </cell>
          <cell r="D6">
            <v>170.11698066716022</v>
          </cell>
          <cell r="E6">
            <v>77.863922104010584</v>
          </cell>
          <cell r="F6">
            <v>16.772129633304772</v>
          </cell>
          <cell r="G6">
            <v>15.217614897426694</v>
          </cell>
          <cell r="H6">
            <v>14.14537578218609</v>
          </cell>
          <cell r="I6">
            <v>17.198411204666332</v>
          </cell>
          <cell r="J6">
            <v>14.040520237027396</v>
          </cell>
        </row>
        <row r="7">
          <cell r="A7" t="str">
            <v>CO2_M</v>
          </cell>
          <cell r="B7" t="str">
            <v>VAR_fin</v>
          </cell>
          <cell r="C7" t="str">
            <v>SUP_H2DSL</v>
          </cell>
          <cell r="D7">
            <v>117.57419859277715</v>
          </cell>
          <cell r="E7">
            <v>95.545943625989594</v>
          </cell>
          <cell r="F7">
            <v>9.5819729684447861</v>
          </cell>
          <cell r="G7">
            <v>23.6539994511187</v>
          </cell>
          <cell r="H7">
            <v>0.43757974567207775</v>
          </cell>
          <cell r="I7">
            <v>3.9468451078561131</v>
          </cell>
          <cell r="J7">
            <v>3.4905446473001476</v>
          </cell>
        </row>
        <row r="8">
          <cell r="A8" t="str">
            <v>CO2_O</v>
          </cell>
          <cell r="B8" t="str">
            <v>VAR_fout</v>
          </cell>
          <cell r="C8" t="str">
            <v>EWSTINCCS</v>
          </cell>
          <cell r="D8">
            <v>315.58760453497524</v>
          </cell>
          <cell r="E8">
            <v>1113.6501627898544</v>
          </cell>
          <cell r="F8">
            <v>1256.9134476548065</v>
          </cell>
          <cell r="G8">
            <v>1198.4934707490729</v>
          </cell>
          <cell r="H8">
            <v>1173.1604588154353</v>
          </cell>
          <cell r="I8">
            <v>1171.7785062381347</v>
          </cell>
          <cell r="J8">
            <v>1173.0365899034953</v>
          </cell>
        </row>
        <row r="9">
          <cell r="A9" t="str">
            <v>CO2_O</v>
          </cell>
          <cell r="B9" t="str">
            <v>VAR_fout</v>
          </cell>
          <cell r="C9" t="str">
            <v>ENGA-CCS</v>
          </cell>
          <cell r="E9">
            <v>8.1564265419214896E-2</v>
          </cell>
          <cell r="F9">
            <v>1.1994813817764198</v>
          </cell>
          <cell r="G9">
            <v>108.09725710078634</v>
          </cell>
          <cell r="H9">
            <v>213.46572716910717</v>
          </cell>
          <cell r="I9">
            <v>212.82215567538535</v>
          </cell>
          <cell r="J9">
            <v>211.81397822623589</v>
          </cell>
        </row>
        <row r="10">
          <cell r="A10" t="str">
            <v>CO2_O</v>
          </cell>
          <cell r="B10" t="str">
            <v>VAR_fout</v>
          </cell>
          <cell r="C10" t="str">
            <v>CHPWSTCCS</v>
          </cell>
          <cell r="D10">
            <v>352.17191049326573</v>
          </cell>
          <cell r="E10">
            <v>1150.1531603752035</v>
          </cell>
          <cell r="F10">
            <v>1199.296182086835</v>
          </cell>
          <cell r="G10">
            <v>1143.5795386127727</v>
          </cell>
          <cell r="H10">
            <v>1119.392580069255</v>
          </cell>
          <cell r="I10">
            <v>1118.0954301278771</v>
          </cell>
          <cell r="J10">
            <v>1119.28051515176</v>
          </cell>
        </row>
        <row r="11">
          <cell r="A11" t="str">
            <v>CO2_O</v>
          </cell>
          <cell r="B11" t="str">
            <v>VAR_fout</v>
          </cell>
          <cell r="C11" t="str">
            <v>ITOT-CHPWSTCCS</v>
          </cell>
          <cell r="D11">
            <v>54.375226770427581</v>
          </cell>
          <cell r="E11">
            <v>369.97284257217012</v>
          </cell>
          <cell r="F11">
            <v>786.24172917624333</v>
          </cell>
          <cell r="G11">
            <v>714.16962214731711</v>
          </cell>
          <cell r="H11">
            <v>714.7046794824688</v>
          </cell>
          <cell r="I11">
            <v>714.78686113719266</v>
          </cell>
          <cell r="J11">
            <v>715.03629834947321</v>
          </cell>
        </row>
        <row r="12">
          <cell r="A12" t="str">
            <v>CO2_O</v>
          </cell>
          <cell r="B12" t="str">
            <v>VAR_fout</v>
          </cell>
          <cell r="C12" t="str">
            <v>ITOT-CHPNGACCS</v>
          </cell>
          <cell r="D12">
            <v>0.60277120644576654</v>
          </cell>
          <cell r="E12">
            <v>0.64505652139998326</v>
          </cell>
          <cell r="F12">
            <v>30.531876522404783</v>
          </cell>
          <cell r="G12">
            <v>37.610923340706471</v>
          </cell>
          <cell r="H12">
            <v>35.947698720288194</v>
          </cell>
          <cell r="I12">
            <v>37.798527481545442</v>
          </cell>
          <cell r="J12">
            <v>37.807436809059716</v>
          </cell>
        </row>
        <row r="13">
          <cell r="A13" t="str">
            <v>CO2_O</v>
          </cell>
          <cell r="B13" t="str">
            <v>VAR_fout</v>
          </cell>
          <cell r="C13" t="str">
            <v>SUP_WSTHTGBIOCCS</v>
          </cell>
          <cell r="D13">
            <v>4.2024273105637749E-2</v>
          </cell>
          <cell r="E13">
            <v>2.715968113634535E-2</v>
          </cell>
          <cell r="F13">
            <v>0.32436888983336859</v>
          </cell>
          <cell r="G13">
            <v>0.18503741254593914</v>
          </cell>
          <cell r="H13">
            <v>0.36766910198164288</v>
          </cell>
          <cell r="I13">
            <v>0.27984359890567267</v>
          </cell>
          <cell r="J13">
            <v>0.24384830552270184</v>
          </cell>
        </row>
        <row r="14">
          <cell r="A14" t="str">
            <v>CO2_O</v>
          </cell>
          <cell r="B14" t="str">
            <v>VAR_fout</v>
          </cell>
          <cell r="C14" t="str">
            <v>ITOT-CHPWODCCS</v>
          </cell>
          <cell r="D14">
            <v>493.42881643261586</v>
          </cell>
          <cell r="E14">
            <v>1087.1319589159925</v>
          </cell>
          <cell r="F14">
            <v>1256.9432192671118</v>
          </cell>
          <cell r="G14">
            <v>1256.9867829193392</v>
          </cell>
          <cell r="H14">
            <v>1256.9439863052739</v>
          </cell>
          <cell r="I14">
            <v>1256.9400678946859</v>
          </cell>
          <cell r="J14">
            <v>1256.9693238184916</v>
          </cell>
        </row>
        <row r="15">
          <cell r="A15" t="str">
            <v>CO2_O</v>
          </cell>
          <cell r="B15" t="str">
            <v>VAR_fout</v>
          </cell>
          <cell r="C15" t="str">
            <v>EWOD-CCS</v>
          </cell>
          <cell r="D15">
            <v>0.19613939919931953</v>
          </cell>
          <cell r="E15">
            <v>1.0790219821247462</v>
          </cell>
          <cell r="F15">
            <v>13.255113160144536</v>
          </cell>
          <cell r="G15">
            <v>170.36534937283139</v>
          </cell>
          <cell r="H15">
            <v>179.22750968455534</v>
          </cell>
          <cell r="I15">
            <v>182.29813745078425</v>
          </cell>
          <cell r="J15">
            <v>190.44658851809498</v>
          </cell>
        </row>
        <row r="16">
          <cell r="A16" t="str">
            <v>CO2_O</v>
          </cell>
          <cell r="B16" t="str">
            <v>VAR_fout</v>
          </cell>
          <cell r="C16" t="str">
            <v>ITOT-PROCESSCO2CCS</v>
          </cell>
          <cell r="D16">
            <v>0.31026759013546745</v>
          </cell>
          <cell r="E16">
            <v>1.0210474901030213</v>
          </cell>
          <cell r="F16">
            <v>1031.8724849967509</v>
          </cell>
          <cell r="G16">
            <v>1031.8740801899824</v>
          </cell>
          <cell r="H16">
            <v>1031.8752371706219</v>
          </cell>
          <cell r="I16">
            <v>1031.8750169359453</v>
          </cell>
          <cell r="J16">
            <v>1031.8753524848742</v>
          </cell>
        </row>
        <row r="17">
          <cell r="A17" t="str">
            <v>CO2_O</v>
          </cell>
          <cell r="B17" t="str">
            <v>VAR_fout</v>
          </cell>
          <cell r="C17" t="str">
            <v>SUP_WODH2CCS</v>
          </cell>
          <cell r="F17">
            <v>344.27704971714587</v>
          </cell>
          <cell r="G17">
            <v>977.13377296821636</v>
          </cell>
          <cell r="H17">
            <v>971.37153852352924</v>
          </cell>
          <cell r="I17">
            <v>1539.8835625700981</v>
          </cell>
          <cell r="J17">
            <v>1674.253864315612</v>
          </cell>
        </row>
        <row r="18">
          <cell r="A18" t="str">
            <v>CO2_O</v>
          </cell>
          <cell r="B18" t="str">
            <v>VAR_fout</v>
          </cell>
          <cell r="C18" t="str">
            <v>SUP_WODBIOCCS</v>
          </cell>
          <cell r="D18">
            <v>7.889488047794703E-2</v>
          </cell>
          <cell r="E18">
            <v>0.10196876710280767</v>
          </cell>
          <cell r="F18">
            <v>0.25017401021219154</v>
          </cell>
          <cell r="G18">
            <v>0.23116523995043364</v>
          </cell>
          <cell r="H18">
            <v>0.70848233556631857</v>
          </cell>
          <cell r="I18">
            <v>0.68213845324707312</v>
          </cell>
          <cell r="J18">
            <v>0.90280397852855043</v>
          </cell>
        </row>
        <row r="19">
          <cell r="A19" t="str">
            <v>CO2_O</v>
          </cell>
          <cell r="B19" t="str">
            <v>VAR_fout</v>
          </cell>
          <cell r="C19" t="str">
            <v>SUP_NGAH2CCS</v>
          </cell>
          <cell r="F19">
            <v>3.2463201656946397E-2</v>
          </cell>
          <cell r="G19">
            <v>5.6930328411437504E-2</v>
          </cell>
          <cell r="H19">
            <v>6.6113336390507524E-2</v>
          </cell>
          <cell r="I19">
            <v>5.7881647054901543E-2</v>
          </cell>
          <cell r="J19">
            <v>7.2064270136206796E-2</v>
          </cell>
        </row>
        <row r="20">
          <cell r="A20" t="str">
            <v>CO2_O</v>
          </cell>
          <cell r="B20" t="str">
            <v>VAR_fout</v>
          </cell>
          <cell r="C20" t="str">
            <v>CT_CWODETHCCS</v>
          </cell>
          <cell r="D20">
            <v>1.0965110613234406E-2</v>
          </cell>
          <cell r="E20">
            <v>1.4919095850787049E-2</v>
          </cell>
          <cell r="F20">
            <v>2.2044112945867576E-2</v>
          </cell>
          <cell r="G20">
            <v>1.7527852723020359E-2</v>
          </cell>
          <cell r="H20">
            <v>6.0147140381685803E-2</v>
          </cell>
          <cell r="I20">
            <v>1.7933015347928613E-2</v>
          </cell>
          <cell r="J20">
            <v>5.9224783692396671E-2</v>
          </cell>
        </row>
        <row r="21">
          <cell r="A21" t="str">
            <v>CO2_O</v>
          </cell>
          <cell r="B21" t="str">
            <v>VAR_fout</v>
          </cell>
          <cell r="C21" t="str">
            <v>SUP_DAC</v>
          </cell>
          <cell r="D21">
            <v>2.072429233341741E-2</v>
          </cell>
          <cell r="E21">
            <v>2.6468371680148019E-2</v>
          </cell>
          <cell r="F21">
            <v>21.81453697128013</v>
          </cell>
          <cell r="G21">
            <v>219.36350943276329</v>
          </cell>
          <cell r="H21">
            <v>1579.3373942402559</v>
          </cell>
          <cell r="I21">
            <v>1749.199141600393</v>
          </cell>
          <cell r="J21">
            <v>2413.7728765842658</v>
          </cell>
        </row>
        <row r="22">
          <cell r="A22" t="str">
            <v>CO2_O</v>
          </cell>
          <cell r="B22" t="str">
            <v>VAR_fout</v>
          </cell>
          <cell r="C22" t="str">
            <v>CT_CWODBDSCCS</v>
          </cell>
          <cell r="D22">
            <v>0.12873107397199357</v>
          </cell>
          <cell r="E22">
            <v>0.19999003452981245</v>
          </cell>
          <cell r="F22">
            <v>542.15581196523146</v>
          </cell>
          <cell r="G22">
            <v>717.53964835653312</v>
          </cell>
          <cell r="H22">
            <v>604.31595485824334</v>
          </cell>
          <cell r="I22">
            <v>709.82589400666541</v>
          </cell>
          <cell r="J22">
            <v>709.06486839441379</v>
          </cell>
        </row>
        <row r="23">
          <cell r="A23" t="str">
            <v>CO2_O</v>
          </cell>
          <cell r="B23" t="str">
            <v>VAR_fin</v>
          </cell>
          <cell r="C23" t="str">
            <v>D-CO2_O</v>
          </cell>
          <cell r="D23">
            <v>1216.1895811236848</v>
          </cell>
          <cell r="E23">
            <v>3723.6011334201012</v>
          </cell>
          <cell r="F23">
            <v>6484.6518798120414</v>
          </cell>
          <cell r="G23">
            <v>7575.1457007717145</v>
          </cell>
          <cell r="H23">
            <v>8880.603637619035</v>
          </cell>
          <cell r="I23">
            <v>9725.7858167979575</v>
          </cell>
          <cell r="J23">
            <v>10533.728956033952</v>
          </cell>
        </row>
        <row r="24">
          <cell r="A24" t="str">
            <v>CO2_Q</v>
          </cell>
          <cell r="B24" t="str">
            <v>VAR_fout</v>
          </cell>
          <cell r="C24" t="str">
            <v>D-CO2_O</v>
          </cell>
          <cell r="D24">
            <v>833.33088058087912</v>
          </cell>
          <cell r="E24">
            <v>1159.6293287957526</v>
          </cell>
          <cell r="F24">
            <v>1.5949140318801243E-2</v>
          </cell>
          <cell r="G24">
            <v>572.70569583230861</v>
          </cell>
          <cell r="H24">
            <v>1926.2270189639892</v>
          </cell>
          <cell r="I24">
            <v>2747.6266161274061</v>
          </cell>
          <cell r="J24">
            <v>3558.6360006196901</v>
          </cell>
        </row>
        <row r="25">
          <cell r="A25" t="str">
            <v>CO2_Q</v>
          </cell>
          <cell r="B25" t="str">
            <v>VAR_fin</v>
          </cell>
          <cell r="C25" t="str">
            <v>CO2SINK</v>
          </cell>
          <cell r="D25">
            <v>833.33088058087912</v>
          </cell>
          <cell r="E25">
            <v>1159.6293287957526</v>
          </cell>
          <cell r="F25">
            <v>1.5949140318801243E-2</v>
          </cell>
          <cell r="G25">
            <v>572.70569583230861</v>
          </cell>
          <cell r="H25">
            <v>1926.2270189639892</v>
          </cell>
          <cell r="I25">
            <v>2747.6266161274061</v>
          </cell>
          <cell r="J25">
            <v>3558.6360006196901</v>
          </cell>
        </row>
        <row r="26">
          <cell r="A26" t="str">
            <v>CO2_X</v>
          </cell>
          <cell r="B26" t="str">
            <v>VAR_fout</v>
          </cell>
          <cell r="C26" t="str">
            <v>D-CO2_O</v>
          </cell>
          <cell r="E26">
            <v>2082.4167130638443</v>
          </cell>
          <cell r="F26">
            <v>5714.431659728366</v>
          </cell>
          <cell r="G26">
            <v>6307.1957236174821</v>
          </cell>
          <cell r="H26">
            <v>6307.1956150097976</v>
          </cell>
          <cell r="I26">
            <v>6307.1974176306821</v>
          </cell>
          <cell r="J26">
            <v>6307.1965607897118</v>
          </cell>
        </row>
        <row r="27">
          <cell r="A27" t="str">
            <v>CO2_X</v>
          </cell>
          <cell r="B27" t="str">
            <v>VAR_fin</v>
          </cell>
          <cell r="C27" t="str">
            <v>CO2EXP</v>
          </cell>
          <cell r="E27">
            <v>2082.4167130638443</v>
          </cell>
          <cell r="F27">
            <v>5714.431659728366</v>
          </cell>
          <cell r="G27">
            <v>6307.1957236174821</v>
          </cell>
          <cell r="H27">
            <v>6307.1956150097976</v>
          </cell>
          <cell r="I27">
            <v>6307.1974176306821</v>
          </cell>
          <cell r="J27">
            <v>6307.1965607897118</v>
          </cell>
        </row>
      </sheetData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  <cell r="H3" t="str">
            <v>2035</v>
          </cell>
          <cell r="I3" t="str">
            <v>2040</v>
          </cell>
          <cell r="J3" t="str">
            <v>2045</v>
          </cell>
          <cell r="K3" t="str">
            <v>2050</v>
          </cell>
          <cell r="L3" t="str">
            <v>2055</v>
          </cell>
          <cell r="M3" t="str">
            <v>2060</v>
          </cell>
          <cell r="N3" t="str">
            <v>2065</v>
          </cell>
          <cell r="O3" t="str">
            <v>2070</v>
          </cell>
        </row>
        <row r="4">
          <cell r="A4" t="str">
            <v>IMPBDS1</v>
          </cell>
          <cell r="C4" t="str">
            <v>BDS1</v>
          </cell>
          <cell r="G4">
            <v>5.30310232486001</v>
          </cell>
          <cell r="H4">
            <v>18.522416488522602</v>
          </cell>
          <cell r="I4">
            <v>38.626683567700397</v>
          </cell>
          <cell r="J4">
            <v>68.679636225493098</v>
          </cell>
          <cell r="K4">
            <v>93.872681483388405</v>
          </cell>
          <cell r="L4">
            <v>93.872696976181999</v>
          </cell>
          <cell r="M4">
            <v>94.928440074660301</v>
          </cell>
          <cell r="N4">
            <v>96.636569791011595</v>
          </cell>
          <cell r="O4">
            <v>98.328349620665406</v>
          </cell>
        </row>
        <row r="5">
          <cell r="A5" t="str">
            <v>EXPELC_DE</v>
          </cell>
          <cell r="C5" t="str">
            <v>ELC_E-DE</v>
          </cell>
          <cell r="D5">
            <v>26.493007620813959</v>
          </cell>
          <cell r="E5">
            <v>1.5867480087792777E-3</v>
          </cell>
          <cell r="F5">
            <v>1.7724801066730203E-3</v>
          </cell>
          <cell r="G5">
            <v>1.908212454413807E-3</v>
          </cell>
          <cell r="H5">
            <v>2.9084905872453861E-3</v>
          </cell>
          <cell r="I5">
            <v>3.2874890450627671E-3</v>
          </cell>
          <cell r="J5">
            <v>4.7312231613825667E-3</v>
          </cell>
          <cell r="K5">
            <v>2.8999138803445616E-3</v>
          </cell>
          <cell r="L5">
            <v>1.9724961882676695E-3</v>
          </cell>
          <cell r="M5">
            <v>2.0370943738097854E-3</v>
          </cell>
          <cell r="N5">
            <v>2.0431182242428617E-3</v>
          </cell>
          <cell r="O5">
            <v>4.8639281921777919E-3</v>
          </cell>
        </row>
        <row r="6">
          <cell r="A6" t="str">
            <v>IMPDSL</v>
          </cell>
          <cell r="C6" t="str">
            <v>DSL</v>
          </cell>
          <cell r="D6">
            <v>119.13053968348927</v>
          </cell>
          <cell r="E6">
            <v>112.68602531245527</v>
          </cell>
          <cell r="F6">
            <v>68.165514097621937</v>
          </cell>
          <cell r="G6">
            <v>52.265977688944822</v>
          </cell>
          <cell r="H6">
            <v>33.713339746559605</v>
          </cell>
          <cell r="I6">
            <v>19.663715695419764</v>
          </cell>
          <cell r="J6">
            <v>5.2893274753799577</v>
          </cell>
          <cell r="L6">
            <v>5.7487089991131152E-5</v>
          </cell>
          <cell r="M6">
            <v>8.0138060856029604E-5</v>
          </cell>
          <cell r="N6">
            <v>7.8452199579728544E-5</v>
          </cell>
          <cell r="O6">
            <v>1.0167950868917803E-4</v>
          </cell>
        </row>
        <row r="7">
          <cell r="A7" t="str">
            <v>IMPH2</v>
          </cell>
          <cell r="C7" t="str">
            <v>H2</v>
          </cell>
          <cell r="I7">
            <v>0.80857557047202255</v>
          </cell>
          <cell r="J7">
            <v>1.5698389320461521</v>
          </cell>
          <cell r="K7">
            <v>2.3378154708861606E-5</v>
          </cell>
          <cell r="L7">
            <v>5.69692420270985E-5</v>
          </cell>
          <cell r="M7">
            <v>8.3549955596580024E-5</v>
          </cell>
          <cell r="N7">
            <v>8.0923795820748884E-5</v>
          </cell>
          <cell r="O7">
            <v>1.0424603246943406E-4</v>
          </cell>
        </row>
        <row r="8">
          <cell r="A8" t="str">
            <v>IMPELC_AT</v>
          </cell>
          <cell r="C8" t="str">
            <v>ELC_I-AT</v>
          </cell>
          <cell r="D8">
            <v>15.013833876889493</v>
          </cell>
          <cell r="E8">
            <v>8.3969043698335716E-2</v>
          </cell>
          <cell r="F8">
            <v>4.1499299489571879E-2</v>
          </cell>
          <cell r="G8">
            <v>4.7481134576967142E-2</v>
          </cell>
          <cell r="H8">
            <v>2.4215058247201243E-2</v>
          </cell>
          <cell r="I8">
            <v>1.9357788430231806E-2</v>
          </cell>
          <cell r="J8">
            <v>2.3241371102383086</v>
          </cell>
          <cell r="K8">
            <v>4.3708248859981831</v>
          </cell>
          <cell r="L8">
            <v>5.2369593664939469</v>
          </cell>
          <cell r="M8">
            <v>5.3292996238440296</v>
          </cell>
          <cell r="N8">
            <v>5.2761031939368586</v>
          </cell>
          <cell r="O8">
            <v>5.2106638634153324</v>
          </cell>
        </row>
        <row r="9">
          <cell r="A9" t="str">
            <v>IMPELC_AT</v>
          </cell>
          <cell r="C9" t="str">
            <v>ELCS</v>
          </cell>
          <cell r="D9">
            <v>15.013833876889493</v>
          </cell>
          <cell r="E9">
            <v>8.3969043698335716E-2</v>
          </cell>
          <cell r="F9">
            <v>4.1499299489571879E-2</v>
          </cell>
          <cell r="G9">
            <v>4.7481134576967142E-2</v>
          </cell>
          <cell r="H9">
            <v>2.4215058247201243E-2</v>
          </cell>
          <cell r="I9">
            <v>1.9357788430231806E-2</v>
          </cell>
          <cell r="J9">
            <v>2.3241371102383086</v>
          </cell>
          <cell r="K9">
            <v>4.3708248859981831</v>
          </cell>
          <cell r="L9">
            <v>5.2369593664939469</v>
          </cell>
          <cell r="M9">
            <v>5.3292996238440296</v>
          </cell>
          <cell r="N9">
            <v>5.2761031939368586</v>
          </cell>
          <cell r="O9">
            <v>5.2106638634153324</v>
          </cell>
        </row>
        <row r="10">
          <cell r="A10" t="str">
            <v>IMPELC_FR</v>
          </cell>
          <cell r="C10" t="str">
            <v>ELC_I-FR</v>
          </cell>
          <cell r="D10">
            <v>28.948649429265167</v>
          </cell>
          <cell r="E10">
            <v>22.843950812098679</v>
          </cell>
          <cell r="F10">
            <v>27.838541564213486</v>
          </cell>
          <cell r="G10">
            <v>20.433051654902339</v>
          </cell>
          <cell r="H10">
            <v>26.770668347614869</v>
          </cell>
          <cell r="I10">
            <v>28.873627973693335</v>
          </cell>
          <cell r="J10">
            <v>35.465354752628983</v>
          </cell>
          <cell r="K10">
            <v>33.678164328557081</v>
          </cell>
          <cell r="L10">
            <v>32.063922944709759</v>
          </cell>
          <cell r="M10">
            <v>29.072151154881759</v>
          </cell>
          <cell r="N10">
            <v>30.201431051513705</v>
          </cell>
          <cell r="O10">
            <v>29.924480469254998</v>
          </cell>
        </row>
        <row r="11">
          <cell r="A11" t="str">
            <v>IMPELC_FR</v>
          </cell>
          <cell r="C11" t="str">
            <v>ELCS</v>
          </cell>
          <cell r="D11">
            <v>28.948649429265167</v>
          </cell>
          <cell r="E11">
            <v>22.843950812098679</v>
          </cell>
          <cell r="F11">
            <v>27.838541564213486</v>
          </cell>
          <cell r="G11">
            <v>20.433051654902339</v>
          </cell>
          <cell r="H11">
            <v>26.770668347614869</v>
          </cell>
          <cell r="I11">
            <v>28.873627973693335</v>
          </cell>
          <cell r="J11">
            <v>35.465354752628983</v>
          </cell>
          <cell r="K11">
            <v>33.678164328557081</v>
          </cell>
          <cell r="L11">
            <v>32.063922944709759</v>
          </cell>
          <cell r="M11">
            <v>29.072151154881759</v>
          </cell>
          <cell r="N11">
            <v>30.201431051513705</v>
          </cell>
          <cell r="O11">
            <v>29.924480469254998</v>
          </cell>
        </row>
        <row r="12">
          <cell r="A12" t="str">
            <v>RNWHYDR1</v>
          </cell>
          <cell r="C12" t="str">
            <v>HYDR</v>
          </cell>
          <cell r="D12">
            <v>66.632456704505287</v>
          </cell>
          <cell r="E12">
            <v>55.764165713605038</v>
          </cell>
          <cell r="F12">
            <v>65.579025810201827</v>
          </cell>
          <cell r="G12">
            <v>67.206143085692048</v>
          </cell>
          <cell r="H12">
            <v>66.883813285455076</v>
          </cell>
          <cell r="I12">
            <v>66.204245097786625</v>
          </cell>
          <cell r="J12">
            <v>65.605812293477001</v>
          </cell>
          <cell r="K12">
            <v>67.134916696870008</v>
          </cell>
          <cell r="L12">
            <v>67.134923157520959</v>
          </cell>
          <cell r="M12">
            <v>67.134942395299987</v>
          </cell>
          <cell r="N12">
            <v>67.134950673413215</v>
          </cell>
          <cell r="O12">
            <v>67.134986787595736</v>
          </cell>
        </row>
        <row r="13">
          <cell r="A13" t="str">
            <v>EXPELC_IT</v>
          </cell>
          <cell r="C13" t="str">
            <v>ELC_E-IT</v>
          </cell>
          <cell r="D13">
            <v>71.694136009613999</v>
          </cell>
          <cell r="E13">
            <v>35.529403607212593</v>
          </cell>
          <cell r="F13">
            <v>54.154660424567666</v>
          </cell>
          <cell r="G13">
            <v>47.935974862463574</v>
          </cell>
          <cell r="H13">
            <v>46.359712448457465</v>
          </cell>
          <cell r="I13">
            <v>48.954624192487856</v>
          </cell>
          <cell r="J13">
            <v>47.394168960419698</v>
          </cell>
          <cell r="K13">
            <v>46.526121138717002</v>
          </cell>
          <cell r="L13">
            <v>43.595228046080862</v>
          </cell>
          <cell r="M13">
            <v>38.6197061144874</v>
          </cell>
          <cell r="N13">
            <v>39.980147042112698</v>
          </cell>
          <cell r="O13">
            <v>40.95035105304013</v>
          </cell>
        </row>
        <row r="14">
          <cell r="A14" t="str">
            <v>IMPLNG</v>
          </cell>
          <cell r="C14" t="str">
            <v>LBIO</v>
          </cell>
          <cell r="G14">
            <v>2.1138999609835545</v>
          </cell>
          <cell r="H14">
            <v>1.5517524789566726</v>
          </cell>
          <cell r="I14">
            <v>3.7630530007297484E-3</v>
          </cell>
          <cell r="J14">
            <v>2.9956340192681587E-3</v>
          </cell>
          <cell r="K14">
            <v>4.3011691977131389E-5</v>
          </cell>
          <cell r="L14">
            <v>2.1854898867582461E-4</v>
          </cell>
          <cell r="M14">
            <v>3.1134187883195125E-4</v>
          </cell>
          <cell r="N14">
            <v>3.0810081408898379E-4</v>
          </cell>
          <cell r="O14">
            <v>3.9464740500809529E-4</v>
          </cell>
        </row>
        <row r="15">
          <cell r="A15" t="str">
            <v>IMPLNG</v>
          </cell>
          <cell r="C15" t="str">
            <v>LNGA</v>
          </cell>
          <cell r="G15">
            <v>4.8104846298666955E-3</v>
          </cell>
          <cell r="H15">
            <v>8.4700815308058723E-3</v>
          </cell>
          <cell r="I15">
            <v>8.7732138446698377E-3</v>
          </cell>
          <cell r="J15">
            <v>8.1714423413379571E-3</v>
          </cell>
          <cell r="K15">
            <v>4.4852073981412566E-5</v>
          </cell>
          <cell r="L15">
            <v>2.1709402853342004E-4</v>
          </cell>
          <cell r="M15">
            <v>3.0413940425617875E-4</v>
          </cell>
          <cell r="N15">
            <v>3.0669363185670902E-4</v>
          </cell>
          <cell r="O15">
            <v>3.9758832098637983E-4</v>
          </cell>
        </row>
        <row r="16">
          <cell r="A16" t="str">
            <v>IMPURN1</v>
          </cell>
          <cell r="C16" t="str">
            <v>URN</v>
          </cell>
          <cell r="D16">
            <v>250.94845473400619</v>
          </cell>
          <cell r="E16">
            <v>254.39266173624486</v>
          </cell>
          <cell r="F16">
            <v>224.17755079030491</v>
          </cell>
          <cell r="G16">
            <v>221.47213765894637</v>
          </cell>
          <cell r="H16">
            <v>170.42371610197867</v>
          </cell>
          <cell r="I16">
            <v>100.00506324824322</v>
          </cell>
        </row>
        <row r="17">
          <cell r="A17" t="str">
            <v>EXPELC_AT</v>
          </cell>
          <cell r="C17" t="str">
            <v>ELC_E-AT</v>
          </cell>
          <cell r="D17">
            <v>6.2295828745127446</v>
          </cell>
          <cell r="E17">
            <v>2.6623877758463381E-3</v>
          </cell>
          <cell r="F17">
            <v>3.3864990991592523E-3</v>
          </cell>
          <cell r="G17">
            <v>9.4470919425678672E-4</v>
          </cell>
          <cell r="H17">
            <v>1.1250845905638334E-3</v>
          </cell>
          <cell r="I17">
            <v>9.8772166008024654E-4</v>
          </cell>
          <cell r="J17">
            <v>6.7253927252540003E-4</v>
          </cell>
          <cell r="K17">
            <v>5.9408285371458005E-4</v>
          </cell>
          <cell r="L17">
            <v>5.2584904673408101E-4</v>
          </cell>
          <cell r="M17">
            <v>5.5645424137431036E-4</v>
          </cell>
          <cell r="N17">
            <v>5.3960607376810695E-4</v>
          </cell>
          <cell r="O17">
            <v>9.3094672652564822E-4</v>
          </cell>
        </row>
        <row r="18">
          <cell r="A18" t="str">
            <v>EXPELC_FR</v>
          </cell>
          <cell r="C18" t="str">
            <v>ELC_E-FR</v>
          </cell>
          <cell r="D18">
            <v>12.753386937230355</v>
          </cell>
          <cell r="E18">
            <v>2.1684619764709154E-3</v>
          </cell>
          <cell r="F18">
            <v>2.1670442978022602E-3</v>
          </cell>
          <cell r="G18">
            <v>1.1491329170163372E-3</v>
          </cell>
          <cell r="H18">
            <v>1.795500319470817E-3</v>
          </cell>
          <cell r="I18">
            <v>2.5160183035241564E-3</v>
          </cell>
          <cell r="J18">
            <v>3.2946472456098328E-3</v>
          </cell>
          <cell r="K18">
            <v>3.0892900181914164E-3</v>
          </cell>
          <cell r="L18">
            <v>2.688220108514315E-3</v>
          </cell>
          <cell r="M18">
            <v>3.0098067200582906E-3</v>
          </cell>
          <cell r="N18">
            <v>2.8926996183140457E-3</v>
          </cell>
          <cell r="O18">
            <v>5.485485972578575E-3</v>
          </cell>
        </row>
        <row r="19">
          <cell r="A19" t="str">
            <v>RNWWND1</v>
          </cell>
          <cell r="C19" t="str">
            <v>WND</v>
          </cell>
          <cell r="D19">
            <v>0.51050054349991081</v>
          </cell>
          <cell r="E19">
            <v>0.5317240222692049</v>
          </cell>
          <cell r="F19">
            <v>0.48951639295319105</v>
          </cell>
          <cell r="G19">
            <v>0.8751353252784404</v>
          </cell>
          <cell r="H19">
            <v>0.87512299675940197</v>
          </cell>
          <cell r="I19">
            <v>0.87514301744147427</v>
          </cell>
          <cell r="J19">
            <v>0.87514449280996343</v>
          </cell>
          <cell r="K19">
            <v>0.87513986383404807</v>
          </cell>
          <cell r="L19">
            <v>0.87514522803755002</v>
          </cell>
          <cell r="M19">
            <v>0.87513997638270802</v>
          </cell>
          <cell r="N19">
            <v>0.87514263654963476</v>
          </cell>
          <cell r="O19">
            <v>0.87513365049700209</v>
          </cell>
        </row>
        <row r="20">
          <cell r="A20" t="str">
            <v>RNWWND2</v>
          </cell>
          <cell r="C20" t="str">
            <v>WND</v>
          </cell>
          <cell r="D20">
            <v>4.2650809618218254E-3</v>
          </cell>
          <cell r="E20">
            <v>4.2873200061152444E-3</v>
          </cell>
          <cell r="F20">
            <v>4.3101430605000058E-3</v>
          </cell>
          <cell r="G20">
            <v>1.1592557875061553</v>
          </cell>
          <cell r="H20">
            <v>2.7304250412772415</v>
          </cell>
          <cell r="I20">
            <v>3.7691378802285427</v>
          </cell>
          <cell r="J20">
            <v>9.3846468948220512</v>
          </cell>
          <cell r="K20">
            <v>9.3848045295474893</v>
          </cell>
          <cell r="L20">
            <v>9.3848784378871137</v>
          </cell>
          <cell r="M20">
            <v>9.38482974340201</v>
          </cell>
          <cell r="N20">
            <v>9.384834259218751</v>
          </cell>
          <cell r="O20">
            <v>9.3847498552286623</v>
          </cell>
        </row>
        <row r="21">
          <cell r="A21" t="str">
            <v>RNWMNR1</v>
          </cell>
          <cell r="C21" t="str">
            <v>MNR</v>
          </cell>
          <cell r="D21">
            <v>3.7981634609877606</v>
          </cell>
          <cell r="E21">
            <v>11.252286127554454</v>
          </cell>
          <cell r="F21">
            <v>12.540446220780618</v>
          </cell>
          <cell r="G21">
            <v>12.540493368836378</v>
          </cell>
          <cell r="H21">
            <v>12.540499869310899</v>
          </cell>
          <cell r="I21">
            <v>12.540387745759331</v>
          </cell>
          <cell r="J21">
            <v>12.540404180743232</v>
          </cell>
          <cell r="K21">
            <v>12.540439691795465</v>
          </cell>
          <cell r="L21">
            <v>12.54044710118826</v>
          </cell>
          <cell r="M21">
            <v>12.540440802846661</v>
          </cell>
          <cell r="N21">
            <v>12.540444178200367</v>
          </cell>
          <cell r="O21">
            <v>12.54043582537494</v>
          </cell>
        </row>
        <row r="22">
          <cell r="A22" t="str">
            <v>RNWWND3</v>
          </cell>
          <cell r="C22" t="str">
            <v>WND</v>
          </cell>
          <cell r="D22">
            <v>3.567497084951278E-3</v>
          </cell>
          <cell r="E22">
            <v>3.5854801019916385E-3</v>
          </cell>
          <cell r="F22">
            <v>3.6084853004800417E-3</v>
          </cell>
          <cell r="G22">
            <v>7.3508919678815067E-3</v>
          </cell>
          <cell r="H22">
            <v>1.3985377158212662E-2</v>
          </cell>
          <cell r="I22">
            <v>1.4961785405055964E-2</v>
          </cell>
          <cell r="J22">
            <v>2.9419144861692191E-2</v>
          </cell>
          <cell r="K22">
            <v>5.2054135156870771</v>
          </cell>
          <cell r="L22">
            <v>5.2139087197133414</v>
          </cell>
          <cell r="M22">
            <v>5.2104576157329516</v>
          </cell>
          <cell r="N22">
            <v>5.2110320304954918</v>
          </cell>
          <cell r="O22">
            <v>5.1584536859794383</v>
          </cell>
        </row>
        <row r="23">
          <cell r="A23" t="str">
            <v>RNWMNR2</v>
          </cell>
          <cell r="C23" t="str">
            <v>MNR</v>
          </cell>
          <cell r="I23">
            <v>2.2737111932602312E-2</v>
          </cell>
          <cell r="J23">
            <v>2.1181346102020324</v>
          </cell>
          <cell r="K23">
            <v>6.2702158664088739</v>
          </cell>
          <cell r="L23">
            <v>6.2702288409176639</v>
          </cell>
          <cell r="M23">
            <v>6.2702182762370304</v>
          </cell>
          <cell r="N23">
            <v>6.2702239072460877</v>
          </cell>
          <cell r="O23">
            <v>6.2702104701267567</v>
          </cell>
        </row>
        <row r="24">
          <cell r="A24" t="str">
            <v>RNWWND4</v>
          </cell>
          <cell r="C24" t="str">
            <v>WND</v>
          </cell>
          <cell r="D24">
            <v>3.4169915972382748E-3</v>
          </cell>
          <cell r="E24">
            <v>3.4340166121953246E-3</v>
          </cell>
          <cell r="F24">
            <v>3.4564554823468536E-3</v>
          </cell>
          <cell r="G24">
            <v>6.0771695685158536E-3</v>
          </cell>
          <cell r="H24">
            <v>1.1651756023914387E-2</v>
          </cell>
          <cell r="I24">
            <v>1.1807473639568015E-2</v>
          </cell>
          <cell r="J24">
            <v>1.7681315459937404E-2</v>
          </cell>
          <cell r="K24">
            <v>9.7547391812313464E-2</v>
          </cell>
          <cell r="L24">
            <v>9.8164007286253033E-2</v>
          </cell>
          <cell r="M24">
            <v>0.10303599396014182</v>
          </cell>
          <cell r="N24">
            <v>0.10329019335681545</v>
          </cell>
          <cell r="O24">
            <v>0.14991052114860415</v>
          </cell>
        </row>
        <row r="25">
          <cell r="A25" t="str">
            <v>RNWMNR3</v>
          </cell>
          <cell r="C25" t="str">
            <v>MNR</v>
          </cell>
          <cell r="I25">
            <v>3.3697521181699232E-3</v>
          </cell>
          <cell r="J25">
            <v>3.5048391670124178E-3</v>
          </cell>
          <cell r="K25">
            <v>0.89406570422157405</v>
          </cell>
          <cell r="L25">
            <v>0.89405690630103851</v>
          </cell>
          <cell r="M25">
            <v>7.4766848441388118</v>
          </cell>
          <cell r="N25">
            <v>7.4767009602994143</v>
          </cell>
          <cell r="O25">
            <v>7.4777953665999322</v>
          </cell>
        </row>
        <row r="26">
          <cell r="A26" t="str">
            <v>IMPLFO1</v>
          </cell>
          <cell r="C26" t="str">
            <v>LFO</v>
          </cell>
          <cell r="D26">
            <v>101.81197206324623</v>
          </cell>
          <cell r="E26">
            <v>88.217144345877742</v>
          </cell>
          <cell r="F26">
            <v>76.506181112946209</v>
          </cell>
          <cell r="G26">
            <v>63.571194787243229</v>
          </cell>
          <cell r="H26">
            <v>27.295646585700307</v>
          </cell>
          <cell r="I26">
            <v>9.3891517828106572</v>
          </cell>
          <cell r="J26">
            <v>4.6746384865889619</v>
          </cell>
          <cell r="L26">
            <v>1.3578506455689471E-3</v>
          </cell>
          <cell r="M26">
            <v>2.1261878294051143E-3</v>
          </cell>
          <cell r="N26">
            <v>2.1094961316949373E-3</v>
          </cell>
          <cell r="O26">
            <v>2.9825451701626909E-3</v>
          </cell>
        </row>
        <row r="27">
          <cell r="A27" t="str">
            <v>RNWWND5</v>
          </cell>
          <cell r="C27" t="str">
            <v>WND</v>
          </cell>
          <cell r="D27">
            <v>2.3919956471275833E-3</v>
          </cell>
          <cell r="E27">
            <v>2.4029241026304509E-3</v>
          </cell>
          <cell r="F27">
            <v>2.4148847175223731E-3</v>
          </cell>
          <cell r="G27">
            <v>2.5600656071583694E-3</v>
          </cell>
          <cell r="H27">
            <v>4.7662866898555483E-3</v>
          </cell>
          <cell r="I27">
            <v>4.2921364246282659E-3</v>
          </cell>
          <cell r="J27">
            <v>4.7978577274499588E-3</v>
          </cell>
          <cell r="K27">
            <v>1.4841418339210015E-2</v>
          </cell>
          <cell r="L27">
            <v>1.3603865241743068E-2</v>
          </cell>
          <cell r="M27">
            <v>2.3029558415423406E-2</v>
          </cell>
          <cell r="N27">
            <v>2.2472159624021073E-2</v>
          </cell>
          <cell r="O27">
            <v>5.0940224221184105E-2</v>
          </cell>
        </row>
        <row r="28">
          <cell r="A28" t="str">
            <v>IMPBNGA</v>
          </cell>
          <cell r="C28" t="str">
            <v>BIO</v>
          </cell>
          <cell r="E28">
            <v>2.2092146298503836E-4</v>
          </cell>
          <cell r="F28">
            <v>1.1834328101880158E-5</v>
          </cell>
          <cell r="G28">
            <v>0.51649370411343809</v>
          </cell>
          <cell r="H28">
            <v>1.2753680383881556</v>
          </cell>
          <cell r="I28">
            <v>2.3658012432221316</v>
          </cell>
          <cell r="J28">
            <v>2.5748489761003395</v>
          </cell>
          <cell r="K28">
            <v>2.191036645918802</v>
          </cell>
          <cell r="L28">
            <v>3.735702913426497</v>
          </cell>
          <cell r="M28">
            <v>3.0218234178239909</v>
          </cell>
          <cell r="N28">
            <v>4.0317622329508129</v>
          </cell>
          <cell r="O28">
            <v>4.1794012709484258</v>
          </cell>
        </row>
        <row r="29">
          <cell r="A29" t="str">
            <v>RNWGEO1</v>
          </cell>
          <cell r="C29" t="str">
            <v>GEO</v>
          </cell>
          <cell r="I29">
            <v>5.4236493807326613E-4</v>
          </cell>
          <cell r="J29">
            <v>0.44449864627920699</v>
          </cell>
          <cell r="K29">
            <v>1.0929614080340631</v>
          </cell>
          <cell r="L29">
            <v>1.0918191192743529</v>
          </cell>
          <cell r="M29">
            <v>1.0885091633754085</v>
          </cell>
          <cell r="N29">
            <v>1.0886927859951543</v>
          </cell>
          <cell r="O29">
            <v>1.050724783425981</v>
          </cell>
        </row>
        <row r="30">
          <cell r="A30" t="str">
            <v>RNWGEO2</v>
          </cell>
          <cell r="C30" t="str">
            <v>GEO</v>
          </cell>
          <cell r="I30">
            <v>5.2612118707675594E-4</v>
          </cell>
          <cell r="J30">
            <v>2.3380221189624979E-2</v>
          </cell>
          <cell r="K30">
            <v>4.2093784984552692E-2</v>
          </cell>
          <cell r="L30">
            <v>4.2417742111158001E-2</v>
          </cell>
          <cell r="M30">
            <v>4.3383918744709947E-2</v>
          </cell>
          <cell r="N30">
            <v>5.3099511776006802E-2</v>
          </cell>
          <cell r="O30">
            <v>9.6347345104906224E-2</v>
          </cell>
        </row>
        <row r="31">
          <cell r="A31" t="str">
            <v>IMPKERintl</v>
          </cell>
          <cell r="C31" t="str">
            <v>KERintl</v>
          </cell>
          <cell r="D31">
            <v>29.5369183009729</v>
          </cell>
          <cell r="E31">
            <v>58.4954363179924</v>
          </cell>
          <cell r="F31">
            <v>83.523179806346604</v>
          </cell>
          <cell r="G31">
            <v>83.081935064278397</v>
          </cell>
          <cell r="H31">
            <v>74.0896655743568</v>
          </cell>
          <cell r="I31">
            <v>52.5087452094197</v>
          </cell>
          <cell r="J31">
            <v>26.254254388963499</v>
          </cell>
        </row>
        <row r="32">
          <cell r="A32" t="str">
            <v>RNWGEO3</v>
          </cell>
          <cell r="C32" t="str">
            <v>GEO</v>
          </cell>
          <cell r="I32">
            <v>5.1982826678229651E-4</v>
          </cell>
          <cell r="J32">
            <v>1.377826584395858E-2</v>
          </cell>
          <cell r="K32">
            <v>2.3929875340440925E-2</v>
          </cell>
          <cell r="L32">
            <v>2.3954666612140012E-2</v>
          </cell>
          <cell r="M32">
            <v>2.6045969544733365E-2</v>
          </cell>
          <cell r="N32">
            <v>2.8667557007750276E-2</v>
          </cell>
          <cell r="O32">
            <v>5.4865556245198337E-2</v>
          </cell>
        </row>
        <row r="33">
          <cell r="A33" t="str">
            <v>RNWGEO4</v>
          </cell>
          <cell r="C33" t="str">
            <v>GEO</v>
          </cell>
          <cell r="I33">
            <v>5.1362718489515106E-4</v>
          </cell>
          <cell r="J33">
            <v>1.036374562418169E-2</v>
          </cell>
          <cell r="K33">
            <v>1.7424469112796857E-2</v>
          </cell>
          <cell r="L33">
            <v>1.7438337909802992E-2</v>
          </cell>
          <cell r="M33">
            <v>2.0065333328176248E-2</v>
          </cell>
          <cell r="N33">
            <v>2.1071880554618068E-2</v>
          </cell>
          <cell r="O33">
            <v>4.1055117221603168E-2</v>
          </cell>
        </row>
        <row r="34">
          <cell r="A34" t="str">
            <v>RNWGEO5</v>
          </cell>
          <cell r="C34" t="str">
            <v>GEO</v>
          </cell>
          <cell r="I34">
            <v>4.3743905622422896E-4</v>
          </cell>
          <cell r="J34">
            <v>2.3643505929937399E-3</v>
          </cell>
          <cell r="K34">
            <v>3.5335493828081766E-3</v>
          </cell>
          <cell r="L34">
            <v>3.5461691055848946E-3</v>
          </cell>
          <cell r="M34">
            <v>4.4985064175952303E-3</v>
          </cell>
          <cell r="N34">
            <v>4.4185046244170139E-3</v>
          </cell>
          <cell r="O34">
            <v>8.6717257418183324E-3</v>
          </cell>
        </row>
        <row r="35">
          <cell r="A35" t="str">
            <v>IMPGSL</v>
          </cell>
          <cell r="C35" t="str">
            <v>GSL</v>
          </cell>
          <cell r="D35">
            <v>79.381207263144987</v>
          </cell>
          <cell r="E35">
            <v>75.598378250430841</v>
          </cell>
          <cell r="F35">
            <v>68.537753088306715</v>
          </cell>
          <cell r="G35">
            <v>46.298537652950955</v>
          </cell>
          <cell r="H35">
            <v>21.730558405245123</v>
          </cell>
          <cell r="I35">
            <v>6.6212431766521282</v>
          </cell>
          <cell r="J35">
            <v>4.1029248096555566</v>
          </cell>
          <cell r="L35">
            <v>6.1028638378265498E-5</v>
          </cell>
          <cell r="M35">
            <v>8.8898154495663578E-5</v>
          </cell>
          <cell r="N35">
            <v>8.5024867155139149E-5</v>
          </cell>
          <cell r="O35">
            <v>1.1113761467555288E-4</v>
          </cell>
        </row>
        <row r="36">
          <cell r="A36" t="str">
            <v>RNWWOD1</v>
          </cell>
          <cell r="C36" t="str">
            <v>WOD</v>
          </cell>
          <cell r="D36">
            <v>11.111902888654518</v>
          </cell>
          <cell r="E36">
            <v>11.952908097576151</v>
          </cell>
          <cell r="F36">
            <v>13.357217929306096</v>
          </cell>
          <cell r="G36">
            <v>15.65618321910493</v>
          </cell>
          <cell r="H36">
            <v>16.424591048669345</v>
          </cell>
          <cell r="I36">
            <v>17.113675693398491</v>
          </cell>
          <cell r="J36">
            <v>17.771681113264421</v>
          </cell>
          <cell r="K36">
            <v>18.429710248582623</v>
          </cell>
          <cell r="L36">
            <v>18.341199840226128</v>
          </cell>
          <cell r="M36">
            <v>18.252688705473137</v>
          </cell>
          <cell r="N36">
            <v>18.16419450267491</v>
          </cell>
          <cell r="O36">
            <v>18.075697788836447</v>
          </cell>
        </row>
        <row r="37">
          <cell r="A37" t="str">
            <v>RNWWOD2</v>
          </cell>
          <cell r="C37" t="str">
            <v>WOD</v>
          </cell>
          <cell r="D37">
            <v>7.5116959111787738</v>
          </cell>
          <cell r="E37">
            <v>7.5431658055464093</v>
          </cell>
          <cell r="F37">
            <v>7.5903709349104389</v>
          </cell>
          <cell r="G37">
            <v>7.6690517457443956</v>
          </cell>
          <cell r="H37">
            <v>7.6690477891725077</v>
          </cell>
          <cell r="I37">
            <v>7.6690598814023891</v>
          </cell>
          <cell r="J37">
            <v>7.6690514812027137</v>
          </cell>
          <cell r="K37">
            <v>7.6690671389012595</v>
          </cell>
          <cell r="L37">
            <v>7.6690561219346325</v>
          </cell>
          <cell r="M37">
            <v>7.6690460755043288</v>
          </cell>
          <cell r="N37">
            <v>7.6690509707328598</v>
          </cell>
          <cell r="O37">
            <v>7.6690541735422393</v>
          </cell>
        </row>
        <row r="38">
          <cell r="A38" t="str">
            <v>RNWWOD3</v>
          </cell>
          <cell r="C38" t="str">
            <v>WOD</v>
          </cell>
          <cell r="D38">
            <v>3.1682696594764166</v>
          </cell>
          <cell r="E38">
            <v>3.4956961672834042</v>
          </cell>
          <cell r="F38">
            <v>3.9868362492396967</v>
          </cell>
          <cell r="G38">
            <v>4.8054097350017244</v>
          </cell>
          <cell r="H38">
            <v>4.8054046790013789</v>
          </cell>
          <cell r="I38">
            <v>4.8054182788489959</v>
          </cell>
          <cell r="J38">
            <v>4.8054101475728013</v>
          </cell>
          <cell r="K38">
            <v>4.8054249933639133</v>
          </cell>
          <cell r="L38">
            <v>4.8054147137772771</v>
          </cell>
          <cell r="M38">
            <v>4.8054043567307003</v>
          </cell>
          <cell r="N38">
            <v>4.8054090989910385</v>
          </cell>
          <cell r="O38">
            <v>4.8054134797873349</v>
          </cell>
        </row>
        <row r="39">
          <cell r="A39" t="str">
            <v>RNWWOD4</v>
          </cell>
          <cell r="C39" t="str">
            <v>WOD</v>
          </cell>
          <cell r="D39">
            <v>15.110367809125098</v>
          </cell>
          <cell r="E39">
            <v>14.89906750504298</v>
          </cell>
          <cell r="F39">
            <v>19.670572980494015</v>
          </cell>
          <cell r="G39">
            <v>22.359209126913271</v>
          </cell>
          <cell r="H39">
            <v>21.588978910293694</v>
          </cell>
          <cell r="I39">
            <v>24.230819428392451</v>
          </cell>
          <cell r="J39">
            <v>24.230810815355124</v>
          </cell>
          <cell r="K39">
            <v>24.230803576964018</v>
          </cell>
          <cell r="L39">
            <v>23.794660262203386</v>
          </cell>
          <cell r="M39">
            <v>23.358481161498137</v>
          </cell>
          <cell r="N39">
            <v>22.92234586635967</v>
          </cell>
          <cell r="O39">
            <v>22.486211679329099</v>
          </cell>
        </row>
        <row r="40">
          <cell r="A40" t="str">
            <v>RNWWOD5</v>
          </cell>
          <cell r="C40" t="str">
            <v>WOD</v>
          </cell>
          <cell r="D40">
            <v>9.4316402099118317</v>
          </cell>
          <cell r="E40">
            <v>12.599739745764506</v>
          </cell>
          <cell r="F40">
            <v>5.8855905942803979</v>
          </cell>
          <cell r="G40">
            <v>3.3935923187811087E-3</v>
          </cell>
          <cell r="H40">
            <v>7.3025486011631859E-3</v>
          </cell>
          <cell r="I40">
            <v>3.4638532148667148E-2</v>
          </cell>
          <cell r="J40">
            <v>13.592891011663495</v>
          </cell>
          <cell r="K40">
            <v>12.966967577911531</v>
          </cell>
          <cell r="L40">
            <v>13.4915722548552</v>
          </cell>
          <cell r="M40">
            <v>14.01626390143748</v>
          </cell>
          <cell r="N40">
            <v>14.54089589059806</v>
          </cell>
          <cell r="O40">
            <v>15.065514424889535</v>
          </cell>
        </row>
        <row r="41">
          <cell r="A41" t="str">
            <v>RNNWWST1</v>
          </cell>
          <cell r="C41" t="str">
            <v>WSTNREN</v>
          </cell>
          <cell r="D41">
            <v>35.931914866006736</v>
          </cell>
          <cell r="E41">
            <v>36.231421704266943</v>
          </cell>
          <cell r="F41">
            <v>36.02193067314635</v>
          </cell>
          <cell r="G41">
            <v>35.039995919345017</v>
          </cell>
          <cell r="H41">
            <v>34.93764216276562</v>
          </cell>
          <cell r="I41">
            <v>37.252116491137812</v>
          </cell>
          <cell r="J41">
            <v>37.696583714534064</v>
          </cell>
          <cell r="K41">
            <v>39.221674637269835</v>
          </cell>
          <cell r="L41">
            <v>36.862731074510236</v>
          </cell>
          <cell r="M41">
            <v>36.308313989107752</v>
          </cell>
          <cell r="N41">
            <v>36.27776731966069</v>
          </cell>
          <cell r="O41">
            <v>36.304968761199234</v>
          </cell>
        </row>
        <row r="42">
          <cell r="A42" t="str">
            <v>RNWSOL1</v>
          </cell>
          <cell r="C42" t="str">
            <v>SOL</v>
          </cell>
          <cell r="D42">
            <v>12.556494257032776</v>
          </cell>
          <cell r="E42">
            <v>16.522306445645874</v>
          </cell>
          <cell r="F42">
            <v>32.05398651432921</v>
          </cell>
          <cell r="G42">
            <v>50.377630975325346</v>
          </cell>
          <cell r="H42">
            <v>81.469108322648992</v>
          </cell>
          <cell r="I42">
            <v>132.06503396131743</v>
          </cell>
          <cell r="J42">
            <v>161.64713133033644</v>
          </cell>
          <cell r="K42">
            <v>177.45154684417281</v>
          </cell>
          <cell r="L42">
            <v>180.00065400154011</v>
          </cell>
          <cell r="M42">
            <v>180.00078999116968</v>
          </cell>
          <cell r="N42">
            <v>180.00080694433231</v>
          </cell>
          <cell r="O42">
            <v>180.00178861996113</v>
          </cell>
        </row>
        <row r="43">
          <cell r="A43" t="str">
            <v>IMPHFO1</v>
          </cell>
          <cell r="C43" t="str">
            <v>HFO</v>
          </cell>
          <cell r="D43">
            <v>2.7764113357715652</v>
          </cell>
          <cell r="E43">
            <v>2.7644455885582047</v>
          </cell>
          <cell r="F43">
            <v>8.2344887702521692E-3</v>
          </cell>
          <cell r="G43">
            <v>1.7914530812517958E-3</v>
          </cell>
          <cell r="H43">
            <v>2.3473434881341004E-3</v>
          </cell>
          <cell r="I43">
            <v>4.8221185461121792E-3</v>
          </cell>
          <cell r="J43">
            <v>2.1801738885602784E-3</v>
          </cell>
        </row>
        <row r="44">
          <cell r="A44" t="str">
            <v>RNWHYDD1</v>
          </cell>
          <cell r="C44" t="str">
            <v>HYDD</v>
          </cell>
          <cell r="D44">
            <v>66.745708281990133</v>
          </cell>
          <cell r="E44">
            <v>49.798879898383078</v>
          </cell>
          <cell r="F44">
            <v>68.897628517817637</v>
          </cell>
          <cell r="G44">
            <v>67.436176323598119</v>
          </cell>
          <cell r="H44">
            <v>69.60269360723251</v>
          </cell>
          <cell r="I44">
            <v>72.110610586777597</v>
          </cell>
          <cell r="J44">
            <v>74.384203130425874</v>
          </cell>
          <cell r="K44">
            <v>74.836122087372701</v>
          </cell>
          <cell r="L44">
            <v>74.836120767225623</v>
          </cell>
          <cell r="M44">
            <v>74.836121311270745</v>
          </cell>
          <cell r="N44">
            <v>74.836121465747738</v>
          </cell>
          <cell r="O44">
            <v>74.836110192055827</v>
          </cell>
        </row>
        <row r="45">
          <cell r="A45" t="str">
            <v>IMPKER</v>
          </cell>
          <cell r="C45" t="str">
            <v>KER</v>
          </cell>
          <cell r="D45">
            <v>1.1092109431425539</v>
          </cell>
          <cell r="E45">
            <v>1.4050980537047013</v>
          </cell>
          <cell r="F45">
            <v>1.8488776029588259</v>
          </cell>
          <cell r="G45">
            <v>2.5858614186152269</v>
          </cell>
          <cell r="H45">
            <v>2.3644817640981484</v>
          </cell>
          <cell r="I45">
            <v>1.6818193332040992</v>
          </cell>
          <cell r="J45">
            <v>1.5564491142193813</v>
          </cell>
          <cell r="L45">
            <v>5.498879387273923E-5</v>
          </cell>
          <cell r="M45">
            <v>7.3200041189236975E-5</v>
          </cell>
          <cell r="N45">
            <v>7.3211625922923654E-5</v>
          </cell>
          <cell r="O45">
            <v>9.3276082157141949E-5</v>
          </cell>
        </row>
        <row r="46">
          <cell r="A46" t="str">
            <v>IMPBDS</v>
          </cell>
          <cell r="C46" t="str">
            <v>BDS</v>
          </cell>
          <cell r="D46">
            <v>1.81234129756637</v>
          </cell>
          <cell r="E46">
            <v>1.8129150148864632</v>
          </cell>
          <cell r="F46">
            <v>3.2032183899994968</v>
          </cell>
          <cell r="G46">
            <v>3.244088113293877</v>
          </cell>
          <cell r="H46">
            <v>3.2566448248378803</v>
          </cell>
          <cell r="I46">
            <v>3.2491914367016306</v>
          </cell>
          <cell r="J46">
            <v>3.2518987483604351</v>
          </cell>
          <cell r="K46">
            <v>2.7893651790102738</v>
          </cell>
          <cell r="L46">
            <v>1.3219331539883177</v>
          </cell>
          <cell r="M46">
            <v>2.0406819784450421</v>
          </cell>
          <cell r="N46">
            <v>1.1816898666525368</v>
          </cell>
          <cell r="O46">
            <v>1.0352658898435116</v>
          </cell>
        </row>
        <row r="47">
          <cell r="A47" t="str">
            <v>IMPCOA1</v>
          </cell>
          <cell r="C47" t="str">
            <v>COA</v>
          </cell>
          <cell r="D47">
            <v>3.6600801580656013</v>
          </cell>
          <cell r="E47">
            <v>3.5647958650814391</v>
          </cell>
          <cell r="F47">
            <v>2.4916180180443916E-2</v>
          </cell>
          <cell r="G47">
            <v>5.1530996728071342E-3</v>
          </cell>
          <cell r="H47">
            <v>3.2006388693047168E-3</v>
          </cell>
          <cell r="I47">
            <v>3.9947130196455504E-3</v>
          </cell>
          <cell r="J47">
            <v>1.9201830249886559E-3</v>
          </cell>
          <cell r="K47">
            <v>4.1694470104093183E-5</v>
          </cell>
          <cell r="L47">
            <v>1.1309141021156351E-4</v>
          </cell>
          <cell r="M47">
            <v>1.5727616072570364E-4</v>
          </cell>
          <cell r="N47">
            <v>1.5267060017638086E-4</v>
          </cell>
          <cell r="O47">
            <v>1.7477235583997954E-4</v>
          </cell>
        </row>
        <row r="48">
          <cell r="A48" t="str">
            <v>IMPETH</v>
          </cell>
          <cell r="C48" t="str">
            <v>ETH</v>
          </cell>
          <cell r="D48">
            <v>4.3228145692161712</v>
          </cell>
          <cell r="E48">
            <v>4.3220485482158262</v>
          </cell>
          <cell r="F48">
            <v>2.9319548243913456</v>
          </cell>
          <cell r="G48">
            <v>2.3746034615415135</v>
          </cell>
          <cell r="H48">
            <v>1.6031714337366112</v>
          </cell>
          <cell r="I48">
            <v>0.52040876213825393</v>
          </cell>
          <cell r="J48">
            <v>0.30855244062082282</v>
          </cell>
          <cell r="K48">
            <v>1.1550483951828885</v>
          </cell>
          <cell r="L48">
            <v>1.0776504066597381</v>
          </cell>
          <cell r="M48">
            <v>1.0727466273604227</v>
          </cell>
          <cell r="N48">
            <v>0.92181857646606047</v>
          </cell>
          <cell r="O48">
            <v>0.92076701748468481</v>
          </cell>
        </row>
        <row r="49">
          <cell r="A49" t="str">
            <v>IMPELC_DE</v>
          </cell>
          <cell r="C49" t="str">
            <v>ELC_I-DE</v>
          </cell>
          <cell r="D49">
            <v>46.398503883065466</v>
          </cell>
          <cell r="E49">
            <v>27.347140768762415</v>
          </cell>
          <cell r="F49">
            <v>22.57097826178126</v>
          </cell>
          <cell r="G49">
            <v>25.458585977772422</v>
          </cell>
          <cell r="H49">
            <v>17.569553636152548</v>
          </cell>
          <cell r="I49">
            <v>18.067397844155842</v>
          </cell>
          <cell r="J49">
            <v>12.178244716370051</v>
          </cell>
          <cell r="K49">
            <v>6.4828843405358185</v>
          </cell>
          <cell r="L49">
            <v>4.298754932243094</v>
          </cell>
          <cell r="M49">
            <v>2.2229238958250122</v>
          </cell>
          <cell r="N49">
            <v>2.507217473553196</v>
          </cell>
          <cell r="O49">
            <v>3.824948418848916</v>
          </cell>
        </row>
        <row r="50">
          <cell r="A50" t="str">
            <v>IMPELC_DE</v>
          </cell>
          <cell r="C50" t="str">
            <v>ELCS</v>
          </cell>
          <cell r="D50">
            <v>46.398503883065466</v>
          </cell>
          <cell r="E50">
            <v>27.347140768762415</v>
          </cell>
          <cell r="F50">
            <v>22.57097826178126</v>
          </cell>
          <cell r="G50">
            <v>25.458585977772422</v>
          </cell>
          <cell r="H50">
            <v>17.569553636152548</v>
          </cell>
          <cell r="I50">
            <v>18.067397844155842</v>
          </cell>
          <cell r="J50">
            <v>12.178244716370051</v>
          </cell>
          <cell r="K50">
            <v>6.4828843405358185</v>
          </cell>
          <cell r="L50">
            <v>4.298754932243094</v>
          </cell>
          <cell r="M50">
            <v>2.2229238958250122</v>
          </cell>
          <cell r="N50">
            <v>2.507217473553196</v>
          </cell>
          <cell r="O50">
            <v>3.824948418848916</v>
          </cell>
        </row>
        <row r="51">
          <cell r="A51" t="str">
            <v>RNWWST1</v>
          </cell>
          <cell r="C51" t="str">
            <v>WSTREN</v>
          </cell>
          <cell r="D51">
            <v>34.100821638544993</v>
          </cell>
          <cell r="E51">
            <v>34.100554209816487</v>
          </cell>
          <cell r="F51">
            <v>34.102944433994168</v>
          </cell>
          <cell r="G51">
            <v>34.100514518684605</v>
          </cell>
          <cell r="H51">
            <v>34.10300010020898</v>
          </cell>
          <cell r="I51">
            <v>40.972903060383324</v>
          </cell>
          <cell r="J51">
            <v>42.859748094290602</v>
          </cell>
          <cell r="K51">
            <v>44.606401760677862</v>
          </cell>
          <cell r="L51">
            <v>44.607155602757508</v>
          </cell>
          <cell r="M51">
            <v>45.301457608554813</v>
          </cell>
          <cell r="N51">
            <v>45.301465965921942</v>
          </cell>
          <cell r="O51">
            <v>45.334472249977047</v>
          </cell>
        </row>
        <row r="52">
          <cell r="A52" t="str">
            <v>IMPNGA1</v>
          </cell>
          <cell r="C52" t="str">
            <v>NGA</v>
          </cell>
          <cell r="D52">
            <v>117.2830928400453</v>
          </cell>
          <cell r="E52">
            <v>106.72002752311008</v>
          </cell>
          <cell r="F52">
            <v>112.94271407375933</v>
          </cell>
          <cell r="G52">
            <v>101.63469631606067</v>
          </cell>
          <cell r="H52">
            <v>83.560897001897814</v>
          </cell>
          <cell r="I52">
            <v>53.291657030086249</v>
          </cell>
          <cell r="J52">
            <v>22.632101647254171</v>
          </cell>
          <cell r="K52">
            <v>1.584667652920014E-5</v>
          </cell>
          <cell r="L52">
            <v>6.3425115202030312E-5</v>
          </cell>
          <cell r="M52">
            <v>8.4351190797318868E-5</v>
          </cell>
          <cell r="N52">
            <v>8.2314419112913969E-5</v>
          </cell>
          <cell r="O52">
            <v>1.0808123548537854E-4</v>
          </cell>
        </row>
        <row r="53">
          <cell r="A53" t="str">
            <v>IMPELC_IT</v>
          </cell>
          <cell r="C53" t="str">
            <v>ELC_I-IT</v>
          </cell>
          <cell r="D53">
            <v>6.7991262949183513</v>
          </cell>
          <cell r="E53">
            <v>1.7672304226866026E-3</v>
          </cell>
          <cell r="F53">
            <v>1.6124885778786078E-3</v>
          </cell>
          <cell r="G53">
            <v>8.6116725398142197E-4</v>
          </cell>
          <cell r="H53">
            <v>1.1172541259997213E-3</v>
          </cell>
          <cell r="I53">
            <v>1.0356937422593311E-3</v>
          </cell>
          <cell r="J53">
            <v>8.373520431984616E-4</v>
          </cell>
          <cell r="K53">
            <v>8.4234415944920555E-4</v>
          </cell>
          <cell r="L53">
            <v>7.864214255345897E-4</v>
          </cell>
          <cell r="M53">
            <v>9.4447049211957132E-4</v>
          </cell>
          <cell r="N53">
            <v>8.799762248519014E-4</v>
          </cell>
          <cell r="O53">
            <v>1.5479286890121686E-3</v>
          </cell>
        </row>
        <row r="54">
          <cell r="A54" t="str">
            <v>IMPELC_IT</v>
          </cell>
          <cell r="C54" t="str">
            <v>ELCS</v>
          </cell>
          <cell r="D54">
            <v>6.7991262949183513</v>
          </cell>
          <cell r="E54">
            <v>1.7672304226866026E-3</v>
          </cell>
          <cell r="F54">
            <v>1.6124885778786078E-3</v>
          </cell>
          <cell r="G54">
            <v>8.6116725398142197E-4</v>
          </cell>
          <cell r="H54">
            <v>1.1172541259997213E-3</v>
          </cell>
          <cell r="I54">
            <v>1.0356937422593311E-3</v>
          </cell>
          <cell r="J54">
            <v>8.373520431984616E-4</v>
          </cell>
          <cell r="K54">
            <v>8.4234415944920555E-4</v>
          </cell>
          <cell r="L54">
            <v>7.864214255345897E-4</v>
          </cell>
          <cell r="M54">
            <v>9.4447049211957132E-4</v>
          </cell>
          <cell r="N54">
            <v>8.799762248519014E-4</v>
          </cell>
          <cell r="O54">
            <v>1.5479286890121686E-3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3.2683080692501796</v>
          </cell>
          <cell r="E4">
            <v>3.8321176236617802</v>
          </cell>
          <cell r="F4">
            <v>3.7298277615648723</v>
          </cell>
          <cell r="G4">
            <v>3.8878598779635882</v>
          </cell>
          <cell r="H4">
            <v>4.0265065783331444</v>
          </cell>
          <cell r="I4">
            <v>4.1391144440324981</v>
          </cell>
          <cell r="J4">
            <v>4.2309798113268737</v>
          </cell>
          <cell r="K4">
            <v>4.315971227808479</v>
          </cell>
          <cell r="L4">
            <v>4.3784663671889188</v>
          </cell>
          <cell r="M4">
            <v>4.4499220800904276</v>
          </cell>
          <cell r="N4">
            <v>4.4499441985276764</v>
          </cell>
          <cell r="O4">
            <v>4.4500749271781466</v>
          </cell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3.2683080692501796</v>
          </cell>
          <cell r="E5">
            <v>3.8321176236617802</v>
          </cell>
          <cell r="F5">
            <v>3.7298277615648723</v>
          </cell>
          <cell r="G5">
            <v>3.8878598779635882</v>
          </cell>
          <cell r="H5">
            <v>4.0265065783331444</v>
          </cell>
          <cell r="I5">
            <v>4.1391144440324981</v>
          </cell>
          <cell r="J5">
            <v>4.2309798113268737</v>
          </cell>
          <cell r="K5">
            <v>4.315971227808479</v>
          </cell>
          <cell r="L5">
            <v>4.3784663671889188</v>
          </cell>
          <cell r="M5">
            <v>4.4499220800904276</v>
          </cell>
          <cell r="N5">
            <v>4.4499441985276764</v>
          </cell>
          <cell r="O5">
            <v>4.4500749271781466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1.4558573639305667E-5</v>
          </cell>
          <cell r="F6">
            <v>2.6209534681380666E-3</v>
          </cell>
          <cell r="G6">
            <v>2.4619449500177305E-3</v>
          </cell>
          <cell r="H6">
            <v>3.3960389656378645E-3</v>
          </cell>
          <cell r="I6">
            <v>3.4708214367978477E-3</v>
          </cell>
          <cell r="J6">
            <v>3.9657918192462132E-3</v>
          </cell>
          <cell r="K6">
            <v>5.8236945868327689E-3</v>
          </cell>
          <cell r="L6">
            <v>9.4242804846804613E-4</v>
          </cell>
          <cell r="M6">
            <v>7.340221986128488E-4</v>
          </cell>
          <cell r="N6">
            <v>3.96246045590608E-4</v>
          </cell>
          <cell r="O6">
            <v>1.5290449951684663E-3</v>
          </cell>
        </row>
        <row r="7">
          <cell r="A7" t="str">
            <v>RHNS-SHSTG-SOL</v>
          </cell>
          <cell r="B7" t="str">
            <v>VAR_fin</v>
          </cell>
          <cell r="C7" t="str">
            <v>RHNS-SHASOL</v>
          </cell>
          <cell r="D7"/>
          <cell r="E7">
            <v>2.2287113704422887E-6</v>
          </cell>
          <cell r="F7">
            <v>2.6090149829930101E-3</v>
          </cell>
          <cell r="G7">
            <v>2.4500082688214465E-3</v>
          </cell>
          <cell r="H7">
            <v>3.3841431468475767E-3</v>
          </cell>
          <cell r="I7">
            <v>3.4589248156053488E-3</v>
          </cell>
          <cell r="J7">
            <v>3.9539515618463843E-3</v>
          </cell>
          <cell r="K7">
            <v>5.8119617208931638E-3</v>
          </cell>
          <cell r="L7">
            <v>9.3062636341611018E-4</v>
          </cell>
          <cell r="M7">
            <v>7.2221624485409774E-4</v>
          </cell>
          <cell r="N7">
            <v>3.8443754053379779E-4</v>
          </cell>
          <cell r="O7">
            <v>1.5172443978713158E-3</v>
          </cell>
        </row>
        <row r="8">
          <cell r="A8" t="str">
            <v>RHNS-SHSTG-SOL</v>
          </cell>
          <cell r="B8" t="str">
            <v>VAR_ncap</v>
          </cell>
          <cell r="C8" t="str">
            <v>-</v>
          </cell>
          <cell r="D8">
            <v>4.13691870925797E-5</v>
          </cell>
          <cell r="E8">
            <v>3.9370366062027303E-4</v>
          </cell>
          <cell r="F8">
            <v>6.6412287234698104E-5</v>
          </cell>
          <cell r="G8">
            <v>7.5956453195858202E-6</v>
          </cell>
          <cell r="H8">
            <v>3.2117030558400798E-4</v>
          </cell>
          <cell r="I8">
            <v>2.6676212975815499E-4</v>
          </cell>
          <cell r="J8">
            <v>1.2656614839131201E-4</v>
          </cell>
          <cell r="K8">
            <v>5.5029552289552095E-4</v>
          </cell>
          <cell r="L8">
            <v>2.4266345164973899E-4</v>
          </cell>
          <cell r="M8">
            <v>1.5145659035134201E-4</v>
          </cell>
          <cell r="N8">
            <v>5.3026639899692496E-4</v>
          </cell>
          <cell r="O8">
            <v>2.6810854414200302E-4</v>
          </cell>
        </row>
        <row r="9">
          <cell r="A9" t="str">
            <v>RHNS-SHSTG-SOL</v>
          </cell>
          <cell r="B9" t="str">
            <v>VAR_cap</v>
          </cell>
          <cell r="C9" t="str">
            <v>-</v>
          </cell>
          <cell r="D9">
            <v>4.13691870925797E-5</v>
          </cell>
          <cell r="E9">
            <v>4.3507284771285298E-4</v>
          </cell>
          <cell r="F9">
            <v>5.0148513494755105E-4</v>
          </cell>
          <cell r="G9">
            <v>5.0908078026713701E-4</v>
          </cell>
          <cell r="H9">
            <v>6.0761832532796496E-4</v>
          </cell>
          <cell r="I9">
            <v>6.08029409950649E-4</v>
          </cell>
          <cell r="J9">
            <v>7.1449858373347501E-4</v>
          </cell>
          <cell r="K9">
            <v>9.4362380104498803E-4</v>
          </cell>
          <cell r="L9">
            <v>9.4374477593809399E-4</v>
          </cell>
          <cell r="M9">
            <v>9.4441556489660095E-4</v>
          </cell>
          <cell r="N9">
            <v>9.4492820605606505E-4</v>
          </cell>
          <cell r="O9">
            <v>9.4983153349027002E-4</v>
          </cell>
        </row>
        <row r="10">
          <cell r="A10" t="str">
            <v>RHNS-SHNGAHP</v>
          </cell>
          <cell r="B10" t="str">
            <v>VAR_fout</v>
          </cell>
          <cell r="C10" t="str">
            <v>CO2_R</v>
          </cell>
          <cell r="D10"/>
          <cell r="E10"/>
          <cell r="F10">
            <v>0.246282034607964</v>
          </cell>
          <cell r="G10">
            <v>0.22273299481952799</v>
          </cell>
          <cell r="H10">
            <v>5.2486596437594999</v>
          </cell>
          <cell r="I10">
            <v>4.9196801677728796</v>
          </cell>
          <cell r="J10">
            <v>4.7367452539389099</v>
          </cell>
          <cell r="K10">
            <v>0.25601812651087003</v>
          </cell>
          <cell r="L10">
            <v>0.25551089383960501</v>
          </cell>
          <cell r="M10">
            <v>0.25525351342177899</v>
          </cell>
          <cell r="N10">
            <v>0.25503110786788102</v>
          </cell>
          <cell r="O10">
            <v>0.23941404446085299</v>
          </cell>
        </row>
        <row r="11">
          <cell r="A11" t="str">
            <v>RHNS-SHNGAHP</v>
          </cell>
          <cell r="B11" t="str">
            <v>VAR_fout</v>
          </cell>
          <cell r="C11" t="str">
            <v>RHNS-SHANGAH</v>
          </cell>
          <cell r="D11"/>
          <cell r="E11"/>
          <cell r="F11">
            <v>8.7334054825519095E-3</v>
          </cell>
          <cell r="G11">
            <v>8.2142664756138066E-3</v>
          </cell>
          <cell r="H11">
            <v>0.20008188358303036</v>
          </cell>
          <cell r="I11">
            <v>0.19364698532723043</v>
          </cell>
          <cell r="J11">
            <v>0.19148544643582832</v>
          </cell>
          <cell r="K11">
            <v>1.0622028653110575E-2</v>
          </cell>
          <cell r="L11">
            <v>1.0600983893345302E-2</v>
          </cell>
          <cell r="M11">
            <v>1.0590305344095066E-2</v>
          </cell>
          <cell r="N11">
            <v>1.0581077879624831E-2</v>
          </cell>
          <cell r="O11">
            <v>9.9331358872055894E-3</v>
          </cell>
        </row>
        <row r="12">
          <cell r="A12" t="str">
            <v>RHNS-SHNGAHP</v>
          </cell>
          <cell r="B12" t="str">
            <v>VAR_fin</v>
          </cell>
          <cell r="C12" t="str">
            <v>RNGA</v>
          </cell>
          <cell r="D12"/>
          <cell r="E12"/>
          <cell r="F12">
            <v>4.3667027412759565E-3</v>
          </cell>
          <cell r="G12">
            <v>3.949166574814332E-3</v>
          </cell>
          <cell r="H12">
            <v>9.306134120140945E-2</v>
          </cell>
          <cell r="I12">
            <v>8.7228371769022692E-2</v>
          </cell>
          <cell r="J12">
            <v>8.3984844927994878E-2</v>
          </cell>
          <cell r="K12">
            <v>4.539328484235286E-3</v>
          </cell>
          <cell r="L12">
            <v>4.5303349971561125E-3</v>
          </cell>
          <cell r="M12">
            <v>4.5257715145705412E-3</v>
          </cell>
          <cell r="N12">
            <v>4.5218281536858283E-3</v>
          </cell>
          <cell r="O12">
            <v>4.2449298663271755E-3</v>
          </cell>
        </row>
        <row r="13">
          <cell r="A13" t="str">
            <v>RHNS-SHNGAHP</v>
          </cell>
          <cell r="B13" t="str">
            <v>VAR_fin</v>
          </cell>
          <cell r="C13" t="str">
            <v>RHNSELCHPC</v>
          </cell>
          <cell r="D13"/>
          <cell r="E13"/>
          <cell r="F13">
            <v>8.7334054825519095E-3</v>
          </cell>
          <cell r="G13">
            <v>8.2142664756138066E-3</v>
          </cell>
          <cell r="H13">
            <v>0.20008188358303036</v>
          </cell>
          <cell r="I13">
            <v>0.19364698532723043</v>
          </cell>
          <cell r="J13">
            <v>0.19148544643582832</v>
          </cell>
          <cell r="K13">
            <v>1.0622028653110575E-2</v>
          </cell>
          <cell r="L13">
            <v>1.0600983893345302E-2</v>
          </cell>
          <cell r="M13">
            <v>1.0590305344095066E-2</v>
          </cell>
          <cell r="N13">
            <v>1.0581077879624831E-2</v>
          </cell>
          <cell r="O13">
            <v>9.9331358872055894E-3</v>
          </cell>
        </row>
        <row r="14">
          <cell r="A14" t="str">
            <v>RHNS-SHNGAHP</v>
          </cell>
          <cell r="B14" t="str">
            <v>VAR_ncap</v>
          </cell>
          <cell r="C14" t="str">
            <v>-</v>
          </cell>
          <cell r="D14"/>
          <cell r="E14">
            <v>5.3475909496143703E-6</v>
          </cell>
          <cell r="F14">
            <v>6.9287503693152503E-4</v>
          </cell>
          <cell r="G14">
            <v>2.6495194317526202E-6</v>
          </cell>
          <cell r="H14">
            <v>1.3985894936735899E-2</v>
          </cell>
          <cell r="I14">
            <v>1.08987021498686E-4</v>
          </cell>
          <cell r="J14">
            <v>1.0714648185242099E-5</v>
          </cell>
          <cell r="K14">
            <v>9.1063297354853105E-4</v>
          </cell>
          <cell r="L14">
            <v>1.7527130948579102E-5</v>
          </cell>
          <cell r="M14">
            <v>1.9417192795589901E-4</v>
          </cell>
          <cell r="N14">
            <v>6.5291040996347802E-4</v>
          </cell>
          <cell r="O14">
            <v>3.7635643977260901E-4</v>
          </cell>
        </row>
        <row r="15">
          <cell r="A15" t="str">
            <v>RHNS-SHNGAHP</v>
          </cell>
          <cell r="B15" t="str">
            <v>VAR_cap</v>
          </cell>
          <cell r="C15" t="str">
            <v>-</v>
          </cell>
          <cell r="D15"/>
          <cell r="E15">
            <v>5.3475909496143703E-6</v>
          </cell>
          <cell r="F15">
            <v>6.9794929356438917E-4</v>
          </cell>
          <cell r="G15">
            <v>6.9997963153560093E-4</v>
          </cell>
          <cell r="H15">
            <v>1.4681872312153281E-2</v>
          </cell>
          <cell r="I15">
            <v>1.4239662730456262E-2</v>
          </cell>
          <cell r="J15">
            <v>1.4103275664021236E-2</v>
          </cell>
          <cell r="K15">
            <v>1.0274783186175294E-3</v>
          </cell>
          <cell r="L15">
            <v>9.5148746842695032E-4</v>
          </cell>
          <cell r="M15">
            <v>1.1200533184651817E-3</v>
          </cell>
          <cell r="N15">
            <v>1.01712366153798E-3</v>
          </cell>
          <cell r="O15">
            <v>1.2207311626467293E-3</v>
          </cell>
        </row>
        <row r="16">
          <cell r="A16" t="str">
            <v>ITOT-SWHPLTBR</v>
          </cell>
          <cell r="B16" t="str">
            <v>VAR_fout</v>
          </cell>
          <cell r="C16" t="str">
            <v>ITOT-SWH</v>
          </cell>
          <cell r="D16">
            <v>0.46155699439457626</v>
          </cell>
          <cell r="E16">
            <v>0.54459699259928729</v>
          </cell>
          <cell r="F16">
            <v>0.54459698757868569</v>
          </cell>
          <cell r="G16">
            <v>0.54481638545389333</v>
          </cell>
          <cell r="H16">
            <v>0.54483446601404362</v>
          </cell>
          <cell r="I16">
            <v>0.54484728139883543</v>
          </cell>
          <cell r="J16">
            <v>0.54485067514787799</v>
          </cell>
          <cell r="K16">
            <v>0.54485361765240525</v>
          </cell>
          <cell r="L16">
            <v>0.54485602920518927</v>
          </cell>
          <cell r="M16">
            <v>0.54696213801372207</v>
          </cell>
          <cell r="N16">
            <v>0.54703661070811105</v>
          </cell>
          <cell r="O16">
            <v>0.54716885814119465</v>
          </cell>
        </row>
        <row r="17">
          <cell r="A17" t="str">
            <v>ITOT-SWHPLTBR</v>
          </cell>
          <cell r="B17" t="str">
            <v>VAR_fin</v>
          </cell>
          <cell r="C17" t="str">
            <v>ITOTPLTBRC</v>
          </cell>
          <cell r="D17">
            <v>0.46155699439457626</v>
          </cell>
          <cell r="E17">
            <v>0.54459699259928729</v>
          </cell>
          <cell r="F17">
            <v>0.54459698757868569</v>
          </cell>
          <cell r="G17">
            <v>0.54481638545389333</v>
          </cell>
          <cell r="H17">
            <v>0.54483446601404362</v>
          </cell>
          <cell r="I17">
            <v>0.54484728139883543</v>
          </cell>
          <cell r="J17">
            <v>0.54485067514787799</v>
          </cell>
          <cell r="K17">
            <v>0.54485361765240525</v>
          </cell>
          <cell r="L17">
            <v>0.54485602920518927</v>
          </cell>
          <cell r="M17">
            <v>0.54696213801372207</v>
          </cell>
          <cell r="N17">
            <v>0.54703661070811105</v>
          </cell>
          <cell r="O17">
            <v>0.54716885814119465</v>
          </cell>
        </row>
        <row r="18">
          <cell r="A18" t="str">
            <v>ITOT-SWHPLTBR</v>
          </cell>
          <cell r="B18" t="str">
            <v>VAR_fin</v>
          </cell>
          <cell r="C18" t="str">
            <v>IPLT</v>
          </cell>
          <cell r="D18">
            <v>0.62583999239942545</v>
          </cell>
          <cell r="E18">
            <v>0.7376031502473418</v>
          </cell>
          <cell r="F18">
            <v>0.73635649024723615</v>
          </cell>
          <cell r="G18">
            <v>0.73458389049963158</v>
          </cell>
          <cell r="H18">
            <v>0.73255054253989116</v>
          </cell>
          <cell r="I18">
            <v>0.73052149461296378</v>
          </cell>
          <cell r="J18">
            <v>0.72849115340106263</v>
          </cell>
          <cell r="K18">
            <v>0.72647149020320789</v>
          </cell>
          <cell r="L18">
            <v>0.7264747056069184</v>
          </cell>
          <cell r="M18">
            <v>0.72928285068496179</v>
          </cell>
          <cell r="N18">
            <v>0.72938214761081377</v>
          </cell>
          <cell r="O18">
            <v>0.7295584775215922</v>
          </cell>
        </row>
        <row r="19">
          <cell r="A19" t="str">
            <v>ITOT-SWHPLTBR</v>
          </cell>
          <cell r="B19" t="str">
            <v>VAR_ncap</v>
          </cell>
          <cell r="C19" t="str">
            <v>-</v>
          </cell>
          <cell r="D19"/>
          <cell r="E19">
            <v>8.2315024159053101E-3</v>
          </cell>
          <cell r="F19">
            <v>1.77205166362491E-4</v>
          </cell>
          <cell r="G19">
            <v>3.5318727540392999E-3</v>
          </cell>
          <cell r="H19">
            <v>2.73043730860527E-2</v>
          </cell>
          <cell r="I19">
            <v>1.1469685660271201E-2</v>
          </cell>
          <cell r="J19">
            <v>6.3913385003749896E-3</v>
          </cell>
          <cell r="K19">
            <v>2.37044573579357E-2</v>
          </cell>
          <cell r="L19">
            <v>9.9042142504647893E-3</v>
          </cell>
          <cell r="M19">
            <v>5.4065368354129601E-3</v>
          </cell>
          <cell r="N19">
            <v>2.50087475253663E-2</v>
          </cell>
          <cell r="O19">
            <v>5.0210063313465498E-3</v>
          </cell>
        </row>
        <row r="20">
          <cell r="A20" t="str">
            <v>ITOT-SWHPLTBR</v>
          </cell>
          <cell r="B20" t="str">
            <v>VAR_cap</v>
          </cell>
          <cell r="C20" t="str">
            <v>-</v>
          </cell>
          <cell r="D20">
            <v>2.9860759506449799E-2</v>
          </cell>
          <cell r="E20">
            <v>3.8088266260161562E-2</v>
          </cell>
          <cell r="F20">
            <v>3.8248112574610256E-2</v>
          </cell>
          <cell r="G20">
            <v>4.1754145538173228E-2</v>
          </cell>
          <cell r="H20">
            <v>4.2902593023464351E-2</v>
          </cell>
          <cell r="I20">
            <v>4.1630523421027424E-2</v>
          </cell>
          <cell r="J20">
            <v>4.5125032258321936E-2</v>
          </cell>
          <cell r="K20">
            <v>4.1512299933720423E-2</v>
          </cell>
          <cell r="L20">
            <v>4.0851395269875093E-2</v>
          </cell>
          <cell r="M20">
            <v>3.8939966057784492E-2</v>
          </cell>
          <cell r="N20">
            <v>4.1283022487562694E-2</v>
          </cell>
          <cell r="O20">
            <v>3.535241274398674E-2</v>
          </cell>
        </row>
        <row r="21">
          <cell r="A21" t="str">
            <v>D-RHNS_KEV_WOD_ELC_CHP</v>
          </cell>
          <cell r="B21" t="str">
            <v>VAR_fout</v>
          </cell>
          <cell r="C21" t="str">
            <v>RHNS_ELC</v>
          </cell>
          <cell r="D21"/>
          <cell r="E21"/>
          <cell r="F21"/>
          <cell r="G21">
            <v>6.4971746567055839E-4</v>
          </cell>
          <cell r="H21">
            <v>1.2260225673718309E-3</v>
          </cell>
          <cell r="I21">
            <v>2.967313281035919E-3</v>
          </cell>
          <cell r="J21">
            <v>2.5394580384434282E-3</v>
          </cell>
          <cell r="K21">
            <v>4.0387573360636288E-3</v>
          </cell>
          <cell r="L21">
            <v>2.1583370836864802E-3</v>
          </cell>
          <cell r="M21">
            <v>1.6222314507167641E-3</v>
          </cell>
          <cell r="N21">
            <v>1.6603766407253121E-3</v>
          </cell>
          <cell r="O21">
            <v>2.7149313562588309E-3</v>
          </cell>
        </row>
        <row r="22">
          <cell r="A22" t="str">
            <v>D-RHNS_KEV_WOD_ELC_CHP</v>
          </cell>
          <cell r="B22" t="str">
            <v>VAR_fout</v>
          </cell>
          <cell r="C22" t="str">
            <v>ELC5</v>
          </cell>
          <cell r="D22"/>
          <cell r="E22"/>
          <cell r="F22"/>
          <cell r="G22">
            <v>6.503936626535363E-4</v>
          </cell>
          <cell r="H22">
            <v>1.2273028037939483E-3</v>
          </cell>
          <cell r="I22">
            <v>2.9686969051415761E-3</v>
          </cell>
          <cell r="J22">
            <v>2.5405537461946448E-3</v>
          </cell>
          <cell r="K22">
            <v>4.0373731387990238E-3</v>
          </cell>
          <cell r="L22">
            <v>2.1555845458469461E-3</v>
          </cell>
          <cell r="M22">
            <v>1.6203978540922854E-3</v>
          </cell>
          <cell r="N22">
            <v>1.6591293838685293E-3</v>
          </cell>
          <cell r="O22">
            <v>2.7130884371582243E-3</v>
          </cell>
        </row>
        <row r="23">
          <cell r="A23" t="str">
            <v>D-RHNS_KEV_WOD_ELC_CHP</v>
          </cell>
          <cell r="B23" t="str">
            <v>VAR_fin</v>
          </cell>
          <cell r="C23" t="str">
            <v>RHNS_KEV_WOD_ELC_CHP</v>
          </cell>
          <cell r="D23"/>
          <cell r="E23"/>
          <cell r="F23"/>
          <cell r="G23">
            <v>1.271689150316701E-3</v>
          </cell>
          <cell r="H23">
            <v>2.4249033931583843E-3</v>
          </cell>
          <cell r="I23">
            <v>5.9075882081701028E-3</v>
          </cell>
          <cell r="J23">
            <v>5.0531809922677202E-3</v>
          </cell>
          <cell r="K23">
            <v>8.0477084968552572E-3</v>
          </cell>
          <cell r="L23">
            <v>4.2854996515260379E-3</v>
          </cell>
          <cell r="M23">
            <v>3.2142073268016567E-3</v>
          </cell>
          <cell r="N23">
            <v>3.2910840465864449E-3</v>
          </cell>
          <cell r="O23">
            <v>5.3995343372129695E-3</v>
          </cell>
        </row>
        <row r="24">
          <cell r="A24" t="str">
            <v>RHSA-WHWODBR</v>
          </cell>
          <cell r="B24" t="str">
            <v>VAR_fout</v>
          </cell>
          <cell r="C24" t="str">
            <v>RHSA-WHWOD</v>
          </cell>
          <cell r="D24">
            <v>0.52049782187930616</v>
          </cell>
          <cell r="E24">
            <v>0.59726856903071401</v>
          </cell>
          <cell r="F24">
            <v>0.37379278206102784</v>
          </cell>
          <cell r="G24">
            <v>0.31292293721907388</v>
          </cell>
          <cell r="H24">
            <v>0.24975065315483924</v>
          </cell>
          <cell r="I24">
            <v>0.22179088120729612</v>
          </cell>
          <cell r="J24">
            <v>0.22103941010188588</v>
          </cell>
          <cell r="K24">
            <v>0.27201018362068297</v>
          </cell>
          <cell r="L24">
            <v>0.18375542410464202</v>
          </cell>
          <cell r="M24">
            <v>0.17299748855821265</v>
          </cell>
          <cell r="N24">
            <v>0.12786842459098549</v>
          </cell>
          <cell r="O24">
            <v>9.8938783659809057E-2</v>
          </cell>
        </row>
        <row r="25">
          <cell r="A25" t="str">
            <v>RHSA-WHWODBR</v>
          </cell>
          <cell r="B25" t="str">
            <v>VAR_fin</v>
          </cell>
          <cell r="C25" t="str">
            <v>RWOD</v>
          </cell>
          <cell r="D25">
            <v>1.0409956437586123</v>
          </cell>
          <cell r="E25">
            <v>1.194537138061428</v>
          </cell>
          <cell r="F25">
            <v>0.74758556412205568</v>
          </cell>
          <cell r="G25">
            <v>0.62584587443814765</v>
          </cell>
          <cell r="H25">
            <v>0.49950130630967848</v>
          </cell>
          <cell r="I25">
            <v>0.44358176241459252</v>
          </cell>
          <cell r="J25">
            <v>0.44207882020377182</v>
          </cell>
          <cell r="K25">
            <v>0.54402036724136582</v>
          </cell>
          <cell r="L25">
            <v>0.36751084820928387</v>
          </cell>
          <cell r="M25">
            <v>0.34599497711642518</v>
          </cell>
          <cell r="N25">
            <v>0.25573684918197104</v>
          </cell>
          <cell r="O25">
            <v>0.19787756731961809</v>
          </cell>
        </row>
        <row r="26">
          <cell r="A26" t="str">
            <v>RHSA-WHWODBR</v>
          </cell>
          <cell r="B26" t="str">
            <v>VAR_ncap</v>
          </cell>
          <cell r="C26" t="str">
            <v>-</v>
          </cell>
          <cell r="D26"/>
          <cell r="E26">
            <v>5.1309438548679202E-3</v>
          </cell>
          <cell r="F26">
            <v>1.90717696073154E-6</v>
          </cell>
          <cell r="G26">
            <v>1.9658963429149198E-6</v>
          </cell>
          <cell r="H26">
            <v>5.4278969007623603E-3</v>
          </cell>
          <cell r="I26">
            <v>9.7901901790787595E-3</v>
          </cell>
          <cell r="J26">
            <v>1.3630656573421799E-5</v>
          </cell>
          <cell r="K26">
            <v>9.9283749099346504E-3</v>
          </cell>
          <cell r="L26">
            <v>1.3655734394631899E-3</v>
          </cell>
          <cell r="M26">
            <v>3.7500355429697898E-4</v>
          </cell>
          <cell r="N26">
            <v>5.9235559924745102E-3</v>
          </cell>
          <cell r="O26">
            <v>6.8706664870109204E-4</v>
          </cell>
        </row>
        <row r="27">
          <cell r="A27" t="str">
            <v>RHSA-WHWODBR</v>
          </cell>
          <cell r="B27" t="str">
            <v>VAR_cap</v>
          </cell>
          <cell r="C27" t="str">
            <v>-</v>
          </cell>
          <cell r="D27">
            <v>3.5322010722483803E-2</v>
          </cell>
          <cell r="E27">
            <v>4.0452745486025982E-2</v>
          </cell>
          <cell r="F27">
            <v>4.0392801856043041E-2</v>
          </cell>
          <cell r="G27">
            <v>4.0351573994570115E-2</v>
          </cell>
          <cell r="H27">
            <v>1.7188351711601258E-2</v>
          </cell>
          <cell r="I27">
            <v>1.5218525688081699E-2</v>
          </cell>
          <cell r="J27">
            <v>1.5229424469177587E-2</v>
          </cell>
          <cell r="K27">
            <v>1.9729355123432112E-2</v>
          </cell>
          <cell r="L27">
            <v>1.2806720668364925E-2</v>
          </cell>
          <cell r="M27">
            <v>1.1665434448950553E-2</v>
          </cell>
          <cell r="N27">
            <v>8.9850501712773843E-3</v>
          </cell>
          <cell r="O27">
            <v>6.9821104240398368E-3</v>
          </cell>
        </row>
        <row r="28">
          <cell r="A28" t="str">
            <v>RHES-SHWODBR</v>
          </cell>
          <cell r="B28" t="str">
            <v>VAR_fout</v>
          </cell>
          <cell r="C28" t="str">
            <v>RHES-SHWOD</v>
          </cell>
          <cell r="D28">
            <v>4.3871804988416834</v>
          </cell>
          <cell r="E28">
            <v>5.0342905014434232</v>
          </cell>
          <cell r="F28">
            <v>4.9461913913379307</v>
          </cell>
          <cell r="G28">
            <v>4.1900823108083713</v>
          </cell>
          <cell r="H28">
            <v>3.3298250373870992</v>
          </cell>
          <cell r="I28">
            <v>2.7468859742813461</v>
          </cell>
          <cell r="J28">
            <v>2.746465111880307</v>
          </cell>
          <cell r="K28">
            <v>3.9771708465449729</v>
          </cell>
          <cell r="L28">
            <v>3.1898320606673711</v>
          </cell>
          <cell r="M28">
            <v>3.0786783469727754</v>
          </cell>
          <cell r="N28">
            <v>2.0226602586475857</v>
          </cell>
          <cell r="O28">
            <v>1.5961260034932272</v>
          </cell>
        </row>
        <row r="29">
          <cell r="A29" t="str">
            <v>RHES-SHWODBR</v>
          </cell>
          <cell r="B29" t="str">
            <v>VAR_fin</v>
          </cell>
          <cell r="C29" t="str">
            <v>RWOD</v>
          </cell>
          <cell r="D29">
            <v>6.0933062483912233</v>
          </cell>
          <cell r="E29">
            <v>6.9920701408936461</v>
          </cell>
          <cell r="F29">
            <v>6.8697102657471181</v>
          </cell>
          <cell r="G29">
            <v>5.8195587650116245</v>
          </cell>
          <cell r="H29">
            <v>4.6247569963709712</v>
          </cell>
          <cell r="I29">
            <v>3.8151194087240965</v>
          </cell>
          <cell r="J29">
            <v>3.8145348776115351</v>
          </cell>
          <cell r="K29">
            <v>5.5238483979791289</v>
          </cell>
          <cell r="L29">
            <v>4.4303223064824611</v>
          </cell>
          <cell r="M29">
            <v>4.2759421485733</v>
          </cell>
          <cell r="N29">
            <v>2.8092503592327618</v>
          </cell>
          <cell r="O29">
            <v>2.2168416715183721</v>
          </cell>
        </row>
        <row r="30">
          <cell r="A30" t="str">
            <v>RHES-SHWODBR</v>
          </cell>
          <cell r="B30" t="str">
            <v>VAR_ncap</v>
          </cell>
          <cell r="C30" t="str">
            <v>-</v>
          </cell>
          <cell r="D30"/>
          <cell r="E30">
            <v>5.2311284533152702E-2</v>
          </cell>
          <cell r="F30">
            <v>1.50721658998359E-6</v>
          </cell>
          <cell r="G30">
            <v>2.5272995754342901E-6</v>
          </cell>
          <cell r="H30">
            <v>0.15040761382190701</v>
          </cell>
          <cell r="I30">
            <v>7.1971666331218903E-2</v>
          </cell>
          <cell r="J30">
            <v>2.1989539374705299E-5</v>
          </cell>
          <cell r="K30">
            <v>0.24995973867686599</v>
          </cell>
          <cell r="L30">
            <v>4.0040308959762199E-6</v>
          </cell>
          <cell r="M30">
            <v>5.4689344577264301E-6</v>
          </cell>
          <cell r="N30">
            <v>0.121531691986126</v>
          </cell>
          <cell r="O30">
            <v>8.6481117663368898E-3</v>
          </cell>
        </row>
        <row r="31">
          <cell r="A31" t="str">
            <v>RHES-SHWODBR</v>
          </cell>
          <cell r="B31" t="str">
            <v>VAR_cap</v>
          </cell>
          <cell r="C31" t="str">
            <v>-</v>
          </cell>
          <cell r="D31">
            <v>0.354428052062076</v>
          </cell>
          <cell r="E31">
            <v>0.40673919605815179</v>
          </cell>
          <cell r="F31">
            <v>0.40673545416404872</v>
          </cell>
          <cell r="G31">
            <v>0.40673344449318316</v>
          </cell>
          <cell r="H31">
            <v>0.26912387014624184</v>
          </cell>
          <cell r="I31">
            <v>0.22238008445649782</v>
          </cell>
          <cell r="J31">
            <v>0.22239881859277261</v>
          </cell>
          <cell r="K31">
            <v>0.3219517758542409</v>
          </cell>
          <cell r="L31">
            <v>0.26103786824770009</v>
          </cell>
          <cell r="M31">
            <v>0.24996348315066871</v>
          </cell>
          <cell r="N31">
            <v>0.16580949079166526</v>
          </cell>
          <cell r="O31">
            <v>0.13018281667970269</v>
          </cell>
        </row>
        <row r="32">
          <cell r="A32" t="str">
            <v>D-EH2</v>
          </cell>
          <cell r="B32" t="str">
            <v>VAR_fout</v>
          </cell>
          <cell r="C32" t="str">
            <v>EH2</v>
          </cell>
          <cell r="D32"/>
          <cell r="E32"/>
          <cell r="F32"/>
          <cell r="G32"/>
          <cell r="H32"/>
          <cell r="I32">
            <v>7.1146500961437306E-2</v>
          </cell>
          <cell r="J32">
            <v>6.5538510035238792E-2</v>
          </cell>
          <cell r="K32">
            <v>3.3641931469621758E-2</v>
          </cell>
          <cell r="L32">
            <v>1.8782935360770441</v>
          </cell>
          <cell r="M32">
            <v>2.4453276509494684</v>
          </cell>
          <cell r="N32">
            <v>2.4824052244807224</v>
          </cell>
          <cell r="O32">
            <v>2.5461824518009979</v>
          </cell>
        </row>
        <row r="33">
          <cell r="A33" t="str">
            <v>D-EH2</v>
          </cell>
          <cell r="B33" t="str">
            <v>VAR_fin</v>
          </cell>
          <cell r="C33" t="str">
            <v>H2</v>
          </cell>
          <cell r="D33"/>
          <cell r="E33"/>
          <cell r="F33"/>
          <cell r="G33"/>
          <cell r="H33"/>
          <cell r="I33">
            <v>7.1865152486300307E-2</v>
          </cell>
          <cell r="J33">
            <v>6.6200515187109954E-2</v>
          </cell>
          <cell r="K33">
            <v>3.3981748959213923E-2</v>
          </cell>
          <cell r="L33">
            <v>1.8972661980576184</v>
          </cell>
          <cell r="M33">
            <v>2.4700279302519887</v>
          </cell>
          <cell r="N33">
            <v>2.5074800247280047</v>
          </cell>
          <cell r="O33">
            <v>2.5719014664656514</v>
          </cell>
        </row>
        <row r="34">
          <cell r="A34" t="str">
            <v>D-EH2</v>
          </cell>
          <cell r="B34" t="str">
            <v>VAR_ncap</v>
          </cell>
          <cell r="C34" t="str">
            <v>-</v>
          </cell>
          <cell r="D34"/>
          <cell r="E34"/>
          <cell r="F34"/>
          <cell r="G34">
            <v>4.00806613879453E-6</v>
          </cell>
          <cell r="H34">
            <v>9.0334583250371292E-6</v>
          </cell>
          <cell r="I34">
            <v>5.6043717952475904E-3</v>
          </cell>
          <cell r="J34">
            <v>9.7689263363174699E-5</v>
          </cell>
          <cell r="K34">
            <v>1.19551000303479E-3</v>
          </cell>
          <cell r="L34">
            <v>9.3493442319199302E-2</v>
          </cell>
          <cell r="M34">
            <v>6.9828589935103894E-2</v>
          </cell>
          <cell r="N34">
            <v>1.5520911632771299E-3</v>
          </cell>
          <cell r="O34">
            <v>3.12623601199793E-2</v>
          </cell>
        </row>
        <row r="35">
          <cell r="A35" t="str">
            <v>D-EH2</v>
          </cell>
          <cell r="B35" t="str">
            <v>VAR_cap</v>
          </cell>
          <cell r="C35" t="str">
            <v>-</v>
          </cell>
          <cell r="D35"/>
          <cell r="E35"/>
          <cell r="F35"/>
          <cell r="G35">
            <v>4.00806613879453E-6</v>
          </cell>
          <cell r="H35">
            <v>1.3041524463831701E-5</v>
          </cell>
          <cell r="I35">
            <v>5.6174133197114196E-3</v>
          </cell>
          <cell r="J35">
            <v>5.7151025830745996E-3</v>
          </cell>
          <cell r="K35">
            <v>6.9106125861093902E-3</v>
          </cell>
          <cell r="L35">
            <v>0.100404054905309</v>
          </cell>
          <cell r="M35">
            <v>0.17023264484041301</v>
          </cell>
          <cell r="N35">
            <v>0.17178346539185199</v>
          </cell>
          <cell r="O35">
            <v>0.20304308805752999</v>
          </cell>
        </row>
        <row r="36">
          <cell r="A36" t="str">
            <v>SCOM-SHWODBR</v>
          </cell>
          <cell r="B36" t="str">
            <v>VAR_fout</v>
          </cell>
          <cell r="C36" t="str">
            <v>SCOM-SHWOD</v>
          </cell>
          <cell r="D36">
            <v>6.17357264902342</v>
          </cell>
          <cell r="E36">
            <v>6.0527096646687628</v>
          </cell>
          <cell r="F36">
            <v>6.1355186337415679</v>
          </cell>
          <cell r="G36">
            <v>6.0537385881177652</v>
          </cell>
          <cell r="H36">
            <v>7.5425996224714762</v>
          </cell>
          <cell r="I36">
            <v>9.6602653932648543</v>
          </cell>
          <cell r="J36">
            <v>16.553337209255737</v>
          </cell>
          <cell r="K36">
            <v>6.3197842629022878</v>
          </cell>
          <cell r="L36">
            <v>2.2847502608105419</v>
          </cell>
          <cell r="M36">
            <v>1.547519661369684</v>
          </cell>
          <cell r="N36">
            <v>0.37419903630813317</v>
          </cell>
          <cell r="O36">
            <v>0.37545299388354381</v>
          </cell>
        </row>
        <row r="37">
          <cell r="A37" t="str">
            <v>SCOM-SHWODBR</v>
          </cell>
          <cell r="B37" t="str">
            <v>VAR_fin</v>
          </cell>
          <cell r="C37" t="str">
            <v>SWOD</v>
          </cell>
          <cell r="D37">
            <v>8.5744064569769716</v>
          </cell>
          <cell r="E37">
            <v>8.4065412009288245</v>
          </cell>
          <cell r="F37">
            <v>8.5215536579743958</v>
          </cell>
          <cell r="G37">
            <v>8.4079702612746754</v>
          </cell>
          <cell r="H37">
            <v>10.47583280898816</v>
          </cell>
          <cell r="I37">
            <v>13.417035268423405</v>
          </cell>
          <cell r="J37">
            <v>22.990746123966304</v>
          </cell>
          <cell r="K37">
            <v>8.7774781429198487</v>
          </cell>
          <cell r="L37">
            <v>3.1732642511257532</v>
          </cell>
          <cell r="M37">
            <v>2.1493328630134494</v>
          </cell>
          <cell r="N37">
            <v>0.51972088376129599</v>
          </cell>
          <cell r="O37">
            <v>0.52146249150492263</v>
          </cell>
        </row>
        <row r="38">
          <cell r="A38" t="str">
            <v>SCOM-SHWODBR</v>
          </cell>
          <cell r="B38" t="str">
            <v>VAR_ncap</v>
          </cell>
          <cell r="C38" t="str">
            <v>-</v>
          </cell>
          <cell r="D38">
            <v>4.1785134744214E-6</v>
          </cell>
          <cell r="E38">
            <v>2.0144807264688099E-5</v>
          </cell>
          <cell r="F38">
            <v>8.6354517373265408E-6</v>
          </cell>
          <cell r="G38">
            <v>7.1536110037591903E-6</v>
          </cell>
          <cell r="H38">
            <v>0.48606576752921199</v>
          </cell>
          <cell r="I38">
            <v>0.27190240559016299</v>
          </cell>
          <cell r="J38">
            <v>0.53760012824690395</v>
          </cell>
          <cell r="K38">
            <v>6.4290664103693607E-2</v>
          </cell>
          <cell r="L38">
            <v>8.5015031001575994E-2</v>
          </cell>
          <cell r="M38">
            <v>6.8131223523521593E-5</v>
          </cell>
          <cell r="N38">
            <v>1.0249932539521E-4</v>
          </cell>
          <cell r="O38">
            <v>6.2437747272737203E-2</v>
          </cell>
        </row>
        <row r="39">
          <cell r="A39" t="str">
            <v>SCOM-SHWODBR</v>
          </cell>
          <cell r="B39" t="str">
            <v>VAR_cap</v>
          </cell>
          <cell r="C39" t="str">
            <v>-</v>
          </cell>
          <cell r="D39">
            <v>0.47842445633058639</v>
          </cell>
          <cell r="E39">
            <v>0.47843853556994892</v>
          </cell>
          <cell r="F39">
            <v>0.47842570808949736</v>
          </cell>
          <cell r="G39">
            <v>0.47835576359365739</v>
          </cell>
          <cell r="H39">
            <v>0.6101240602184369</v>
          </cell>
          <cell r="I39">
            <v>0.75796945659250969</v>
          </cell>
          <cell r="J39">
            <v>1.2955607955956234</v>
          </cell>
          <cell r="K39">
            <v>0.87163776657374936</v>
          </cell>
          <cell r="L39">
            <v>0.37783893022493603</v>
          </cell>
          <cell r="M39">
            <v>0.14935630140556952</v>
          </cell>
          <cell r="N39">
            <v>6.1578477760464295E-2</v>
          </cell>
          <cell r="O39">
            <v>6.2552853585032764E-2</v>
          </cell>
        </row>
        <row r="40">
          <cell r="A40" t="str">
            <v>ITOT-SWHLTHCHP</v>
          </cell>
          <cell r="B40" t="str">
            <v>VAR_fout</v>
          </cell>
          <cell r="C40" t="str">
            <v>ITOT-SWH</v>
          </cell>
          <cell r="D40">
            <v>5.1850799356611432</v>
          </cell>
          <cell r="E40">
            <v>5.5675839027166312</v>
          </cell>
          <cell r="F40">
            <v>5.697432342423479</v>
          </cell>
          <cell r="G40">
            <v>6.3807928759756853</v>
          </cell>
          <cell r="H40">
            <v>6.5035710637616315</v>
          </cell>
          <cell r="I40">
            <v>7.2556832635334834</v>
          </cell>
          <cell r="J40">
            <v>9.6866147036939143</v>
          </cell>
          <cell r="K40">
            <v>12.53681799981319</v>
          </cell>
          <cell r="L40">
            <v>12.261131496918194</v>
          </cell>
          <cell r="M40">
            <v>12.341772596394721</v>
          </cell>
          <cell r="N40">
            <v>13.074480037233259</v>
          </cell>
          <cell r="O40">
            <v>13.354431313487774</v>
          </cell>
        </row>
        <row r="41">
          <cell r="A41" t="str">
            <v>ITOT-SWHLTHCHP</v>
          </cell>
          <cell r="B41" t="str">
            <v>VAR_fin</v>
          </cell>
          <cell r="C41" t="str">
            <v>ITOTLTHCHPC</v>
          </cell>
          <cell r="D41">
            <v>5.1850799356611432</v>
          </cell>
          <cell r="E41">
            <v>5.5675839027166312</v>
          </cell>
          <cell r="F41">
            <v>5.697432342423479</v>
          </cell>
          <cell r="G41">
            <v>6.3807928759756853</v>
          </cell>
          <cell r="H41">
            <v>6.5035710637616315</v>
          </cell>
          <cell r="I41">
            <v>7.2556832635334834</v>
          </cell>
          <cell r="J41">
            <v>9.6866147036939143</v>
          </cell>
          <cell r="K41">
            <v>12.53681799981319</v>
          </cell>
          <cell r="L41">
            <v>12.261131496918194</v>
          </cell>
          <cell r="M41">
            <v>12.341772596394721</v>
          </cell>
          <cell r="N41">
            <v>13.074480037233259</v>
          </cell>
          <cell r="O41">
            <v>13.354431313487774</v>
          </cell>
        </row>
        <row r="42">
          <cell r="A42" t="str">
            <v>ITOT-SWHLTHCHP</v>
          </cell>
          <cell r="B42" t="str">
            <v>VAR_fin</v>
          </cell>
          <cell r="C42" t="str">
            <v>ITOT_LTH_CHP_ON</v>
          </cell>
          <cell r="D42">
            <v>5.6086674658280904</v>
          </cell>
          <cell r="E42">
            <v>6.0095479056429371</v>
          </cell>
          <cell r="F42">
            <v>6.1300514237650043</v>
          </cell>
          <cell r="G42">
            <v>6.8289292636510677</v>
          </cell>
          <cell r="H42">
            <v>6.9236494709748522</v>
          </cell>
          <cell r="I42">
            <v>7.6838481845109081</v>
          </cell>
          <cell r="J42">
            <v>10.227240548163158</v>
          </cell>
          <cell r="K42">
            <v>13.196650526119143</v>
          </cell>
          <cell r="L42">
            <v>12.906454207282305</v>
          </cell>
          <cell r="M42">
            <v>12.991339575152338</v>
          </cell>
          <cell r="N42">
            <v>13.762610565508698</v>
          </cell>
          <cell r="O42">
            <v>14.057296119460819</v>
          </cell>
        </row>
        <row r="43">
          <cell r="A43" t="str">
            <v>ITOT-SWHLTHCHP</v>
          </cell>
          <cell r="B43" t="str">
            <v>VAR_ncap</v>
          </cell>
          <cell r="C43" t="str">
            <v>-</v>
          </cell>
          <cell r="D43"/>
          <cell r="E43">
            <v>0.120269727914422</v>
          </cell>
          <cell r="F43">
            <v>0.15629556950456699</v>
          </cell>
          <cell r="G43">
            <v>0.10884386229876</v>
          </cell>
          <cell r="H43">
            <v>0.208877846777101</v>
          </cell>
          <cell r="I43">
            <v>0.33118013526178097</v>
          </cell>
          <cell r="J43">
            <v>0.43107149194543498</v>
          </cell>
          <cell r="K43">
            <v>0.56464648593934197</v>
          </cell>
          <cell r="L43">
            <v>0.38140835769444098</v>
          </cell>
          <cell r="M43">
            <v>0.48459955051314302</v>
          </cell>
          <cell r="N43">
            <v>0.56141923251923198</v>
          </cell>
          <cell r="O43">
            <v>0.437662005239706</v>
          </cell>
        </row>
        <row r="44">
          <cell r="A44" t="str">
            <v>ITOT-SWHLTHCHP</v>
          </cell>
          <cell r="B44" t="str">
            <v>VAR_cap</v>
          </cell>
          <cell r="C44" t="str">
            <v>-</v>
          </cell>
          <cell r="D44">
            <v>0.62661755442165901</v>
          </cell>
          <cell r="E44">
            <v>0.45213216116534705</v>
          </cell>
          <cell r="F44">
            <v>0.47336210451445793</v>
          </cell>
          <cell r="G44">
            <v>0.38260907010027789</v>
          </cell>
          <cell r="H44">
            <v>0.38357998295309803</v>
          </cell>
          <cell r="I44">
            <v>0.51723923717608</v>
          </cell>
          <cell r="J44">
            <v>0.80464048201393801</v>
          </cell>
          <cell r="K44">
            <v>1.0883661270406431</v>
          </cell>
          <cell r="L44">
            <v>1.023656237949464</v>
          </cell>
          <cell r="M44">
            <v>1.0390285411034652</v>
          </cell>
          <cell r="N44">
            <v>1.073807456180107</v>
          </cell>
          <cell r="O44">
            <v>1.0932631821507379</v>
          </cell>
        </row>
        <row r="45">
          <cell r="A45" t="str">
            <v>RHSA-WHSTG-NGAHP</v>
          </cell>
          <cell r="B45" t="str">
            <v>VAR_fout</v>
          </cell>
          <cell r="C45" t="str">
            <v>RHSA-WHANGAH</v>
          </cell>
          <cell r="D45"/>
          <cell r="E45"/>
          <cell r="F45">
            <v>5.0851701267833039E-4</v>
          </cell>
          <cell r="G45">
            <v>6.234954887166435E-4</v>
          </cell>
          <cell r="H45">
            <v>7.5907449687101114E-2</v>
          </cell>
          <cell r="I45">
            <v>8.0168905297052395E-2</v>
          </cell>
          <cell r="J45">
            <v>0.14737294523080166</v>
          </cell>
          <cell r="K45">
            <v>4.5718012417712478E-2</v>
          </cell>
          <cell r="L45">
            <v>6.6006932498686333E-2</v>
          </cell>
          <cell r="M45">
            <v>6.107407809904436E-2</v>
          </cell>
          <cell r="N45">
            <v>6.7138529375370751E-2</v>
          </cell>
          <cell r="O45">
            <v>5.6385869949916838E-2</v>
          </cell>
        </row>
        <row r="46">
          <cell r="A46" t="str">
            <v>RHSA-WHSTG-NGAHP</v>
          </cell>
          <cell r="B46" t="str">
            <v>VAR_fin</v>
          </cell>
          <cell r="C46" t="str">
            <v>RHSA-WHANGAH</v>
          </cell>
          <cell r="D46"/>
          <cell r="E46"/>
          <cell r="F46">
            <v>5.0857905041937213E-4</v>
          </cell>
          <cell r="G46">
            <v>6.2355793724559445E-4</v>
          </cell>
          <cell r="H46">
            <v>7.5913827994256666E-2</v>
          </cell>
          <cell r="I46">
            <v>8.0175051945568315E-2</v>
          </cell>
          <cell r="J46">
            <v>0.14738342985423339</v>
          </cell>
          <cell r="K46">
            <v>4.5722480868035723E-2</v>
          </cell>
          <cell r="L46">
            <v>6.6011233254666943E-2</v>
          </cell>
          <cell r="M46">
            <v>6.1078165536516162E-2</v>
          </cell>
          <cell r="N46">
            <v>6.71427781522725E-2</v>
          </cell>
          <cell r="O46">
            <v>5.6390194154409858E-2</v>
          </cell>
        </row>
        <row r="47">
          <cell r="A47" t="str">
            <v>RHSA-WHSTG-NGAHP</v>
          </cell>
          <cell r="B47" t="str">
            <v>VAR_ncap</v>
          </cell>
          <cell r="C47" t="str">
            <v>-</v>
          </cell>
          <cell r="D47">
            <v>6.2255421542604906E-5</v>
          </cell>
          <cell r="E47">
            <v>1.5302195359183201E-6</v>
          </cell>
          <cell r="F47">
            <v>1.5971562744030899E-4</v>
          </cell>
          <cell r="G47">
            <v>6.9318015447184699E-5</v>
          </cell>
          <cell r="H47">
            <v>1.4192803076472501E-2</v>
          </cell>
          <cell r="I47">
            <v>2.28902249175118E-4</v>
          </cell>
          <cell r="J47">
            <v>9.4127311775656208E-3</v>
          </cell>
          <cell r="K47">
            <v>7.0234266489457701E-4</v>
          </cell>
          <cell r="L47">
            <v>1.49099786911191E-3</v>
          </cell>
          <cell r="M47">
            <v>7.6637420063093197E-3</v>
          </cell>
          <cell r="N47">
            <v>1.4763081744383899E-3</v>
          </cell>
          <cell r="O47">
            <v>1.39606959802516E-3</v>
          </cell>
        </row>
        <row r="48">
          <cell r="A48" t="str">
            <v>RHSA-WHSTG-NGAHP</v>
          </cell>
          <cell r="B48" t="str">
            <v>VAR_cap</v>
          </cell>
          <cell r="C48" t="str">
            <v>-</v>
          </cell>
          <cell r="D48">
            <v>6.2259761382665413E-5</v>
          </cell>
          <cell r="E48">
            <v>2.0886831840818954E-6</v>
          </cell>
          <cell r="F48">
            <v>1.6097788155120332E-4</v>
          </cell>
          <cell r="G48">
            <v>1.6308051662263447E-4</v>
          </cell>
          <cell r="H48">
            <v>1.4316782029512934E-2</v>
          </cell>
          <cell r="I48">
            <v>1.4195265317475187E-2</v>
          </cell>
          <cell r="J48">
            <v>2.3458886765278873E-2</v>
          </cell>
          <cell r="K48">
            <v>9.7925270008889301E-3</v>
          </cell>
          <cell r="L48">
            <v>9.5548222075130269E-3</v>
          </cell>
          <cell r="M48">
            <v>9.3132974042729084E-3</v>
          </cell>
          <cell r="N48">
            <v>9.5814133890195427E-3</v>
          </cell>
          <cell r="O48">
            <v>9.6168910213258671E-3</v>
          </cell>
        </row>
        <row r="49">
          <cell r="A49" t="str">
            <v>D-RES_LTH</v>
          </cell>
          <cell r="B49" t="str">
            <v>VAR_fout</v>
          </cell>
          <cell r="C49" t="str">
            <v>RHNS_LTH_DH</v>
          </cell>
          <cell r="D49"/>
          <cell r="E49">
            <v>5.4479879406454997E-2</v>
          </cell>
          <cell r="F49">
            <v>7.1528424071797922E-2</v>
          </cell>
          <cell r="G49">
            <v>0.11354045398839129</v>
          </cell>
          <cell r="H49">
            <v>0.17686926387822091</v>
          </cell>
          <cell r="I49">
            <v>0.25173761007019407</v>
          </cell>
          <cell r="J49">
            <v>0.34418286857539537</v>
          </cell>
          <cell r="K49">
            <v>0.45636159126112441</v>
          </cell>
          <cell r="L49">
            <v>0.47964456063250721</v>
          </cell>
          <cell r="M49">
            <v>0.50411804524057424</v>
          </cell>
          <cell r="N49">
            <v>0.52984355918196524</v>
          </cell>
          <cell r="O49">
            <v>0.55690059158516525</v>
          </cell>
        </row>
        <row r="50">
          <cell r="A50" t="str">
            <v>D-RES_LTH</v>
          </cell>
          <cell r="B50" t="str">
            <v>VAR_fout</v>
          </cell>
          <cell r="C50" t="str">
            <v>RHEM_LTH_DH</v>
          </cell>
          <cell r="D50">
            <v>2.3659369378479811</v>
          </cell>
          <cell r="E50">
            <v>3.827020094094943</v>
          </cell>
          <cell r="F50">
            <v>3.8174239301255719</v>
          </cell>
          <cell r="G50">
            <v>3.2421265976265188</v>
          </cell>
          <cell r="H50">
            <v>2.9583011973908238</v>
          </cell>
          <cell r="I50">
            <v>3.6136310779371317</v>
          </cell>
          <cell r="J50">
            <v>3.5255431314795254</v>
          </cell>
          <cell r="K50">
            <v>3.4962573251508022</v>
          </cell>
          <cell r="L50">
            <v>3.3586661262479809</v>
          </cell>
          <cell r="M50">
            <v>3.2129933997215647</v>
          </cell>
          <cell r="N50">
            <v>3.3175184790164791</v>
          </cell>
          <cell r="O50">
            <v>2.293684559325706</v>
          </cell>
        </row>
        <row r="51">
          <cell r="A51" t="str">
            <v>D-RES_LTH</v>
          </cell>
          <cell r="B51" t="str">
            <v>VAR_fout</v>
          </cell>
          <cell r="C51" t="str">
            <v>RHES_LTH_DH</v>
          </cell>
          <cell r="D51">
            <v>2.31581063558597</v>
          </cell>
          <cell r="E51">
            <v>3.5392125584064265</v>
          </cell>
          <cell r="F51">
            <v>3.4595159323752913</v>
          </cell>
          <cell r="G51">
            <v>1.7566757361161651</v>
          </cell>
          <cell r="H51">
            <v>3.1140425912159091</v>
          </cell>
          <cell r="I51">
            <v>2.8051452164458208</v>
          </cell>
          <cell r="J51">
            <v>2.6523833238687708</v>
          </cell>
          <cell r="K51">
            <v>2.5504172539748153</v>
          </cell>
          <cell r="L51">
            <v>2.3836535425988021</v>
          </cell>
          <cell r="M51">
            <v>1.8832971895431807</v>
          </cell>
          <cell r="N51">
            <v>2.2547111668876694</v>
          </cell>
          <cell r="O51">
            <v>2.1184920563224532</v>
          </cell>
        </row>
        <row r="52">
          <cell r="A52" t="str">
            <v>D-RES_LTH</v>
          </cell>
          <cell r="B52" t="str">
            <v>VAR_fout</v>
          </cell>
          <cell r="C52" t="str">
            <v>RHSA_LTH</v>
          </cell>
          <cell r="D52">
            <v>3.6583355613967776</v>
          </cell>
          <cell r="E52">
            <v>1.783538918696103</v>
          </cell>
          <cell r="F52">
            <v>1.7835403156450487</v>
          </cell>
          <cell r="G52">
            <v>1.7835411409095663</v>
          </cell>
          <cell r="H52">
            <v>1.7835431751810833</v>
          </cell>
          <cell r="I52">
            <v>1.7835458299932672</v>
          </cell>
          <cell r="J52">
            <v>1.7835492740853731</v>
          </cell>
          <cell r="K52">
            <v>1.7835542838694258</v>
          </cell>
          <cell r="L52">
            <v>1.7835610609666297</v>
          </cell>
          <cell r="M52">
            <v>1.7835709566641005</v>
          </cell>
          <cell r="N52">
            <v>1.7835991875872235</v>
          </cell>
          <cell r="O52">
            <v>1.783641498515705</v>
          </cell>
        </row>
        <row r="53">
          <cell r="A53" t="str">
            <v>D-RES_LTH</v>
          </cell>
          <cell r="B53" t="str">
            <v>VAR_fout</v>
          </cell>
          <cell r="C53" t="str">
            <v>RHNM_LTH_DH</v>
          </cell>
          <cell r="D53"/>
          <cell r="E53">
            <v>0.35010945512751063</v>
          </cell>
          <cell r="F53">
            <v>0.3826409331148965</v>
          </cell>
          <cell r="G53">
            <v>0.44358203135049401</v>
          </cell>
          <cell r="H53">
            <v>0.51422978891430204</v>
          </cell>
          <cell r="I53">
            <v>0.59613008013948243</v>
          </cell>
          <cell r="J53">
            <v>0.69107586654078434</v>
          </cell>
          <cell r="K53">
            <v>0.80114481867313259</v>
          </cell>
          <cell r="L53">
            <v>0.92874498461054478</v>
          </cell>
          <cell r="M53">
            <v>1.0766729367982422</v>
          </cell>
          <cell r="N53">
            <v>1.2481596937549646</v>
          </cell>
          <cell r="O53">
            <v>1.4469798354539294</v>
          </cell>
        </row>
        <row r="54">
          <cell r="A54" t="str">
            <v>D-RES_LTH</v>
          </cell>
          <cell r="B54" t="str">
            <v>VAR_fin</v>
          </cell>
          <cell r="C54" t="str">
            <v>LTH</v>
          </cell>
          <cell r="D54">
            <v>9.2188199435314537</v>
          </cell>
          <cell r="E54">
            <v>10.561037754840312</v>
          </cell>
          <cell r="F54">
            <v>10.493772959186858</v>
          </cell>
          <cell r="G54">
            <v>8.0648806819793197</v>
          </cell>
          <cell r="H54">
            <v>9.3572236554251855</v>
          </cell>
          <cell r="I54">
            <v>9.8718399238365926</v>
          </cell>
          <cell r="J54">
            <v>9.7777188450452464</v>
          </cell>
          <cell r="K54">
            <v>9.8407074204635219</v>
          </cell>
          <cell r="L54">
            <v>9.6745269477722395</v>
          </cell>
          <cell r="M54">
            <v>9.1616671935798504</v>
          </cell>
          <cell r="N54">
            <v>9.8906236252203552</v>
          </cell>
          <cell r="O54">
            <v>8.87909163907349</v>
          </cell>
        </row>
        <row r="55">
          <cell r="A55" t="str">
            <v>D-RES_LTH</v>
          </cell>
          <cell r="B55" t="str">
            <v>VAR_ncap</v>
          </cell>
          <cell r="C55" t="str">
            <v>-</v>
          </cell>
          <cell r="D55">
            <v>0.62767891150414101</v>
          </cell>
          <cell r="E55">
            <v>3.3196494532823598E-2</v>
          </cell>
          <cell r="F55">
            <v>2.2405409208456702E-3</v>
          </cell>
          <cell r="G55">
            <v>6.9759534952153297E-3</v>
          </cell>
          <cell r="H55">
            <v>1.3877565953831199E-2</v>
          </cell>
          <cell r="I55">
            <v>1.27862899680336E-2</v>
          </cell>
          <cell r="J55">
            <v>1.29492198867498E-2</v>
          </cell>
          <cell r="K55">
            <v>1.78805680961867E-2</v>
          </cell>
          <cell r="L55">
            <v>8.83015491442239E-3</v>
          </cell>
          <cell r="M55">
            <v>1.5426023699111601E-2</v>
          </cell>
          <cell r="N55">
            <v>1.0459457998018701E-2</v>
          </cell>
          <cell r="O55">
            <v>1.7657835692763101E-2</v>
          </cell>
        </row>
        <row r="56">
          <cell r="A56" t="str">
            <v>D-RES_LTH</v>
          </cell>
          <cell r="B56" t="str">
            <v>VAR_cap</v>
          </cell>
          <cell r="C56" t="str">
            <v>-</v>
          </cell>
          <cell r="D56">
            <v>0.62767891150414101</v>
          </cell>
          <cell r="E56">
            <v>0.66087540603696404</v>
          </cell>
          <cell r="F56">
            <v>0.66311594695780995</v>
          </cell>
          <cell r="G56">
            <v>0.67009190045302502</v>
          </cell>
          <cell r="H56">
            <v>0.68396946640685596</v>
          </cell>
          <cell r="I56">
            <v>0.69675575637488996</v>
          </cell>
          <cell r="J56">
            <v>0.70970497626163997</v>
          </cell>
          <cell r="K56">
            <v>0.72758554435782696</v>
          </cell>
          <cell r="L56">
            <v>0.73641569927224904</v>
          </cell>
          <cell r="M56">
            <v>0.75184172297136098</v>
          </cell>
          <cell r="N56">
            <v>0.76230118096937904</v>
          </cell>
          <cell r="O56">
            <v>0.77995901666214296</v>
          </cell>
        </row>
        <row r="57">
          <cell r="A57" t="str">
            <v>D-RHEM_NKEV_GAS_ELC_CHP</v>
          </cell>
          <cell r="B57" t="str">
            <v>VAR_fout</v>
          </cell>
          <cell r="C57" t="str">
            <v>ELC5</v>
          </cell>
          <cell r="D57">
            <v>1.5192647279409473E-2</v>
          </cell>
          <cell r="E57">
            <v>1.6315103438486765E-2</v>
          </cell>
          <cell r="F57">
            <v>6.6372669765928288E-2</v>
          </cell>
          <cell r="G57">
            <v>6.6149009902057188E-2</v>
          </cell>
          <cell r="H57">
            <v>6.5001643246286128E-2</v>
          </cell>
          <cell r="I57">
            <v>2.8524956490973138E-2</v>
          </cell>
          <cell r="J57"/>
          <cell r="K57"/>
          <cell r="L57">
            <v>8.6414379508336601E-3</v>
          </cell>
          <cell r="M57">
            <v>4.5169161234452915E-2</v>
          </cell>
          <cell r="N57">
            <v>6.6019761191007678E-2</v>
          </cell>
          <cell r="O57">
            <v>0.11525681640060867</v>
          </cell>
        </row>
        <row r="58">
          <cell r="A58" t="str">
            <v>D-RHEM_NKEV_GAS_ELC_CHP</v>
          </cell>
          <cell r="B58" t="str">
            <v>VAR_fout</v>
          </cell>
          <cell r="C58" t="str">
            <v>RHEM_ELC</v>
          </cell>
          <cell r="D58">
            <v>1.5314157105331445E-2</v>
          </cell>
          <cell r="E58">
            <v>1.624986821834325E-2</v>
          </cell>
          <cell r="F58">
            <v>6.6091994518215486E-2</v>
          </cell>
          <cell r="G58">
            <v>6.5937243164521181E-2</v>
          </cell>
          <cell r="H58">
            <v>6.4797043152339945E-2</v>
          </cell>
          <cell r="I58">
            <v>2.8492564933904861E-2</v>
          </cell>
          <cell r="J58"/>
          <cell r="K58"/>
          <cell r="L58">
            <v>8.6779480556415222E-3</v>
          </cell>
          <cell r="M58">
            <v>4.5297389274798809E-2</v>
          </cell>
          <cell r="N58">
            <v>6.6173776037657103E-2</v>
          </cell>
          <cell r="O58">
            <v>0.11544270185406594</v>
          </cell>
        </row>
        <row r="59">
          <cell r="A59" t="str">
            <v>D-RHEM_NKEV_GAS_ELC_CHP</v>
          </cell>
          <cell r="B59" t="str">
            <v>VAR_fin</v>
          </cell>
          <cell r="C59" t="str">
            <v>RHEM_NKEV_GAS_ELC_CHP</v>
          </cell>
          <cell r="D59">
            <v>3.0506804384740939E-2</v>
          </cell>
          <cell r="E59">
            <v>3.2564971656830005E-2</v>
          </cell>
          <cell r="F59">
            <v>0.1324362423061364</v>
          </cell>
          <cell r="G59">
            <v>0.13205783108857092</v>
          </cell>
          <cell r="H59">
            <v>0.12977026442061865</v>
          </cell>
          <cell r="I59">
            <v>5.6989099446870577E-2</v>
          </cell>
          <cell r="J59"/>
          <cell r="K59"/>
          <cell r="L59">
            <v>1.7319386006475156E-2</v>
          </cell>
          <cell r="M59">
            <v>9.0466550509251759E-2</v>
          </cell>
          <cell r="N59">
            <v>0.13219353722866473</v>
          </cell>
          <cell r="O59">
            <v>0.23069951825467488</v>
          </cell>
        </row>
        <row r="60">
          <cell r="A60" t="str">
            <v>SCOM-SHDEM</v>
          </cell>
          <cell r="B60" t="str">
            <v>VAR_fout</v>
          </cell>
          <cell r="C60" t="str">
            <v>SCOM-SHD</v>
          </cell>
          <cell r="D60">
            <v>73.238619717734821</v>
          </cell>
          <cell r="E60">
            <v>78.633102754689219</v>
          </cell>
          <cell r="F60">
            <v>79.102446281424648</v>
          </cell>
          <cell r="G60">
            <v>77.707922767644362</v>
          </cell>
          <cell r="H60">
            <v>75.369730501814246</v>
          </cell>
          <cell r="I60">
            <v>73.781257664276538</v>
          </cell>
          <cell r="J60">
            <v>71.859137310076989</v>
          </cell>
          <cell r="K60">
            <v>69.909139680167343</v>
          </cell>
          <cell r="L60">
            <v>69.175288482186815</v>
          </cell>
          <cell r="M60">
            <v>69.520053128421409</v>
          </cell>
          <cell r="N60">
            <v>69.536996463459417</v>
          </cell>
          <cell r="O60">
            <v>69.56455337901923</v>
          </cell>
        </row>
        <row r="61">
          <cell r="A61" t="str">
            <v>SCOM-SHDEM</v>
          </cell>
          <cell r="B61" t="str">
            <v>VAR_fin</v>
          </cell>
          <cell r="C61" t="str">
            <v>SCOM-SHCON</v>
          </cell>
          <cell r="D61"/>
          <cell r="E61">
            <v>9.1173262075262809</v>
          </cell>
          <cell r="F61">
            <v>17.660232068188968</v>
          </cell>
          <cell r="G61">
            <v>17.877893827357042</v>
          </cell>
          <cell r="H61">
            <v>17.877832747088004</v>
          </cell>
          <cell r="I61">
            <v>17.880844699075844</v>
          </cell>
          <cell r="J61">
            <v>21.202940234021174</v>
          </cell>
          <cell r="K61">
            <v>22.282029012659407</v>
          </cell>
          <cell r="L61">
            <v>22.280314289176818</v>
          </cell>
          <cell r="M61">
            <v>22.280662803433824</v>
          </cell>
          <cell r="N61">
            <v>22.280557409059327</v>
          </cell>
          <cell r="O61">
            <v>22.278722726120346</v>
          </cell>
        </row>
        <row r="62">
          <cell r="A62" t="str">
            <v>SCOM-SHDEM</v>
          </cell>
          <cell r="B62" t="str">
            <v>VAR_fin</v>
          </cell>
          <cell r="C62" t="str">
            <v>SCOM-SHWOD</v>
          </cell>
          <cell r="D62">
            <v>6.17357264902342</v>
          </cell>
          <cell r="E62">
            <v>6.0527096646687628</v>
          </cell>
          <cell r="F62">
            <v>6.1355186337415679</v>
          </cell>
          <cell r="G62">
            <v>6.0537385881177652</v>
          </cell>
          <cell r="H62">
            <v>7.5425996224714762</v>
          </cell>
          <cell r="I62">
            <v>9.6602653932648543</v>
          </cell>
          <cell r="J62">
            <v>16.553337209255737</v>
          </cell>
          <cell r="K62">
            <v>6.3197842629022878</v>
          </cell>
          <cell r="L62">
            <v>2.2847502608105419</v>
          </cell>
          <cell r="M62">
            <v>1.547519661369684</v>
          </cell>
          <cell r="N62">
            <v>0.37419903630813317</v>
          </cell>
          <cell r="O62">
            <v>0.37545299388354381</v>
          </cell>
        </row>
        <row r="63">
          <cell r="A63" t="str">
            <v>SCOM-SHDEM</v>
          </cell>
          <cell r="B63" t="str">
            <v>VAR_fin</v>
          </cell>
          <cell r="C63" t="str">
            <v>SCOM-SHH2B</v>
          </cell>
          <cell r="D63"/>
          <cell r="E63"/>
          <cell r="F63"/>
          <cell r="G63">
            <v>0.39654505716936567</v>
          </cell>
          <cell r="H63">
            <v>0.39545797824818718</v>
          </cell>
          <cell r="I63">
            <v>0.57271963796878167</v>
          </cell>
          <cell r="J63">
            <v>0.12903967539689551</v>
          </cell>
          <cell r="K63">
            <v>0.69605255896819984</v>
          </cell>
          <cell r="L63">
            <v>1.5539940035757116</v>
          </cell>
          <cell r="M63">
            <v>1.5653562292740422</v>
          </cell>
          <cell r="N63">
            <v>1.5657397335111018</v>
          </cell>
          <cell r="O63">
            <v>0.86593271629269097</v>
          </cell>
        </row>
        <row r="64">
          <cell r="A64" t="str">
            <v>SCOM-SHDEM</v>
          </cell>
          <cell r="B64" t="str">
            <v>VAR_fin</v>
          </cell>
          <cell r="C64" t="str">
            <v>SCOM-SHLTHD</v>
          </cell>
          <cell r="D64">
            <v>5.5539284103130191</v>
          </cell>
          <cell r="E64">
            <v>6.0159637489144835</v>
          </cell>
          <cell r="F64">
            <v>6.0159677056781957</v>
          </cell>
          <cell r="G64">
            <v>6.0159698663624432</v>
          </cell>
          <cell r="H64">
            <v>6.0159805717122499</v>
          </cell>
          <cell r="I64">
            <v>6.0303706856588954</v>
          </cell>
          <cell r="J64">
            <v>7.7230071708653449</v>
          </cell>
          <cell r="K64">
            <v>8.0710224873038765</v>
          </cell>
          <cell r="L64">
            <v>8.0710543766195038</v>
          </cell>
          <cell r="M64">
            <v>8.0710818972234364</v>
          </cell>
          <cell r="N64">
            <v>8.1774990268497216</v>
          </cell>
          <cell r="O64">
            <v>8.1775909861542484</v>
          </cell>
        </row>
        <row r="65">
          <cell r="A65" t="str">
            <v>SCOM-SHDEM</v>
          </cell>
          <cell r="B65" t="str">
            <v>VAR_fin</v>
          </cell>
          <cell r="C65" t="str">
            <v>SCOM-SHELCB</v>
          </cell>
          <cell r="D65">
            <v>2.394062516192871</v>
          </cell>
          <cell r="E65">
            <v>1.701788310942367E-3</v>
          </cell>
          <cell r="F65">
            <v>1.9211477124012724</v>
          </cell>
          <cell r="G65">
            <v>1.6680996121149811</v>
          </cell>
          <cell r="H65">
            <v>1.1299673894029705</v>
          </cell>
          <cell r="I65">
            <v>1.1363073014178542</v>
          </cell>
          <cell r="J65">
            <v>0.8582888931811542</v>
          </cell>
          <cell r="K65">
            <v>0.64396868045925904</v>
          </cell>
          <cell r="L65">
            <v>1.506920336789487</v>
          </cell>
          <cell r="M65">
            <v>1.5403527673479736</v>
          </cell>
          <cell r="N65">
            <v>0.64636741125231745</v>
          </cell>
          <cell r="O65">
            <v>0.64350119986192567</v>
          </cell>
        </row>
        <row r="66">
          <cell r="A66" t="str">
            <v>SCOM-SHDEM</v>
          </cell>
          <cell r="B66" t="str">
            <v>VAR_fin</v>
          </cell>
          <cell r="C66" t="str">
            <v>SCOM-SHBIO</v>
          </cell>
          <cell r="D66">
            <v>1.2230937952266778</v>
          </cell>
          <cell r="E66">
            <v>1.340793958224606</v>
          </cell>
          <cell r="F66">
            <v>1.2502693700762697</v>
          </cell>
          <cell r="G66">
            <v>1.2124735912485494</v>
          </cell>
          <cell r="H66">
            <v>1.3998527358825452</v>
          </cell>
          <cell r="I66">
            <v>3.1415422922058736</v>
          </cell>
          <cell r="J66">
            <v>3.1463085640468673</v>
          </cell>
          <cell r="K66">
            <v>3.1464285252203807</v>
          </cell>
          <cell r="L66">
            <v>3.1450851312017645</v>
          </cell>
          <cell r="M66">
            <v>3.1468750383892496</v>
          </cell>
          <cell r="N66">
            <v>3.6311318974614806</v>
          </cell>
          <cell r="O66">
            <v>2.59062748837639</v>
          </cell>
        </row>
        <row r="67">
          <cell r="A67" t="str">
            <v>SCOM-SHDEM</v>
          </cell>
          <cell r="B67" t="str">
            <v>VAR_fin</v>
          </cell>
          <cell r="C67" t="str">
            <v>SCOM-SHELCH</v>
          </cell>
          <cell r="D67">
            <v>4.2612329321614153</v>
          </cell>
          <cell r="E67">
            <v>4.6176762445547936</v>
          </cell>
          <cell r="F67">
            <v>4.8069076736853678</v>
          </cell>
          <cell r="G67">
            <v>5.1880595128318241</v>
          </cell>
          <cell r="H67">
            <v>5.3315987154134223</v>
          </cell>
          <cell r="I67">
            <v>5.3890420139591964</v>
          </cell>
          <cell r="J67">
            <v>5.7971883001601601</v>
          </cell>
          <cell r="K67">
            <v>14.974725401600811</v>
          </cell>
          <cell r="L67">
            <v>17.326857494985926</v>
          </cell>
          <cell r="M67">
            <v>18.614584833997412</v>
          </cell>
          <cell r="N67">
            <v>19.856550528697039</v>
          </cell>
          <cell r="O67">
            <v>21.353422330502138</v>
          </cell>
        </row>
        <row r="68">
          <cell r="A68" t="str">
            <v>SCOM-SHDEM</v>
          </cell>
          <cell r="B68" t="str">
            <v>VAR_fin</v>
          </cell>
          <cell r="C68" t="str">
            <v>SCOM-SHPLT</v>
          </cell>
          <cell r="D68">
            <v>1.8770981180418789</v>
          </cell>
          <cell r="E68">
            <v>2.1601100586375086</v>
          </cell>
          <cell r="F68">
            <v>1.8085200266109711</v>
          </cell>
          <cell r="G68">
            <v>1.9577292365973631</v>
          </cell>
          <cell r="H68">
            <v>2.069793799890018</v>
          </cell>
          <cell r="I68">
            <v>2.195969854942152</v>
          </cell>
          <cell r="J68">
            <v>2.1578551861599484</v>
          </cell>
          <cell r="K68">
            <v>2.1846934637619411</v>
          </cell>
          <cell r="L68">
            <v>2.1499967838844714</v>
          </cell>
          <cell r="M68">
            <v>2.1660303605643185</v>
          </cell>
          <cell r="N68">
            <v>2.1665770553634975</v>
          </cell>
          <cell r="O68">
            <v>2.1679258612354002</v>
          </cell>
        </row>
        <row r="69">
          <cell r="A69" t="str">
            <v>SCOM-SHDEM</v>
          </cell>
          <cell r="B69" t="str">
            <v>VAR_fin</v>
          </cell>
          <cell r="C69" t="str">
            <v>SCOM-SHLTHC-NGA</v>
          </cell>
          <cell r="D69">
            <v>0.68567675427779418</v>
          </cell>
          <cell r="E69">
            <v>0.74271662896547153</v>
          </cell>
          <cell r="F69">
            <v>0.86838220938066846</v>
          </cell>
          <cell r="G69">
            <v>0.89623856765469234</v>
          </cell>
          <cell r="H69">
            <v>0.78813829748265751</v>
          </cell>
          <cell r="I69">
            <v>0.47634170635572293</v>
          </cell>
          <cell r="J69"/>
          <cell r="L69">
            <v>1.3386654445549772E-2</v>
          </cell>
          <cell r="M69">
            <v>1.551826133895688E-2</v>
          </cell>
          <cell r="N69">
            <v>2.5178431450605672E-2</v>
          </cell>
          <cell r="O69">
            <v>4.2296704871815742E-2</v>
          </cell>
        </row>
        <row r="70">
          <cell r="A70" t="str">
            <v>SCOM-SHDEM</v>
          </cell>
          <cell r="B70" t="str">
            <v>VAR_fin</v>
          </cell>
          <cell r="C70" t="str">
            <v>SCOM-SHSOL</v>
          </cell>
          <cell r="D70">
            <v>0.62702177483621468</v>
          </cell>
          <cell r="E70">
            <v>0.68735969416913822</v>
          </cell>
          <cell r="F70">
            <v>0.67436908246752303</v>
          </cell>
          <cell r="G70">
            <v>0.68305338294896933</v>
          </cell>
          <cell r="H70">
            <v>2.8577143218883618</v>
          </cell>
          <cell r="I70">
            <v>4.3553267155691096</v>
          </cell>
          <cell r="J70">
            <v>4.674118468496232</v>
          </cell>
          <cell r="K70">
            <v>5.510002073018387</v>
          </cell>
          <cell r="L70">
            <v>4.8839238182284301</v>
          </cell>
          <cell r="M70">
            <v>4.6683108069814852</v>
          </cell>
          <cell r="N70">
            <v>4.7788754983869373</v>
          </cell>
          <cell r="O70">
            <v>4.8756302812539216</v>
          </cell>
        </row>
        <row r="71">
          <cell r="A71" t="str">
            <v>SCOM-SHDEM</v>
          </cell>
          <cell r="B71" t="str">
            <v>VAR_fin</v>
          </cell>
          <cell r="C71" t="str">
            <v>SCOM-SHLTHC-WOD</v>
          </cell>
          <cell r="D71"/>
          <cell r="E71"/>
          <cell r="F71"/>
          <cell r="G71">
            <v>2.9064550241031353E-3</v>
          </cell>
          <cell r="H71">
            <v>5.0415659483249728E-3</v>
          </cell>
          <cell r="I71">
            <v>1.2597706787217377E-2</v>
          </cell>
          <cell r="J71">
            <v>1.0444393035060439E-2</v>
          </cell>
          <cell r="K71">
            <v>1.5332392370225973E-2</v>
          </cell>
          <cell r="L71">
            <v>1.0861967727332205E-2</v>
          </cell>
          <cell r="M71">
            <v>7.3631316855504664E-3</v>
          </cell>
          <cell r="N71">
            <v>1.4742783680479755E-2</v>
          </cell>
          <cell r="O71">
            <v>1.4240744221351364E-2</v>
          </cell>
        </row>
        <row r="72">
          <cell r="A72" t="str">
            <v>SCOM-SHDEM</v>
          </cell>
          <cell r="B72" t="str">
            <v>VAR_fin</v>
          </cell>
          <cell r="C72" t="str">
            <v>SCOM-SHNGA</v>
          </cell>
          <cell r="D72">
            <v>24.189742283855463</v>
          </cell>
          <cell r="E72">
            <v>25.326942360842715</v>
          </cell>
          <cell r="F72">
            <v>20.929152941820025</v>
          </cell>
          <cell r="G72">
            <v>21.494845566085782</v>
          </cell>
          <cell r="H72">
            <v>21.672258167695819</v>
          </cell>
          <cell r="I72">
            <v>16.685455520450326</v>
          </cell>
          <cell r="J72">
            <v>5.7648816660361026</v>
          </cell>
          <cell r="K72">
            <v>3.9012971864952379</v>
          </cell>
          <cell r="L72">
            <v>4.3915660271302865</v>
          </cell>
          <cell r="M72">
            <v>4.2859148611581244</v>
          </cell>
          <cell r="N72">
            <v>4.1646592309462598</v>
          </cell>
          <cell r="O72">
            <v>4.1941174197451767</v>
          </cell>
        </row>
        <row r="73">
          <cell r="A73" t="str">
            <v>SCOM-SHDEM</v>
          </cell>
          <cell r="B73" t="str">
            <v>VAR_fin</v>
          </cell>
          <cell r="C73" t="str">
            <v>SCOM-SHNGAH</v>
          </cell>
          <cell r="D73"/>
          <cell r="E73"/>
          <cell r="F73">
            <v>5.5967506613225628E-3</v>
          </cell>
          <cell r="G73">
            <v>5.4535437862910955E-3</v>
          </cell>
          <cell r="H73">
            <v>5.521001428927589E-2</v>
          </cell>
          <cell r="I73">
            <v>0.47928570023853795</v>
          </cell>
          <cell r="J73">
            <v>0.47709711663147408</v>
          </cell>
          <cell r="K73">
            <v>0.7471713348503437</v>
          </cell>
          <cell r="L73">
            <v>0.20480163770896173</v>
          </cell>
          <cell r="M73">
            <v>0.34541187657580275</v>
          </cell>
          <cell r="N73">
            <v>0.46727427225479989</v>
          </cell>
          <cell r="O73">
            <v>0.43597914838704843</v>
          </cell>
        </row>
        <row r="74">
          <cell r="A74" t="str">
            <v>SCOM-SHDEM</v>
          </cell>
          <cell r="B74" t="str">
            <v>VAR_fin</v>
          </cell>
          <cell r="C74" t="str">
            <v>SCOM-SHLTHC-BIO</v>
          </cell>
          <cell r="D74">
            <v>1.4100928075240287</v>
          </cell>
          <cell r="E74">
            <v>1.5273976882688907</v>
          </cell>
          <cell r="F74">
            <v>1.3815790860052211</v>
          </cell>
          <cell r="G74">
            <v>1.1551263524670459</v>
          </cell>
          <cell r="H74">
            <v>0.9422876732111044</v>
          </cell>
          <cell r="I74">
            <v>0.7608156467861521</v>
          </cell>
          <cell r="J74">
            <v>0.7135117619510859</v>
          </cell>
          <cell r="K74">
            <v>0.6764121483798089</v>
          </cell>
          <cell r="L74">
            <v>0.61805817120135975</v>
          </cell>
          <cell r="M74">
            <v>0.5260202639402467</v>
          </cell>
          <cell r="N74">
            <v>0.57910530460957965</v>
          </cell>
          <cell r="O74">
            <v>0.6210300338567919</v>
          </cell>
        </row>
        <row r="75">
          <cell r="A75" t="str">
            <v>SCOM-SHDEM</v>
          </cell>
          <cell r="B75" t="str">
            <v>VAR_fin</v>
          </cell>
          <cell r="C75" t="str">
            <v>SCOM-SHLTHC-HFC</v>
          </cell>
          <cell r="D75"/>
          <cell r="E75"/>
          <cell r="F75"/>
          <cell r="G75">
            <v>2.9662325844472103E-3</v>
          </cell>
          <cell r="H75">
            <v>1.0213994874297999E-2</v>
          </cell>
          <cell r="I75">
            <v>9.5405447606927724E-3</v>
          </cell>
          <cell r="J75">
            <v>7.5202033704821107E-3</v>
          </cell>
          <cell r="K75">
            <v>2.4752246433455062E-2</v>
          </cell>
          <cell r="L75">
            <v>2.9287524857836388E-2</v>
          </cell>
          <cell r="M75">
            <v>2.9435967916805476E-2</v>
          </cell>
          <cell r="N75">
            <v>9.8668152667097275E-2</v>
          </cell>
          <cell r="O75">
            <v>0.21776905817783918</v>
          </cell>
        </row>
        <row r="76">
          <cell r="A76" t="str">
            <v>SCOM-SHDEM</v>
          </cell>
          <cell r="B76" t="str">
            <v>VAR_fin</v>
          </cell>
          <cell r="C76" t="str">
            <v>SCOM-SHLFO</v>
          </cell>
          <cell r="D76">
            <v>24.843097676282081</v>
          </cell>
          <cell r="E76">
            <v>21.042967927136683</v>
          </cell>
          <cell r="F76">
            <v>15.645384734564832</v>
          </cell>
          <cell r="G76">
            <v>13.097490525486755</v>
          </cell>
          <cell r="H76">
            <v>7.2764502303130936</v>
          </cell>
          <cell r="I76">
            <v>4.9955027098798999</v>
          </cell>
          <cell r="J76">
            <v>2.64425823284747</v>
          </cell>
          <cell r="K76">
            <v>0.7161122105271126</v>
          </cell>
          <cell r="L76">
            <v>0.70510202743015105</v>
          </cell>
          <cell r="M76">
            <v>0.71028186502925861</v>
          </cell>
          <cell r="N76">
            <v>0.71053981840540903</v>
          </cell>
          <cell r="O76">
            <v>0.71099440822666427</v>
          </cell>
        </row>
        <row r="77">
          <cell r="A77" t="str">
            <v>ITOT-SWHSTG-NGAHP</v>
          </cell>
          <cell r="B77" t="str">
            <v>VAR_fout</v>
          </cell>
          <cell r="C77" t="str">
            <v>ITOT-SWHANGAH</v>
          </cell>
          <cell r="D77">
            <v>2.0534292705943942E-5</v>
          </cell>
          <cell r="E77">
            <v>2.1544980413384103E-5</v>
          </cell>
          <cell r="F77">
            <v>2.7145673211518631E-3</v>
          </cell>
          <cell r="G77">
            <v>1.3041571860380411E-3</v>
          </cell>
          <cell r="H77">
            <v>2.286534268252345E-3</v>
          </cell>
          <cell r="I77">
            <v>3.0901837858420544E-3</v>
          </cell>
          <cell r="J77">
            <v>3.8543113279716876E-3</v>
          </cell>
          <cell r="K77">
            <v>5.6357550045281314E-3</v>
          </cell>
          <cell r="L77">
            <v>6.2906312185828104E-3</v>
          </cell>
          <cell r="M77">
            <v>5.3406008415343908E-3</v>
          </cell>
          <cell r="N77">
            <v>7.9422207448597969E-3</v>
          </cell>
          <cell r="O77">
            <v>9.797378297122938E-3</v>
          </cell>
        </row>
        <row r="78">
          <cell r="A78" t="str">
            <v>ITOT-SWHSTG-NGAHP</v>
          </cell>
          <cell r="B78" t="str">
            <v>VAR_fin</v>
          </cell>
          <cell r="C78" t="str">
            <v>ITOT-SWHANGAH</v>
          </cell>
          <cell r="D78">
            <v>2.0534292705943942E-5</v>
          </cell>
          <cell r="E78">
            <v>2.1544980413384103E-5</v>
          </cell>
          <cell r="F78">
            <v>3.5028612737388284E-3</v>
          </cell>
          <cell r="G78">
            <v>1.6303361460102506E-3</v>
          </cell>
          <cell r="H78">
            <v>2.7717475345804474E-3</v>
          </cell>
          <cell r="I78">
            <v>3.6357962639003887E-3</v>
          </cell>
          <cell r="J78">
            <v>4.4051955850066306E-3</v>
          </cell>
          <cell r="K78">
            <v>6.2623884605449154E-3</v>
          </cell>
          <cell r="L78">
            <v>6.9899587574719108E-3</v>
          </cell>
          <cell r="M78">
            <v>5.9344411061690592E-3</v>
          </cell>
          <cell r="N78">
            <v>8.8251126424064453E-3</v>
          </cell>
          <cell r="O78">
            <v>1.0886452263673935E-2</v>
          </cell>
        </row>
        <row r="79">
          <cell r="A79" t="str">
            <v>ITOT-SWHSTG-NGAHP</v>
          </cell>
          <cell r="B79" t="str">
            <v>VAR_ncap</v>
          </cell>
          <cell r="C79" t="str">
            <v>-</v>
          </cell>
          <cell r="D79">
            <v>7.7148205014479004E-3</v>
          </cell>
          <cell r="E79">
            <v>6.9611633932331401E-5</v>
          </cell>
          <cell r="F79">
            <v>2.55722898121125E-4</v>
          </cell>
          <cell r="G79">
            <v>8.6233422170971005E-5</v>
          </cell>
          <cell r="H79">
            <v>2.5768201983191803E-4</v>
          </cell>
          <cell r="I79">
            <v>4.0406804748184701E-4</v>
          </cell>
          <cell r="J79">
            <v>2.4772080410845001E-4</v>
          </cell>
          <cell r="K79">
            <v>6.6230605527608296E-4</v>
          </cell>
          <cell r="L79">
            <v>4.0225489690167001E-4</v>
          </cell>
          <cell r="M79">
            <v>5.5739542019135103E-4</v>
          </cell>
          <cell r="N79">
            <v>5.1571719128348499E-4</v>
          </cell>
          <cell r="O79">
            <v>5.8974663495795995E-4</v>
          </cell>
        </row>
        <row r="80">
          <cell r="A80" t="str">
            <v>ITOT-SWHSTG-NGAHP</v>
          </cell>
          <cell r="B80" t="str">
            <v>VAR_cap</v>
          </cell>
          <cell r="C80" t="str">
            <v>-</v>
          </cell>
          <cell r="D80">
            <v>7.7148205014479004E-3</v>
          </cell>
          <cell r="E80">
            <v>2.2671734639804954E-4</v>
          </cell>
          <cell r="F80">
            <v>4.3075579566934953E-4</v>
          </cell>
          <cell r="G80">
            <v>3.1059200316948046E-4</v>
          </cell>
          <cell r="H80">
            <v>4.2434011865600998E-4</v>
          </cell>
          <cell r="I80">
            <v>6.3531831458326098E-4</v>
          </cell>
          <cell r="J80">
            <v>5.9650205184558398E-4</v>
          </cell>
          <cell r="K80">
            <v>9.7515265908573897E-4</v>
          </cell>
          <cell r="L80">
            <v>8.1920946811681993E-4</v>
          </cell>
          <cell r="M80">
            <v>9.7885963065857994E-4</v>
          </cell>
          <cell r="N80">
            <v>9.4010197716110392E-4</v>
          </cell>
          <cell r="O80">
            <v>1.0585876492340781E-3</v>
          </cell>
        </row>
        <row r="81">
          <cell r="A81" t="str">
            <v>ITOT-STG-ELCSPEC</v>
          </cell>
          <cell r="B81" t="str">
            <v>VAR_fout</v>
          </cell>
          <cell r="C81" t="str">
            <v>ITOT-ELS</v>
          </cell>
          <cell r="D81"/>
          <cell r="E81">
            <v>6.9683400686489691E-2</v>
          </cell>
          <cell r="F81">
            <v>7.0839248027845567E-2</v>
          </cell>
          <cell r="G81">
            <v>7.1635296880561278E-2</v>
          </cell>
          <cell r="H81">
            <v>0.21030567312767254</v>
          </cell>
          <cell r="I81">
            <v>0.92931108253013306</v>
          </cell>
          <cell r="J81">
            <v>1.1501529945058195</v>
          </cell>
          <cell r="K81">
            <v>1.2111446090580924</v>
          </cell>
          <cell r="L81">
            <v>1.2343912462356961</v>
          </cell>
          <cell r="M81">
            <v>1.2880544998056387</v>
          </cell>
          <cell r="N81">
            <v>1.2594934353910898</v>
          </cell>
          <cell r="O81">
            <v>1.252333428484633</v>
          </cell>
        </row>
        <row r="82">
          <cell r="A82" t="str">
            <v>ITOT-STG-ELCSPEC</v>
          </cell>
          <cell r="B82" t="str">
            <v>VAR_fin</v>
          </cell>
          <cell r="C82" t="str">
            <v>ITOT-ELS</v>
          </cell>
          <cell r="D82"/>
          <cell r="E82">
            <v>6.9683400686493785E-2</v>
          </cell>
          <cell r="F82">
            <v>7.0839248027845456E-2</v>
          </cell>
          <cell r="G82">
            <v>7.1635296880561222E-2</v>
          </cell>
          <cell r="H82">
            <v>0.21030567312767248</v>
          </cell>
          <cell r="I82">
            <v>0.92931108253013284</v>
          </cell>
          <cell r="J82">
            <v>1.1501529945058202</v>
          </cell>
          <cell r="K82">
            <v>1.2111446090580922</v>
          </cell>
          <cell r="L82">
            <v>1.2343912462356963</v>
          </cell>
          <cell r="M82">
            <v>1.2880544998056391</v>
          </cell>
          <cell r="N82">
            <v>1.2594934353910905</v>
          </cell>
          <cell r="O82">
            <v>1.2523334284846328</v>
          </cell>
        </row>
        <row r="83">
          <cell r="A83" t="str">
            <v>ITOT-STG-ELCSPEC</v>
          </cell>
          <cell r="B83" t="str">
            <v>VAR_ncap</v>
          </cell>
          <cell r="C83" t="str">
            <v>-</v>
          </cell>
          <cell r="D83"/>
          <cell r="E83">
            <v>2.8224276041734701E-3</v>
          </cell>
          <cell r="F83">
            <v>4.3534828126036699E-5</v>
          </cell>
          <cell r="G83">
            <v>1.7873483784262E-5</v>
          </cell>
          <cell r="H83">
            <v>5.1168246191267697E-3</v>
          </cell>
          <cell r="I83">
            <v>3.5095800849113699E-2</v>
          </cell>
          <cell r="J83">
            <v>2.0820248675902899E-2</v>
          </cell>
          <cell r="K83">
            <v>4.9489564231267004E-3</v>
          </cell>
          <cell r="L83">
            <v>8.2319459549866098E-3</v>
          </cell>
          <cell r="M83">
            <v>3.5832018515161101E-2</v>
          </cell>
          <cell r="N83">
            <v>2.0879153951784302E-2</v>
          </cell>
          <cell r="O83">
            <v>5.3286326593957201E-3</v>
          </cell>
        </row>
        <row r="84">
          <cell r="A84" t="str">
            <v>ITOT-STG-ELCSPEC</v>
          </cell>
          <cell r="B84" t="str">
            <v>VAR_cap</v>
          </cell>
          <cell r="C84" t="str">
            <v>-</v>
          </cell>
          <cell r="D84"/>
          <cell r="E84">
            <v>2.8224276041734701E-3</v>
          </cell>
          <cell r="F84">
            <v>2.8643478623509811E-3</v>
          </cell>
          <cell r="G84">
            <v>2.8787036680342922E-3</v>
          </cell>
          <cell r="H84">
            <v>7.987523614930183E-3</v>
          </cell>
          <cell r="I84">
            <v>4.1987811798438378E-2</v>
          </cell>
          <cell r="J84">
            <v>6.1037609327348405E-2</v>
          </cell>
          <cell r="K84">
            <v>6.5962677301073566E-2</v>
          </cell>
          <cell r="L84">
            <v>6.5975897611953674E-2</v>
          </cell>
          <cell r="M84">
            <v>6.9808759447400365E-2</v>
          </cell>
          <cell r="N84">
            <v>6.9868558173759046E-2</v>
          </cell>
          <cell r="O84">
            <v>7.0239125685428144E-2</v>
          </cell>
        </row>
        <row r="85">
          <cell r="A85" t="str">
            <v>D-RHES_LTH_CHPNGA</v>
          </cell>
          <cell r="B85" t="str">
            <v>VAR_fout</v>
          </cell>
          <cell r="C85" t="str">
            <v>RHSA_LTH</v>
          </cell>
          <cell r="D85">
            <v>1.5478833315764314E-3</v>
          </cell>
          <cell r="E85">
            <v>2.3833389555547289E-2</v>
          </cell>
          <cell r="F85">
            <v>1.2543025568179753E-2</v>
          </cell>
          <cell r="G85">
            <v>5.9726240893322223E-4</v>
          </cell>
          <cell r="H85">
            <v>5.2179044338510169E-4</v>
          </cell>
          <cell r="I85">
            <v>2.3223454752696371E-4</v>
          </cell>
          <cell r="J85">
            <v>1.7051273092005471E-5</v>
          </cell>
          <cell r="K85">
            <v>1.8680814381721301E-5</v>
          </cell>
          <cell r="L85">
            <v>2.370114680108871E-4</v>
          </cell>
          <cell r="M85">
            <v>1.768510443872904E-4</v>
          </cell>
          <cell r="N85">
            <v>6.1251316133820242E-4</v>
          </cell>
          <cell r="O85">
            <v>2.5326274058162931E-4</v>
          </cell>
        </row>
        <row r="86">
          <cell r="A86" t="str">
            <v>D-RHES_LTH_CHPNGA</v>
          </cell>
          <cell r="B86" t="str">
            <v>VAR_fout</v>
          </cell>
          <cell r="C86" t="str">
            <v>LTH</v>
          </cell>
          <cell r="D86"/>
          <cell r="E86">
            <v>2.5483302329754381E-5</v>
          </cell>
          <cell r="F86">
            <v>3.5726109108432626E-5</v>
          </cell>
          <cell r="G86">
            <v>3.7677442448850458E-5</v>
          </cell>
          <cell r="H86">
            <v>3.6953115710557174E-5</v>
          </cell>
          <cell r="I86">
            <v>3.2930139763229749E-5</v>
          </cell>
          <cell r="J86">
            <v>1.4250646193052791E-5</v>
          </cell>
          <cell r="K86">
            <v>1.3724426444879031E-5</v>
          </cell>
          <cell r="L86">
            <v>5.1659354159862611E-5</v>
          </cell>
          <cell r="M86">
            <v>7.1797728015986163E-5</v>
          </cell>
          <cell r="N86">
            <v>1.4189274737649388E-4</v>
          </cell>
          <cell r="O86">
            <v>2.2033441339530506E-4</v>
          </cell>
        </row>
        <row r="87">
          <cell r="A87" t="str">
            <v>D-RHES_LTH_CHPNGA</v>
          </cell>
          <cell r="B87" t="str">
            <v>VAR_fout</v>
          </cell>
          <cell r="C87" t="str">
            <v>RHES_LTH_CHPNGA_ON</v>
          </cell>
          <cell r="D87">
            <v>3.6152513734979769E-2</v>
          </cell>
          <cell r="E87">
            <v>7.6682829715435984E-3</v>
          </cell>
          <cell r="F87">
            <v>1.5268236669550912E-2</v>
          </cell>
          <cell r="G87">
            <v>1.4460386663697183E-2</v>
          </cell>
          <cell r="H87">
            <v>1.0537126425271159E-2</v>
          </cell>
          <cell r="I87">
            <v>4.0408692931433714E-3</v>
          </cell>
          <cell r="J87">
            <v>9.5151168112116124E-6</v>
          </cell>
          <cell r="K87">
            <v>5.0555908700924482E-6</v>
          </cell>
          <cell r="L87">
            <v>1.1352367540156887E-2</v>
          </cell>
          <cell r="M87">
            <v>1.7598916720357089E-2</v>
          </cell>
          <cell r="N87">
            <v>5.9425340815944534E-2</v>
          </cell>
          <cell r="O87">
            <v>6.2651196619397914E-2</v>
          </cell>
        </row>
        <row r="88">
          <cell r="A88" t="str">
            <v>D-RHES_LTH_CHPNGA</v>
          </cell>
          <cell r="B88" t="str">
            <v>VAR_fin</v>
          </cell>
          <cell r="C88" t="str">
            <v>RHES_LTH_CHPNGA</v>
          </cell>
          <cell r="D88">
            <v>3.7700397066556195E-2</v>
          </cell>
          <cell r="E88">
            <v>3.1527155829420644E-2</v>
          </cell>
          <cell r="F88">
            <v>2.7846988346839116E-2</v>
          </cell>
          <cell r="G88">
            <v>1.5095326515079251E-2</v>
          </cell>
          <cell r="H88">
            <v>1.1095869984366805E-2</v>
          </cell>
          <cell r="I88">
            <v>4.3060339804335606E-3</v>
          </cell>
          <cell r="J88">
            <v>4.0817036096269852E-5</v>
          </cell>
          <cell r="K88">
            <v>3.7460831696692761E-5</v>
          </cell>
          <cell r="L88">
            <v>1.1641038362327639E-2</v>
          </cell>
          <cell r="M88">
            <v>1.784756549276037E-2</v>
          </cell>
          <cell r="N88">
            <v>6.0179746724659249E-2</v>
          </cell>
          <cell r="O88">
            <v>6.3124793773374793E-2</v>
          </cell>
        </row>
        <row r="89">
          <cell r="A89" t="str">
            <v>D-ICOA</v>
          </cell>
          <cell r="B89" t="str">
            <v>VAR_fout</v>
          </cell>
          <cell r="C89" t="str">
            <v>ICOA</v>
          </cell>
          <cell r="D89">
            <v>3.56004273918029</v>
          </cell>
          <cell r="E89">
            <v>3.4647590848767336</v>
          </cell>
          <cell r="F89">
            <v>1.7091200775204762E-2</v>
          </cell>
          <cell r="G89">
            <v>1.3738607678468987E-3</v>
          </cell>
          <cell r="H89">
            <v>1.740733318647451E-3</v>
          </cell>
          <cell r="I89">
            <v>3.9947130196455504E-3</v>
          </cell>
          <cell r="J89">
            <v>1.9201830249886559E-3</v>
          </cell>
          <cell r="K89">
            <v>4.1694470104093183E-5</v>
          </cell>
          <cell r="L89">
            <v>1.1309141021156351E-4</v>
          </cell>
          <cell r="M89">
            <v>1.5727616072570364E-4</v>
          </cell>
          <cell r="N89">
            <v>1.5267060017638086E-4</v>
          </cell>
          <cell r="O89">
            <v>1.7477235583997954E-4</v>
          </cell>
        </row>
        <row r="90">
          <cell r="A90" t="str">
            <v>D-ICOA</v>
          </cell>
          <cell r="B90" t="str">
            <v>VAR_fout</v>
          </cell>
          <cell r="C90" t="str">
            <v>CO2</v>
          </cell>
          <cell r="D90">
            <v>330.01596192201299</v>
          </cell>
          <cell r="E90">
            <v>321.183167168073</v>
          </cell>
          <cell r="F90">
            <v>1.58435431186148</v>
          </cell>
          <cell r="G90">
            <v>0.12735689317940799</v>
          </cell>
          <cell r="H90">
            <v>0.16136597863861901</v>
          </cell>
          <cell r="I90">
            <v>0.37030989692114302</v>
          </cell>
          <cell r="J90">
            <v>0.178000966416448</v>
          </cell>
          <cell r="K90">
            <v>3.8650773786494401E-3</v>
          </cell>
          <cell r="L90">
            <v>1.04835737266119E-2</v>
          </cell>
          <cell r="M90">
            <v>1.45795000992727E-2</v>
          </cell>
          <cell r="N90">
            <v>1.4152564636350499E-2</v>
          </cell>
          <cell r="O90">
            <v>1.6201397386366102E-2</v>
          </cell>
        </row>
        <row r="91">
          <cell r="A91" t="str">
            <v>D-ICOA</v>
          </cell>
          <cell r="B91" t="str">
            <v>VAR_fin</v>
          </cell>
          <cell r="C91" t="str">
            <v>COA</v>
          </cell>
          <cell r="D91">
            <v>3.56004273918029</v>
          </cell>
          <cell r="E91">
            <v>3.4647590848767336</v>
          </cell>
          <cell r="F91">
            <v>1.7091200775204762E-2</v>
          </cell>
          <cell r="G91">
            <v>1.3738607678468987E-3</v>
          </cell>
          <cell r="H91">
            <v>1.740733318647451E-3</v>
          </cell>
          <cell r="I91">
            <v>3.9947130196455504E-3</v>
          </cell>
          <cell r="J91">
            <v>1.9201830249886559E-3</v>
          </cell>
          <cell r="K91">
            <v>4.1694470104093183E-5</v>
          </cell>
          <cell r="L91">
            <v>1.1309141021156351E-4</v>
          </cell>
          <cell r="M91">
            <v>1.5727616072570364E-4</v>
          </cell>
          <cell r="N91">
            <v>1.5267060017638086E-4</v>
          </cell>
          <cell r="O91">
            <v>1.7477235583997954E-4</v>
          </cell>
        </row>
        <row r="92">
          <cell r="A92" t="str">
            <v>RHEM-SHCONBR1</v>
          </cell>
          <cell r="B92" t="str">
            <v>VAR_fout</v>
          </cell>
          <cell r="C92" t="str">
            <v>RHEM-SHCON</v>
          </cell>
          <cell r="D92">
            <v>0.38998434875159499</v>
          </cell>
          <cell r="E92">
            <v>0.78035064015936306</v>
          </cell>
          <cell r="F92">
            <v>0.78016385972335223</v>
          </cell>
          <cell r="G92">
            <v>0.78030728045671616</v>
          </cell>
          <cell r="H92">
            <v>2.8207669314104167</v>
          </cell>
          <cell r="I92">
            <v>4.2469031596055471</v>
          </cell>
          <cell r="J92">
            <v>4.2469153921718537</v>
          </cell>
          <cell r="K92">
            <v>4.2469371639851436</v>
          </cell>
          <cell r="L92">
            <v>4.2470303949570454</v>
          </cell>
          <cell r="M92">
            <v>4.2469986610760593</v>
          </cell>
          <cell r="N92">
            <v>2.3447576340159744</v>
          </cell>
          <cell r="O92">
            <v>0.77989783185197004</v>
          </cell>
        </row>
        <row r="93">
          <cell r="A93" t="str">
            <v>RHEM-SHCONBR1</v>
          </cell>
          <cell r="B93" t="str">
            <v>VAR_fin</v>
          </cell>
          <cell r="C93" t="str">
            <v>CON</v>
          </cell>
          <cell r="D93">
            <v>0.38998434875159499</v>
          </cell>
          <cell r="E93">
            <v>0.78035064015936306</v>
          </cell>
          <cell r="F93">
            <v>0.78016385972335223</v>
          </cell>
          <cell r="G93">
            <v>0.78030728045671616</v>
          </cell>
          <cell r="H93">
            <v>2.8207669314104167</v>
          </cell>
          <cell r="I93">
            <v>4.2469031596055471</v>
          </cell>
          <cell r="J93">
            <v>4.2469153921718537</v>
          </cell>
          <cell r="K93">
            <v>4.2469371639851436</v>
          </cell>
          <cell r="L93">
            <v>4.2470303949570454</v>
          </cell>
          <cell r="M93">
            <v>4.2469986610760593</v>
          </cell>
          <cell r="N93">
            <v>2.3447576340159744</v>
          </cell>
          <cell r="O93">
            <v>0.77989783185197004</v>
          </cell>
        </row>
        <row r="94">
          <cell r="A94" t="str">
            <v>RHEM-SHCONBR1</v>
          </cell>
          <cell r="B94" t="str">
            <v>VAR_ncap</v>
          </cell>
          <cell r="C94" t="str">
            <v>-</v>
          </cell>
          <cell r="D94">
            <v>2.7551601532122799E-2</v>
          </cell>
          <cell r="E94">
            <v>2.7551567291379999E-2</v>
          </cell>
          <cell r="F94">
            <v>9.8186494132746702E-7</v>
          </cell>
          <cell r="G94">
            <v>5.9654205297065296E-6</v>
          </cell>
          <cell r="H94">
            <v>0.14409547552176799</v>
          </cell>
          <cell r="I94">
            <v>0.100706364423964</v>
          </cell>
          <cell r="J94">
            <v>3.0112942736148199E-7</v>
          </cell>
          <cell r="K94">
            <v>2.7090385138599501E-2</v>
          </cell>
          <cell r="L94">
            <v>2.8029012596112301E-2</v>
          </cell>
          <cell r="M94">
            <v>1.98563870835995E-7</v>
          </cell>
          <cell r="N94">
            <v>4.0809064332258302E-7</v>
          </cell>
          <cell r="O94">
            <v>7.53267251564681E-8</v>
          </cell>
        </row>
        <row r="95">
          <cell r="A95" t="str">
            <v>RHEM-SHCONBR1</v>
          </cell>
          <cell r="B95" t="str">
            <v>VAR_cap</v>
          </cell>
          <cell r="C95" t="str">
            <v>-</v>
          </cell>
          <cell r="D95">
            <v>2.7551601532122799E-2</v>
          </cell>
          <cell r="E95">
            <v>5.5103168823502802E-2</v>
          </cell>
          <cell r="F95">
            <v>5.5104150688444098E-2</v>
          </cell>
          <cell r="G95">
            <v>5.5110116108973803E-2</v>
          </cell>
          <cell r="H95">
            <v>0.199205591630742</v>
          </cell>
          <cell r="I95">
            <v>0.299911956054706</v>
          </cell>
          <cell r="J95">
            <v>0.299912257184133</v>
          </cell>
          <cell r="K95">
            <v>0.29990455327828802</v>
          </cell>
          <cell r="L95">
            <v>0.29992620174412898</v>
          </cell>
          <cell r="M95">
            <v>0.299921737373742</v>
          </cell>
          <cell r="N95">
            <v>0.165583559395273</v>
          </cell>
          <cell r="O95">
            <v>5.5120380845378403E-2</v>
          </cell>
        </row>
        <row r="96">
          <cell r="A96" t="str">
            <v>RHEM-SHELCBR</v>
          </cell>
          <cell r="B96" t="str">
            <v>VAR_fout</v>
          </cell>
          <cell r="C96" t="str">
            <v>RHEM-SHAELCB</v>
          </cell>
          <cell r="D96">
            <v>4.6280520021467737</v>
          </cell>
          <cell r="E96">
            <v>3.7742044890674005</v>
          </cell>
          <cell r="F96">
            <v>3.202443221894764</v>
          </cell>
          <cell r="G96">
            <v>2.6326749308389572</v>
          </cell>
          <cell r="H96">
            <v>1.5220208179114116</v>
          </cell>
          <cell r="I96">
            <v>0.95666853024926124</v>
          </cell>
          <cell r="J96">
            <v>0.63910349578192716</v>
          </cell>
          <cell r="K96">
            <v>0.64159311792312945</v>
          </cell>
          <cell r="L96">
            <v>0.68578978930728762</v>
          </cell>
          <cell r="M96">
            <v>0.38873356735079373</v>
          </cell>
          <cell r="N96">
            <v>0.33534094396188791</v>
          </cell>
          <cell r="O96">
            <v>0.30540832827370773</v>
          </cell>
        </row>
        <row r="97">
          <cell r="A97" t="str">
            <v>RHEM-SHELCBR</v>
          </cell>
          <cell r="B97" t="str">
            <v>VAR_fin</v>
          </cell>
          <cell r="C97" t="str">
            <v>RHEM_ELC</v>
          </cell>
          <cell r="D97">
            <v>4.8716336864702896</v>
          </cell>
          <cell r="E97">
            <v>3.9728468305972626</v>
          </cell>
          <cell r="F97">
            <v>3.3709928651523811</v>
          </cell>
          <cell r="G97">
            <v>2.7712367693041653</v>
          </cell>
          <cell r="H97">
            <v>1.6021271767488541</v>
          </cell>
          <cell r="I97">
            <v>1.0070195055255375</v>
          </cell>
          <cell r="J97">
            <v>0.67274052187571298</v>
          </cell>
          <cell r="K97">
            <v>0.67536117676118856</v>
          </cell>
          <cell r="L97">
            <v>0.7218839887445142</v>
          </cell>
          <cell r="M97">
            <v>0.40919322879030962</v>
          </cell>
          <cell r="N97">
            <v>0.35299046732830341</v>
          </cell>
          <cell r="O97">
            <v>0.32148245081442872</v>
          </cell>
        </row>
        <row r="98">
          <cell r="A98" t="str">
            <v>RHEM-SHELCBR</v>
          </cell>
          <cell r="B98" t="str">
            <v>VAR_ncap</v>
          </cell>
          <cell r="C98" t="str">
            <v>-</v>
          </cell>
          <cell r="D98">
            <v>6.3750669685489102E-6</v>
          </cell>
          <cell r="E98">
            <v>9.8126293622621807E-6</v>
          </cell>
          <cell r="F98">
            <v>1.6893466848418101E-5</v>
          </cell>
          <cell r="G98">
            <v>8.7109537305717506E-5</v>
          </cell>
          <cell r="H98">
            <v>0.10571268976802101</v>
          </cell>
          <cell r="I98">
            <v>1.8191777494575999E-4</v>
          </cell>
          <cell r="J98">
            <v>7.6647299257445908E-6</v>
          </cell>
          <cell r="K98">
            <v>5.6676692155611802E-2</v>
          </cell>
          <cell r="L98">
            <v>1.6369304734933199E-4</v>
          </cell>
          <cell r="M98">
            <v>4.4648780024844998E-5</v>
          </cell>
          <cell r="N98">
            <v>2.5484321662392801E-2</v>
          </cell>
          <cell r="O98">
            <v>6.3246859591712503E-3</v>
          </cell>
        </row>
        <row r="99">
          <cell r="A99" t="str">
            <v>RHEM-SHELCBR</v>
          </cell>
          <cell r="B99" t="str">
            <v>VAR_cap</v>
          </cell>
          <cell r="C99" t="str">
            <v>-</v>
          </cell>
          <cell r="D99">
            <v>0.32680751901530752</v>
          </cell>
          <cell r="E99">
            <v>0.32681286066992044</v>
          </cell>
          <cell r="F99">
            <v>0.32682472333476614</v>
          </cell>
          <cell r="G99">
            <v>0.32690332109112713</v>
          </cell>
          <cell r="H99">
            <v>0.19056023422409421</v>
          </cell>
          <cell r="I99">
            <v>0.10596336657470568</v>
          </cell>
          <cell r="J99">
            <v>8.2597218780424614E-2</v>
          </cell>
          <cell r="K99">
            <v>5.6857446376259765E-2</v>
          </cell>
          <cell r="L99">
            <v>5.6866973756974956E-2</v>
          </cell>
          <cell r="M99">
            <v>4.8428249464627059E-2</v>
          </cell>
          <cell r="N99">
            <v>3.4168630660974489E-2</v>
          </cell>
          <cell r="O99">
            <v>3.1826377090343368E-2</v>
          </cell>
        </row>
        <row r="100">
          <cell r="A100" t="str">
            <v>RHNM-SHLTHCHPNGA</v>
          </cell>
          <cell r="B100" t="str">
            <v>VAR_fout</v>
          </cell>
          <cell r="C100" t="str">
            <v>RHNM-SHLTHC-NGA</v>
          </cell>
          <cell r="D100"/>
          <cell r="E100">
            <v>2.5801221118753985E-3</v>
          </cell>
          <cell r="F100">
            <v>2.773603415197785E-2</v>
          </cell>
          <cell r="G100">
            <v>2.7480138156995276E-2</v>
          </cell>
          <cell r="H100">
            <v>3.026019250085539E-2</v>
          </cell>
          <cell r="I100">
            <v>1.7748492490084512E-2</v>
          </cell>
          <cell r="J100"/>
          <cell r="K100"/>
          <cell r="L100">
            <v>9.3058586878712185E-3</v>
          </cell>
          <cell r="M100">
            <v>2.0489918551104998E-2</v>
          </cell>
          <cell r="N100">
            <v>6.7411926315746017E-3</v>
          </cell>
          <cell r="O100">
            <v>1.5145184618851015E-2</v>
          </cell>
        </row>
        <row r="101">
          <cell r="A101" t="str">
            <v>RHNM-SHLTHCHPNGA</v>
          </cell>
          <cell r="B101" t="str">
            <v>VAR_fin</v>
          </cell>
          <cell r="C101" t="str">
            <v>RHNMLTHCHPC</v>
          </cell>
          <cell r="D101"/>
          <cell r="E101">
            <v>2.5801221118753985E-3</v>
          </cell>
          <cell r="F101">
            <v>2.773603415197785E-2</v>
          </cell>
          <cell r="G101">
            <v>2.7480138156995276E-2</v>
          </cell>
          <cell r="H101">
            <v>3.026019250085539E-2</v>
          </cell>
          <cell r="I101">
            <v>1.7748492490084512E-2</v>
          </cell>
          <cell r="J101"/>
          <cell r="K101"/>
          <cell r="L101">
            <v>9.3058586878712185E-3</v>
          </cell>
          <cell r="M101">
            <v>2.0489918551104998E-2</v>
          </cell>
          <cell r="N101">
            <v>6.7411926315746017E-3</v>
          </cell>
          <cell r="O101">
            <v>1.5145184618851015E-2</v>
          </cell>
        </row>
        <row r="102">
          <cell r="A102" t="str">
            <v>RHNM-SHLTHCHPNGA</v>
          </cell>
          <cell r="B102" t="str">
            <v>VAR_fin</v>
          </cell>
          <cell r="C102" t="str">
            <v>RHNM_LTH_CHPNGA_ON</v>
          </cell>
          <cell r="D102"/>
          <cell r="E102">
            <v>2.60618395138929E-3</v>
          </cell>
          <cell r="F102">
            <v>2.8016196113108904E-2</v>
          </cell>
          <cell r="G102">
            <v>2.7757715310096229E-2</v>
          </cell>
          <cell r="H102">
            <v>3.056585101096506E-2</v>
          </cell>
          <cell r="I102">
            <v>1.7927770192004547E-2</v>
          </cell>
          <cell r="J102"/>
          <cell r="K102"/>
          <cell r="L102">
            <v>9.3998572604759717E-3</v>
          </cell>
          <cell r="M102">
            <v>2.0696887425358586E-2</v>
          </cell>
          <cell r="N102">
            <v>6.8092854864389837E-3</v>
          </cell>
          <cell r="O102">
            <v>1.5298166281667707E-2</v>
          </cell>
        </row>
        <row r="103">
          <cell r="A103" t="str">
            <v>RHNM-SHLTHCHPNGA</v>
          </cell>
          <cell r="B103" t="str">
            <v>VAR_ncap</v>
          </cell>
          <cell r="C103" t="str">
            <v>-</v>
          </cell>
          <cell r="D103"/>
          <cell r="E103">
            <v>3.3740628820778701E-4</v>
          </cell>
          <cell r="F103">
            <v>2.4136798392503499E-3</v>
          </cell>
          <cell r="G103">
            <v>1.69414462934525E-3</v>
          </cell>
          <cell r="H103">
            <v>1.5005406257608E-3</v>
          </cell>
          <cell r="I103">
            <v>1.0645584539479599E-3</v>
          </cell>
          <cell r="J103">
            <v>2.3314370041227101E-7</v>
          </cell>
          <cell r="K103">
            <v>3.1061215477162201E-7</v>
          </cell>
          <cell r="L103">
            <v>1.2148620944193299E-3</v>
          </cell>
          <cell r="M103">
            <v>1.9273706429658399E-3</v>
          </cell>
          <cell r="N103">
            <v>5.1761905027131801E-4</v>
          </cell>
          <cell r="O103">
            <v>1.6454360558853299E-3</v>
          </cell>
        </row>
        <row r="104">
          <cell r="A104" t="str">
            <v>RHNM-SHLTHCHPNGA</v>
          </cell>
          <cell r="B104" t="str">
            <v>VAR_cap</v>
          </cell>
          <cell r="C104" t="str">
            <v>-</v>
          </cell>
          <cell r="D104"/>
          <cell r="E104">
            <v>3.3740628820778701E-4</v>
          </cell>
          <cell r="F104">
            <v>2.6205976218393562E-3</v>
          </cell>
          <cell r="G104">
            <v>2.5551232317062595E-3</v>
          </cell>
          <cell r="H104">
            <v>2.5244877822572899E-3</v>
          </cell>
          <cell r="I104">
            <v>1.5320913088890196E-3</v>
          </cell>
          <cell r="J104">
            <v>-9.9746599868666408E-18</v>
          </cell>
          <cell r="K104">
            <v>-1.9949319973733282E-17</v>
          </cell>
          <cell r="L104">
            <v>1.214914209134822E-3</v>
          </cell>
          <cell r="M104">
            <v>2.3806847928624164E-3</v>
          </cell>
          <cell r="N104">
            <v>8.9383801081224009E-4</v>
          </cell>
          <cell r="O104">
            <v>2.0128772571046203E-3</v>
          </cell>
        </row>
        <row r="105">
          <cell r="A105" t="str">
            <v>RHEM-SHCONBR2</v>
          </cell>
          <cell r="B105" t="str">
            <v>VAR_fout</v>
          </cell>
          <cell r="C105" t="str">
            <v>RHEM-SHCON</v>
          </cell>
          <cell r="D105">
            <v>0.60737958896216004</v>
          </cell>
          <cell r="E105">
            <v>1.2154067025055786</v>
          </cell>
          <cell r="F105">
            <v>1.2151510751836045</v>
          </cell>
          <cell r="G105">
            <v>1.2152911240191959</v>
          </cell>
          <cell r="H105">
            <v>3.8414352366274449</v>
          </cell>
          <cell r="I105">
            <v>6.0626828434535005</v>
          </cell>
          <cell r="J105">
            <v>6.0626683957788572</v>
          </cell>
          <cell r="K105">
            <v>6.3126953936200563</v>
          </cell>
          <cell r="L105">
            <v>6.6148274400452243</v>
          </cell>
          <cell r="M105">
            <v>6.6148096618594527</v>
          </cell>
          <cell r="N105">
            <v>4.1061432908521889</v>
          </cell>
          <cell r="O105">
            <v>1.7659669390535011</v>
          </cell>
        </row>
        <row r="106">
          <cell r="A106" t="str">
            <v>RHEM-SHCONBR2</v>
          </cell>
          <cell r="B106" t="str">
            <v>VAR_fin</v>
          </cell>
          <cell r="C106" t="str">
            <v>CON</v>
          </cell>
          <cell r="D106">
            <v>0.60737958896216004</v>
          </cell>
          <cell r="E106">
            <v>1.2154067025055786</v>
          </cell>
          <cell r="F106">
            <v>1.2151510751836045</v>
          </cell>
          <cell r="G106">
            <v>1.2152911240191959</v>
          </cell>
          <cell r="H106">
            <v>3.8414352366274449</v>
          </cell>
          <cell r="I106">
            <v>6.0626828434535005</v>
          </cell>
          <cell r="J106">
            <v>6.0626683957788572</v>
          </cell>
          <cell r="K106">
            <v>6.3126953936200563</v>
          </cell>
          <cell r="L106">
            <v>6.6148274400452243</v>
          </cell>
          <cell r="M106">
            <v>6.6148096618594527</v>
          </cell>
          <cell r="N106">
            <v>4.1061432908521889</v>
          </cell>
          <cell r="O106">
            <v>1.7659669390535011</v>
          </cell>
        </row>
        <row r="107">
          <cell r="A107" t="str">
            <v>RHEM-SHCONBR2</v>
          </cell>
          <cell r="B107" t="str">
            <v>VAR_ncap</v>
          </cell>
          <cell r="C107" t="str">
            <v>-</v>
          </cell>
          <cell r="D107">
            <v>4.29121390996181E-2</v>
          </cell>
          <cell r="E107">
            <v>4.2912071657256197E-2</v>
          </cell>
          <cell r="F107">
            <v>5.7346088477597798E-7</v>
          </cell>
          <cell r="G107">
            <v>3.7692419255545899E-6</v>
          </cell>
          <cell r="H107">
            <v>0.18545323578379599</v>
          </cell>
          <cell r="I107">
            <v>0.15685251884573401</v>
          </cell>
          <cell r="J107">
            <v>3.0823196376856199E-7</v>
          </cell>
          <cell r="K107">
            <v>5.9848559962457901E-2</v>
          </cell>
          <cell r="L107">
            <v>6.4969083368448102E-2</v>
          </cell>
          <cell r="M107">
            <v>1.9744298407631499E-7</v>
          </cell>
          <cell r="N107">
            <v>3.5265978487490699E-7</v>
          </cell>
          <cell r="O107">
            <v>7.5485540782705802E-8</v>
          </cell>
        </row>
        <row r="108">
          <cell r="A108" t="str">
            <v>RHEM-SHCONBR2</v>
          </cell>
          <cell r="B108" t="str">
            <v>VAR_cap</v>
          </cell>
          <cell r="C108" t="str">
            <v>-</v>
          </cell>
          <cell r="D108">
            <v>4.29121390996181E-2</v>
          </cell>
          <cell r="E108">
            <v>8.5824210756874297E-2</v>
          </cell>
          <cell r="F108">
            <v>8.5824784217759104E-2</v>
          </cell>
          <cell r="G108">
            <v>8.5828553459684598E-2</v>
          </cell>
          <cell r="H108">
            <v>0.27128178924348001</v>
          </cell>
          <cell r="I108">
            <v>0.42813430808921499</v>
          </cell>
          <cell r="J108">
            <v>0.428134616321178</v>
          </cell>
          <cell r="K108">
            <v>0.44577739602656302</v>
          </cell>
          <cell r="L108">
            <v>0.46712663821455902</v>
          </cell>
          <cell r="M108">
            <v>0.46712390363538397</v>
          </cell>
          <cell r="N108">
            <v>0.28996359722666998</v>
          </cell>
          <cell r="O108">
            <v>0.124818577151179</v>
          </cell>
        </row>
        <row r="109">
          <cell r="A109" t="str">
            <v>D-RHSA_LTH</v>
          </cell>
          <cell r="B109" t="str">
            <v>VAR_fout</v>
          </cell>
          <cell r="C109" t="str">
            <v>RHSA_LTH</v>
          </cell>
          <cell r="D109">
            <v>4.6152672364049331E-3</v>
          </cell>
          <cell r="E109">
            <v>4.0170317723533779E-2</v>
          </cell>
          <cell r="F109">
            <v>8.3995047558180636E-4</v>
          </cell>
          <cell r="G109">
            <v>2.661721170167961E-3</v>
          </cell>
          <cell r="H109">
            <v>3.9456826980678377E-3</v>
          </cell>
          <cell r="I109">
            <v>2.4331870004229155E-3</v>
          </cell>
          <cell r="J109">
            <v>1.1592922569991584E-3</v>
          </cell>
          <cell r="K109">
            <v>3.3998201703740408E-3</v>
          </cell>
          <cell r="L109">
            <v>3.6894750211600887E-3</v>
          </cell>
          <cell r="M109">
            <v>5.1298630078598847E-3</v>
          </cell>
          <cell r="N109">
            <v>5.6196314027311565E-3</v>
          </cell>
          <cell r="O109">
            <v>2.0393131969126829E-2</v>
          </cell>
        </row>
        <row r="110">
          <cell r="A110" t="str">
            <v>D-RHSA_LTH</v>
          </cell>
          <cell r="B110" t="str">
            <v>VAR_fin</v>
          </cell>
          <cell r="C110" t="str">
            <v>RHEM_LTH_CHPWOD_ON</v>
          </cell>
          <cell r="D110">
            <v>1.0263358708239041E-5</v>
          </cell>
          <cell r="E110">
            <v>1.4313638350492786E-5</v>
          </cell>
          <cell r="F110">
            <v>1.0586387465962843E-5</v>
          </cell>
          <cell r="G110">
            <v>3.0602871528158165E-4</v>
          </cell>
          <cell r="H110">
            <v>9.7406742416538411E-5</v>
          </cell>
          <cell r="I110"/>
          <cell r="J110">
            <v>7.7341956178165615E-4</v>
          </cell>
          <cell r="K110">
            <v>7.4493513083607207E-4</v>
          </cell>
          <cell r="L110">
            <v>5.8074391220686895E-4</v>
          </cell>
          <cell r="M110">
            <v>4.7516910448174905E-4</v>
          </cell>
          <cell r="N110">
            <v>3.043830619844958E-4</v>
          </cell>
          <cell r="O110">
            <v>1.6285360874531019E-3</v>
          </cell>
        </row>
        <row r="111">
          <cell r="A111" t="str">
            <v>D-RHSA_LTH</v>
          </cell>
          <cell r="B111" t="str">
            <v>VAR_fin</v>
          </cell>
          <cell r="C111" t="str">
            <v>RHNM_LTH_CHPWOD_ON</v>
          </cell>
          <cell r="D111">
            <v>1.026451275464369E-5</v>
          </cell>
          <cell r="E111">
            <v>4.1684278945213085E-6</v>
          </cell>
          <cell r="F111">
            <v>6.7891699109015679E-6</v>
          </cell>
          <cell r="G111">
            <v>1.5719189253208396E-4</v>
          </cell>
          <cell r="H111">
            <v>3.3003176552256764E-4</v>
          </cell>
          <cell r="I111">
            <v>5.6505377788534331E-4</v>
          </cell>
          <cell r="J111">
            <v>1.1364492680316705E-4</v>
          </cell>
          <cell r="K111">
            <v>1.7073082612752216E-3</v>
          </cell>
          <cell r="L111">
            <v>4.4667517466248549E-4</v>
          </cell>
          <cell r="M111">
            <v>7.502013812069739E-4</v>
          </cell>
          <cell r="N111">
            <v>1.830400916774852E-3</v>
          </cell>
          <cell r="O111">
            <v>3.03809176637536E-3</v>
          </cell>
        </row>
        <row r="112">
          <cell r="A112" t="str">
            <v>D-RHSA_LTH</v>
          </cell>
          <cell r="B112" t="str">
            <v>VAR_fin</v>
          </cell>
          <cell r="C112" t="str">
            <v>RHES_LTH_CHPWOD_ON</v>
          </cell>
          <cell r="D112">
            <v>1.1806581966976576E-5</v>
          </cell>
          <cell r="E112">
            <v>1.5989213297576794E-5</v>
          </cell>
          <cell r="F112">
            <v>1.1505117660424088E-6</v>
          </cell>
          <cell r="G112">
            <v>2.8494224536581978E-4</v>
          </cell>
          <cell r="H112">
            <v>4.828144661213843E-4</v>
          </cell>
          <cell r="I112">
            <v>4.1379654166342117E-4</v>
          </cell>
          <cell r="J112">
            <v>2.2297163946446435E-4</v>
          </cell>
          <cell r="K112">
            <v>3.306980957238365E-4</v>
          </cell>
          <cell r="L112">
            <v>6.2453202066729981E-4</v>
          </cell>
          <cell r="M112">
            <v>6.420734214407207E-4</v>
          </cell>
          <cell r="N112">
            <v>2.9299519962015178E-4</v>
          </cell>
          <cell r="O112">
            <v>1.6314702415852367E-3</v>
          </cell>
        </row>
        <row r="113">
          <cell r="A113" t="str">
            <v>D-RHSA_LTH</v>
          </cell>
          <cell r="B113" t="str">
            <v>VAR_fin</v>
          </cell>
          <cell r="C113" t="str">
            <v>RHNS_LTH_CHPWOD_ON</v>
          </cell>
          <cell r="D113">
            <v>1.3960586894921666E-5</v>
          </cell>
          <cell r="E113">
            <v>3.196515972659508E-6</v>
          </cell>
          <cell r="F113">
            <v>3.797052882593981E-6</v>
          </cell>
          <cell r="G113">
            <v>3.477051935732829E-5</v>
          </cell>
          <cell r="H113">
            <v>6.7919692879232774E-4</v>
          </cell>
          <cell r="I113">
            <v>3.2806275814883782E-4</v>
          </cell>
          <cell r="J113">
            <v>1.9349030883073799E-5</v>
          </cell>
          <cell r="K113">
            <v>5.9390481997895997E-4</v>
          </cell>
          <cell r="L113">
            <v>3.7366265511200081E-4</v>
          </cell>
          <cell r="M113">
            <v>7.3297267751382166E-4</v>
          </cell>
          <cell r="N113">
            <v>1.396596058917967E-3</v>
          </cell>
          <cell r="O113">
            <v>2.62307111286249E-3</v>
          </cell>
        </row>
        <row r="114">
          <cell r="A114" t="str">
            <v>D-RHSA_LTH</v>
          </cell>
          <cell r="B114" t="str">
            <v>VAR_fin</v>
          </cell>
          <cell r="C114" t="str">
            <v>RHEM_LTH_CHPNGA_ON</v>
          </cell>
          <cell r="D114">
            <v>5.4644648795986741E-4</v>
          </cell>
          <cell r="E114">
            <v>2.9557415837961679E-2</v>
          </cell>
          <cell r="F114"/>
          <cell r="G114">
            <v>5.2815064393697266E-4</v>
          </cell>
          <cell r="H114">
            <v>3.7756562135602816E-4</v>
          </cell>
          <cell r="I114"/>
          <cell r="J114">
            <v>5.2910608426170339E-6</v>
          </cell>
          <cell r="K114">
            <v>9.1237210895641893E-6</v>
          </cell>
          <cell r="L114">
            <v>4.2749802101903087E-4</v>
          </cell>
          <cell r="M114">
            <v>4.2447426039484999E-4</v>
          </cell>
          <cell r="N114">
            <v>9.0050892234890933E-4</v>
          </cell>
        </row>
        <row r="115">
          <cell r="A115" t="str">
            <v>D-RHSA_LTH</v>
          </cell>
          <cell r="B115" t="str">
            <v>VAR_fin</v>
          </cell>
          <cell r="C115" t="str">
            <v>RHNM_LTH_CHPNGA_ON</v>
          </cell>
          <cell r="D115">
            <v>6.9809080536533739E-6</v>
          </cell>
          <cell r="E115">
            <v>6.1585922891915659E-4</v>
          </cell>
          <cell r="F115"/>
          <cell r="G115">
            <v>4.4715891402607739E-4</v>
          </cell>
          <cell r="H115">
            <v>1.2805464961039251E-3</v>
          </cell>
          <cell r="I115">
            <v>4.9962095546490825E-4</v>
          </cell>
          <cell r="J115">
            <v>4.9032812674687769E-6</v>
          </cell>
          <cell r="K115">
            <v>2.5282225817271539E-6</v>
          </cell>
          <cell r="L115">
            <v>5.169045617285415E-4</v>
          </cell>
          <cell r="M115">
            <v>6.9443784530303244E-4</v>
          </cell>
          <cell r="N115">
            <v>3.7301861008353623E-4</v>
          </cell>
          <cell r="O115">
            <v>5.5250261127557463E-3</v>
          </cell>
        </row>
        <row r="116">
          <cell r="A116" t="str">
            <v>D-RHSA_LTH</v>
          </cell>
          <cell r="B116" t="str">
            <v>VAR_fin</v>
          </cell>
          <cell r="C116" t="str">
            <v>RHES_LTH_CHPNGA_ON</v>
          </cell>
          <cell r="D116">
            <v>4.0031271131512683E-3</v>
          </cell>
          <cell r="E116">
            <v>6.5176419469672462E-3</v>
          </cell>
          <cell r="F116">
            <v>4.3882867816689597E-6</v>
          </cell>
          <cell r="G116">
            <v>5.7998411045485226E-4</v>
          </cell>
          <cell r="H116">
            <v>1.7922668236423009E-5</v>
          </cell>
          <cell r="I116">
            <v>2.7143312863171467E-4</v>
          </cell>
          <cell r="J116">
            <v>9.5151168112116124E-6</v>
          </cell>
          <cell r="K116">
            <v>5.0555908700924482E-6</v>
          </cell>
          <cell r="L116">
            <v>5.62752721644694E-4</v>
          </cell>
          <cell r="M116">
            <v>6.3829188003824608E-4</v>
          </cell>
          <cell r="N116">
            <v>1.8901783256108944E-4</v>
          </cell>
          <cell r="O116">
            <v>1.6775675831702875E-3</v>
          </cell>
        </row>
        <row r="117">
          <cell r="A117" t="str">
            <v>D-RHSA_LTH</v>
          </cell>
          <cell r="B117" t="str">
            <v>VAR_fin</v>
          </cell>
          <cell r="C117" t="str">
            <v>RHNS_LTH_CHPNGA_ON</v>
          </cell>
          <cell r="D117">
            <v>1.2417686915365229E-5</v>
          </cell>
          <cell r="E117">
            <v>3.441732914170464E-3</v>
          </cell>
          <cell r="F117">
            <v>8.132390667746366E-4</v>
          </cell>
          <cell r="G117">
            <v>3.2349412921324402E-4</v>
          </cell>
          <cell r="H117">
            <v>6.8019800951864739E-4</v>
          </cell>
          <cell r="I117">
            <v>3.5521983862869095E-4</v>
          </cell>
          <cell r="J117">
            <v>1.0197639145500474E-5</v>
          </cell>
          <cell r="K117">
            <v>6.2663280185678689E-6</v>
          </cell>
          <cell r="L117">
            <v>1.567059541191656E-4</v>
          </cell>
          <cell r="M117">
            <v>7.722424374804899E-4</v>
          </cell>
          <cell r="N117">
            <v>3.3271080044015383E-4</v>
          </cell>
          <cell r="O117">
            <v>4.2693690649246155E-3</v>
          </cell>
        </row>
        <row r="118">
          <cell r="A118" t="str">
            <v>RHEM-SHLTHCHPWOD</v>
          </cell>
          <cell r="B118" t="str">
            <v>VAR_fout</v>
          </cell>
          <cell r="C118" t="str">
            <v>RHEM-SHLTHC-WOD</v>
          </cell>
          <cell r="D118"/>
          <cell r="E118"/>
          <cell r="F118"/>
          <cell r="G118">
            <v>3.4802558512591047E-3</v>
          </cell>
          <cell r="H118">
            <v>1.0271194865663354E-2</v>
          </cell>
          <cell r="I118">
            <v>0.15963000265172222</v>
          </cell>
          <cell r="J118">
            <v>0.29737845609815966</v>
          </cell>
          <cell r="K118">
            <v>0.51811297773755216</v>
          </cell>
          <cell r="L118">
            <v>0.48682737409180904</v>
          </cell>
          <cell r="M118">
            <v>0.34290734200629175</v>
          </cell>
          <cell r="N118">
            <v>0.26489412781511412</v>
          </cell>
          <cell r="O118">
            <v>8.8289880202084406E-2</v>
          </cell>
        </row>
        <row r="119">
          <cell r="A119" t="str">
            <v>RHEM-SHLTHCHPWOD</v>
          </cell>
          <cell r="B119" t="str">
            <v>VAR_fin</v>
          </cell>
          <cell r="C119" t="str">
            <v>RHEM_LTH_CHPWOD_ON</v>
          </cell>
          <cell r="D119"/>
          <cell r="E119"/>
          <cell r="F119"/>
          <cell r="G119">
            <v>3.5154099507667741E-3</v>
          </cell>
          <cell r="H119">
            <v>1.0374944308750866E-2</v>
          </cell>
          <cell r="I119">
            <v>0.1612424269209316</v>
          </cell>
          <cell r="J119">
            <v>0.30038227888702967</v>
          </cell>
          <cell r="K119">
            <v>0.52334644215914428</v>
          </cell>
          <cell r="L119">
            <v>0.49174482231495864</v>
          </cell>
          <cell r="M119">
            <v>0.34637105253160766</v>
          </cell>
          <cell r="N119">
            <v>0.26756982607587293</v>
          </cell>
          <cell r="O119">
            <v>8.9181697173822572E-2</v>
          </cell>
        </row>
        <row r="120">
          <cell r="A120" t="str">
            <v>RHEM-SHLTHCHPWOD</v>
          </cell>
          <cell r="B120" t="str">
            <v>VAR_fin</v>
          </cell>
          <cell r="C120" t="str">
            <v>RHEMLTHCHPC</v>
          </cell>
          <cell r="D120"/>
          <cell r="E120"/>
          <cell r="F120"/>
          <cell r="G120">
            <v>3.4802558512591047E-3</v>
          </cell>
          <cell r="H120">
            <v>1.0271194865663354E-2</v>
          </cell>
          <cell r="I120">
            <v>0.15963000265172222</v>
          </cell>
          <cell r="J120">
            <v>0.29737845609815966</v>
          </cell>
          <cell r="K120">
            <v>0.51811297773755216</v>
          </cell>
          <cell r="L120">
            <v>0.48682737409180904</v>
          </cell>
          <cell r="M120">
            <v>0.34290734200629175</v>
          </cell>
          <cell r="N120">
            <v>0.26489412781511412</v>
          </cell>
          <cell r="O120">
            <v>8.8289880202084406E-2</v>
          </cell>
        </row>
        <row r="121">
          <cell r="A121" t="str">
            <v>RHEM-SHLTHCHPWOD</v>
          </cell>
          <cell r="B121" t="str">
            <v>VAR_ncap</v>
          </cell>
          <cell r="C121" t="str">
            <v>-</v>
          </cell>
          <cell r="D121"/>
          <cell r="E121"/>
          <cell r="F121"/>
          <cell r="G121">
            <v>4.0301241310054499E-4</v>
          </cell>
          <cell r="H121">
            <v>8.5858307674539498E-4</v>
          </cell>
          <cell r="I121">
            <v>1.1733971908046099E-2</v>
          </cell>
          <cell r="J121">
            <v>1.6623467879085599E-2</v>
          </cell>
          <cell r="K121">
            <v>2.92671606429473E-2</v>
          </cell>
          <cell r="L121">
            <v>2.3909473487702601E-2</v>
          </cell>
          <cell r="M121">
            <v>1.5496450692899301E-2</v>
          </cell>
          <cell r="N121">
            <v>1.253532283137E-2</v>
          </cell>
          <cell r="O121">
            <v>5.0227175024338804E-3</v>
          </cell>
        </row>
        <row r="122">
          <cell r="A122" t="str">
            <v>RHEM-SHLTHCHPWOD</v>
          </cell>
          <cell r="B122" t="str">
            <v>VAR_cap</v>
          </cell>
          <cell r="C122" t="str">
            <v>-</v>
          </cell>
          <cell r="D122"/>
          <cell r="E122"/>
          <cell r="F122"/>
          <cell r="G122">
            <v>4.0301241310054499E-4</v>
          </cell>
          <cell r="H122">
            <v>1.035450687019838E-3</v>
          </cell>
          <cell r="I122">
            <v>1.2214184626852937E-2</v>
          </cell>
          <cell r="J122">
            <v>2.2564136510097262E-2</v>
          </cell>
          <cell r="K122">
            <v>3.9195180375977495E-2</v>
          </cell>
          <cell r="L122">
            <v>3.6835866760709698E-2</v>
          </cell>
          <cell r="M122">
            <v>2.59567781974884E-2</v>
          </cell>
          <cell r="N122">
            <v>2.0157418239346903E-2</v>
          </cell>
          <cell r="O122">
            <v>1.0171367776266201E-2</v>
          </cell>
        </row>
        <row r="123">
          <cell r="A123" t="str">
            <v>D-RHEM_LTH_CHPWOD</v>
          </cell>
          <cell r="B123" t="str">
            <v>VAR_fout</v>
          </cell>
          <cell r="C123" t="str">
            <v>RHEM_LTH_CHPWOD_ON</v>
          </cell>
          <cell r="D123">
            <v>1.0263358708239041E-5</v>
          </cell>
          <cell r="E123">
            <v>1.4313638350492786E-5</v>
          </cell>
          <cell r="F123">
            <v>1.0586387465962843E-5</v>
          </cell>
          <cell r="G123">
            <v>3.8214386660483518E-3</v>
          </cell>
          <cell r="H123">
            <v>1.0472351051167401E-2</v>
          </cell>
          <cell r="I123">
            <v>0.16124242692093163</v>
          </cell>
          <cell r="J123">
            <v>0.30115569844881157</v>
          </cell>
          <cell r="K123">
            <v>0.52409137728998056</v>
          </cell>
          <cell r="L123">
            <v>0.49232556622716539</v>
          </cell>
          <cell r="M123">
            <v>0.34684622163608947</v>
          </cell>
          <cell r="N123">
            <v>0.26787420913785748</v>
          </cell>
          <cell r="O123">
            <v>9.0810233261275811E-2</v>
          </cell>
        </row>
        <row r="124">
          <cell r="A124" t="str">
            <v>D-RHEM_LTH_CHPWOD</v>
          </cell>
          <cell r="B124" t="str">
            <v>VAR_fout</v>
          </cell>
          <cell r="C124" t="str">
            <v>RHSA_LTH</v>
          </cell>
          <cell r="D124">
            <v>1.1909635914434081E-5</v>
          </cell>
          <cell r="E124">
            <v>1.5709517455691114E-5</v>
          </cell>
          <cell r="F124">
            <v>1.4267180045566237E-5</v>
          </cell>
          <cell r="G124">
            <v>3.5622822532701767E-4</v>
          </cell>
          <cell r="H124">
            <v>9.9259848275217431E-4</v>
          </cell>
          <cell r="I124">
            <v>1.0600183794955388E-3</v>
          </cell>
          <cell r="J124">
            <v>1.6295272292415785E-4</v>
          </cell>
          <cell r="K124">
            <v>1.7254255940809412E-4</v>
          </cell>
          <cell r="L124">
            <v>3.9500454421560635E-4</v>
          </cell>
          <cell r="M124">
            <v>3.1735020387165815E-4</v>
          </cell>
          <cell r="N124">
            <v>1.0521524660404369E-3</v>
          </cell>
          <cell r="O124">
            <v>4.2752593263901067E-4</v>
          </cell>
        </row>
        <row r="125">
          <cell r="A125" t="str">
            <v>D-RHEM_LTH_CHPWOD</v>
          </cell>
          <cell r="B125" t="str">
            <v>VAR_fout</v>
          </cell>
          <cell r="C125" t="str">
            <v>LTH</v>
          </cell>
          <cell r="D125"/>
          <cell r="E125">
            <v>1.2738514251263347E-5</v>
          </cell>
          <cell r="F125">
            <v>1.3381663086573838E-5</v>
          </cell>
          <cell r="G125">
            <v>3.0474721590689477E-5</v>
          </cell>
          <cell r="H125">
            <v>3.8485531153148633E-5</v>
          </cell>
          <cell r="I125">
            <v>2.2437154004502181E-4</v>
          </cell>
          <cell r="J125">
            <v>3.9630225269893216E-4</v>
          </cell>
          <cell r="K125">
            <v>5.898250432580202E-4</v>
          </cell>
          <cell r="L125">
            <v>2.9789923514297477E-4</v>
          </cell>
          <cell r="M125">
            <v>3.092510929951608E-4</v>
          </cell>
          <cell r="N125">
            <v>2.5159920248514934E-4</v>
          </cell>
          <cell r="O125">
            <v>2.8112893548333756E-4</v>
          </cell>
        </row>
        <row r="126">
          <cell r="A126" t="str">
            <v>D-RHEM_LTH_CHPWOD</v>
          </cell>
          <cell r="B126" t="str">
            <v>VAR_fin</v>
          </cell>
          <cell r="C126" t="str">
            <v>RHEM_LTH_CHPWOD</v>
          </cell>
          <cell r="D126">
            <v>2.217299462267313E-5</v>
          </cell>
          <cell r="E126">
            <v>4.276167005744723E-5</v>
          </cell>
          <cell r="F126">
            <v>3.8235230598102905E-5</v>
          </cell>
          <cell r="G126">
            <v>4.208141612966061E-3</v>
          </cell>
          <cell r="H126">
            <v>1.150343506507273E-2</v>
          </cell>
          <cell r="I126">
            <v>0.16252681684047224</v>
          </cell>
          <cell r="J126">
            <v>0.30171495342443483</v>
          </cell>
          <cell r="K126">
            <v>0.52485374489264647</v>
          </cell>
          <cell r="L126">
            <v>0.49301847000652382</v>
          </cell>
          <cell r="M126">
            <v>0.34747282293295612</v>
          </cell>
          <cell r="N126">
            <v>0.26917796080638295</v>
          </cell>
          <cell r="O126">
            <v>9.1518888129397999E-2</v>
          </cell>
        </row>
        <row r="127">
          <cell r="A127" t="str">
            <v>RHES-SHLTHDH</v>
          </cell>
          <cell r="B127" t="str">
            <v>VAR_fout</v>
          </cell>
          <cell r="C127" t="str">
            <v>RHES-SHLTHD</v>
          </cell>
          <cell r="D127">
            <v>2.2926525292301103</v>
          </cell>
          <cell r="E127">
            <v>3.5038204328223643</v>
          </cell>
          <cell r="F127">
            <v>3.4249207730515372</v>
          </cell>
          <cell r="G127">
            <v>1.7391089787550031</v>
          </cell>
          <cell r="H127">
            <v>3.0829021653037496</v>
          </cell>
          <cell r="I127">
            <v>2.7770937642813647</v>
          </cell>
          <cell r="J127">
            <v>2.6258594906300843</v>
          </cell>
          <cell r="K127">
            <v>2.5249130814350664</v>
          </cell>
          <cell r="L127">
            <v>2.3598170071728135</v>
          </cell>
          <cell r="M127">
            <v>1.8644642176477493</v>
          </cell>
          <cell r="N127">
            <v>2.2321640552187931</v>
          </cell>
          <cell r="O127">
            <v>2.0973071357592286</v>
          </cell>
        </row>
        <row r="128">
          <cell r="A128" t="str">
            <v>RHES-SHLTHDH</v>
          </cell>
          <cell r="B128" t="str">
            <v>VAR_fin</v>
          </cell>
          <cell r="C128" t="str">
            <v>RHESLTHDHC</v>
          </cell>
          <cell r="D128">
            <v>2.2926525292301103</v>
          </cell>
          <cell r="E128">
            <v>3.5038204328223643</v>
          </cell>
          <cell r="F128">
            <v>3.4249207730515372</v>
          </cell>
          <cell r="G128">
            <v>1.7391089787550031</v>
          </cell>
          <cell r="H128">
            <v>3.0829021653037496</v>
          </cell>
          <cell r="I128">
            <v>2.7770937642813647</v>
          </cell>
          <cell r="J128">
            <v>2.6258594906300843</v>
          </cell>
          <cell r="K128">
            <v>2.5249130814350664</v>
          </cell>
          <cell r="L128">
            <v>2.3598170071728135</v>
          </cell>
          <cell r="M128">
            <v>1.8644642176477493</v>
          </cell>
          <cell r="N128">
            <v>2.2321640552187931</v>
          </cell>
          <cell r="O128">
            <v>2.0973071357592286</v>
          </cell>
        </row>
        <row r="129">
          <cell r="A129" t="str">
            <v>RHES-SHLTHDH</v>
          </cell>
          <cell r="B129" t="str">
            <v>VAR_fin</v>
          </cell>
          <cell r="C129" t="str">
            <v>RHES_LTH_DH</v>
          </cell>
          <cell r="D129">
            <v>2.31581063558597</v>
          </cell>
          <cell r="E129">
            <v>3.5392125584064265</v>
          </cell>
          <cell r="F129">
            <v>3.4595159323752913</v>
          </cell>
          <cell r="G129">
            <v>1.7566757361161651</v>
          </cell>
          <cell r="H129">
            <v>3.1140425912159091</v>
          </cell>
          <cell r="I129">
            <v>2.8051452164458208</v>
          </cell>
          <cell r="J129">
            <v>2.6523833238687708</v>
          </cell>
          <cell r="K129">
            <v>2.5504172539748153</v>
          </cell>
          <cell r="L129">
            <v>2.3836535425988021</v>
          </cell>
          <cell r="M129">
            <v>1.8832971895431807</v>
          </cell>
          <cell r="N129">
            <v>2.2547111668876694</v>
          </cell>
          <cell r="O129">
            <v>2.1184920563224532</v>
          </cell>
          <cell r="P129"/>
          <cell r="Q129"/>
          <cell r="R129"/>
        </row>
        <row r="130">
          <cell r="A130" t="str">
            <v>RHES-SHLTHDH</v>
          </cell>
          <cell r="B130" t="str">
            <v>VAR_ncap</v>
          </cell>
          <cell r="C130" t="str">
            <v>-</v>
          </cell>
          <cell r="D130"/>
          <cell r="E130">
            <v>1.3360099964194999E-7</v>
          </cell>
          <cell r="F130">
            <v>1.33589626083003E-7</v>
          </cell>
          <cell r="G130">
            <v>1.34479994697119E-7</v>
          </cell>
          <cell r="H130">
            <v>1.9128808508429E-7</v>
          </cell>
          <cell r="I130">
            <v>2.15625763752897E-7</v>
          </cell>
          <cell r="J130">
            <v>2.5320673707290799E-7</v>
          </cell>
          <cell r="K130">
            <v>3.1197486796969701E-7</v>
          </cell>
          <cell r="L130">
            <v>3.7561382517962802E-7</v>
          </cell>
          <cell r="M130">
            <v>6.3067119283022501E-7</v>
          </cell>
          <cell r="N130">
            <v>9.2100461807497795E-7</v>
          </cell>
          <cell r="O130">
            <v>3.14058040001501E-6</v>
          </cell>
        </row>
        <row r="131">
          <cell r="A131" t="str">
            <v>RHES-SHLTHDH</v>
          </cell>
          <cell r="B131" t="str">
            <v>VAR_cap</v>
          </cell>
          <cell r="C131" t="str">
            <v>-</v>
          </cell>
          <cell r="D131">
            <v>0.31204626794151202</v>
          </cell>
          <cell r="E131">
            <v>0.31204640154251168</v>
          </cell>
          <cell r="F131">
            <v>0.31204653513213776</v>
          </cell>
          <cell r="G131">
            <v>0.31204666961213245</v>
          </cell>
          <cell r="H131">
            <v>0.31204686090021755</v>
          </cell>
          <cell r="I131">
            <v>0.31204707652598129</v>
          </cell>
          <cell r="J131">
            <v>0.31204732973271837</v>
          </cell>
          <cell r="K131">
            <v>0.31204764170758631</v>
          </cell>
          <cell r="L131">
            <v>0.31204801732141152</v>
          </cell>
          <cell r="M131">
            <v>0.31204864799260434</v>
          </cell>
          <cell r="N131">
            <v>0.31204956899722242</v>
          </cell>
          <cell r="O131">
            <v>0.31205270957762243</v>
          </cell>
        </row>
        <row r="132">
          <cell r="A132" t="str">
            <v>RHEM-SHCONBR3</v>
          </cell>
          <cell r="B132" t="str">
            <v>VAR_fout</v>
          </cell>
          <cell r="C132" t="str">
            <v>RHEM-SHCON</v>
          </cell>
          <cell r="D132">
            <v>0.13407699616750468</v>
          </cell>
          <cell r="E132">
            <v>0.62243233725527203</v>
          </cell>
          <cell r="F132">
            <v>0.62226486978046447</v>
          </cell>
          <cell r="G132">
            <v>0.62231444151547499</v>
          </cell>
          <cell r="H132">
            <v>0.62231168359386246</v>
          </cell>
          <cell r="I132">
            <v>0.62323466583145293</v>
          </cell>
          <cell r="J132">
            <v>0.62324866185492622</v>
          </cell>
          <cell r="K132">
            <v>0.37623914929008978</v>
          </cell>
          <cell r="L132">
            <v>6.094302648569098E-3</v>
          </cell>
          <cell r="M132">
            <v>6.0942403968814356E-3</v>
          </cell>
          <cell r="N132">
            <v>5.9562330782801914E-3</v>
          </cell>
          <cell r="O132">
            <v>5.1942349435162363E-3</v>
          </cell>
        </row>
        <row r="133">
          <cell r="A133" t="str">
            <v>RHEM-SHCONBR3</v>
          </cell>
          <cell r="B133" t="str">
            <v>VAR_fin</v>
          </cell>
          <cell r="C133" t="str">
            <v>CON</v>
          </cell>
          <cell r="D133">
            <v>0.13407699616750468</v>
          </cell>
          <cell r="E133">
            <v>0.62243233725527203</v>
          </cell>
          <cell r="F133">
            <v>0.62226486978046447</v>
          </cell>
          <cell r="G133">
            <v>0.62231444151547499</v>
          </cell>
          <cell r="H133">
            <v>0.62231168359386246</v>
          </cell>
          <cell r="I133">
            <v>0.62323466583145293</v>
          </cell>
          <cell r="J133">
            <v>0.62324866185492622</v>
          </cell>
          <cell r="K133">
            <v>0.37623914929008978</v>
          </cell>
          <cell r="L133">
            <v>6.094302648569098E-3</v>
          </cell>
          <cell r="M133">
            <v>6.0942403968814356E-3</v>
          </cell>
          <cell r="N133">
            <v>5.9562330782801914E-3</v>
          </cell>
          <cell r="O133">
            <v>5.1942349435162363E-3</v>
          </cell>
        </row>
        <row r="134">
          <cell r="A134" t="str">
            <v>RHEM-SHCONBR3</v>
          </cell>
          <cell r="B134" t="str">
            <v>VAR_ncap</v>
          </cell>
          <cell r="C134" t="str">
            <v>-</v>
          </cell>
          <cell r="D134">
            <v>9.4707735255433502E-3</v>
          </cell>
          <cell r="E134">
            <v>3.4481186518385498E-2</v>
          </cell>
          <cell r="F134">
            <v>1.5673463742498201E-7</v>
          </cell>
          <cell r="G134">
            <v>2.5624952918898001E-7</v>
          </cell>
          <cell r="H134">
            <v>3.6178273307532703E-7</v>
          </cell>
          <cell r="I134">
            <v>6.3639613131339298E-5</v>
          </cell>
          <cell r="J134">
            <v>1.6540181224650699E-7</v>
          </cell>
          <cell r="K134">
            <v>1.04720999999664E-6</v>
          </cell>
          <cell r="L134">
            <v>3.6373762647676401E-4</v>
          </cell>
          <cell r="M134">
            <v>2.3991364773598002E-7</v>
          </cell>
          <cell r="N134">
            <v>4.9645892579494096E-7</v>
          </cell>
          <cell r="O134">
            <v>7.9301318497904699E-8</v>
          </cell>
        </row>
        <row r="135">
          <cell r="A135" t="str">
            <v>RHEM-SHCONBR3</v>
          </cell>
          <cell r="B135" t="str">
            <v>VAR_cap</v>
          </cell>
          <cell r="C135" t="str">
            <v>-</v>
          </cell>
          <cell r="D135">
            <v>9.4707735255433502E-3</v>
          </cell>
          <cell r="E135">
            <v>4.39519600439289E-2</v>
          </cell>
          <cell r="F135">
            <v>4.3952116778566301E-2</v>
          </cell>
          <cell r="G135">
            <v>4.3952373028095501E-2</v>
          </cell>
          <cell r="H135">
            <v>4.3952734810828599E-2</v>
          </cell>
          <cell r="I135">
            <v>4.4016374423959899E-2</v>
          </cell>
          <cell r="J135">
            <v>4.4016539825772201E-2</v>
          </cell>
          <cell r="K135">
            <v>2.6570888349873499E-2</v>
          </cell>
          <cell r="L135">
            <v>4.2918670954681602E-4</v>
          </cell>
          <cell r="M135">
            <v>4.29191547801158E-4</v>
          </cell>
          <cell r="N135">
            <v>4.1942752413626E-4</v>
          </cell>
          <cell r="O135">
            <v>3.6576591218103599E-4</v>
          </cell>
        </row>
        <row r="136">
          <cell r="A136" t="str">
            <v>D-RHSA_ELC</v>
          </cell>
          <cell r="B136" t="str">
            <v>VAR_fout</v>
          </cell>
          <cell r="C136" t="str">
            <v>RHSA_ELC</v>
          </cell>
          <cell r="D136">
            <v>57.624167115526078</v>
          </cell>
          <cell r="E136">
            <v>55.004654286452272</v>
          </cell>
          <cell r="F136">
            <v>56.287859381684882</v>
          </cell>
          <cell r="G136">
            <v>63.838858281436828</v>
          </cell>
          <cell r="H136">
            <v>72.250518214445066</v>
          </cell>
          <cell r="I136">
            <v>87.886799886534419</v>
          </cell>
          <cell r="J136">
            <v>93.41066480401031</v>
          </cell>
          <cell r="K136">
            <v>100.51492994122385</v>
          </cell>
          <cell r="L136">
            <v>100.57093204501753</v>
          </cell>
          <cell r="M136">
            <v>102.12557956017859</v>
          </cell>
          <cell r="N136">
            <v>102.10664790223358</v>
          </cell>
          <cell r="O136">
            <v>104.02613234187218</v>
          </cell>
        </row>
        <row r="137">
          <cell r="A137" t="str">
            <v>D-RHSA_ELC</v>
          </cell>
          <cell r="B137" t="str">
            <v>VAR_fin</v>
          </cell>
          <cell r="C137" t="str">
            <v>RHNS_ELC</v>
          </cell>
          <cell r="D137">
            <v>13.358726415916919</v>
          </cell>
          <cell r="E137">
            <v>14.782098329344633</v>
          </cell>
          <cell r="F137">
            <v>14.60204835460797</v>
          </cell>
          <cell r="G137">
            <v>15.854021102146131</v>
          </cell>
          <cell r="H137">
            <v>17.089834012246225</v>
          </cell>
          <cell r="I137">
            <v>19.627883721228759</v>
          </cell>
          <cell r="J137">
            <v>19.614703586907698</v>
          </cell>
          <cell r="K137">
            <v>20.571739349009516</v>
          </cell>
          <cell r="L137">
            <v>20.585737854320108</v>
          </cell>
          <cell r="M137">
            <v>20.614902284907785</v>
          </cell>
          <cell r="N137">
            <v>20.370142148851215</v>
          </cell>
          <cell r="O137">
            <v>20.480612749770316</v>
          </cell>
        </row>
        <row r="138">
          <cell r="A138" t="str">
            <v>D-RHSA_ELC</v>
          </cell>
          <cell r="B138" t="str">
            <v>VAR_fin</v>
          </cell>
          <cell r="C138" t="str">
            <v>RHES_ELC</v>
          </cell>
          <cell r="D138">
            <v>16.75891170451052</v>
          </cell>
          <cell r="E138">
            <v>12.984428713183533</v>
          </cell>
          <cell r="F138">
            <v>13.794789596533423</v>
          </cell>
          <cell r="G138">
            <v>16.487979865311214</v>
          </cell>
          <cell r="H138">
            <v>18.283974318394925</v>
          </cell>
          <cell r="I138">
            <v>22.400482745166698</v>
          </cell>
          <cell r="J138">
            <v>26.890383690070589</v>
          </cell>
          <cell r="K138">
            <v>29.389315766399346</v>
          </cell>
          <cell r="L138">
            <v>29.475173476614987</v>
          </cell>
          <cell r="M138">
            <v>30.467420375798941</v>
          </cell>
          <cell r="N138">
            <v>30.256086706044528</v>
          </cell>
          <cell r="O138">
            <v>31.075717056667276</v>
          </cell>
        </row>
        <row r="139">
          <cell r="A139" t="str">
            <v>D-RHSA_ELC</v>
          </cell>
          <cell r="B139" t="str">
            <v>VAR_fin</v>
          </cell>
          <cell r="C139" t="str">
            <v>RHNM_ELC</v>
          </cell>
          <cell r="D139">
            <v>11.351087283078943</v>
          </cell>
          <cell r="E139">
            <v>14.697972294627521</v>
          </cell>
          <cell r="F139">
            <v>15.087616471496752</v>
          </cell>
          <cell r="G139">
            <v>17.006964681364877</v>
          </cell>
          <cell r="H139">
            <v>19.789854672164932</v>
          </cell>
          <cell r="I139">
            <v>24.592164458063927</v>
          </cell>
          <cell r="J139">
            <v>24.99745039332214</v>
          </cell>
          <cell r="K139">
            <v>26.75515640376652</v>
          </cell>
          <cell r="L139">
            <v>26.693071375504132</v>
          </cell>
          <cell r="M139">
            <v>26.711278276073426</v>
          </cell>
          <cell r="N139">
            <v>27.094866707927753</v>
          </cell>
          <cell r="O139">
            <v>27.575606877302061</v>
          </cell>
        </row>
        <row r="140">
          <cell r="A140" t="str">
            <v>D-RHSA_ELC</v>
          </cell>
          <cell r="B140" t="str">
            <v>VAR_fin</v>
          </cell>
          <cell r="C140" t="str">
            <v>RHEM_ELC</v>
          </cell>
          <cell r="D140">
            <v>16.155443026079485</v>
          </cell>
          <cell r="E140">
            <v>12.540165849600077</v>
          </cell>
          <cell r="F140">
            <v>12.803416026697894</v>
          </cell>
          <cell r="G140">
            <v>14.489903976474357</v>
          </cell>
          <cell r="H140">
            <v>17.086867048455964</v>
          </cell>
          <cell r="I140">
            <v>21.266268619083661</v>
          </cell>
          <cell r="J140">
            <v>21.908136641716485</v>
          </cell>
          <cell r="K140">
            <v>23.798729641094724</v>
          </cell>
          <cell r="L140">
            <v>23.816960023060062</v>
          </cell>
          <cell r="M140">
            <v>24.331991696797289</v>
          </cell>
          <cell r="N140">
            <v>24.385564436881822</v>
          </cell>
          <cell r="O140">
            <v>24.8942026815322</v>
          </cell>
        </row>
        <row r="141">
          <cell r="A141" t="str">
            <v>SCOM-SHLTHDH</v>
          </cell>
          <cell r="B141" t="str">
            <v>VAR_fout</v>
          </cell>
          <cell r="C141" t="str">
            <v>SCOM-SHLTHD</v>
          </cell>
          <cell r="D141">
            <v>5.5539284103130191</v>
          </cell>
          <cell r="E141">
            <v>6.0159637489144835</v>
          </cell>
          <cell r="F141">
            <v>6.0159677056781957</v>
          </cell>
          <cell r="G141">
            <v>6.0159698663624432</v>
          </cell>
          <cell r="H141">
            <v>6.0159805717122499</v>
          </cell>
          <cell r="I141">
            <v>6.0303706856588954</v>
          </cell>
          <cell r="J141">
            <v>7.7230071708653449</v>
          </cell>
          <cell r="K141">
            <v>8.0710224873038765</v>
          </cell>
          <cell r="L141">
            <v>8.0710543766195038</v>
          </cell>
          <cell r="M141">
            <v>8.0710818972234364</v>
          </cell>
          <cell r="N141">
            <v>8.1774990268497216</v>
          </cell>
          <cell r="O141">
            <v>8.1775909861542484</v>
          </cell>
        </row>
        <row r="142">
          <cell r="A142" t="str">
            <v>SCOM-SHLTHDH</v>
          </cell>
          <cell r="B142" t="str">
            <v>VAR_fin</v>
          </cell>
          <cell r="C142" t="str">
            <v>SCOMLTHDHC</v>
          </cell>
          <cell r="D142">
            <v>5.5539284103130191</v>
          </cell>
          <cell r="E142">
            <v>6.0159637489144835</v>
          </cell>
          <cell r="F142">
            <v>6.0159677056781957</v>
          </cell>
          <cell r="G142">
            <v>6.0159698663624432</v>
          </cell>
          <cell r="H142">
            <v>6.0159805717122499</v>
          </cell>
          <cell r="I142">
            <v>6.0303706856588954</v>
          </cell>
          <cell r="J142">
            <v>7.7230071708653449</v>
          </cell>
          <cell r="K142">
            <v>8.0710224873038765</v>
          </cell>
          <cell r="L142">
            <v>8.0710543766195038</v>
          </cell>
          <cell r="M142">
            <v>8.0710818972234364</v>
          </cell>
          <cell r="N142">
            <v>8.1774990268497216</v>
          </cell>
          <cell r="O142">
            <v>8.1775909861542484</v>
          </cell>
        </row>
        <row r="143">
          <cell r="A143" t="str">
            <v>SCOM-SHLTHDH</v>
          </cell>
          <cell r="B143" t="str">
            <v>VAR_fin</v>
          </cell>
          <cell r="C143" t="str">
            <v>SCOM_LTH_DH</v>
          </cell>
          <cell r="D143">
            <v>5.6100286972858715</v>
          </cell>
          <cell r="E143">
            <v>6.0767310595095738</v>
          </cell>
          <cell r="F143">
            <v>6.0767350562406026</v>
          </cell>
          <cell r="G143">
            <v>6.0767372387499377</v>
          </cell>
          <cell r="H143">
            <v>6.0767480522345991</v>
          </cell>
          <cell r="I143">
            <v>6.0912835208675631</v>
          </cell>
          <cell r="J143">
            <v>7.8010173443084279</v>
          </cell>
          <cell r="K143">
            <v>8.1525479669736161</v>
          </cell>
          <cell r="L143">
            <v>8.1525801784035394</v>
          </cell>
          <cell r="M143">
            <v>8.1526079769933677</v>
          </cell>
          <cell r="N143">
            <v>8.2601000271209344</v>
          </cell>
          <cell r="O143">
            <v>8.2601929153073126</v>
          </cell>
        </row>
        <row r="144">
          <cell r="A144" t="str">
            <v>SCOM-SHLTHDH</v>
          </cell>
          <cell r="B144" t="str">
            <v>VAR_ncap</v>
          </cell>
          <cell r="C144" t="str">
            <v>-</v>
          </cell>
          <cell r="D144">
            <v>7.5709565041950899E-8</v>
          </cell>
          <cell r="E144">
            <v>2.46984779718434E-7</v>
          </cell>
          <cell r="F144">
            <v>3.7181681589202802E-7</v>
          </cell>
          <cell r="G144">
            <v>5.9056754665104002E-7</v>
          </cell>
          <cell r="H144">
            <v>0.57166862830498699</v>
          </cell>
          <cell r="I144">
            <v>0.117240941773032</v>
          </cell>
          <cell r="J144">
            <v>0.160779634688686</v>
          </cell>
          <cell r="K144">
            <v>0.57167193554534901</v>
          </cell>
          <cell r="L144">
            <v>0.12053607704868</v>
          </cell>
          <cell r="M144">
            <v>0.15749770484709799</v>
          </cell>
          <cell r="N144">
            <v>0.508629780331048</v>
          </cell>
          <cell r="O144">
            <v>0.18358731047566701</v>
          </cell>
        </row>
        <row r="145">
          <cell r="A145" t="str">
            <v>SCOM-SHLTHDH</v>
          </cell>
          <cell r="B145" t="str">
            <v>VAR_cap</v>
          </cell>
          <cell r="C145" t="str">
            <v>-</v>
          </cell>
          <cell r="D145">
            <v>0.84970032863977007</v>
          </cell>
          <cell r="E145">
            <v>0.84970057562454981</v>
          </cell>
          <cell r="F145">
            <v>0.84970094744136571</v>
          </cell>
          <cell r="G145">
            <v>0.84970153800891235</v>
          </cell>
          <cell r="H145">
            <v>0.79202634024692298</v>
          </cell>
          <cell r="I145">
            <v>0.68891012637233795</v>
          </cell>
          <cell r="J145">
            <v>0.84968920476670595</v>
          </cell>
          <cell r="K145">
            <v>0.84969251200706797</v>
          </cell>
          <cell r="L145">
            <v>0.849699629489716</v>
          </cell>
          <cell r="M145">
            <v>0.849705717441127</v>
          </cell>
          <cell r="N145">
            <v>0.849707608320179</v>
          </cell>
          <cell r="O145">
            <v>0.84971479565381403</v>
          </cell>
        </row>
        <row r="146">
          <cell r="A146" t="str">
            <v>ITOT-SWHSTG-ELC</v>
          </cell>
          <cell r="B146" t="str">
            <v>VAR_fout</v>
          </cell>
          <cell r="C146" t="str">
            <v>ITOT-SWHAELC</v>
          </cell>
          <cell r="D146">
            <v>1.735402083416722E-5</v>
          </cell>
          <cell r="E146">
            <v>1.5885009353069213E-5</v>
          </cell>
          <cell r="F146">
            <v>0.13843454803733218</v>
          </cell>
          <cell r="G146">
            <v>2.5727322932802103E-3</v>
          </cell>
          <cell r="H146">
            <v>0.2511542474312346</v>
          </cell>
          <cell r="I146">
            <v>0.66186002812875866</v>
          </cell>
          <cell r="J146">
            <v>1.5818527319420261</v>
          </cell>
          <cell r="K146">
            <v>1.0153627276207271</v>
          </cell>
          <cell r="L146">
            <v>2.2878242712999857</v>
          </cell>
          <cell r="M146">
            <v>1.188509850835344</v>
          </cell>
          <cell r="N146">
            <v>1.8216529889259943</v>
          </cell>
          <cell r="O146">
            <v>1.8622720539081199</v>
          </cell>
        </row>
        <row r="147">
          <cell r="A147" t="str">
            <v>ITOT-SWHSTG-ELC</v>
          </cell>
          <cell r="B147" t="str">
            <v>VAR_fin</v>
          </cell>
          <cell r="C147" t="str">
            <v>ITOT-SWHAELC</v>
          </cell>
          <cell r="D147">
            <v>2.4459514896871411E-5</v>
          </cell>
          <cell r="E147">
            <v>2.270551109886958E-5</v>
          </cell>
          <cell r="F147">
            <v>0.178698936065318</v>
          </cell>
          <cell r="G147">
            <v>3.2950955395151566E-3</v>
          </cell>
          <cell r="H147">
            <v>0.30452804665243211</v>
          </cell>
          <cell r="I147">
            <v>0.77876029030793903</v>
          </cell>
          <cell r="J147">
            <v>1.8079250304326242</v>
          </cell>
          <cell r="K147">
            <v>1.1282778828704756</v>
          </cell>
          <cell r="L147">
            <v>2.5421332750066461</v>
          </cell>
          <cell r="M147">
            <v>1.320667326623937</v>
          </cell>
          <cell r="N147">
            <v>2.0241669671600322</v>
          </cell>
          <cell r="O147">
            <v>2.0693001895904297</v>
          </cell>
        </row>
        <row r="148">
          <cell r="A148" t="str">
            <v>ITOT-SWHSTG-ELC</v>
          </cell>
          <cell r="B148" t="str">
            <v>VAR_ncap</v>
          </cell>
          <cell r="C148" t="str">
            <v>-</v>
          </cell>
          <cell r="D148">
            <v>5.8219050098808596E-3</v>
          </cell>
          <cell r="E148">
            <v>0.16556747977367101</v>
          </cell>
          <cell r="F148">
            <v>7.5293375618633697E-3</v>
          </cell>
          <cell r="G148">
            <v>0.145067372647808</v>
          </cell>
          <cell r="H148">
            <v>8.5283669476400398E-2</v>
          </cell>
          <cell r="I148">
            <v>0.109276508037335</v>
          </cell>
          <cell r="J148">
            <v>7.5359673968564495E-2</v>
          </cell>
          <cell r="K148">
            <v>7.7974008307343204E-2</v>
          </cell>
          <cell r="L148">
            <v>0.12202714930672399</v>
          </cell>
          <cell r="M148">
            <v>7.2568215840239994E-2</v>
          </cell>
          <cell r="N148">
            <v>0.11217431185674701</v>
          </cell>
          <cell r="O148">
            <v>9.4980656069891603E-2</v>
          </cell>
        </row>
        <row r="149">
          <cell r="A149" t="str">
            <v>ITOT-SWHSTG-ELC</v>
          </cell>
          <cell r="B149" t="str">
            <v>VAR_cap</v>
          </cell>
          <cell r="C149" t="str">
            <v>-</v>
          </cell>
          <cell r="D149">
            <v>5.8219050098808596E-3</v>
          </cell>
          <cell r="E149">
            <v>0.17138290106745652</v>
          </cell>
          <cell r="F149">
            <v>0.17890681778386824</v>
          </cell>
          <cell r="G149">
            <v>0.32396398025777962</v>
          </cell>
          <cell r="H149">
            <v>0.32417038112592267</v>
          </cell>
          <cell r="I149">
            <v>0.31358170221916049</v>
          </cell>
          <cell r="J149">
            <v>0.26989791669921659</v>
          </cell>
          <cell r="K149">
            <v>0.26254097706053431</v>
          </cell>
          <cell r="L149">
            <v>0.28203653574609638</v>
          </cell>
          <cell r="M149">
            <v>0.27242241967388597</v>
          </cell>
          <cell r="N149">
            <v>0.28169012459684389</v>
          </cell>
          <cell r="O149">
            <v>0.27957093364986363</v>
          </cell>
        </row>
        <row r="150">
          <cell r="A150" t="str">
            <v>D-SCOM_SOLELC</v>
          </cell>
          <cell r="B150" t="str">
            <v>VAR_fout</v>
          </cell>
          <cell r="C150" t="str">
            <v>ELC5</v>
          </cell>
          <cell r="D150">
            <v>0.77781647140938603</v>
          </cell>
          <cell r="E150">
            <v>1.6697602187740139</v>
          </cell>
          <cell r="F150">
            <v>1.9574720309132747</v>
          </cell>
          <cell r="G150">
            <v>2.1755839425266847</v>
          </cell>
          <cell r="H150">
            <v>2.2585242156651577</v>
          </cell>
          <cell r="I150">
            <v>14.046377642798534</v>
          </cell>
          <cell r="J150">
            <v>13.929698246547714</v>
          </cell>
          <cell r="K150">
            <v>14.12573413648</v>
          </cell>
          <cell r="L150">
            <v>13.99472126877483</v>
          </cell>
          <cell r="M150">
            <v>14.812570054872547</v>
          </cell>
          <cell r="N150">
            <v>15.889466352663035</v>
          </cell>
          <cell r="O150">
            <v>16.232143228257016</v>
          </cell>
        </row>
        <row r="151">
          <cell r="A151" t="str">
            <v>D-SCOM_SOLELC</v>
          </cell>
          <cell r="B151" t="str">
            <v>VAR_fout</v>
          </cell>
          <cell r="C151" t="str">
            <v>SCOM_ELC</v>
          </cell>
          <cell r="D151">
            <v>2.0618072143625792</v>
          </cell>
          <cell r="E151">
            <v>1.6247272714986851</v>
          </cell>
          <cell r="F151">
            <v>1.977723230685444</v>
          </cell>
          <cell r="G151">
            <v>2.2185501159289491</v>
          </cell>
          <cell r="H151">
            <v>2.3507134904390048</v>
          </cell>
          <cell r="I151">
            <v>13.535439421673782</v>
          </cell>
          <cell r="J151">
            <v>14.435974515033177</v>
          </cell>
          <cell r="K151">
            <v>16.032144895189074</v>
          </cell>
          <cell r="L151">
            <v>16.081055886345329</v>
          </cell>
          <cell r="M151">
            <v>17.381344433683115</v>
          </cell>
          <cell r="N151">
            <v>18.209646379212874</v>
          </cell>
          <cell r="O151">
            <v>19.152319597716133</v>
          </cell>
        </row>
        <row r="152">
          <cell r="A152" t="str">
            <v>D-SCOM_SOLELC</v>
          </cell>
          <cell r="B152" t="str">
            <v>VAR_fin</v>
          </cell>
          <cell r="C152" t="str">
            <v>SCOM_SOL_ELC</v>
          </cell>
          <cell r="D152">
            <v>2.8396236857719668</v>
          </cell>
          <cell r="E152">
            <v>3.2944552198176535</v>
          </cell>
          <cell r="F152">
            <v>3.9351952615987198</v>
          </cell>
          <cell r="G152">
            <v>4.3941340584556334</v>
          </cell>
          <cell r="H152">
            <v>4.6092377061041612</v>
          </cell>
          <cell r="I152">
            <v>27.581817064472318</v>
          </cell>
          <cell r="J152">
            <v>28.365672761580907</v>
          </cell>
          <cell r="K152">
            <v>30.157879031669065</v>
          </cell>
          <cell r="L152">
            <v>30.075777155120161</v>
          </cell>
          <cell r="M152">
            <v>32.193914488555642</v>
          </cell>
          <cell r="N152">
            <v>34.099112731875898</v>
          </cell>
          <cell r="O152">
            <v>35.384462825973145</v>
          </cell>
        </row>
        <row r="153">
          <cell r="A153" t="str">
            <v>D-ILFO</v>
          </cell>
          <cell r="B153" t="str">
            <v>VAR_fout</v>
          </cell>
          <cell r="C153" t="str">
            <v>CO2</v>
          </cell>
          <cell r="D153">
            <v>690.34145766029906</v>
          </cell>
          <cell r="E153">
            <v>659.57743359546396</v>
          </cell>
          <cell r="F153">
            <v>602.559182724886</v>
          </cell>
          <cell r="G153">
            <v>518.827545680399</v>
          </cell>
          <cell r="H153">
            <v>359.98516456246699</v>
          </cell>
          <cell r="I153">
            <v>204.20776220591301</v>
          </cell>
          <cell r="J153">
            <v>100.281335936876</v>
          </cell>
          <cell r="K153">
            <v>1.1459695964495999E-3</v>
          </cell>
          <cell r="L153">
            <v>5.2555591769742503E-3</v>
          </cell>
          <cell r="M153">
            <v>6.3827571497409204E-3</v>
          </cell>
          <cell r="N153">
            <v>5.9861755070158198E-3</v>
          </cell>
          <cell r="O153">
            <v>6.6505710985618896E-3</v>
          </cell>
        </row>
        <row r="154">
          <cell r="A154" t="str">
            <v>D-ILFO</v>
          </cell>
          <cell r="B154" t="str">
            <v>VAR_fout</v>
          </cell>
          <cell r="C154" t="str">
            <v>ILFO</v>
          </cell>
          <cell r="D154">
            <v>9.2104742306187894</v>
          </cell>
          <cell r="E154">
            <v>8.8000233620882522</v>
          </cell>
          <cell r="F154">
            <v>8.0393030165742747</v>
          </cell>
          <cell r="G154">
            <v>7.1487503878603542</v>
          </cell>
          <cell r="H154">
            <v>5.0295511304600033</v>
          </cell>
          <cell r="I154">
            <v>2.95116459785228</v>
          </cell>
          <cell r="J154">
            <v>1.564587070639905</v>
          </cell>
          <cell r="K154">
            <v>0.22671585700284247</v>
          </cell>
          <cell r="L154">
            <v>0.23684265087664694</v>
          </cell>
          <cell r="M154">
            <v>0.2409317733568771</v>
          </cell>
          <cell r="N154">
            <v>0.24098469656173552</v>
          </cell>
          <cell r="O154">
            <v>0.25176990743495198</v>
          </cell>
        </row>
        <row r="155">
          <cell r="A155" t="str">
            <v>D-ILFO</v>
          </cell>
          <cell r="B155" t="str">
            <v>VAR_fin</v>
          </cell>
          <cell r="C155" t="str">
            <v>LFO</v>
          </cell>
          <cell r="D155">
            <v>9.3669125869782857</v>
          </cell>
          <cell r="E155">
            <v>8.9494902794499804</v>
          </cell>
          <cell r="F155">
            <v>8.1758369433498839</v>
          </cell>
          <cell r="G155">
            <v>7.0397224651342993</v>
          </cell>
          <cell r="H155">
            <v>4.884466276288558</v>
          </cell>
          <cell r="I155">
            <v>2.7707973162267687</v>
          </cell>
          <cell r="J155">
            <v>1.3606694156971029</v>
          </cell>
          <cell r="K155">
            <v>1.554911257055092E-5</v>
          </cell>
          <cell r="L155">
            <v>7.1310165223531247E-5</v>
          </cell>
          <cell r="M155">
            <v>8.6604574623350326E-5</v>
          </cell>
          <cell r="N155">
            <v>8.122354826344394E-5</v>
          </cell>
          <cell r="O155">
            <v>9.0238413820378395E-5</v>
          </cell>
        </row>
        <row r="156">
          <cell r="A156" t="str">
            <v>D-ILFO</v>
          </cell>
          <cell r="B156" t="str">
            <v>VAR_fin</v>
          </cell>
          <cell r="C156" t="str">
            <v>BDS</v>
          </cell>
          <cell r="D156"/>
          <cell r="E156"/>
          <cell r="F156">
            <v>1.2283408439757694E-5</v>
          </cell>
          <cell r="G156">
            <v>0.23047618546490381</v>
          </cell>
          <cell r="H156">
            <v>0.23051093456365007</v>
          </cell>
          <cell r="I156">
            <v>0.23052186442714218</v>
          </cell>
          <cell r="J156">
            <v>0.23053119399446634</v>
          </cell>
          <cell r="K156">
            <v>0.23057838883868337</v>
          </cell>
          <cell r="L156">
            <v>0.24081846923572608</v>
          </cell>
          <cell r="M156">
            <v>0.24493735444772466</v>
          </cell>
          <cell r="N156">
            <v>0.2449965575706804</v>
          </cell>
          <cell r="O156">
            <v>0.25594516821857299</v>
          </cell>
        </row>
        <row r="157">
          <cell r="A157" t="str">
            <v>RHEM-SHSTG-NGAHP</v>
          </cell>
          <cell r="B157" t="str">
            <v>VAR_fout</v>
          </cell>
          <cell r="C157" t="str">
            <v>RHEM-SHANGAH</v>
          </cell>
          <cell r="D157"/>
          <cell r="E157"/>
          <cell r="F157">
            <v>5.3209231679879863E-4</v>
          </cell>
          <cell r="G157">
            <v>5.846630566970479E-4</v>
          </cell>
          <cell r="H157">
            <v>4.579067988429524E-3</v>
          </cell>
          <cell r="I157">
            <v>6.4067872357855523E-3</v>
          </cell>
          <cell r="J157">
            <v>0.32981108867991016</v>
          </cell>
          <cell r="K157">
            <v>0.33199096621100654</v>
          </cell>
          <cell r="L157">
            <v>0.45905045530867589</v>
          </cell>
          <cell r="M157">
            <v>0.42934330707610951</v>
          </cell>
          <cell r="N157">
            <v>0.44459386661845007</v>
          </cell>
          <cell r="O157">
            <v>0.38874244347436776</v>
          </cell>
        </row>
        <row r="158">
          <cell r="A158" t="str">
            <v>RHEM-SHSTG-NGAHP</v>
          </cell>
          <cell r="B158" t="str">
            <v>VAR_fin</v>
          </cell>
          <cell r="C158" t="str">
            <v>RHEM-SHANGAH</v>
          </cell>
          <cell r="D158"/>
          <cell r="E158"/>
          <cell r="F158">
            <v>5.3333110490304248E-4</v>
          </cell>
          <cell r="G158">
            <v>5.8591858953501298E-4</v>
          </cell>
          <cell r="H158">
            <v>4.5809058532732027E-3</v>
          </cell>
          <cell r="I158">
            <v>6.4088098620643337E-3</v>
          </cell>
          <cell r="J158">
            <v>0.32983382897160562</v>
          </cell>
          <cell r="K158">
            <v>0.33201341746567603</v>
          </cell>
          <cell r="L158">
            <v>0.45907252973762686</v>
          </cell>
          <cell r="M158">
            <v>0.42936392697418813</v>
          </cell>
          <cell r="N158">
            <v>0.44461585612272109</v>
          </cell>
          <cell r="O158">
            <v>0.38876423884034256</v>
          </cell>
        </row>
        <row r="159">
          <cell r="A159" t="str">
            <v>RHEM-SHSTG-NGAHP</v>
          </cell>
          <cell r="B159" t="str">
            <v>VAR_ncap</v>
          </cell>
          <cell r="C159" t="str">
            <v>-</v>
          </cell>
          <cell r="D159">
            <v>7.0220875284813801E-5</v>
          </cell>
          <cell r="E159">
            <v>1.4574044590207E-6</v>
          </cell>
          <cell r="F159">
            <v>1.6051728956051599E-4</v>
          </cell>
          <cell r="G159">
            <v>8.5030515065562403E-5</v>
          </cell>
          <cell r="H159">
            <v>1.35894145349048E-3</v>
          </cell>
          <cell r="I159">
            <v>6.2441316592369101E-4</v>
          </cell>
          <cell r="J159">
            <v>4.8133002569290803E-2</v>
          </cell>
          <cell r="K159">
            <v>1.34018111718704E-3</v>
          </cell>
          <cell r="L159">
            <v>6.6913267065264797E-3</v>
          </cell>
          <cell r="M159">
            <v>4.1388821402223802E-2</v>
          </cell>
          <cell r="N159">
            <v>3.4952012762942499E-3</v>
          </cell>
          <cell r="O159">
            <v>5.0238464468232696E-3</v>
          </cell>
        </row>
        <row r="160">
          <cell r="A160" t="str">
            <v>RHEM-SHSTG-NGAHP</v>
          </cell>
          <cell r="B160" t="str">
            <v>VAR_cap</v>
          </cell>
          <cell r="C160" t="str">
            <v>-</v>
          </cell>
          <cell r="D160">
            <v>7.0220875284813801E-5</v>
          </cell>
          <cell r="E160">
            <v>1.9700874899016994E-6</v>
          </cell>
          <cell r="F160">
            <v>1.6169179451962681E-4</v>
          </cell>
          <cell r="G160">
            <v>1.8288581797878801E-4</v>
          </cell>
          <cell r="H160">
            <v>1.487045533592657E-3</v>
          </cell>
          <cell r="I160">
            <v>1.9080842607035802E-3</v>
          </cell>
          <cell r="J160">
            <v>4.9832185352715316E-2</v>
          </cell>
          <cell r="K160">
            <v>4.9086997825436116E-2</v>
          </cell>
          <cell r="L160">
            <v>4.8679140359457272E-2</v>
          </cell>
          <cell r="M160">
            <v>4.8621777654432485E-2</v>
          </cell>
          <cell r="N160">
            <v>4.8637752082447236E-2</v>
          </cell>
          <cell r="O160">
            <v>4.863723361223575E-2</v>
          </cell>
        </row>
        <row r="161">
          <cell r="A161" t="str">
            <v>RHEM-SHCONBR4</v>
          </cell>
          <cell r="B161" t="str">
            <v>VAR_fout</v>
          </cell>
          <cell r="C161" t="str">
            <v>RHEM-SHCON</v>
          </cell>
          <cell r="D161">
            <v>4.5519409434989879E-4</v>
          </cell>
          <cell r="E161">
            <v>1.0022825131842383E-2</v>
          </cell>
          <cell r="F161">
            <v>1.0018446809985784E-2</v>
          </cell>
          <cell r="G161">
            <v>1.0019952595445655E-2</v>
          </cell>
          <cell r="H161">
            <v>1.0022116272619388E-2</v>
          </cell>
          <cell r="I161">
            <v>1.0033718786996028E-2</v>
          </cell>
          <cell r="J161">
            <v>1.0034712760804214E-2</v>
          </cell>
          <cell r="K161">
            <v>6.6772313892530183E-3</v>
          </cell>
          <cell r="L161">
            <v>1.9180254037105735E-3</v>
          </cell>
          <cell r="M161">
            <v>1.9195239242866943E-3</v>
          </cell>
          <cell r="N161">
            <v>1.9189794086084148E-3</v>
          </cell>
          <cell r="O161">
            <v>1.9065941794496567E-3</v>
          </cell>
        </row>
        <row r="162">
          <cell r="A162" t="str">
            <v>RHEM-SHCONBR4</v>
          </cell>
          <cell r="B162" t="str">
            <v>VAR_fin</v>
          </cell>
          <cell r="C162" t="str">
            <v>CON</v>
          </cell>
          <cell r="D162">
            <v>4.5519409434989879E-4</v>
          </cell>
          <cell r="E162">
            <v>1.0022825131842383E-2</v>
          </cell>
          <cell r="F162">
            <v>1.0018446809985784E-2</v>
          </cell>
          <cell r="G162">
            <v>1.0019952595445655E-2</v>
          </cell>
          <cell r="H162">
            <v>1.0022116272619388E-2</v>
          </cell>
          <cell r="I162">
            <v>1.0033718786996028E-2</v>
          </cell>
          <cell r="J162">
            <v>1.0034712760804214E-2</v>
          </cell>
          <cell r="K162">
            <v>6.6772313892530183E-3</v>
          </cell>
          <cell r="L162">
            <v>1.9180254037105735E-3</v>
          </cell>
          <cell r="M162">
            <v>1.9195239242866943E-3</v>
          </cell>
          <cell r="N162">
            <v>1.9189794086084148E-3</v>
          </cell>
          <cell r="O162">
            <v>1.9065941794496567E-3</v>
          </cell>
        </row>
        <row r="163">
          <cell r="A163" t="str">
            <v>RHEM-SHCONBR4</v>
          </cell>
          <cell r="B163" t="str">
            <v>VAR_ncap</v>
          </cell>
          <cell r="C163" t="str">
            <v>-</v>
          </cell>
          <cell r="D163">
            <v>3.02720458153101E-5</v>
          </cell>
          <cell r="E163">
            <v>6.7576082538462704E-4</v>
          </cell>
          <cell r="F163">
            <v>1.2067631002918399E-7</v>
          </cell>
          <cell r="G163">
            <v>1.8010868580653599E-7</v>
          </cell>
          <cell r="H163">
            <v>2.5922245287381699E-7</v>
          </cell>
          <cell r="I163">
            <v>9.0919119173290101E-7</v>
          </cell>
          <cell r="J163">
            <v>1.56914968330412E-7</v>
          </cell>
          <cell r="K163">
            <v>2.4206807463752201E-6</v>
          </cell>
          <cell r="L163">
            <v>1.3022844874163101E-4</v>
          </cell>
          <cell r="M163">
            <v>2.7936815279707999E-7</v>
          </cell>
          <cell r="N163">
            <v>3.0785044518831101E-7</v>
          </cell>
          <cell r="O163">
            <v>7.8949224670338797E-8</v>
          </cell>
        </row>
        <row r="164">
          <cell r="A164" t="str">
            <v>RHEM-SHCONBR4</v>
          </cell>
          <cell r="B164" t="str">
            <v>VAR_cap</v>
          </cell>
          <cell r="C164" t="str">
            <v>-</v>
          </cell>
          <cell r="D164">
            <v>3.02720458153101E-5</v>
          </cell>
          <cell r="E164">
            <v>7.0603287119993705E-4</v>
          </cell>
          <cell r="F164">
            <v>7.06153547509967E-4</v>
          </cell>
          <cell r="G164">
            <v>7.0633365619577303E-4</v>
          </cell>
          <cell r="H164">
            <v>7.0659287864864703E-4</v>
          </cell>
          <cell r="I164">
            <v>7.0750206984038005E-4</v>
          </cell>
          <cell r="J164">
            <v>7.0765898480870996E-4</v>
          </cell>
          <cell r="K164">
            <v>4.7043350792725199E-4</v>
          </cell>
          <cell r="L164">
            <v>1.3414287560251399E-4</v>
          </cell>
          <cell r="M164">
            <v>1.3425382625373999E-4</v>
          </cell>
          <cell r="N164">
            <v>1.3420603437188999E-4</v>
          </cell>
          <cell r="O164">
            <v>1.33472212278992E-4</v>
          </cell>
        </row>
        <row r="165">
          <cell r="A165" t="str">
            <v>RHNM-SHCONBR</v>
          </cell>
          <cell r="B165" t="str">
            <v>VAR_fout</v>
          </cell>
          <cell r="C165" t="str">
            <v>RHNM-SHCON</v>
          </cell>
          <cell r="D165"/>
          <cell r="E165"/>
          <cell r="F165">
            <v>9.5622009027932734E-4</v>
          </cell>
          <cell r="G165">
            <v>8.449298790328217E-4</v>
          </cell>
          <cell r="H165">
            <v>8.569756202695207E-4</v>
          </cell>
          <cell r="I165">
            <v>8.7949641079062776E-4</v>
          </cell>
          <cell r="J165">
            <v>8.9215201267167166E-4</v>
          </cell>
          <cell r="K165">
            <v>8.8490195944253898E-4</v>
          </cell>
          <cell r="L165">
            <v>3.6221945811306935E-3</v>
          </cell>
          <cell r="M165">
            <v>3.7565204820587637E-3</v>
          </cell>
          <cell r="N165">
            <v>0.67724168182843736</v>
          </cell>
          <cell r="O165">
            <v>2.2052429437646954</v>
          </cell>
        </row>
        <row r="166">
          <cell r="A166" t="str">
            <v>RHNM-SHCONBR</v>
          </cell>
          <cell r="B166" t="str">
            <v>VAR_fin</v>
          </cell>
          <cell r="C166" t="str">
            <v>CON</v>
          </cell>
          <cell r="D166"/>
          <cell r="E166"/>
          <cell r="F166">
            <v>9.5622009027932734E-4</v>
          </cell>
          <cell r="G166">
            <v>8.449298790328217E-4</v>
          </cell>
          <cell r="H166">
            <v>8.569756202695207E-4</v>
          </cell>
          <cell r="I166">
            <v>8.7949641079062776E-4</v>
          </cell>
          <cell r="J166">
            <v>8.9215201267167166E-4</v>
          </cell>
          <cell r="K166">
            <v>8.8490195944253898E-4</v>
          </cell>
          <cell r="L166">
            <v>3.6221945811306935E-3</v>
          </cell>
          <cell r="M166">
            <v>3.7565204820587637E-3</v>
          </cell>
          <cell r="N166">
            <v>0.67724168182843736</v>
          </cell>
          <cell r="O166">
            <v>2.2052429437646954</v>
          </cell>
        </row>
        <row r="167">
          <cell r="A167" t="str">
            <v>RHNM-SHCONBR</v>
          </cell>
          <cell r="B167" t="str">
            <v>VAR_ncap</v>
          </cell>
          <cell r="C167" t="str">
            <v>-</v>
          </cell>
          <cell r="D167"/>
          <cell r="E167">
            <v>1.8771585626337099E-7</v>
          </cell>
          <cell r="F167">
            <v>7.6912460891680206E-5</v>
          </cell>
          <cell r="G167">
            <v>2.7606330909992901E-7</v>
          </cell>
          <cell r="H167">
            <v>6.5147672405870402E-7</v>
          </cell>
          <cell r="I167">
            <v>6.6859126035466201E-7</v>
          </cell>
          <cell r="J167">
            <v>6.6997136317925401E-7</v>
          </cell>
          <cell r="K167">
            <v>1.5648127557552199E-6</v>
          </cell>
          <cell r="L167">
            <v>2.3090910139086899E-4</v>
          </cell>
          <cell r="M167">
            <v>2.40430822113929E-6</v>
          </cell>
          <cell r="N167">
            <v>0.10003631531035501</v>
          </cell>
          <cell r="O167">
            <v>0.27566393256889998</v>
          </cell>
        </row>
        <row r="168">
          <cell r="A168" t="str">
            <v>RHNM-SHCONBR</v>
          </cell>
          <cell r="B168" t="str">
            <v>VAR_cap</v>
          </cell>
          <cell r="C168" t="str">
            <v>-</v>
          </cell>
          <cell r="D168"/>
          <cell r="E168">
            <v>1.8771585626337099E-7</v>
          </cell>
          <cell r="F168">
            <v>7.7052058238800115E-5</v>
          </cell>
          <cell r="G168">
            <v>7.7200224947694186E-5</v>
          </cell>
          <cell r="H168">
            <v>7.7733978632249059E-5</v>
          </cell>
          <cell r="I168">
            <v>7.8237663126461447E-5</v>
          </cell>
          <cell r="J168">
            <v>7.8690104745957507E-5</v>
          </cell>
          <cell r="K168">
            <v>8.0006403850112293E-5</v>
          </cell>
          <cell r="L168">
            <v>3.1096034357969371E-4</v>
          </cell>
          <cell r="M168">
            <v>3.1316181285349464E-4</v>
          </cell>
          <cell r="N168">
            <v>0.10034959579491512</v>
          </cell>
          <cell r="O168">
            <v>0.37601383844193415</v>
          </cell>
        </row>
        <row r="169">
          <cell r="A169" t="str">
            <v>RHEM-SHCONBR5</v>
          </cell>
          <cell r="B169" t="str">
            <v>VAR_fout</v>
          </cell>
          <cell r="C169" t="str">
            <v>RHEM-SHCON</v>
          </cell>
          <cell r="D169">
            <v>4.0328348462458053E-4</v>
          </cell>
          <cell r="E169">
            <v>3.7538481307792903E-3</v>
          </cell>
          <cell r="F169">
            <v>3.751571423371681E-3</v>
          </cell>
          <cell r="G169">
            <v>3.7530338033864743E-3</v>
          </cell>
          <cell r="H169">
            <v>3.7552935969970861E-3</v>
          </cell>
          <cell r="I169">
            <v>3.7674127033898281E-3</v>
          </cell>
          <cell r="J169">
            <v>3.7684110097808425E-3</v>
          </cell>
          <cell r="K169">
            <v>2.4844383268694927E-3</v>
          </cell>
          <cell r="L169">
            <v>1.5984432210198742E-3</v>
          </cell>
          <cell r="M169">
            <v>1.6003353591337631E-3</v>
          </cell>
          <cell r="N169">
            <v>1.5998493812629587E-3</v>
          </cell>
          <cell r="O169">
            <v>1.5870395451017447E-3</v>
          </cell>
        </row>
        <row r="170">
          <cell r="A170" t="str">
            <v>RHEM-SHCONBR5</v>
          </cell>
          <cell r="B170" t="str">
            <v>VAR_fin</v>
          </cell>
          <cell r="C170" t="str">
            <v>CON</v>
          </cell>
          <cell r="D170">
            <v>4.0328348462458053E-4</v>
          </cell>
          <cell r="E170">
            <v>3.7538481307792903E-3</v>
          </cell>
          <cell r="F170">
            <v>3.751571423371681E-3</v>
          </cell>
          <cell r="G170">
            <v>3.7530338033864743E-3</v>
          </cell>
          <cell r="H170">
            <v>3.7552935969970861E-3</v>
          </cell>
          <cell r="I170">
            <v>3.7674127033898281E-3</v>
          </cell>
          <cell r="J170">
            <v>3.7684110097808425E-3</v>
          </cell>
          <cell r="K170">
            <v>2.4844383268694927E-3</v>
          </cell>
          <cell r="L170">
            <v>1.5984432210198742E-3</v>
          </cell>
          <cell r="M170">
            <v>1.6003353591337631E-3</v>
          </cell>
          <cell r="N170">
            <v>1.5998493812629587E-3</v>
          </cell>
          <cell r="O170">
            <v>1.5870395451017447E-3</v>
          </cell>
        </row>
        <row r="171">
          <cell r="A171" t="str">
            <v>RHEM-SHCONBR5</v>
          </cell>
          <cell r="B171" t="str">
            <v>VAR_ncap</v>
          </cell>
          <cell r="C171" t="str">
            <v>-</v>
          </cell>
          <cell r="D171">
            <v>2.6601636783360401E-5</v>
          </cell>
          <cell r="E171">
            <v>2.3668498509934701E-4</v>
          </cell>
          <cell r="F171">
            <v>1.2280970944627501E-7</v>
          </cell>
          <cell r="G171">
            <v>1.82705890551745E-7</v>
          </cell>
          <cell r="H171">
            <v>2.6480777848064698E-7</v>
          </cell>
          <cell r="I171">
            <v>9.5042730410820198E-7</v>
          </cell>
          <cell r="J171">
            <v>1.6158328733477699E-7</v>
          </cell>
          <cell r="K171">
            <v>3.7364915655818298E-6</v>
          </cell>
          <cell r="L171">
            <v>1.06279149843692E-4</v>
          </cell>
          <cell r="M171">
            <v>3.0922339696090101E-7</v>
          </cell>
          <cell r="N171">
            <v>3.2370168838699702E-7</v>
          </cell>
          <cell r="O171">
            <v>7.9898829833440604E-8</v>
          </cell>
        </row>
        <row r="172">
          <cell r="A172" t="str">
            <v>RHEM-SHCONBR5</v>
          </cell>
          <cell r="B172" t="str">
            <v>VAR_cap</v>
          </cell>
          <cell r="C172" t="str">
            <v>-</v>
          </cell>
          <cell r="D172">
            <v>2.6601636783360401E-5</v>
          </cell>
          <cell r="E172">
            <v>2.6328662188270701E-4</v>
          </cell>
          <cell r="F172">
            <v>2.6340943159215301E-4</v>
          </cell>
          <cell r="G172">
            <v>2.6359213748270501E-4</v>
          </cell>
          <cell r="H172">
            <v>2.6385694526118598E-4</v>
          </cell>
          <cell r="I172">
            <v>2.6480737256529398E-4</v>
          </cell>
          <cell r="J172">
            <v>2.6496895585262901E-4</v>
          </cell>
          <cell r="K172">
            <v>1.74235771200128E-4</v>
          </cell>
          <cell r="L172">
            <v>1.11563425262839E-4</v>
          </cell>
          <cell r="M172">
            <v>1.11701683176158E-4</v>
          </cell>
          <cell r="N172">
            <v>1.11658690983369E-4</v>
          </cell>
          <cell r="O172">
            <v>1.1089004861179E-4</v>
          </cell>
        </row>
        <row r="173">
          <cell r="A173" t="str">
            <v>ITOT-SWHNGABR</v>
          </cell>
          <cell r="B173" t="str">
            <v>VAR_fout</v>
          </cell>
          <cell r="C173" t="str">
            <v>ITOT-SWH</v>
          </cell>
          <cell r="D173">
            <v>28.619796617245338</v>
          </cell>
          <cell r="E173">
            <v>23.91795037297625</v>
          </cell>
          <cell r="F173">
            <v>29.094405585965063</v>
          </cell>
          <cell r="G173">
            <v>21.081465857474001</v>
          </cell>
          <cell r="H173">
            <v>10.522453945989588</v>
          </cell>
          <cell r="I173">
            <v>6.1431319481577029</v>
          </cell>
          <cell r="J173">
            <v>3.6066380411263865</v>
          </cell>
          <cell r="K173">
            <v>1.0405233623881769</v>
          </cell>
          <cell r="L173">
            <v>0.55678561539248006</v>
          </cell>
          <cell r="M173">
            <v>0.5987765140459762</v>
          </cell>
          <cell r="N173">
            <v>0.52407328071530013</v>
          </cell>
          <cell r="O173">
            <v>0.50132500274323455</v>
          </cell>
        </row>
        <row r="174">
          <cell r="A174" t="str">
            <v>ITOT-SWHNGABR</v>
          </cell>
          <cell r="B174" t="str">
            <v>VAR_fout</v>
          </cell>
          <cell r="C174" t="str">
            <v>CO2_I</v>
          </cell>
          <cell r="D174">
            <v>2005.1550929827699</v>
          </cell>
          <cell r="E174">
            <v>1674.26968152823</v>
          </cell>
          <cell r="F174">
            <v>2033.9562296403201</v>
          </cell>
          <cell r="G174">
            <v>1470.5699167518601</v>
          </cell>
          <cell r="H174">
            <v>732.41414850129399</v>
          </cell>
          <cell r="I174">
            <v>426.66439967327801</v>
          </cell>
          <cell r="J174">
            <v>249.952818770487</v>
          </cell>
          <cell r="K174">
            <v>71.956207585286506</v>
          </cell>
          <cell r="L174">
            <v>38.503874847873398</v>
          </cell>
          <cell r="M174">
            <v>41.407707601103297</v>
          </cell>
          <cell r="N174">
            <v>36.241690614712098</v>
          </cell>
          <cell r="O174">
            <v>34.668559370249802</v>
          </cell>
        </row>
        <row r="175">
          <cell r="A175" t="str">
            <v>ITOT-SWHNGABR</v>
          </cell>
          <cell r="B175" t="str">
            <v>VAR_fin</v>
          </cell>
          <cell r="C175" t="str">
            <v>INGA</v>
          </cell>
          <cell r="D175">
            <v>35.552395265651967</v>
          </cell>
          <cell r="E175">
            <v>29.685632651209787</v>
          </cell>
          <cell r="F175">
            <v>36.063053717026904</v>
          </cell>
          <cell r="G175">
            <v>26.073934694181993</v>
          </cell>
          <cell r="H175">
            <v>12.986066462788914</v>
          </cell>
          <cell r="I175">
            <v>7.5649716254127357</v>
          </cell>
          <cell r="J175">
            <v>4.4317875668526092</v>
          </cell>
          <cell r="K175">
            <v>1.275819283427065</v>
          </cell>
          <cell r="L175">
            <v>0.68269281645165647</v>
          </cell>
          <cell r="M175">
            <v>0.73417921278552001</v>
          </cell>
          <cell r="N175">
            <v>0.64258316692751971</v>
          </cell>
          <cell r="O175">
            <v>0.61469076897606112</v>
          </cell>
        </row>
        <row r="176">
          <cell r="A176" t="str">
            <v>ITOT-SWHNGABR</v>
          </cell>
          <cell r="B176" t="str">
            <v>VAR_ncap</v>
          </cell>
          <cell r="C176" t="str">
            <v>-</v>
          </cell>
          <cell r="D176"/>
          <cell r="E176">
            <v>2.5716031158107999E-4</v>
          </cell>
          <cell r="F176">
            <v>4.0638866273228498E-2</v>
          </cell>
          <cell r="G176">
            <v>9.9369393934862598E-5</v>
          </cell>
          <cell r="H176">
            <v>0.27344490128975601</v>
          </cell>
          <cell r="I176">
            <v>8.8057896209593506E-2</v>
          </cell>
          <cell r="J176">
            <v>8.4349482472505498E-5</v>
          </cell>
          <cell r="K176">
            <v>2.7919910408808499E-4</v>
          </cell>
          <cell r="L176">
            <v>3.9877202621540299E-2</v>
          </cell>
          <cell r="M176">
            <v>1.7720181719346698E-2</v>
          </cell>
          <cell r="N176">
            <v>8.9640006243912902E-3</v>
          </cell>
          <cell r="O176">
            <v>2.42433910438269E-2</v>
          </cell>
        </row>
        <row r="177">
          <cell r="A177" t="str">
            <v>ITOT-SWHNGABR</v>
          </cell>
          <cell r="B177" t="str">
            <v>VAR_cap</v>
          </cell>
          <cell r="C177" t="str">
            <v>-</v>
          </cell>
          <cell r="D177">
            <v>1.556581895256</v>
          </cell>
          <cell r="E177">
            <v>1.5568262061017351</v>
          </cell>
          <cell r="F177">
            <v>1.597433724842362</v>
          </cell>
          <cell r="G177">
            <v>1.589553321154443</v>
          </cell>
          <cell r="H177">
            <v>0.71562495158590245</v>
          </cell>
          <cell r="I177">
            <v>0.37001679738702403</v>
          </cell>
          <cell r="J177">
            <v>0.24640167791878298</v>
          </cell>
          <cell r="K177">
            <v>8.5856784134757627E-2</v>
          </cell>
          <cell r="L177">
            <v>5.3276435862634731E-2</v>
          </cell>
          <cell r="M177">
            <v>5.7749338470968976E-2</v>
          </cell>
          <cell r="N177">
            <v>5.3692363059099246E-2</v>
          </cell>
          <cell r="O177">
            <v>5.0773050005549797E-2</v>
          </cell>
        </row>
        <row r="178">
          <cell r="A178" t="str">
            <v>RHNM-SHSOLBR</v>
          </cell>
          <cell r="B178" t="str">
            <v>VAR_fout</v>
          </cell>
          <cell r="C178" t="str">
            <v>RHNM-SHASOL</v>
          </cell>
          <cell r="D178"/>
          <cell r="E178">
            <v>2.1553231620646526E-2</v>
          </cell>
          <cell r="F178">
            <v>1.3167056802288572E-2</v>
          </cell>
          <cell r="G178">
            <v>2.2971168956059152E-2</v>
          </cell>
          <cell r="H178">
            <v>2.9554023724321376E-2</v>
          </cell>
          <cell r="I178">
            <v>2.919907805243541E-2</v>
          </cell>
          <cell r="J178">
            <v>3.6988598966606494E-2</v>
          </cell>
          <cell r="K178">
            <v>1.3850979379667346E-2</v>
          </cell>
          <cell r="L178">
            <v>3.4624737357451313E-3</v>
          </cell>
          <cell r="M178">
            <v>6.3715038763288625E-3</v>
          </cell>
          <cell r="N178">
            <v>1.0590073160895192E-3</v>
          </cell>
          <cell r="O178">
            <v>3.9857382129605727E-3</v>
          </cell>
        </row>
        <row r="179">
          <cell r="A179" t="str">
            <v>RHNM-SHSOLBR</v>
          </cell>
          <cell r="B179" t="str">
            <v>VAR_fin</v>
          </cell>
          <cell r="C179" t="str">
            <v>SOL</v>
          </cell>
          <cell r="D179"/>
          <cell r="E179">
            <v>2.1553231620646526E-2</v>
          </cell>
          <cell r="F179">
            <v>1.3167056802288572E-2</v>
          </cell>
          <cell r="G179">
            <v>2.2971168956059152E-2</v>
          </cell>
          <cell r="H179">
            <v>2.9554023724321376E-2</v>
          </cell>
          <cell r="I179">
            <v>2.919907805243541E-2</v>
          </cell>
          <cell r="J179">
            <v>3.6988598966606494E-2</v>
          </cell>
          <cell r="K179">
            <v>1.3850979379667346E-2</v>
          </cell>
          <cell r="L179">
            <v>3.4624737357451313E-3</v>
          </cell>
          <cell r="M179">
            <v>6.3715038763288625E-3</v>
          </cell>
          <cell r="N179">
            <v>1.0590073160895192E-3</v>
          </cell>
          <cell r="O179">
            <v>3.9857382129605727E-3</v>
          </cell>
        </row>
        <row r="180">
          <cell r="A180" t="str">
            <v>RHNM-SHSOLBR</v>
          </cell>
          <cell r="B180" t="str">
            <v>VAR_ncap</v>
          </cell>
          <cell r="C180" t="str">
            <v>-</v>
          </cell>
          <cell r="D180"/>
          <cell r="E180">
            <v>3.2614933928556199E-3</v>
          </cell>
          <cell r="F180">
            <v>2.6877799845268099E-4</v>
          </cell>
          <cell r="G180">
            <v>3.22959746273237E-4</v>
          </cell>
          <cell r="H180">
            <v>2.5097163897121401E-3</v>
          </cell>
          <cell r="I180">
            <v>1.7587666449676101E-3</v>
          </cell>
          <cell r="J180">
            <v>1.42553209104298E-3</v>
          </cell>
          <cell r="K180">
            <v>1.5249112689195101E-4</v>
          </cell>
          <cell r="L180">
            <v>4.0089048971897299E-5</v>
          </cell>
          <cell r="M180">
            <v>1.7220995530298901E-3</v>
          </cell>
          <cell r="N180">
            <v>4.0683448602919301E-5</v>
          </cell>
          <cell r="O180">
            <v>1.24802050064427E-3</v>
          </cell>
        </row>
        <row r="181">
          <cell r="A181" t="str">
            <v>RHNM-SHSOLBR</v>
          </cell>
          <cell r="B181" t="str">
            <v>VAR_cap</v>
          </cell>
          <cell r="C181" t="str">
            <v>-</v>
          </cell>
          <cell r="D181"/>
          <cell r="E181">
            <v>3.2614933928556199E-3</v>
          </cell>
          <cell r="F181">
            <v>3.5302713913083102E-3</v>
          </cell>
          <cell r="G181">
            <v>3.8532311375815398E-3</v>
          </cell>
          <cell r="H181">
            <v>4.7724600492295797E-3</v>
          </cell>
          <cell r="I181">
            <v>4.5864432601570304E-3</v>
          </cell>
          <cell r="J181">
            <v>5.6940151257227302E-3</v>
          </cell>
          <cell r="K181">
            <v>3.3367898629025399E-3</v>
          </cell>
          <cell r="L181">
            <v>1.6994774487294399E-3</v>
          </cell>
          <cell r="M181">
            <v>1.9146797288937399E-3</v>
          </cell>
          <cell r="N181">
            <v>1.81717279492308E-3</v>
          </cell>
          <cell r="O181">
            <v>3.01080350227707E-3</v>
          </cell>
        </row>
        <row r="182">
          <cell r="A182" t="str">
            <v>RHEM-SHPLTBR</v>
          </cell>
          <cell r="B182" t="str">
            <v>VAR_fout</v>
          </cell>
          <cell r="C182" t="str">
            <v>RHEM-SHPLT</v>
          </cell>
          <cell r="D182">
            <v>1.4011542559404326</v>
          </cell>
          <cell r="E182">
            <v>1.607824559439696</v>
          </cell>
          <cell r="F182">
            <v>1.6078245304052781</v>
          </cell>
          <cell r="G182">
            <v>1.6078256539097666</v>
          </cell>
          <cell r="H182">
            <v>1.6078299254725883</v>
          </cell>
          <cell r="I182">
            <v>1.6078346194667601</v>
          </cell>
          <cell r="J182">
            <v>1.6078395952840896</v>
          </cell>
          <cell r="K182">
            <v>1.6078440806357612</v>
          </cell>
          <cell r="L182">
            <v>1.6078457082297577</v>
          </cell>
          <cell r="M182">
            <v>1.6078495638338688</v>
          </cell>
          <cell r="N182">
            <v>1.6078567345191896</v>
          </cell>
          <cell r="O182">
            <v>1.6078798392069915</v>
          </cell>
        </row>
        <row r="183">
          <cell r="A183" t="str">
            <v>RHEM-SHPLTBR</v>
          </cell>
          <cell r="B183" t="str">
            <v>VAR_fin</v>
          </cell>
          <cell r="C183" t="str">
            <v>RHEMPLTBRC</v>
          </cell>
          <cell r="D183">
            <v>1.4011542559404326</v>
          </cell>
          <cell r="E183">
            <v>1.607824559439696</v>
          </cell>
          <cell r="F183">
            <v>1.6078245304052781</v>
          </cell>
          <cell r="G183">
            <v>1.6078256539097666</v>
          </cell>
          <cell r="H183">
            <v>1.6078299254725883</v>
          </cell>
          <cell r="I183">
            <v>1.6078346194667601</v>
          </cell>
          <cell r="J183">
            <v>1.6078395952840896</v>
          </cell>
          <cell r="K183">
            <v>1.6078440806357612</v>
          </cell>
          <cell r="L183">
            <v>1.6078457082297577</v>
          </cell>
          <cell r="M183">
            <v>1.6078495638338688</v>
          </cell>
          <cell r="N183">
            <v>1.6078567345191896</v>
          </cell>
          <cell r="O183">
            <v>1.6078798392069915</v>
          </cell>
        </row>
        <row r="184">
          <cell r="A184" t="str">
            <v>RHEM-SHPLTBR</v>
          </cell>
          <cell r="B184" t="str">
            <v>VAR_fin</v>
          </cell>
          <cell r="C184" t="str">
            <v>RPLT</v>
          </cell>
          <cell r="D184">
            <v>1.5568380621560356</v>
          </cell>
          <cell r="E184">
            <v>1.7864717327107722</v>
          </cell>
          <cell r="F184">
            <v>1.7864717004503101</v>
          </cell>
          <cell r="G184">
            <v>1.7864729487886295</v>
          </cell>
          <cell r="H184">
            <v>1.786477694969544</v>
          </cell>
          <cell r="I184">
            <v>1.786482910518622</v>
          </cell>
          <cell r="J184">
            <v>1.7864884392045441</v>
          </cell>
          <cell r="K184">
            <v>1.7864934229286225</v>
          </cell>
          <cell r="L184">
            <v>1.7864952313663984</v>
          </cell>
          <cell r="M184">
            <v>1.786499515370964</v>
          </cell>
          <cell r="N184">
            <v>1.7865074827991001</v>
          </cell>
          <cell r="O184">
            <v>1.7865331546744354</v>
          </cell>
        </row>
        <row r="185">
          <cell r="A185" t="str">
            <v>RHEM-SHPLTBR</v>
          </cell>
          <cell r="B185" t="str">
            <v>VAR_ncap</v>
          </cell>
          <cell r="C185" t="str">
            <v>-</v>
          </cell>
          <cell r="D185">
            <v>9.9929007004733001E-6</v>
          </cell>
          <cell r="E185">
            <v>1.4758331914897E-2</v>
          </cell>
          <cell r="F185">
            <v>6.2899347320650597E-6</v>
          </cell>
          <cell r="G185">
            <v>4.6475938263840698E-6</v>
          </cell>
          <cell r="H185">
            <v>8.1183048772707295E-2</v>
          </cell>
          <cell r="I185">
            <v>3.3364195223887998E-2</v>
          </cell>
          <cell r="J185">
            <v>1.4722214999330001E-5</v>
          </cell>
          <cell r="K185">
            <v>8.1336680069158604E-2</v>
          </cell>
          <cell r="L185">
            <v>2.8335603934779002E-2</v>
          </cell>
          <cell r="M185">
            <v>5.0061186649856303E-3</v>
          </cell>
          <cell r="N185">
            <v>7.5466500135562706E-2</v>
          </cell>
          <cell r="O185">
            <v>3.4729259411804297E-2</v>
          </cell>
        </row>
        <row r="186">
          <cell r="A186" t="str">
            <v>RHEM-SHPLTBR</v>
          </cell>
          <cell r="B186" t="str">
            <v>VAR_cap</v>
          </cell>
          <cell r="C186" t="str">
            <v>-</v>
          </cell>
          <cell r="D186">
            <v>9.9709049020981072E-2</v>
          </cell>
          <cell r="E186">
            <v>0.11446718998034641</v>
          </cell>
          <cell r="F186">
            <v>0.11447107539064322</v>
          </cell>
          <cell r="G186">
            <v>0.11447297013271511</v>
          </cell>
          <cell r="H186">
            <v>0.1146083573604197</v>
          </cell>
          <cell r="I186">
            <v>0.11455026442092758</v>
          </cell>
          <cell r="J186">
            <v>0.11456009652765092</v>
          </cell>
          <cell r="K186">
            <v>0.11471245570105847</v>
          </cell>
          <cell r="L186">
            <v>0.11480789992197711</v>
          </cell>
          <cell r="M186">
            <v>0.11467470180866089</v>
          </cell>
          <cell r="N186">
            <v>0.11422677285728523</v>
          </cell>
          <cell r="O186">
            <v>0.11519773756888557</v>
          </cell>
        </row>
        <row r="187">
          <cell r="A187" t="str">
            <v>RHEM-SHCONBR6</v>
          </cell>
          <cell r="B187" t="str">
            <v>VAR_fout</v>
          </cell>
          <cell r="C187" t="str">
            <v>RHEM-SHCON</v>
          </cell>
          <cell r="D187"/>
          <cell r="E187">
            <v>1.2495209454508685E-3</v>
          </cell>
          <cell r="F187">
            <v>1.2484801466450843E-3</v>
          </cell>
          <cell r="G187">
            <v>1.2499661439245666E-3</v>
          </cell>
          <cell r="H187">
            <v>1.2523503117482309E-3</v>
          </cell>
          <cell r="I187">
            <v>1.2633218759287225E-3</v>
          </cell>
          <cell r="J187">
            <v>1.2641668998102432E-3</v>
          </cell>
          <cell r="K187">
            <v>1.0587533997189456E-3</v>
          </cell>
          <cell r="L187">
            <v>1.0413197518108807E-3</v>
          </cell>
          <cell r="M187">
            <v>1.0456409455468284E-3</v>
          </cell>
          <cell r="N187">
            <v>1.0463581656376781E-3</v>
          </cell>
          <cell r="O187">
            <v>1.0346761422671703E-3</v>
          </cell>
        </row>
        <row r="188">
          <cell r="A188" t="str">
            <v>RHEM-SHCONBR6</v>
          </cell>
          <cell r="B188" t="str">
            <v>VAR_fin</v>
          </cell>
          <cell r="C188" t="str">
            <v>CON</v>
          </cell>
          <cell r="D188"/>
          <cell r="E188">
            <v>1.2495209454508685E-3</v>
          </cell>
          <cell r="F188">
            <v>1.2484801466450843E-3</v>
          </cell>
          <cell r="G188">
            <v>1.2499661439245666E-3</v>
          </cell>
          <cell r="H188">
            <v>1.2523503117482309E-3</v>
          </cell>
          <cell r="I188">
            <v>1.2633218759287225E-3</v>
          </cell>
          <cell r="J188">
            <v>1.2641668998102432E-3</v>
          </cell>
          <cell r="K188">
            <v>1.0587533997189456E-3</v>
          </cell>
          <cell r="L188">
            <v>1.0413197518108807E-3</v>
          </cell>
          <cell r="M188">
            <v>1.0456409455468284E-3</v>
          </cell>
          <cell r="N188">
            <v>1.0463581656376781E-3</v>
          </cell>
          <cell r="O188">
            <v>1.0346761422671703E-3</v>
          </cell>
        </row>
        <row r="189">
          <cell r="A189" t="str">
            <v>RHEM-SHCONBR6</v>
          </cell>
          <cell r="B189" t="str">
            <v>VAR_ncap</v>
          </cell>
          <cell r="C189" t="str">
            <v>-</v>
          </cell>
          <cell r="D189"/>
          <cell r="E189">
            <v>8.6330135342636805E-5</v>
          </cell>
          <cell r="F189">
            <v>1.2898507152531801E-7</v>
          </cell>
          <cell r="G189">
            <v>1.8831920658915899E-7</v>
          </cell>
          <cell r="H189">
            <v>2.72521103390652E-7</v>
          </cell>
          <cell r="I189">
            <v>8.7176385125610402E-7</v>
          </cell>
          <cell r="J189">
            <v>1.53386830515196E-7</v>
          </cell>
          <cell r="K189">
            <v>1.3602961153738499E-5</v>
          </cell>
          <cell r="L189">
            <v>5.71200445779568E-5</v>
          </cell>
          <cell r="M189">
            <v>4.8544933973049803E-7</v>
          </cell>
          <cell r="N189">
            <v>4.0434000125400902E-7</v>
          </cell>
          <cell r="O189">
            <v>8.3491910641614205E-8</v>
          </cell>
        </row>
        <row r="190">
          <cell r="A190" t="str">
            <v>RHEM-SHCONBR6</v>
          </cell>
          <cell r="B190" t="str">
            <v>VAR_cap</v>
          </cell>
          <cell r="C190" t="str">
            <v>-</v>
          </cell>
          <cell r="D190"/>
          <cell r="E190">
            <v>8.6330135342636805E-5</v>
          </cell>
          <cell r="F190">
            <v>8.6459120414162196E-5</v>
          </cell>
          <cell r="G190">
            <v>8.66474396207513E-5</v>
          </cell>
          <cell r="H190">
            <v>8.6919960724142004E-5</v>
          </cell>
          <cell r="I190">
            <v>8.7791724575398094E-5</v>
          </cell>
          <cell r="J190">
            <v>8.7945111405913302E-5</v>
          </cell>
          <cell r="K190">
            <v>7.3478937093790305E-5</v>
          </cell>
          <cell r="L190">
            <v>7.2197624841604903E-5</v>
          </cell>
          <cell r="M190">
            <v>7.2506126856587802E-5</v>
          </cell>
          <cell r="N190">
            <v>7.2549740611862907E-5</v>
          </cell>
          <cell r="O190">
            <v>7.1849673813836605E-5</v>
          </cell>
        </row>
        <row r="191">
          <cell r="A191" t="str">
            <v>RHEM-SHCONBR7</v>
          </cell>
          <cell r="B191" t="str">
            <v>VAR_fout</v>
          </cell>
          <cell r="C191" t="str">
            <v>RHEM-SHCON</v>
          </cell>
          <cell r="D191"/>
          <cell r="E191">
            <v>5.8192419091884057E-4</v>
          </cell>
          <cell r="F191">
            <v>5.8154053115180761E-4</v>
          </cell>
          <cell r="G191">
            <v>5.8305334570036692E-4</v>
          </cell>
          <cell r="H191">
            <v>5.8552813287860144E-4</v>
          </cell>
          <cell r="I191">
            <v>5.9315333828430055E-4</v>
          </cell>
          <cell r="J191">
            <v>5.9383677834980912E-4</v>
          </cell>
          <cell r="K191">
            <v>7.19725778344402E-4</v>
          </cell>
          <cell r="L191">
            <v>6.6140099784046643E-4</v>
          </cell>
          <cell r="M191">
            <v>6.6844849859748554E-4</v>
          </cell>
          <cell r="N191">
            <v>6.7320583499035709E-4</v>
          </cell>
          <cell r="O191">
            <v>6.6460120799118408E-4</v>
          </cell>
        </row>
        <row r="192">
          <cell r="A192" t="str">
            <v>RHEM-SHCONBR7</v>
          </cell>
          <cell r="B192" t="str">
            <v>VAR_fin</v>
          </cell>
          <cell r="C192" t="str">
            <v>CON</v>
          </cell>
          <cell r="D192"/>
          <cell r="E192">
            <v>5.8192419091884057E-4</v>
          </cell>
          <cell r="F192">
            <v>5.8154053115180761E-4</v>
          </cell>
          <cell r="G192">
            <v>5.8305334570036692E-4</v>
          </cell>
          <cell r="H192">
            <v>5.8552813287860144E-4</v>
          </cell>
          <cell r="I192">
            <v>5.9315333828430055E-4</v>
          </cell>
          <cell r="J192">
            <v>5.9383677834980912E-4</v>
          </cell>
          <cell r="K192">
            <v>7.19725778344402E-4</v>
          </cell>
          <cell r="L192">
            <v>6.6140099784046643E-4</v>
          </cell>
          <cell r="M192">
            <v>6.6844849859748554E-4</v>
          </cell>
          <cell r="N192">
            <v>6.7320583499035709E-4</v>
          </cell>
          <cell r="O192">
            <v>6.6460120799118408E-4</v>
          </cell>
        </row>
        <row r="193">
          <cell r="A193" t="str">
            <v>RHEM-SHCONBR7</v>
          </cell>
          <cell r="B193" t="str">
            <v>VAR_ncap</v>
          </cell>
          <cell r="C193" t="str">
            <v>-</v>
          </cell>
          <cell r="D193"/>
          <cell r="E193">
            <v>3.9182030173344399E-5</v>
          </cell>
          <cell r="F193">
            <v>1.3800335084889901E-7</v>
          </cell>
          <cell r="G193">
            <v>1.9336077862073001E-7</v>
          </cell>
          <cell r="H193">
            <v>2.77694260098089E-7</v>
          </cell>
          <cell r="I193">
            <v>6.3672378176959799E-7</v>
          </cell>
          <cell r="J193">
            <v>1.4377579272201699E-7</v>
          </cell>
          <cell r="K193">
            <v>2.16895833703926E-5</v>
          </cell>
          <cell r="L193">
            <v>2.2415962220021798E-5</v>
          </cell>
          <cell r="M193">
            <v>6.8346917110359105E-7</v>
          </cell>
          <cell r="N193">
            <v>6.5925719171960003E-7</v>
          </cell>
          <cell r="O193">
            <v>8.9653347097824699E-8</v>
          </cell>
        </row>
        <row r="194">
          <cell r="A194" t="str">
            <v>RHEM-SHCONBR7</v>
          </cell>
          <cell r="B194" t="str">
            <v>VAR_cap</v>
          </cell>
          <cell r="C194" t="str">
            <v>-</v>
          </cell>
          <cell r="D194"/>
          <cell r="E194">
            <v>3.9182030173344399E-5</v>
          </cell>
          <cell r="F194">
            <v>3.9320033524193299E-5</v>
          </cell>
          <cell r="G194">
            <v>3.95133943028141E-5</v>
          </cell>
          <cell r="H194">
            <v>3.9791088562912198E-5</v>
          </cell>
          <cell r="I194">
            <v>4.0427812344681802E-5</v>
          </cell>
          <cell r="J194">
            <v>4.0571588137403798E-5</v>
          </cell>
          <cell r="K194">
            <v>4.95216372953451E-5</v>
          </cell>
          <cell r="L194">
            <v>4.5347113244990897E-5</v>
          </cell>
          <cell r="M194">
            <v>4.5847208596107703E-5</v>
          </cell>
          <cell r="N194">
            <v>4.6178278180376301E-5</v>
          </cell>
          <cell r="O194">
            <v>4.5681701093057401E-5</v>
          </cell>
        </row>
        <row r="195">
          <cell r="A195" t="str">
            <v>RHEM-SHCONBR8</v>
          </cell>
          <cell r="B195" t="str">
            <v>VAR_fout</v>
          </cell>
          <cell r="C195" t="str">
            <v>RHEM-SHCON</v>
          </cell>
          <cell r="D195"/>
          <cell r="E195">
            <v>1.7039534944425502E-4</v>
          </cell>
          <cell r="F195">
            <v>1.7147138577375238E-4</v>
          </cell>
          <cell r="G195">
            <v>1.7325400268058161E-4</v>
          </cell>
          <cell r="H195">
            <v>1.7476374693626808E-4</v>
          </cell>
          <cell r="I195">
            <v>1.7511721681013736E-4</v>
          </cell>
          <cell r="J195">
            <v>1.7530316996408973E-4</v>
          </cell>
          <cell r="K195">
            <v>2.9599450387662489E-4</v>
          </cell>
          <cell r="L195">
            <v>2.3617129194373717E-4</v>
          </cell>
          <cell r="M195">
            <v>2.5220963368148167E-4</v>
          </cell>
          <cell r="N195">
            <v>2.747724021429665E-4</v>
          </cell>
          <cell r="O195">
            <v>2.7351928780694305E-4</v>
          </cell>
        </row>
        <row r="196">
          <cell r="A196" t="str">
            <v>RHEM-SHCONBR8</v>
          </cell>
          <cell r="B196" t="str">
            <v>VAR_fin</v>
          </cell>
          <cell r="C196" t="str">
            <v>CON</v>
          </cell>
          <cell r="D196"/>
          <cell r="E196">
            <v>1.7039534944425502E-4</v>
          </cell>
          <cell r="F196">
            <v>1.7147138577375238E-4</v>
          </cell>
          <cell r="G196">
            <v>1.7325400268058161E-4</v>
          </cell>
          <cell r="H196">
            <v>1.7476374693626808E-4</v>
          </cell>
          <cell r="I196">
            <v>1.7511721681013736E-4</v>
          </cell>
          <cell r="J196">
            <v>1.7530316996408973E-4</v>
          </cell>
          <cell r="K196">
            <v>2.9599450387662489E-4</v>
          </cell>
          <cell r="L196">
            <v>2.3617129194373717E-4</v>
          </cell>
          <cell r="M196">
            <v>2.5220963368148167E-4</v>
          </cell>
          <cell r="N196">
            <v>2.747724021429665E-4</v>
          </cell>
          <cell r="O196">
            <v>2.7351928780694305E-4</v>
          </cell>
        </row>
        <row r="197">
          <cell r="A197" t="str">
            <v>RHEM-SHCONBR8</v>
          </cell>
          <cell r="B197" t="str">
            <v>VAR_ncap</v>
          </cell>
          <cell r="C197" t="str">
            <v>-</v>
          </cell>
          <cell r="D197"/>
          <cell r="E197">
            <v>1.01128859398546E-5</v>
          </cell>
          <cell r="F197">
            <v>1.9805709809089399E-7</v>
          </cell>
          <cell r="G197">
            <v>2.19213325143919E-7</v>
          </cell>
          <cell r="H197">
            <v>2.0707084944646299E-7</v>
          </cell>
          <cell r="I197">
            <v>1.24571674974592E-7</v>
          </cell>
          <cell r="J197">
            <v>1.11253380345418E-7</v>
          </cell>
          <cell r="K197">
            <v>1.1884280029162E-5</v>
          </cell>
          <cell r="L197">
            <v>2.7322726547092598E-6</v>
          </cell>
          <cell r="M197">
            <v>1.35397054785142E-6</v>
          </cell>
          <cell r="N197">
            <v>1.78495444417692E-6</v>
          </cell>
          <cell r="O197">
            <v>1.2243851128105699E-7</v>
          </cell>
        </row>
        <row r="198">
          <cell r="A198" t="str">
            <v>RHEM-SHCONBR8</v>
          </cell>
          <cell r="B198" t="str">
            <v>VAR_cap</v>
          </cell>
          <cell r="C198" t="str">
            <v>-</v>
          </cell>
          <cell r="D198"/>
          <cell r="E198">
            <v>1.01128859398546E-5</v>
          </cell>
          <cell r="F198">
            <v>1.03109430379455E-5</v>
          </cell>
          <cell r="G198">
            <v>1.05301563630894E-5</v>
          </cell>
          <cell r="H198">
            <v>1.0737227212535899E-5</v>
          </cell>
          <cell r="I198">
            <v>1.08617988875104E-5</v>
          </cell>
          <cell r="J198">
            <v>1.0973052267855899E-5</v>
          </cell>
          <cell r="K198">
            <v>1.9569257231804899E-5</v>
          </cell>
          <cell r="L198">
            <v>1.5279968578309599E-5</v>
          </cell>
          <cell r="M198">
            <v>1.6413419136489202E-5</v>
          </cell>
          <cell r="N198">
            <v>1.8008477826374999E-5</v>
          </cell>
          <cell r="O198">
            <v>1.7989169567526101E-5</v>
          </cell>
          <cell r="P198"/>
          <cell r="Q198"/>
          <cell r="R198"/>
        </row>
        <row r="199">
          <cell r="A199" t="str">
            <v>RHES-SHELCHP</v>
          </cell>
          <cell r="B199" t="str">
            <v>VAR_fout</v>
          </cell>
          <cell r="C199" t="str">
            <v>RHES-SHAELCH</v>
          </cell>
          <cell r="D199">
            <v>9.1578337317724774</v>
          </cell>
          <cell r="E199">
            <v>10.275934255555878</v>
          </cell>
          <cell r="F199">
            <v>10.276011989683846</v>
          </cell>
          <cell r="G199">
            <v>12.918712861380483</v>
          </cell>
          <cell r="H199">
            <v>20.381063984627875</v>
          </cell>
          <cell r="I199">
            <v>27.033867112304581</v>
          </cell>
          <cell r="J199">
            <v>27.035954888702648</v>
          </cell>
          <cell r="K199">
            <v>30.923955573044779</v>
          </cell>
          <cell r="L199">
            <v>30.923985954777383</v>
          </cell>
          <cell r="M199">
            <v>30.923996867032834</v>
          </cell>
          <cell r="N199">
            <v>30.924005401516872</v>
          </cell>
          <cell r="O199">
            <v>30.924033151467359</v>
          </cell>
        </row>
        <row r="200">
          <cell r="A200" t="str">
            <v>RHES-SHELCHP</v>
          </cell>
          <cell r="B200" t="str">
            <v>VAR_fin</v>
          </cell>
          <cell r="C200" t="str">
            <v>RHES_ELC</v>
          </cell>
          <cell r="D200">
            <v>2.8618229982857111</v>
          </cell>
          <cell r="E200">
            <v>3.1585863069119378</v>
          </cell>
          <cell r="F200">
            <v>3.0828035969051522</v>
          </cell>
          <cell r="G200">
            <v>3.7265517869366769</v>
          </cell>
          <cell r="H200">
            <v>5.6877387864077793</v>
          </cell>
          <cell r="I200">
            <v>7.3064505708931318</v>
          </cell>
          <cell r="J200">
            <v>7.1147249707112179</v>
          </cell>
          <cell r="K200">
            <v>7.9292193777037943</v>
          </cell>
          <cell r="L200">
            <v>7.929227167891634</v>
          </cell>
          <cell r="M200">
            <v>7.9292299659058552</v>
          </cell>
          <cell r="N200">
            <v>7.9292321542351001</v>
          </cell>
          <cell r="O200">
            <v>7.9292392696070166</v>
          </cell>
          <cell r="Q200"/>
        </row>
        <row r="201">
          <cell r="A201" t="str">
            <v>RHES-SHELCHP</v>
          </cell>
          <cell r="B201" t="str">
            <v>VAR_fin</v>
          </cell>
          <cell r="C201" t="str">
            <v>RHESELCHPC</v>
          </cell>
          <cell r="D201">
            <v>9.1578337317724774</v>
          </cell>
          <cell r="E201">
            <v>10.275934255555878</v>
          </cell>
          <cell r="F201">
            <v>10.276011989683846</v>
          </cell>
          <cell r="G201">
            <v>12.918712861380483</v>
          </cell>
          <cell r="H201">
            <v>20.381063984627875</v>
          </cell>
          <cell r="I201">
            <v>27.033867112304581</v>
          </cell>
          <cell r="J201">
            <v>27.035954888702648</v>
          </cell>
          <cell r="K201">
            <v>30.923955573044779</v>
          </cell>
          <cell r="L201">
            <v>30.923985954777383</v>
          </cell>
          <cell r="M201">
            <v>30.923996867032834</v>
          </cell>
          <cell r="N201">
            <v>30.924005401516872</v>
          </cell>
          <cell r="O201">
            <v>30.924033151467359</v>
          </cell>
          <cell r="P201"/>
          <cell r="Q201"/>
          <cell r="R201"/>
          <cell r="S201"/>
        </row>
        <row r="202">
          <cell r="A202" t="str">
            <v>RHES-SHELCHP</v>
          </cell>
          <cell r="B202" t="str">
            <v>VAR_ncap</v>
          </cell>
          <cell r="C202" t="str">
            <v>-</v>
          </cell>
          <cell r="D202">
            <v>1.9392970886308699E-7</v>
          </cell>
          <cell r="E202">
            <v>9.0329277499630795E-2</v>
          </cell>
          <cell r="F202">
            <v>9.29705525587107E-5</v>
          </cell>
          <cell r="G202">
            <v>0.21349554112913</v>
          </cell>
          <cell r="H202">
            <v>1.1950544504684899</v>
          </cell>
          <cell r="I202">
            <v>0.81901261775108603</v>
          </cell>
          <cell r="J202">
            <v>0.17397908974937301</v>
          </cell>
          <cell r="K202">
            <v>1.52357020693954</v>
          </cell>
          <cell r="L202">
            <v>0.69819802852968105</v>
          </cell>
          <cell r="M202">
            <v>0.27666904670658299</v>
          </cell>
          <cell r="N202">
            <v>1.48095282659143</v>
          </cell>
          <cell r="O202">
            <v>0.740977791867098</v>
          </cell>
        </row>
        <row r="203">
          <cell r="A203" t="str">
            <v>RHES-SHELCHP</v>
          </cell>
          <cell r="B203" t="str">
            <v>VAR_cap</v>
          </cell>
          <cell r="C203" t="str">
            <v>-</v>
          </cell>
          <cell r="D203">
            <v>0.7398381218550738</v>
          </cell>
          <cell r="E203">
            <v>0.83016727071179752</v>
          </cell>
          <cell r="F203">
            <v>0.83025911326746193</v>
          </cell>
          <cell r="G203">
            <v>1.0437534966664301</v>
          </cell>
          <cell r="H203">
            <v>1.6467847673956959</v>
          </cell>
          <cell r="I203">
            <v>2.1869630796652531</v>
          </cell>
          <cell r="J203">
            <v>2.1880447780517409</v>
          </cell>
          <cell r="K203">
            <v>2.5165592001326749</v>
          </cell>
          <cell r="L203">
            <v>2.498537548464586</v>
          </cell>
          <cell r="M203">
            <v>2.498434124215815</v>
          </cell>
          <cell r="N203">
            <v>2.5043342292743067</v>
          </cell>
          <cell r="O203">
            <v>2.4985959929389732</v>
          </cell>
        </row>
        <row r="204">
          <cell r="A204" t="str">
            <v>RHSA-WHELCHP</v>
          </cell>
          <cell r="B204" t="str">
            <v>VAR_fout</v>
          </cell>
          <cell r="C204" t="str">
            <v>RHSA-WHAELCH</v>
          </cell>
          <cell r="D204">
            <v>3.239917665001212</v>
          </cell>
          <cell r="E204">
            <v>3.6354842595170571</v>
          </cell>
          <cell r="F204">
            <v>5.0809538236445544</v>
          </cell>
          <cell r="G204">
            <v>8.1579850992693643</v>
          </cell>
          <cell r="H204">
            <v>13.010871375798001</v>
          </cell>
          <cell r="I204">
            <v>17.322880181967719</v>
          </cell>
          <cell r="J204">
            <v>16.672933668035363</v>
          </cell>
          <cell r="K204">
            <v>16.591579613190106</v>
          </cell>
          <cell r="L204">
            <v>18.282132080545139</v>
          </cell>
          <cell r="M204">
            <v>20.869950234672331</v>
          </cell>
          <cell r="N204">
            <v>18.785906566694731</v>
          </cell>
          <cell r="O204">
            <v>19.26572889092326</v>
          </cell>
        </row>
        <row r="205">
          <cell r="A205" t="str">
            <v>RHSA-WHELCHP</v>
          </cell>
          <cell r="B205" t="str">
            <v>VAR_fin</v>
          </cell>
          <cell r="C205" t="str">
            <v>RHSA_ELC</v>
          </cell>
          <cell r="D205">
            <v>1.1489069734046848</v>
          </cell>
          <cell r="E205">
            <v>1.2864417054200481</v>
          </cell>
          <cell r="F205">
            <v>1.7922235709504606</v>
          </cell>
          <cell r="G205">
            <v>2.8624509120243378</v>
          </cell>
          <cell r="H205">
            <v>4.440570435425939</v>
          </cell>
          <cell r="I205">
            <v>5.755109695005884</v>
          </cell>
          <cell r="J205">
            <v>5.4397825996852731</v>
          </cell>
          <cell r="K205">
            <v>5.3178139785865719</v>
          </cell>
          <cell r="L205">
            <v>5.8596577181234419</v>
          </cell>
          <cell r="M205">
            <v>6.6890866136770297</v>
          </cell>
          <cell r="N205">
            <v>6.0211238995816485</v>
          </cell>
          <cell r="O205">
            <v>6.1749131060651488</v>
          </cell>
        </row>
        <row r="206">
          <cell r="A206" t="str">
            <v>RHSA-WHELCHP</v>
          </cell>
          <cell r="B206" t="str">
            <v>VAR_ncap</v>
          </cell>
          <cell r="C206" t="str">
            <v>-</v>
          </cell>
          <cell r="D206">
            <v>4.1646570349584897E-6</v>
          </cell>
          <cell r="E206">
            <v>3.2800140524343997E-2</v>
          </cell>
          <cell r="F206">
            <v>0.10115476284576699</v>
          </cell>
          <cell r="G206">
            <v>0.210329143471427</v>
          </cell>
          <cell r="H206">
            <v>0.50398834249033897</v>
          </cell>
          <cell r="I206">
            <v>0.488507984784395</v>
          </cell>
          <cell r="J206">
            <v>0.136327627777133</v>
          </cell>
          <cell r="K206">
            <v>0.50934256752042995</v>
          </cell>
          <cell r="L206">
            <v>0.54696257011415295</v>
          </cell>
          <cell r="M206">
            <v>0.32564812024001799</v>
          </cell>
          <cell r="N206">
            <v>0.49466035738765501</v>
          </cell>
          <cell r="O206">
            <v>0.48150800294160101</v>
          </cell>
        </row>
        <row r="207">
          <cell r="A207" t="str">
            <v>RHSA-WHELCHP</v>
          </cell>
          <cell r="B207" t="str">
            <v>VAR_cap</v>
          </cell>
          <cell r="C207" t="str">
            <v>-</v>
          </cell>
          <cell r="D207">
            <v>0.21335682707627596</v>
          </cell>
          <cell r="E207">
            <v>0.24615644449884372</v>
          </cell>
          <cell r="F207">
            <v>0.34731021023998954</v>
          </cell>
          <cell r="G207">
            <v>0.55763783512523546</v>
          </cell>
          <cell r="H207">
            <v>0.88760311861147911</v>
          </cell>
          <cell r="I207">
            <v>1.1840508805756187</v>
          </cell>
          <cell r="J207">
            <v>1.1288225810141341</v>
          </cell>
          <cell r="K207">
            <v>1.1341757248920958</v>
          </cell>
          <cell r="L207">
            <v>1.2496283854502932</v>
          </cell>
          <cell r="M207">
            <v>1.3819505341712313</v>
          </cell>
          <cell r="N207">
            <v>1.2840880566671478</v>
          </cell>
          <cell r="O207">
            <v>1.3018134034821831</v>
          </cell>
        </row>
        <row r="208">
          <cell r="A208" t="str">
            <v>D-ITOT_LTH_CHP</v>
          </cell>
          <cell r="B208" t="str">
            <v>VAR_fout</v>
          </cell>
          <cell r="C208" t="str">
            <v>ITOT_LTH_CHP_ON</v>
          </cell>
          <cell r="D208">
            <v>5.6086674658280904</v>
          </cell>
          <cell r="E208">
            <v>6.0095479056429371</v>
          </cell>
          <cell r="F208">
            <v>6.1300514237650043</v>
          </cell>
          <cell r="G208">
            <v>6.8289292636510677</v>
          </cell>
          <cell r="H208">
            <v>6.9236494709748522</v>
          </cell>
          <cell r="I208">
            <v>7.6838481845109081</v>
          </cell>
          <cell r="J208">
            <v>10.227240548163158</v>
          </cell>
          <cell r="K208">
            <v>13.196650526119143</v>
          </cell>
          <cell r="L208">
            <v>12.906454207282305</v>
          </cell>
          <cell r="M208">
            <v>12.991339575152338</v>
          </cell>
          <cell r="N208">
            <v>13.762610565508698</v>
          </cell>
          <cell r="O208">
            <v>14.057296119460819</v>
          </cell>
        </row>
        <row r="209">
          <cell r="A209" t="str">
            <v>D-ITOT_LTH_CHP</v>
          </cell>
          <cell r="B209" t="str">
            <v>VAR_fout</v>
          </cell>
          <cell r="C209" t="str">
            <v>LTH</v>
          </cell>
          <cell r="D209"/>
          <cell r="E209">
            <v>1.313623766453285E-4</v>
          </cell>
          <cell r="F209">
            <v>3.2934727806090028E-3</v>
          </cell>
          <cell r="G209">
            <v>5.5033415047134023E-4</v>
          </cell>
          <cell r="H209">
            <v>1.062783206726055E-3</v>
          </cell>
          <cell r="I209">
            <v>6.351857551462281E-3</v>
          </cell>
          <cell r="J209">
            <v>2.1020189639342865E-2</v>
          </cell>
          <cell r="K209">
            <v>3.0010300478426938E-3</v>
          </cell>
          <cell r="L209">
            <v>2.7841536270895847E-2</v>
          </cell>
          <cell r="M209">
            <v>3.5937124220159572E-2</v>
          </cell>
          <cell r="N209">
            <v>5.4002028045416775E-2</v>
          </cell>
          <cell r="O209">
            <v>8.5796093417905506E-2</v>
          </cell>
        </row>
        <row r="210">
          <cell r="A210" t="str">
            <v>D-ITOT_LTH_CHP</v>
          </cell>
          <cell r="B210" t="str">
            <v>VAR_fin</v>
          </cell>
          <cell r="C210" t="str">
            <v>ITOT_LTH_CHP</v>
          </cell>
          <cell r="D210">
            <v>5.6086674658280904</v>
          </cell>
          <cell r="E210">
            <v>6.0096792680195801</v>
          </cell>
          <cell r="F210">
            <v>6.133344896545613</v>
          </cell>
          <cell r="G210">
            <v>6.8294795978015364</v>
          </cell>
          <cell r="H210">
            <v>6.9247122541815767</v>
          </cell>
          <cell r="I210">
            <v>7.690200042062374</v>
          </cell>
          <cell r="J210">
            <v>10.248260737802493</v>
          </cell>
          <cell r="K210">
            <v>13.19965155616698</v>
          </cell>
          <cell r="L210">
            <v>12.934295743553214</v>
          </cell>
          <cell r="M210">
            <v>13.027276699372509</v>
          </cell>
          <cell r="N210">
            <v>13.816612593554108</v>
          </cell>
          <cell r="O210">
            <v>14.14309221287872</v>
          </cell>
        </row>
        <row r="211">
          <cell r="A211" t="str">
            <v>RHEM-SHCONBR9</v>
          </cell>
          <cell r="B211" t="str">
            <v>VAR_fout</v>
          </cell>
          <cell r="C211" t="str">
            <v>RHEM-SHCON</v>
          </cell>
          <cell r="D211"/>
          <cell r="E211">
            <v>5.6622417856662263E-5</v>
          </cell>
          <cell r="F211">
            <v>6.3843784304829583E-5</v>
          </cell>
          <cell r="G211">
            <v>6.4383250261093881E-5</v>
          </cell>
          <cell r="H211">
            <v>6.5575148033828856E-5</v>
          </cell>
          <cell r="I211">
            <v>6.4940220804150502E-5</v>
          </cell>
          <cell r="J211">
            <v>6.4612551613184109E-5</v>
          </cell>
          <cell r="K211">
            <v>1.0139970314037566E-4</v>
          </cell>
          <cell r="L211">
            <v>7.8954447656025885E-5</v>
          </cell>
          <cell r="M211">
            <v>1.0536957343847806E-4</v>
          </cell>
          <cell r="N211">
            <v>1.1631557534187383E-4</v>
          </cell>
          <cell r="O211">
            <v>1.193972247530461E-4</v>
          </cell>
        </row>
        <row r="212">
          <cell r="A212" t="str">
            <v>RHEM-SHCONBR9</v>
          </cell>
          <cell r="B212" t="str">
            <v>VAR_fin</v>
          </cell>
          <cell r="C212" t="str">
            <v>CON</v>
          </cell>
          <cell r="D212"/>
          <cell r="E212">
            <v>5.6622417856662263E-5</v>
          </cell>
          <cell r="F212">
            <v>6.3843784304829583E-5</v>
          </cell>
          <cell r="G212">
            <v>6.4383250261093881E-5</v>
          </cell>
          <cell r="H212">
            <v>6.5575148033828856E-5</v>
          </cell>
          <cell r="I212">
            <v>6.4940220804150502E-5</v>
          </cell>
          <cell r="J212">
            <v>6.4612551613184109E-5</v>
          </cell>
          <cell r="K212">
            <v>1.0139970314037566E-4</v>
          </cell>
          <cell r="L212">
            <v>7.8954447656025885E-5</v>
          </cell>
          <cell r="M212">
            <v>1.0536957343847806E-4</v>
          </cell>
          <cell r="N212">
            <v>1.1631557534187383E-4</v>
          </cell>
          <cell r="O212">
            <v>1.193972247530461E-4</v>
          </cell>
        </row>
        <row r="213">
          <cell r="A213" t="str">
            <v>RHEM-SHCONBR9</v>
          </cell>
          <cell r="B213" t="str">
            <v>VAR_ncap</v>
          </cell>
          <cell r="C213" t="str">
            <v>-</v>
          </cell>
          <cell r="D213"/>
          <cell r="E213">
            <v>2.0727959952509499E-6</v>
          </cell>
          <cell r="F213">
            <v>6.1873532241416599E-7</v>
          </cell>
          <cell r="G213">
            <v>1.3422275757961299E-7</v>
          </cell>
          <cell r="H213">
            <v>1.83572778973797E-7</v>
          </cell>
          <cell r="I213">
            <v>5.4303379395120301E-8</v>
          </cell>
          <cell r="J213">
            <v>7.5532433825700396E-8</v>
          </cell>
          <cell r="K213">
            <v>3.3418418114743601E-6</v>
          </cell>
          <cell r="L213">
            <v>2.1534499864623999E-7</v>
          </cell>
          <cell r="M213">
            <v>2.1529027257853598E-6</v>
          </cell>
          <cell r="N213">
            <v>9.3521115962209699E-7</v>
          </cell>
          <cell r="O213">
            <v>3.2224712054640099E-7</v>
          </cell>
        </row>
        <row r="214">
          <cell r="A214" t="str">
            <v>RHEM-SHCONBR9</v>
          </cell>
          <cell r="B214" t="str">
            <v>VAR_cap</v>
          </cell>
          <cell r="C214" t="str">
            <v>-</v>
          </cell>
          <cell r="D214"/>
          <cell r="E214">
            <v>2.0727959952509499E-6</v>
          </cell>
          <cell r="F214">
            <v>2.6915313176651199E-6</v>
          </cell>
          <cell r="G214">
            <v>2.8257540752447299E-6</v>
          </cell>
          <cell r="H214">
            <v>3.0093268542185302E-6</v>
          </cell>
          <cell r="I214">
            <v>3.06363023361365E-6</v>
          </cell>
          <cell r="J214">
            <v>3.1391626674393498E-6</v>
          </cell>
          <cell r="K214">
            <v>5.8070614652386297E-6</v>
          </cell>
          <cell r="L214">
            <v>4.1566293595821298E-6</v>
          </cell>
          <cell r="M214">
            <v>6.0234981281005801E-6</v>
          </cell>
          <cell r="N214">
            <v>6.7991500800170502E-6</v>
          </cell>
          <cell r="O214">
            <v>7.0430802499001599E-6</v>
          </cell>
        </row>
        <row r="215">
          <cell r="A215" t="str">
            <v>SCOM-SHELCHP</v>
          </cell>
          <cell r="B215" t="str">
            <v>VAR_fout</v>
          </cell>
          <cell r="C215" t="str">
            <v>SCOM-SHAELCH</v>
          </cell>
          <cell r="D215">
            <v>4.2612329321654707</v>
          </cell>
          <cell r="E215">
            <v>4.6176762445574608</v>
          </cell>
          <cell r="F215">
            <v>4.8208651584418778</v>
          </cell>
          <cell r="G215">
            <v>5.1956455451647212</v>
          </cell>
          <cell r="H215">
            <v>5.5451561274336649</v>
          </cell>
          <cell r="I215">
            <v>5.5455779310687516</v>
          </cell>
          <cell r="J215">
            <v>6.0128303774654217</v>
          </cell>
          <cell r="K215">
            <v>15.578883694475012</v>
          </cell>
          <cell r="L215">
            <v>17.404516458162092</v>
          </cell>
          <cell r="M215">
            <v>18.626313201242962</v>
          </cell>
          <cell r="N215">
            <v>19.969790991770644</v>
          </cell>
          <cell r="O215">
            <v>21.576164609864819</v>
          </cell>
        </row>
        <row r="216">
          <cell r="A216" t="str">
            <v>SCOM-SHELCHP</v>
          </cell>
          <cell r="B216" t="str">
            <v>VAR_fin</v>
          </cell>
          <cell r="C216" t="str">
            <v>SCOMELCHPC</v>
          </cell>
          <cell r="D216">
            <v>4.2612329321654707</v>
          </cell>
          <cell r="E216">
            <v>4.6176762445574608</v>
          </cell>
          <cell r="F216">
            <v>4.8208651584418778</v>
          </cell>
          <cell r="G216">
            <v>5.1956455451647212</v>
          </cell>
          <cell r="H216">
            <v>5.5451561274336649</v>
          </cell>
          <cell r="I216">
            <v>5.5455779310687516</v>
          </cell>
          <cell r="J216">
            <v>6.0128303774654217</v>
          </cell>
          <cell r="K216">
            <v>15.578883694475012</v>
          </cell>
          <cell r="L216">
            <v>17.404516458162092</v>
          </cell>
          <cell r="M216">
            <v>18.626313201242962</v>
          </cell>
          <cell r="N216">
            <v>19.969790991770644</v>
          </cell>
          <cell r="O216">
            <v>21.576164609864819</v>
          </cell>
        </row>
        <row r="217">
          <cell r="A217" t="str">
            <v>SCOM-SHELCHP</v>
          </cell>
          <cell r="B217" t="str">
            <v>VAR_fin</v>
          </cell>
          <cell r="C217" t="str">
            <v>SCOM_ELC</v>
          </cell>
          <cell r="D217">
            <v>1.3316352913017102</v>
          </cell>
          <cell r="E217">
            <v>1.425208717456006</v>
          </cell>
          <cell r="F217">
            <v>1.4608682298308737</v>
          </cell>
          <cell r="G217">
            <v>1.5281310426955059</v>
          </cell>
          <cell r="H217">
            <v>1.5843303221239045</v>
          </cell>
          <cell r="I217">
            <v>1.5404383141857649</v>
          </cell>
          <cell r="J217">
            <v>1.62508929120687</v>
          </cell>
          <cell r="K217">
            <v>4.0997062353881617</v>
          </cell>
          <cell r="L217">
            <v>4.5801359100426575</v>
          </cell>
          <cell r="M217">
            <v>4.9016613687481483</v>
          </cell>
          <cell r="N217">
            <v>5.2552081557291164</v>
          </cell>
          <cell r="O217">
            <v>5.6779380552275782</v>
          </cell>
        </row>
        <row r="218">
          <cell r="A218" t="str">
            <v>SCOM-SHELCHP</v>
          </cell>
          <cell r="B218" t="str">
            <v>VAR_ncap</v>
          </cell>
          <cell r="C218" t="str">
            <v>-</v>
          </cell>
          <cell r="D218">
            <v>4.76392943852357E-7</v>
          </cell>
          <cell r="E218">
            <v>2.4614761823086299E-6</v>
          </cell>
          <cell r="F218">
            <v>3.6548028624080401E-6</v>
          </cell>
          <cell r="G218">
            <v>6.9136815003534903E-6</v>
          </cell>
          <cell r="H218">
            <v>0.31859589893576201</v>
          </cell>
          <cell r="I218">
            <v>0.115902588035965</v>
          </cell>
          <cell r="J218">
            <v>3.2018667932920498E-2</v>
          </cell>
          <cell r="K218">
            <v>1.0621140386638801</v>
          </cell>
          <cell r="L218">
            <v>0.249105582176296</v>
          </cell>
          <cell r="M218">
            <v>0.164349619167549</v>
          </cell>
          <cell r="N218">
            <v>1.09388272894989</v>
          </cell>
          <cell r="O218">
            <v>0.60532571688734205</v>
          </cell>
        </row>
        <row r="219">
          <cell r="A219" t="str">
            <v>SCOM-SHELCHP</v>
          </cell>
          <cell r="B219" t="str">
            <v>VAR_cap</v>
          </cell>
          <cell r="C219" t="str">
            <v>-</v>
          </cell>
          <cell r="D219">
            <v>0.43061778984673188</v>
          </cell>
          <cell r="E219">
            <v>0.43061586465238089</v>
          </cell>
          <cell r="F219">
            <v>0.43061396728512608</v>
          </cell>
          <cell r="G219">
            <v>0.4306173751870519</v>
          </cell>
          <cell r="H219">
            <v>0.43027462997972749</v>
          </cell>
          <cell r="I219">
            <v>0.43450059541035585</v>
          </cell>
          <cell r="J219">
            <v>0.46651406886362284</v>
          </cell>
          <cell r="K219">
            <v>1.2100247643068534</v>
          </cell>
          <cell r="L219">
            <v>1.3567904827201329</v>
          </cell>
          <cell r="M219">
            <v>1.4755601321090626</v>
          </cell>
          <cell r="N219">
            <v>1.6164736320980893</v>
          </cell>
          <cell r="O219">
            <v>1.8635468080989364</v>
          </cell>
        </row>
        <row r="220">
          <cell r="A220" t="str">
            <v>D-ITOT_NKEV_OIL_ELC_CHP</v>
          </cell>
          <cell r="B220" t="str">
            <v>VAR_fout</v>
          </cell>
          <cell r="C220" t="str">
            <v>ITOT_ELC</v>
          </cell>
          <cell r="D220">
            <v>6.3486972120662483E-2</v>
          </cell>
          <cell r="E220">
            <v>0.16536817309571056</v>
          </cell>
          <cell r="F220">
            <v>6.171715310979901E-3</v>
          </cell>
          <cell r="G220">
            <v>0.16733059303563605</v>
          </cell>
          <cell r="H220">
            <v>0.12053547378842917</v>
          </cell>
          <cell r="I220"/>
          <cell r="J220"/>
          <cell r="L220">
            <v>1.2634138089431392E-3</v>
          </cell>
          <cell r="M220">
            <v>1.7517335091622381E-3</v>
          </cell>
          <cell r="N220">
            <v>2.9149957199531926E-3</v>
          </cell>
          <cell r="O220">
            <v>4.1752837904736381E-3</v>
          </cell>
        </row>
        <row r="221">
          <cell r="A221" t="str">
            <v>D-ITOT_NKEV_OIL_ELC_CHP</v>
          </cell>
          <cell r="B221" t="str">
            <v>VAR_fout</v>
          </cell>
          <cell r="C221" t="str">
            <v>ELC5</v>
          </cell>
          <cell r="D221">
            <v>7.0699069683051756E-3</v>
          </cell>
          <cell r="E221">
            <v>6.0120536005705948E-3</v>
          </cell>
          <cell r="F221">
            <v>2.5621170590081062E-3</v>
          </cell>
          <cell r="G221">
            <v>2.525907891497313E-3</v>
          </cell>
          <cell r="H221">
            <v>4.9318695876484742E-2</v>
          </cell>
          <cell r="I221"/>
          <cell r="J221"/>
          <cell r="L221">
            <v>1.1403831709936008E-3</v>
          </cell>
          <cell r="M221">
            <v>1.6541092166925632E-3</v>
          </cell>
          <cell r="N221">
            <v>2.5644821007335668E-3</v>
          </cell>
          <cell r="O221">
            <v>3.8294335092201575E-3</v>
          </cell>
        </row>
        <row r="222">
          <cell r="A222" t="str">
            <v>D-ITOT_NKEV_OIL_ELC_CHP</v>
          </cell>
          <cell r="B222" t="str">
            <v>VAR_fin</v>
          </cell>
          <cell r="C222" t="str">
            <v>ITOT_NKEV_OIL_ELC_CHP</v>
          </cell>
          <cell r="D222">
            <v>7.0556879088967725E-2</v>
          </cell>
          <cell r="E222">
            <v>0.17138022669628128</v>
          </cell>
          <cell r="F222">
            <v>8.7054103919806131E-3</v>
          </cell>
          <cell r="G222">
            <v>0.16982807894912577</v>
          </cell>
          <cell r="H222">
            <v>0.16982574768690659</v>
          </cell>
          <cell r="I222"/>
          <cell r="J222"/>
          <cell r="K222"/>
          <cell r="L222">
            <v>2.3762380019490916E-3</v>
          </cell>
          <cell r="M222">
            <v>3.3774207478474089E-3</v>
          </cell>
          <cell r="N222">
            <v>5.4510558426793601E-3</v>
          </cell>
          <cell r="O222">
            <v>7.9765574507781201E-3</v>
          </cell>
        </row>
        <row r="223">
          <cell r="A223" t="str">
            <v>RHSA-WHCONBR1</v>
          </cell>
          <cell r="B223" t="str">
            <v>VAR_ncap</v>
          </cell>
          <cell r="C223" t="str">
            <v>-</v>
          </cell>
          <cell r="D223"/>
          <cell r="E223"/>
          <cell r="F223">
            <v>375</v>
          </cell>
          <cell r="G223">
            <v>151.98436047733301</v>
          </cell>
          <cell r="H223">
            <v>194.51266485107899</v>
          </cell>
          <cell r="I223"/>
          <cell r="J223"/>
          <cell r="K223"/>
        </row>
        <row r="224">
          <cell r="A224" t="str">
            <v>RHSA-WHCONBR1</v>
          </cell>
          <cell r="B224" t="str">
            <v>VAR_cap</v>
          </cell>
          <cell r="C224" t="str">
            <v>-</v>
          </cell>
          <cell r="D224"/>
          <cell r="E224"/>
          <cell r="F224">
            <v>375</v>
          </cell>
          <cell r="G224">
            <v>337.67968019861098</v>
          </cell>
          <cell r="H224">
            <v>409.26016592583403</v>
          </cell>
          <cell r="I224">
            <v>291.57770294392503</v>
          </cell>
          <cell r="J224">
            <v>211.82217221639706</v>
          </cell>
          <cell r="K224">
            <v>150.87526799553007</v>
          </cell>
          <cell r="L224">
            <v>85.335258319251011</v>
          </cell>
          <cell r="M224">
            <v>52.99232062009699</v>
          </cell>
          <cell r="N224">
            <v>6.1461647020467964</v>
          </cell>
        </row>
        <row r="225">
          <cell r="A225" t="str">
            <v>RHNS-SHELCBR</v>
          </cell>
          <cell r="B225" t="str">
            <v>VAR_fout</v>
          </cell>
          <cell r="C225" t="str">
            <v>RHNS-SHAELCB</v>
          </cell>
          <cell r="D225"/>
          <cell r="E225">
            <v>6.9089271648730299E-2</v>
          </cell>
          <cell r="F225">
            <v>7.3288610635692197E-2</v>
          </cell>
          <cell r="G225">
            <v>9.1888149373542723E-3</v>
          </cell>
          <cell r="H225">
            <v>4.7646728223898639E-3</v>
          </cell>
          <cell r="I225">
            <v>2.4375111804371017E-3</v>
          </cell>
          <cell r="J225">
            <v>4.0949173644632617E-3</v>
          </cell>
          <cell r="K225">
            <v>5.3898946272270811E-3</v>
          </cell>
          <cell r="L225">
            <v>5.1547374404655125E-3</v>
          </cell>
          <cell r="M225">
            <v>5.610310992665693E-3</v>
          </cell>
          <cell r="N225">
            <v>3.7870817367735166E-3</v>
          </cell>
          <cell r="O225">
            <v>7.2807627119000698E-3</v>
          </cell>
        </row>
        <row r="226">
          <cell r="A226" t="str">
            <v>RHNS-SHELCBR</v>
          </cell>
          <cell r="B226" t="str">
            <v>VAR_fin</v>
          </cell>
          <cell r="C226" t="str">
            <v>RHNS_ELC</v>
          </cell>
          <cell r="D226"/>
          <cell r="E226">
            <v>7.2725549103926534E-2</v>
          </cell>
          <cell r="F226">
            <v>7.7145905932307482E-2</v>
          </cell>
          <cell r="G226">
            <v>9.6724367761623874E-3</v>
          </cell>
          <cell r="H226">
            <v>5.015445076199854E-3</v>
          </cell>
          <cell r="I226">
            <v>2.5658012425653701E-3</v>
          </cell>
          <cell r="J226">
            <v>4.3104393310139577E-3</v>
          </cell>
          <cell r="K226">
            <v>5.6735732918179807E-3</v>
          </cell>
          <cell r="L226">
            <v>5.4260394110163318E-3</v>
          </cell>
          <cell r="M226">
            <v>5.9055905185954639E-3</v>
          </cell>
          <cell r="N226">
            <v>3.9864018281826489E-3</v>
          </cell>
          <cell r="O226">
            <v>7.6639607493684987E-3</v>
          </cell>
        </row>
        <row r="227">
          <cell r="A227" t="str">
            <v>RHNS-SHELCBR</v>
          </cell>
          <cell r="B227" t="str">
            <v>VAR_ncap</v>
          </cell>
          <cell r="C227" t="str">
            <v>-</v>
          </cell>
          <cell r="D227"/>
          <cell r="E227">
            <v>5.4949405145559701E-3</v>
          </cell>
          <cell r="F227"/>
          <cell r="G227"/>
          <cell r="H227">
            <v>3.1471405280631201E-4</v>
          </cell>
          <cell r="I227"/>
          <cell r="J227">
            <v>5.6076677498569203E-4</v>
          </cell>
          <cell r="K227"/>
          <cell r="L227">
            <v>2.03558609655474E-4</v>
          </cell>
          <cell r="M227">
            <v>5.14978773171444E-4</v>
          </cell>
          <cell r="N227">
            <v>6.3547962424893397E-6</v>
          </cell>
          <cell r="O227">
            <v>4.8780280602652099E-4</v>
          </cell>
        </row>
        <row r="228">
          <cell r="A228" t="str">
            <v>RHNS-SHELCBR</v>
          </cell>
          <cell r="B228" t="str">
            <v>VAR_cap</v>
          </cell>
          <cell r="C228" t="str">
            <v>-</v>
          </cell>
          <cell r="D228"/>
          <cell r="E228">
            <v>5.4949405145559701E-3</v>
          </cell>
          <cell r="F228">
            <v>5.494164783160854E-3</v>
          </cell>
          <cell r="G228">
            <v>1.2034122193772699E-3</v>
          </cell>
          <cell r="H228">
            <v>6.3350596745223977E-4</v>
          </cell>
          <cell r="I228">
            <v>3.1311251557811362E-4</v>
          </cell>
          <cell r="J228">
            <v>5.74583977953778E-4</v>
          </cell>
          <cell r="K228">
            <v>5.6018656098426182E-4</v>
          </cell>
          <cell r="L228">
            <v>6.8403297122345431E-4</v>
          </cell>
          <cell r="M228">
            <v>7.1715270572013335E-4</v>
          </cell>
          <cell r="N228">
            <v>5.2100859202535398E-4</v>
          </cell>
          <cell r="O228">
            <v>9.8526146049758524E-4</v>
          </cell>
        </row>
        <row r="229">
          <cell r="A229" t="str">
            <v>RHSA-WHCONBR2</v>
          </cell>
          <cell r="B229" t="str">
            <v>VAR_ncap</v>
          </cell>
          <cell r="C229" t="str">
            <v>-</v>
          </cell>
          <cell r="D229"/>
          <cell r="E229"/>
          <cell r="F229">
            <v>375</v>
          </cell>
          <cell r="G229">
            <v>151.98436047733401</v>
          </cell>
          <cell r="H229">
            <v>194.51266485107701</v>
          </cell>
          <cell r="I229"/>
          <cell r="J229"/>
          <cell r="K229"/>
        </row>
        <row r="230">
          <cell r="A230" t="str">
            <v>RHSA-WHCONBR2</v>
          </cell>
          <cell r="B230" t="str">
            <v>VAR_cap</v>
          </cell>
          <cell r="C230" t="str">
            <v>-</v>
          </cell>
          <cell r="D230"/>
          <cell r="E230"/>
          <cell r="F230">
            <v>375</v>
          </cell>
          <cell r="G230">
            <v>337.67968019861303</v>
          </cell>
          <cell r="H230">
            <v>409.26016592583403</v>
          </cell>
          <cell r="I230">
            <v>291.57770294392503</v>
          </cell>
          <cell r="J230">
            <v>211.82217221639604</v>
          </cell>
          <cell r="K230">
            <v>150.87526799552904</v>
          </cell>
          <cell r="L230">
            <v>85.335258319250045</v>
          </cell>
          <cell r="M230">
            <v>52.992320620095995</v>
          </cell>
          <cell r="N230">
            <v>6.1461647020467005</v>
          </cell>
        </row>
        <row r="231">
          <cell r="A231" t="str">
            <v>ITOT-SWHSTG-SOL</v>
          </cell>
          <cell r="B231" t="str">
            <v>VAR_fout</v>
          </cell>
          <cell r="C231" t="str">
            <v>ITOT-SWHASOL</v>
          </cell>
          <cell r="D231">
            <v>3.4809992799693542E-5</v>
          </cell>
          <cell r="E231">
            <v>3.4918083905675011E-5</v>
          </cell>
          <cell r="F231">
            <v>4.7324099031811001E-3</v>
          </cell>
          <cell r="G231">
            <v>1.6237490327091534E-3</v>
          </cell>
          <cell r="H231">
            <v>3.4769412815789306E-3</v>
          </cell>
          <cell r="I231">
            <v>4.9210114133059826E-3</v>
          </cell>
          <cell r="J231">
            <v>1.1794298010279342E-2</v>
          </cell>
          <cell r="K231">
            <v>8.5082629747192939E-3</v>
          </cell>
          <cell r="L231">
            <v>1.0482230071724935E-2</v>
          </cell>
          <cell r="M231">
            <v>6.9242856314673572E-3</v>
          </cell>
          <cell r="N231">
            <v>1.0605049340825347E-2</v>
          </cell>
          <cell r="O231">
            <v>1.2172249036861328E-2</v>
          </cell>
        </row>
        <row r="232">
          <cell r="A232" t="str">
            <v>ITOT-SWHSTG-SOL</v>
          </cell>
          <cell r="B232" t="str">
            <v>VAR_fin</v>
          </cell>
          <cell r="C232" t="str">
            <v>ITOT-SWHASOL</v>
          </cell>
          <cell r="D232">
            <v>2.6742295917269833E-5</v>
          </cell>
          <cell r="E232">
            <v>2.6687552774425199E-5</v>
          </cell>
          <cell r="F232">
            <v>6.0881709694539333E-3</v>
          </cell>
          <cell r="G232">
            <v>2.0124853249750361E-3</v>
          </cell>
          <cell r="H232">
            <v>4.1982187587467513E-3</v>
          </cell>
          <cell r="I232">
            <v>5.7740897573120165E-3</v>
          </cell>
          <cell r="J232">
            <v>1.3464632825426105E-2</v>
          </cell>
          <cell r="K232">
            <v>9.4398371137762952E-3</v>
          </cell>
          <cell r="L232">
            <v>1.1633252750253275E-2</v>
          </cell>
          <cell r="M232">
            <v>7.6799101429301771E-3</v>
          </cell>
          <cell r="N232">
            <v>1.1769657970861134E-2</v>
          </cell>
          <cell r="O232">
            <v>1.3510928695056939E-2</v>
          </cell>
        </row>
        <row r="233">
          <cell r="A233" t="str">
            <v>ITOT-SWHSTG-SOL</v>
          </cell>
          <cell r="B233" t="str">
            <v>VAR_ncap</v>
          </cell>
          <cell r="C233" t="str">
            <v>-</v>
          </cell>
          <cell r="D233">
            <v>2.9405355624956501E-3</v>
          </cell>
          <cell r="E233">
            <v>4.6956242751977496E-6</v>
          </cell>
          <cell r="F233">
            <v>1.21646538267456E-6</v>
          </cell>
          <cell r="G233">
            <v>1.27337511858321E-6</v>
          </cell>
          <cell r="H233">
            <v>2.1799298505116999E-3</v>
          </cell>
          <cell r="I233">
            <v>7.7811990376542499E-4</v>
          </cell>
          <cell r="J233">
            <v>4.0910680057092101E-5</v>
          </cell>
          <cell r="K233">
            <v>2.1854485856900399E-3</v>
          </cell>
          <cell r="L233">
            <v>6.6425036695809696E-4</v>
          </cell>
          <cell r="M233">
            <v>1.5563780477342E-4</v>
          </cell>
          <cell r="N233">
            <v>2.0098138214260301E-3</v>
          </cell>
          <cell r="O233">
            <v>8.4444862778033198E-4</v>
          </cell>
        </row>
        <row r="234">
          <cell r="A234" t="str">
            <v>ITOT-SWHSTG-SOL</v>
          </cell>
          <cell r="B234" t="str">
            <v>VAR_cap</v>
          </cell>
          <cell r="C234" t="str">
            <v>-</v>
          </cell>
          <cell r="D234">
            <v>2.9405355624956501E-3</v>
          </cell>
          <cell r="E234">
            <v>2.9452311867708401E-3</v>
          </cell>
          <cell r="F234">
            <v>2.94644765215352E-3</v>
          </cell>
          <cell r="G234">
            <v>2.9477210272720999E-3</v>
          </cell>
          <cell r="H234">
            <v>2.9474078302932499E-3</v>
          </cell>
          <cell r="I234">
            <v>2.95933632778396E-3</v>
          </cell>
          <cell r="J234">
            <v>2.9989604343342098E-3</v>
          </cell>
          <cell r="K234">
            <v>3.0044791695125598E-3</v>
          </cell>
          <cell r="L234">
            <v>3.0047504509312902E-3</v>
          </cell>
          <cell r="M234">
            <v>3.0053367574215599E-3</v>
          </cell>
          <cell r="N234">
            <v>3.0062163897012599E-3</v>
          </cell>
          <cell r="O234">
            <v>3.0099002539797901E-3</v>
          </cell>
        </row>
        <row r="235">
          <cell r="A235" t="str">
            <v>RHES-SHLTHCHPNGA</v>
          </cell>
          <cell r="B235" t="str">
            <v>VAR_fout</v>
          </cell>
          <cell r="C235" t="str">
            <v>RHES-SHLTHC-NGA</v>
          </cell>
          <cell r="D235">
            <v>3.182789275561021E-2</v>
          </cell>
          <cell r="E235">
            <v>1.1391346143305862E-3</v>
          </cell>
          <cell r="F235">
            <v>1.5111209898941555E-2</v>
          </cell>
          <cell r="G235">
            <v>1.3741598527709903E-2</v>
          </cell>
          <cell r="H235">
            <v>1.0414011719464378E-2</v>
          </cell>
          <cell r="I235">
            <v>3.7317418028665369E-3</v>
          </cell>
          <cell r="J235"/>
          <cell r="L235">
            <v>1.0681718670327071E-2</v>
          </cell>
          <cell r="M235">
            <v>1.679101859191565E-2</v>
          </cell>
          <cell r="N235">
            <v>5.8643959753549552E-2</v>
          </cell>
          <cell r="O235">
            <v>6.0363892745865344E-2</v>
          </cell>
        </row>
        <row r="236">
          <cell r="A236" t="str">
            <v>RHES-SHLTHCHPNGA</v>
          </cell>
          <cell r="B236" t="str">
            <v>VAR_fin</v>
          </cell>
          <cell r="C236" t="str">
            <v>RHESLTHCHPC</v>
          </cell>
          <cell r="D236">
            <v>3.182789275561021E-2</v>
          </cell>
          <cell r="E236">
            <v>1.1391346143305862E-3</v>
          </cell>
          <cell r="F236">
            <v>1.5111209898941555E-2</v>
          </cell>
          <cell r="G236">
            <v>1.3741598527709903E-2</v>
          </cell>
          <cell r="H236">
            <v>1.0414011719464378E-2</v>
          </cell>
          <cell r="I236">
            <v>3.7317418028665369E-3</v>
          </cell>
          <cell r="J236"/>
          <cell r="K236"/>
          <cell r="L236">
            <v>1.0681718670327071E-2</v>
          </cell>
          <cell r="M236">
            <v>1.679101859191565E-2</v>
          </cell>
          <cell r="N236">
            <v>5.8643959753549552E-2</v>
          </cell>
          <cell r="O236">
            <v>6.0363892745865344E-2</v>
          </cell>
        </row>
        <row r="237">
          <cell r="A237" t="str">
            <v>RHES-SHLTHCHPNGA</v>
          </cell>
          <cell r="B237" t="str">
            <v>VAR_fin</v>
          </cell>
          <cell r="C237" t="str">
            <v>RHES_LTH_CHPNGA_ON</v>
          </cell>
          <cell r="D237">
            <v>3.2149386621828514E-2</v>
          </cell>
          <cell r="E237">
            <v>1.150641024576349E-3</v>
          </cell>
          <cell r="F237">
            <v>1.5263848382769243E-2</v>
          </cell>
          <cell r="G237">
            <v>1.388040255324232E-2</v>
          </cell>
          <cell r="H237">
            <v>1.0519203757034735E-2</v>
          </cell>
          <cell r="I237">
            <v>3.7694361645116549E-3</v>
          </cell>
          <cell r="J237"/>
          <cell r="K237"/>
          <cell r="L237">
            <v>1.0789614818512197E-2</v>
          </cell>
          <cell r="M237">
            <v>1.6960624840318853E-2</v>
          </cell>
          <cell r="N237">
            <v>5.9236322983383445E-2</v>
          </cell>
          <cell r="O237">
            <v>6.0973629036227599E-2</v>
          </cell>
        </row>
        <row r="238">
          <cell r="A238" t="str">
            <v>RHES-SHLTHCHPNGA</v>
          </cell>
          <cell r="B238" t="str">
            <v>VAR_ncap</v>
          </cell>
          <cell r="C238" t="str">
            <v>-</v>
          </cell>
          <cell r="D238"/>
          <cell r="E238">
            <v>1.0245926909107299E-4</v>
          </cell>
          <cell r="F238">
            <v>1.7840126981555199E-3</v>
          </cell>
          <cell r="G238">
            <v>1.16057274884587E-3</v>
          </cell>
          <cell r="H238">
            <v>5.77504154904074E-4</v>
          </cell>
          <cell r="I238">
            <v>2.8401829116423501E-4</v>
          </cell>
          <cell r="J238">
            <v>2.32725681593586E-7</v>
          </cell>
          <cell r="K238">
            <v>3.1073067232010098E-7</v>
          </cell>
          <cell r="L238">
            <v>1.1085000830293799E-3</v>
          </cell>
          <cell r="M238">
            <v>1.3842636454034301E-3</v>
          </cell>
          <cell r="N238">
            <v>4.6306071050054697E-3</v>
          </cell>
          <cell r="O238">
            <v>3.8943674077897999E-3</v>
          </cell>
        </row>
        <row r="239">
          <cell r="A239" t="str">
            <v>RHES-SHLTHCHPNGA</v>
          </cell>
          <cell r="B239" t="str">
            <v>VAR_cap</v>
          </cell>
          <cell r="C239" t="str">
            <v>-</v>
          </cell>
          <cell r="D239">
            <v>5.3757649990155603E-3</v>
          </cell>
          <cell r="E239">
            <v>1.5431063848273321E-4</v>
          </cell>
          <cell r="F239">
            <v>1.8842909321371403E-3</v>
          </cell>
          <cell r="G239">
            <v>1.6961060017464816E-3</v>
          </cell>
          <cell r="H239">
            <v>1.0537400805115203E-3</v>
          </cell>
          <cell r="I239">
            <v>4.3109799235069995E-4</v>
          </cell>
          <cell r="J239">
            <v>-4.0115480381963664E-18</v>
          </cell>
          <cell r="K239">
            <v>1.0299920638612292E-18</v>
          </cell>
          <cell r="L239">
            <v>1.1085538124899642E-3</v>
          </cell>
          <cell r="M239">
            <v>1.7655783932068738E-3</v>
          </cell>
          <cell r="N239">
            <v>5.4763396310028899E-3</v>
          </cell>
          <cell r="O239">
            <v>5.8744574804016E-3</v>
          </cell>
        </row>
        <row r="240">
          <cell r="A240" t="str">
            <v>RHSA-WHSTG-ELC</v>
          </cell>
          <cell r="B240" t="str">
            <v>VAR_fout</v>
          </cell>
          <cell r="C240" t="str">
            <v>RHSA-WHAELCB</v>
          </cell>
          <cell r="D240"/>
          <cell r="E240"/>
          <cell r="F240">
            <v>1.3515680456340613</v>
          </cell>
          <cell r="G240">
            <v>1.0544757015120343</v>
          </cell>
          <cell r="H240">
            <v>0.47334453625134754</v>
          </cell>
          <cell r="I240">
            <v>0.19357134244619503</v>
          </cell>
          <cell r="J240">
            <v>0.18604431632473484</v>
          </cell>
          <cell r="K240">
            <v>0.32804832861659289</v>
          </cell>
          <cell r="L240">
            <v>0.25486805002924751</v>
          </cell>
          <cell r="M240">
            <v>0.23307325913365678</v>
          </cell>
          <cell r="N240">
            <v>0.11667265823796966</v>
          </cell>
          <cell r="O240">
            <v>7.3857862687985831E-2</v>
          </cell>
        </row>
        <row r="241">
          <cell r="A241" t="str">
            <v>RHSA-WHSTG-ELC</v>
          </cell>
          <cell r="B241" t="str">
            <v>VAR_fin</v>
          </cell>
          <cell r="C241" t="str">
            <v>RHSA-WHAELCB</v>
          </cell>
          <cell r="D241"/>
          <cell r="E241"/>
          <cell r="F241">
            <v>1.3516127540431202</v>
          </cell>
          <cell r="G241">
            <v>1.0545233382987462</v>
          </cell>
          <cell r="H241">
            <v>0.47336333021485982</v>
          </cell>
          <cell r="I241">
            <v>0.19358011285587445</v>
          </cell>
          <cell r="J241">
            <v>0.18605273977848738</v>
          </cell>
          <cell r="K241">
            <v>0.32806258300790619</v>
          </cell>
          <cell r="L241">
            <v>0.25487963593220603</v>
          </cell>
          <cell r="M241">
            <v>0.23308403117487994</v>
          </cell>
          <cell r="N241">
            <v>0.11667822479225989</v>
          </cell>
          <cell r="O241">
            <v>7.3861729290421271E-2</v>
          </cell>
        </row>
        <row r="242">
          <cell r="A242" t="str">
            <v>RHSA-WHSTG-ELC</v>
          </cell>
          <cell r="B242" t="str">
            <v>VAR_ncap</v>
          </cell>
          <cell r="C242" t="str">
            <v>-</v>
          </cell>
          <cell r="D242">
            <v>2.72561776506259E-2</v>
          </cell>
          <cell r="E242">
            <v>8.4144149239937793E-2</v>
          </cell>
          <cell r="F242">
            <v>1.9559860191820501E-4</v>
          </cell>
          <cell r="G242">
            <v>1.8785273292035401E-4</v>
          </cell>
          <cell r="H242">
            <v>1.5671968722722699E-3</v>
          </cell>
          <cell r="I242">
            <v>2.2410786701772802E-2</v>
          </cell>
          <cell r="J242">
            <v>3.9894550445785602E-4</v>
          </cell>
          <cell r="K242">
            <v>1.6378124706789399E-2</v>
          </cell>
          <cell r="L242">
            <v>1.26090670258241E-2</v>
          </cell>
          <cell r="M242">
            <v>2.95198628559246E-3</v>
          </cell>
          <cell r="N242">
            <v>1.9216033817175001E-3</v>
          </cell>
          <cell r="O242">
            <v>6.3391774809805996E-3</v>
          </cell>
        </row>
        <row r="243">
          <cell r="A243" t="str">
            <v>RHSA-WHSTG-ELC</v>
          </cell>
          <cell r="B243" t="str">
            <v>VAR_cap</v>
          </cell>
          <cell r="C243" t="str">
            <v>-</v>
          </cell>
          <cell r="D243">
            <v>2.7257087019514622E-2</v>
          </cell>
          <cell r="E243">
            <v>0.11126990912189</v>
          </cell>
          <cell r="F243">
            <v>0.11127018506223736</v>
          </cell>
          <cell r="G243">
            <v>0.11127193844895739</v>
          </cell>
          <cell r="H243">
            <v>4.671097655401233E-2</v>
          </cell>
          <cell r="I243">
            <v>2.398124438051254E-2</v>
          </cell>
          <cell r="J243">
            <v>2.3961762213999462E-2</v>
          </cell>
          <cell r="K243">
            <v>3.8715316194354588E-2</v>
          </cell>
          <cell r="L243">
            <v>3.1782031743570881E-2</v>
          </cell>
          <cell r="M243">
            <v>3.0581134098074919E-2</v>
          </cell>
          <cell r="N243">
            <v>1.5006811351066539E-2</v>
          </cell>
          <cell r="O243">
            <v>1.0169851238898551E-2</v>
          </cell>
        </row>
        <row r="244">
          <cell r="A244" t="str">
            <v>ITOT-SWHLFOBR</v>
          </cell>
          <cell r="B244" t="str">
            <v>VAR_fout</v>
          </cell>
          <cell r="C244" t="str">
            <v>ITOT-SWH</v>
          </cell>
          <cell r="D244">
            <v>6.917730973230138</v>
          </cell>
          <cell r="E244">
            <v>6.3110402849894154</v>
          </cell>
          <cell r="F244">
            <v>6.2459713158969246</v>
          </cell>
          <cell r="G244">
            <v>5.0972534073222366</v>
          </cell>
          <cell r="H244">
            <v>3.4498087521626459</v>
          </cell>
          <cell r="I244">
            <v>2.3315370940851219</v>
          </cell>
          <cell r="J244">
            <v>1.2410055089779395</v>
          </cell>
          <cell r="K244">
            <v>0.18054028321790624</v>
          </cell>
          <cell r="L244">
            <v>0.18052349436779311</v>
          </cell>
          <cell r="M244">
            <v>0.18051940303134184</v>
          </cell>
          <cell r="N244">
            <v>0.17353909163825168</v>
          </cell>
          <cell r="O244">
            <v>0.17293861258678234</v>
          </cell>
        </row>
        <row r="245">
          <cell r="A245" t="str">
            <v>ITOT-SWHLFOBR</v>
          </cell>
          <cell r="B245" t="str">
            <v>VAR_fout</v>
          </cell>
          <cell r="C245" t="str">
            <v>CO2_I</v>
          </cell>
          <cell r="D245">
            <v>655.77055342329197</v>
          </cell>
          <cell r="E245">
            <v>597.29265628793303</v>
          </cell>
          <cell r="F245">
            <v>589.70566692578996</v>
          </cell>
          <cell r="G245">
            <v>479.32012131476603</v>
          </cell>
          <cell r="H245">
            <v>323.10640385861302</v>
          </cell>
          <cell r="I245">
            <v>217.50083086171301</v>
          </cell>
          <cell r="J245">
            <v>115.310067106161</v>
          </cell>
          <cell r="K245">
            <v>16.708958661109499</v>
          </cell>
          <cell r="L245">
            <v>16.707404857174399</v>
          </cell>
          <cell r="M245">
            <v>16.707026204995401</v>
          </cell>
          <cell r="N245">
            <v>16.061000108049299</v>
          </cell>
          <cell r="O245">
            <v>16.005425920012001</v>
          </cell>
        </row>
        <row r="246">
          <cell r="A246" t="str">
            <v>ITOT-SWHLFOBR</v>
          </cell>
          <cell r="B246" t="str">
            <v>VAR_fin</v>
          </cell>
          <cell r="C246" t="str">
            <v>ILFO</v>
          </cell>
          <cell r="D246">
            <v>8.8978365457705824</v>
          </cell>
          <cell r="E246">
            <v>8.1043779686286737</v>
          </cell>
          <cell r="F246">
            <v>8.0014337439048795</v>
          </cell>
          <cell r="G246">
            <v>6.5036651467403779</v>
          </cell>
          <cell r="H246">
            <v>4.3840760360734441</v>
          </cell>
          <cell r="I246">
            <v>2.95116459785228</v>
          </cell>
          <cell r="J246">
            <v>1.564587070639905</v>
          </cell>
          <cell r="K246">
            <v>0.22671585700284247</v>
          </cell>
          <cell r="L246">
            <v>0.22669477418147049</v>
          </cell>
          <cell r="M246">
            <v>0.22668963643141676</v>
          </cell>
          <cell r="N246">
            <v>0.21792401774829417</v>
          </cell>
          <cell r="O246">
            <v>0.21716995820911736</v>
          </cell>
        </row>
        <row r="247">
          <cell r="A247" t="str">
            <v>ITOT-SWHLFOBR</v>
          </cell>
          <cell r="B247" t="str">
            <v>VAR_ncap</v>
          </cell>
          <cell r="C247" t="str">
            <v>-</v>
          </cell>
          <cell r="D247"/>
          <cell r="E247">
            <v>1.0672971777840899E-2</v>
          </cell>
          <cell r="F247">
            <v>1.09139397729373E-4</v>
          </cell>
          <cell r="G247">
            <v>1.10379279643326E-4</v>
          </cell>
          <cell r="H247">
            <v>0.139912915690698</v>
          </cell>
          <cell r="I247">
            <v>1.5526268859180299E-2</v>
          </cell>
          <cell r="J247">
            <v>8.3294010466132402E-5</v>
          </cell>
          <cell r="K247">
            <v>3.4982954225658199E-4</v>
          </cell>
          <cell r="L247">
            <v>1.38860674476168E-2</v>
          </cell>
          <cell r="M247">
            <v>3.8679642604009098E-3</v>
          </cell>
          <cell r="N247">
            <v>3.05637224683151E-3</v>
          </cell>
          <cell r="O247">
            <v>8.7992419287253598E-3</v>
          </cell>
        </row>
        <row r="248">
          <cell r="A248" t="str">
            <v>ITOT-SWHLFOBR</v>
          </cell>
          <cell r="B248" t="str">
            <v>VAR_cap</v>
          </cell>
          <cell r="C248" t="str">
            <v>-</v>
          </cell>
          <cell r="D248">
            <v>0.37633543963083199</v>
          </cell>
          <cell r="E248">
            <v>0.38699684754236441</v>
          </cell>
          <cell r="F248">
            <v>0.38699767817463104</v>
          </cell>
          <cell r="G248">
            <v>0.38645398962648281</v>
          </cell>
          <cell r="H248">
            <v>0.24267508381743363</v>
          </cell>
          <cell r="I248">
            <v>0.15548240375225802</v>
          </cell>
          <cell r="J248">
            <v>9.9201263971509718E-2</v>
          </cell>
          <cell r="K248">
            <v>1.5324066000938599E-2</v>
          </cell>
          <cell r="L248">
            <v>1.6499267668378476E-2</v>
          </cell>
          <cell r="M248">
            <v>1.7952812318276178E-2</v>
          </cell>
          <cell r="N248">
            <v>1.6293472086902714E-2</v>
          </cell>
          <cell r="O248">
            <v>1.5543073656605556E-2</v>
          </cell>
        </row>
        <row r="249">
          <cell r="A249" t="str">
            <v>D-SCOM_LTH_CHPNGA</v>
          </cell>
          <cell r="B249" t="str">
            <v>VAR_fout</v>
          </cell>
          <cell r="C249" t="str">
            <v>LTH</v>
          </cell>
          <cell r="D249"/>
          <cell r="E249">
            <v>2.6330184424370463E-5</v>
          </cell>
          <cell r="F249">
            <v>4.0624540984318371E-4</v>
          </cell>
          <cell r="G249">
            <v>9.9168678916932611E-4</v>
          </cell>
          <cell r="H249">
            <v>1.3389608322165189E-3</v>
          </cell>
          <cell r="I249">
            <v>8.8077388990023819E-4</v>
          </cell>
          <cell r="J249"/>
          <cell r="L249">
            <v>5.6664085094007807E-5</v>
          </cell>
          <cell r="M249">
            <v>6.7164508573406921E-5</v>
          </cell>
          <cell r="N249">
            <v>9.4919400486750442E-5</v>
          </cell>
          <cell r="O249">
            <v>1.6230062567054572E-4</v>
          </cell>
        </row>
        <row r="250">
          <cell r="A250" t="str">
            <v>D-SCOM_LTH_CHPNGA</v>
          </cell>
          <cell r="B250" t="str">
            <v>VAR_fout</v>
          </cell>
          <cell r="C250" t="str">
            <v>SCOM_LTH_CHPNGA_ON</v>
          </cell>
          <cell r="D250">
            <v>0.69260278209878279</v>
          </cell>
          <cell r="E250">
            <v>0.7502188171368398</v>
          </cell>
          <cell r="F250">
            <v>0.87715374684915881</v>
          </cell>
          <cell r="G250">
            <v>0.9052914824794871</v>
          </cell>
          <cell r="H250">
            <v>0.79609929038652238</v>
          </cell>
          <cell r="I250">
            <v>0.48115323874315419</v>
          </cell>
          <cell r="J250"/>
          <cell r="L250">
            <v>1.3521873177323014E-2</v>
          </cell>
          <cell r="M250">
            <v>1.5675011453491781E-2</v>
          </cell>
          <cell r="N250">
            <v>2.5432759041015822E-2</v>
          </cell>
          <cell r="O250">
            <v>4.2723944314965359E-2</v>
          </cell>
        </row>
        <row r="251">
          <cell r="A251" t="str">
            <v>D-SCOM_LTH_CHPNGA</v>
          </cell>
          <cell r="B251" t="str">
            <v>VAR_fin</v>
          </cell>
          <cell r="C251" t="str">
            <v>SCOM_LTH_CHPNGA</v>
          </cell>
          <cell r="D251">
            <v>0.69260278209878279</v>
          </cell>
          <cell r="E251">
            <v>0.75024514732126524</v>
          </cell>
          <cell r="F251">
            <v>0.87755999225900327</v>
          </cell>
          <cell r="G251">
            <v>0.90628316926865682</v>
          </cell>
          <cell r="H251">
            <v>0.79743825121873846</v>
          </cell>
          <cell r="I251">
            <v>0.48203401263305479</v>
          </cell>
          <cell r="J251"/>
          <cell r="L251">
            <v>1.3578537262417001E-2</v>
          </cell>
          <cell r="M251">
            <v>1.5742175962065195E-2</v>
          </cell>
          <cell r="N251">
            <v>2.5527678441502603E-2</v>
          </cell>
          <cell r="O251">
            <v>4.288624494063592E-2</v>
          </cell>
        </row>
        <row r="252">
          <cell r="A252" t="str">
            <v>RHSA-WHCONBR3</v>
          </cell>
          <cell r="B252" t="str">
            <v>VAR_ncap</v>
          </cell>
          <cell r="C252" t="str">
            <v>-</v>
          </cell>
          <cell r="D252"/>
          <cell r="E252"/>
          <cell r="F252">
            <v>375</v>
          </cell>
          <cell r="G252">
            <v>151.98436047733301</v>
          </cell>
          <cell r="H252">
            <v>194.51266485107899</v>
          </cell>
          <cell r="I252"/>
          <cell r="J252"/>
          <cell r="K252"/>
        </row>
        <row r="253">
          <cell r="A253" t="str">
            <v>RHSA-WHCONBR3</v>
          </cell>
          <cell r="B253" t="str">
            <v>VAR_cap</v>
          </cell>
          <cell r="C253" t="str">
            <v>-</v>
          </cell>
          <cell r="D253"/>
          <cell r="E253"/>
          <cell r="F253">
            <v>375</v>
          </cell>
          <cell r="G253">
            <v>337.67968019861098</v>
          </cell>
          <cell r="H253">
            <v>409.26016592583403</v>
          </cell>
          <cell r="I253">
            <v>291.57770294392503</v>
          </cell>
          <cell r="J253">
            <v>211.82217221639706</v>
          </cell>
          <cell r="K253">
            <v>150.87526799553007</v>
          </cell>
          <cell r="L253">
            <v>85.335258319251011</v>
          </cell>
          <cell r="M253">
            <v>52.99232062009699</v>
          </cell>
          <cell r="N253">
            <v>6.1461647020467964</v>
          </cell>
        </row>
        <row r="254">
          <cell r="A254" t="str">
            <v>D-IWOD</v>
          </cell>
          <cell r="B254" t="str">
            <v>VAR_fout</v>
          </cell>
          <cell r="C254" t="str">
            <v>IWOD</v>
          </cell>
          <cell r="D254">
            <v>9.8756674555154369</v>
          </cell>
          <cell r="E254">
            <v>12.794469667081376</v>
          </cell>
          <cell r="F254">
            <v>14.394523617793705</v>
          </cell>
          <cell r="G254">
            <v>16.819479396263777</v>
          </cell>
          <cell r="H254">
            <v>16.077656476941296</v>
          </cell>
          <cell r="I254">
            <v>17.053001150069537</v>
          </cell>
          <cell r="J254">
            <v>20.423669482289998</v>
          </cell>
          <cell r="K254">
            <v>22.068185000667718</v>
          </cell>
          <cell r="L254">
            <v>21.081525750456262</v>
          </cell>
          <cell r="M254">
            <v>24.683768740417054</v>
          </cell>
          <cell r="N254">
            <v>21.007754234717023</v>
          </cell>
          <cell r="O254">
            <v>20.984625358762006</v>
          </cell>
        </row>
        <row r="255">
          <cell r="A255" t="str">
            <v>D-IWOD</v>
          </cell>
          <cell r="B255" t="str">
            <v>VAR_fin</v>
          </cell>
          <cell r="C255" t="str">
            <v>WOD</v>
          </cell>
          <cell r="D255">
            <v>9.8756674555154369</v>
          </cell>
          <cell r="E255">
            <v>12.794469667081376</v>
          </cell>
          <cell r="F255">
            <v>14.394523617793705</v>
          </cell>
          <cell r="G255">
            <v>16.819479396263777</v>
          </cell>
          <cell r="H255">
            <v>16.077656476941296</v>
          </cell>
          <cell r="I255">
            <v>17.053001150069537</v>
          </cell>
          <cell r="J255">
            <v>20.423669482289998</v>
          </cell>
          <cell r="K255">
            <v>22.068185000667718</v>
          </cell>
          <cell r="L255">
            <v>21.081525750456262</v>
          </cell>
          <cell r="M255">
            <v>24.683768740417054</v>
          </cell>
          <cell r="N255">
            <v>21.007754234717023</v>
          </cell>
          <cell r="O255">
            <v>20.984625358762006</v>
          </cell>
        </row>
        <row r="256">
          <cell r="A256" t="str">
            <v>RHSA-WHCONBR4</v>
          </cell>
          <cell r="B256" t="str">
            <v>VAR_ncap</v>
          </cell>
          <cell r="C256" t="str">
            <v>-</v>
          </cell>
          <cell r="D256"/>
          <cell r="E256"/>
          <cell r="F256">
            <v>375</v>
          </cell>
          <cell r="G256">
            <v>151.98436047733401</v>
          </cell>
          <cell r="H256">
            <v>194.51266485107701</v>
          </cell>
          <cell r="I256"/>
          <cell r="J256"/>
        </row>
        <row r="257">
          <cell r="A257" t="str">
            <v>RHSA-WHCONBR4</v>
          </cell>
          <cell r="B257" t="str">
            <v>VAR_cap</v>
          </cell>
          <cell r="C257" t="str">
            <v>-</v>
          </cell>
          <cell r="D257"/>
          <cell r="E257"/>
          <cell r="F257">
            <v>375</v>
          </cell>
          <cell r="G257">
            <v>337.67968019861303</v>
          </cell>
          <cell r="H257">
            <v>409.26016592583403</v>
          </cell>
          <cell r="I257">
            <v>291.57770294392503</v>
          </cell>
          <cell r="J257">
            <v>211.82217221639604</v>
          </cell>
          <cell r="K257">
            <v>150.87526799552904</v>
          </cell>
          <cell r="L257">
            <v>85.335258319250045</v>
          </cell>
          <cell r="M257">
            <v>52.992320620095995</v>
          </cell>
          <cell r="N257">
            <v>6.1461647020467005</v>
          </cell>
        </row>
        <row r="258">
          <cell r="A258" t="str">
            <v>SCOM-ELCSPEC</v>
          </cell>
          <cell r="B258" t="str">
            <v>VAR_fout</v>
          </cell>
          <cell r="C258" t="str">
            <v>SCOM-ELS</v>
          </cell>
          <cell r="D258">
            <v>56.994774574912441</v>
          </cell>
          <cell r="E258">
            <v>58.701922824341075</v>
          </cell>
          <cell r="F258">
            <v>51.372295049794175</v>
          </cell>
          <cell r="G258">
            <v>52.668901875768697</v>
          </cell>
          <cell r="H258">
            <v>52.890234118635654</v>
          </cell>
          <cell r="I258">
            <v>54.068194089882901</v>
          </cell>
          <cell r="J258">
            <v>54.018001453484864</v>
          </cell>
          <cell r="K258">
            <v>53.966946867612094</v>
          </cell>
          <cell r="L258">
            <v>55.015565949232986</v>
          </cell>
          <cell r="M258">
            <v>55.868847878793048</v>
          </cell>
          <cell r="N258">
            <v>56.67944740551625</v>
          </cell>
          <cell r="O258">
            <v>57.449029802519703</v>
          </cell>
        </row>
        <row r="259">
          <cell r="A259" t="str">
            <v>SCOM-ELCSPEC</v>
          </cell>
          <cell r="B259" t="str">
            <v>VAR_fin</v>
          </cell>
          <cell r="C259" t="str">
            <v>SCOM_ELC</v>
          </cell>
          <cell r="D259">
            <v>56.994774574912441</v>
          </cell>
          <cell r="E259">
            <v>58.701922824341075</v>
          </cell>
          <cell r="F259">
            <v>51.372295049794175</v>
          </cell>
          <cell r="G259">
            <v>52.668901875768697</v>
          </cell>
          <cell r="H259">
            <v>52.890234118635654</v>
          </cell>
          <cell r="I259">
            <v>54.068194089882901</v>
          </cell>
          <cell r="J259">
            <v>54.018001453484864</v>
          </cell>
          <cell r="K259">
            <v>53.966946867612094</v>
          </cell>
          <cell r="L259">
            <v>55.015565949232986</v>
          </cell>
          <cell r="M259">
            <v>55.868847878793048</v>
          </cell>
          <cell r="N259">
            <v>56.67944740551625</v>
          </cell>
          <cell r="O259">
            <v>57.449029802519703</v>
          </cell>
        </row>
        <row r="260">
          <cell r="A260" t="str">
            <v>SCOM-ELCSPEC</v>
          </cell>
          <cell r="B260" t="str">
            <v>VAR_ncap</v>
          </cell>
          <cell r="C260" t="str">
            <v>-</v>
          </cell>
          <cell r="D260">
            <v>1.26062952619843E-6</v>
          </cell>
          <cell r="E260">
            <v>1.15805723327445E-5</v>
          </cell>
          <cell r="F260">
            <v>8.9414405371197904E-6</v>
          </cell>
          <cell r="G260">
            <v>9.9400684569307501E-6</v>
          </cell>
          <cell r="H260">
            <v>3.0144995010312701E-5</v>
          </cell>
          <cell r="I260">
            <v>0.124519750688946</v>
          </cell>
          <cell r="J260">
            <v>3.6289037717339498</v>
          </cell>
          <cell r="K260">
            <v>1.9508421837388901</v>
          </cell>
          <cell r="L260">
            <v>0.110851311498321</v>
          </cell>
          <cell r="M260">
            <v>9.0244131039573003E-2</v>
          </cell>
          <cell r="N260">
            <v>0.77829941068217301</v>
          </cell>
          <cell r="O260">
            <v>3.1421593939071899</v>
          </cell>
        </row>
        <row r="261">
          <cell r="A261" t="str">
            <v>SCOM-ELCSPEC</v>
          </cell>
          <cell r="B261" t="str">
            <v>VAR_cap</v>
          </cell>
          <cell r="C261" t="str">
            <v>-</v>
          </cell>
          <cell r="D261">
            <v>6.6055325289833862</v>
          </cell>
          <cell r="E261">
            <v>6.2047651904468433</v>
          </cell>
          <cell r="F261">
            <v>5.5904639244527363</v>
          </cell>
          <cell r="G261">
            <v>5.590451492977353</v>
          </cell>
          <cell r="H261">
            <v>5.5904697081970234</v>
          </cell>
          <cell r="I261">
            <v>5.7149739984113195</v>
          </cell>
          <cell r="J261">
            <v>5.7096677864383913</v>
          </cell>
          <cell r="K261">
            <v>5.7042785791813815</v>
          </cell>
          <cell r="L261">
            <v>5.8151101791146349</v>
          </cell>
          <cell r="M261">
            <v>5.9053083448774606</v>
          </cell>
          <cell r="N261">
            <v>5.9909846896764236</v>
          </cell>
          <cell r="O261">
            <v>6.0723413283648888</v>
          </cell>
        </row>
        <row r="262">
          <cell r="A262" t="str">
            <v>D-ITOT_KEV_WST_ELC_CHP</v>
          </cell>
          <cell r="B262" t="str">
            <v>VAR_fout</v>
          </cell>
          <cell r="C262" t="str">
            <v>ITOT_ELC</v>
          </cell>
          <cell r="D262">
            <v>3.2054625611140125E-3</v>
          </cell>
          <cell r="E262">
            <v>1.2511702376241044E-3</v>
          </cell>
          <cell r="F262">
            <v>2.1813039820127692E-3</v>
          </cell>
          <cell r="G262">
            <v>0.32646030392371528</v>
          </cell>
          <cell r="H262">
            <v>0.28456481807229128</v>
          </cell>
          <cell r="I262">
            <v>0.30662395252809377</v>
          </cell>
          <cell r="J262">
            <v>0.24994576493124462</v>
          </cell>
          <cell r="K262">
            <v>0.60587211354669501</v>
          </cell>
          <cell r="L262">
            <v>0.53221378255922003</v>
          </cell>
          <cell r="M262">
            <v>0.50833678656632941</v>
          </cell>
          <cell r="N262">
            <v>0.50055355614073604</v>
          </cell>
          <cell r="O262">
            <v>0.48845384753053062</v>
          </cell>
        </row>
        <row r="263">
          <cell r="A263" t="str">
            <v>D-ITOT_KEV_WST_ELC_CHP</v>
          </cell>
          <cell r="B263" t="str">
            <v>VAR_fout</v>
          </cell>
          <cell r="C263" t="str">
            <v>ELC5</v>
          </cell>
          <cell r="D263">
            <v>0.22689138091243671</v>
          </cell>
          <cell r="E263">
            <v>0.24234952505782509</v>
          </cell>
          <cell r="F263">
            <v>0.33458165765301057</v>
          </cell>
          <cell r="G263">
            <v>6.5435381510736516E-3</v>
          </cell>
          <cell r="H263">
            <v>4.4681020163186778E-2</v>
          </cell>
          <cell r="I263">
            <v>1.6243518863453755E-2</v>
          </cell>
          <cell r="J263">
            <v>4.3600960042564488E-2</v>
          </cell>
          <cell r="K263">
            <v>4.6636235297910986E-2</v>
          </cell>
          <cell r="L263">
            <v>6.0445816487191974E-2</v>
          </cell>
          <cell r="M263">
            <v>8.4534667573576444E-2</v>
          </cell>
          <cell r="N263">
            <v>9.237038697049442E-2</v>
          </cell>
          <cell r="O263">
            <v>0.10451412165815371</v>
          </cell>
        </row>
        <row r="264">
          <cell r="A264" t="str">
            <v>D-ITOT_KEV_WST_ELC_CHP</v>
          </cell>
          <cell r="B264" t="str">
            <v>VAR_fin</v>
          </cell>
          <cell r="C264" t="str">
            <v>ITOT_KEV_WST_ELC_CHP</v>
          </cell>
          <cell r="D264">
            <v>0.23009684347355058</v>
          </cell>
          <cell r="E264">
            <v>0.24360069529544917</v>
          </cell>
          <cell r="F264">
            <v>0.33673453965701605</v>
          </cell>
          <cell r="G264">
            <v>0.33297542009678138</v>
          </cell>
          <cell r="H264">
            <v>0.32921741625747086</v>
          </cell>
          <cell r="I264">
            <v>0.32286747139154731</v>
          </cell>
          <cell r="J264">
            <v>0.29354672497380924</v>
          </cell>
          <cell r="K264">
            <v>0.65250834884460562</v>
          </cell>
          <cell r="L264">
            <v>0.5926595990464123</v>
          </cell>
          <cell r="M264">
            <v>0.59287145413990572</v>
          </cell>
          <cell r="N264">
            <v>0.59292394311123042</v>
          </cell>
          <cell r="O264">
            <v>0.59296796918868422</v>
          </cell>
        </row>
        <row r="265">
          <cell r="A265" t="str">
            <v>RHSA-WHCONBR5</v>
          </cell>
          <cell r="B265" t="str">
            <v>VAR_ncap</v>
          </cell>
          <cell r="C265" t="str">
            <v>-</v>
          </cell>
          <cell r="D265"/>
          <cell r="E265"/>
          <cell r="F265">
            <v>375</v>
          </cell>
          <cell r="G265">
            <v>151.98436047733301</v>
          </cell>
          <cell r="H265">
            <v>194.51266485107899</v>
          </cell>
          <cell r="I265"/>
          <cell r="J265"/>
        </row>
        <row r="266">
          <cell r="A266" t="str">
            <v>RHSA-WHCONBR5</v>
          </cell>
          <cell r="B266" t="str">
            <v>VAR_cap</v>
          </cell>
          <cell r="C266" t="str">
            <v>-</v>
          </cell>
          <cell r="D266"/>
          <cell r="E266"/>
          <cell r="F266">
            <v>375</v>
          </cell>
          <cell r="G266">
            <v>337.67968019861098</v>
          </cell>
          <cell r="H266">
            <v>409.26016592583403</v>
          </cell>
          <cell r="I266">
            <v>291.57770294392503</v>
          </cell>
          <cell r="J266">
            <v>211.82217221639706</v>
          </cell>
          <cell r="K266">
            <v>150.87526799553007</v>
          </cell>
          <cell r="L266">
            <v>85.335258319251011</v>
          </cell>
          <cell r="M266">
            <v>52.99232062009699</v>
          </cell>
          <cell r="N266">
            <v>6.1461647020467964</v>
          </cell>
        </row>
        <row r="267">
          <cell r="A267" t="str">
            <v>D-RHNM_SOLELC</v>
          </cell>
          <cell r="B267" t="str">
            <v>VAR_fout</v>
          </cell>
          <cell r="C267" t="str">
            <v>ELC5</v>
          </cell>
          <cell r="D267"/>
          <cell r="E267">
            <v>2.3613061673117614E-5</v>
          </cell>
          <cell r="F267">
            <v>1.5909341374099131</v>
          </cell>
          <cell r="G267">
            <v>3.8803090686611972</v>
          </cell>
          <cell r="H267">
            <v>8.8671582267497087</v>
          </cell>
          <cell r="I267">
            <v>9.6328355607999416</v>
          </cell>
          <cell r="J267">
            <v>9.6722989220809552</v>
          </cell>
          <cell r="K267">
            <v>9.8539600655947606</v>
          </cell>
          <cell r="L267">
            <v>10.281421961675957</v>
          </cell>
          <cell r="M267">
            <v>10.873162994790896</v>
          </cell>
          <cell r="N267">
            <v>11.847642899978151</v>
          </cell>
          <cell r="O267">
            <v>12.593704206951848</v>
          </cell>
        </row>
        <row r="268">
          <cell r="A268" t="str">
            <v>D-RHNM_SOLELC</v>
          </cell>
          <cell r="B268" t="str">
            <v>VAR_fout</v>
          </cell>
          <cell r="C268" t="str">
            <v>RHNM_ELC</v>
          </cell>
          <cell r="D268"/>
          <cell r="E268">
            <v>2.3409103119665133E-5</v>
          </cell>
          <cell r="F268">
            <v>1.2897040839401117</v>
          </cell>
          <cell r="G268">
            <v>2.7675117888147875</v>
          </cell>
          <cell r="H268">
            <v>5.434174802088295</v>
          </cell>
          <cell r="I268">
            <v>8.8981417996268153</v>
          </cell>
          <cell r="J268">
            <v>9.6001585179951547</v>
          </cell>
          <cell r="K268">
            <v>10.732808635105149</v>
          </cell>
          <cell r="L268">
            <v>10.792426131082845</v>
          </cell>
          <cell r="M268">
            <v>11.330622358387865</v>
          </cell>
          <cell r="N268">
            <v>11.535986046156808</v>
          </cell>
          <cell r="O268">
            <v>11.994277228089743</v>
          </cell>
        </row>
        <row r="269">
          <cell r="A269" t="str">
            <v>D-RHNM_SOLELC</v>
          </cell>
          <cell r="B269" t="str">
            <v>VAR_fin</v>
          </cell>
          <cell r="C269" t="str">
            <v>RHNM_SOL_ELC</v>
          </cell>
          <cell r="D269"/>
          <cell r="E269">
            <v>1.4664552433746836E-5</v>
          </cell>
          <cell r="F269">
            <v>2.8806382213500239</v>
          </cell>
          <cell r="G269">
            <v>6.6478208574759838</v>
          </cell>
          <cell r="H269">
            <v>14.301333028838018</v>
          </cell>
          <cell r="I269">
            <v>18.53097736042675</v>
          </cell>
          <cell r="J269">
            <v>19.272457440076103</v>
          </cell>
          <cell r="K269">
            <v>20.586768700699924</v>
          </cell>
          <cell r="L269">
            <v>21.073848092758812</v>
          </cell>
          <cell r="M269">
            <v>22.203785353178763</v>
          </cell>
          <cell r="N269">
            <v>23.383628946134976</v>
          </cell>
          <cell r="O269">
            <v>24.587981435041598</v>
          </cell>
        </row>
        <row r="270">
          <cell r="A270" t="str">
            <v>RHNM-SHSTG-ELCHP</v>
          </cell>
          <cell r="B270" t="str">
            <v>VAR_fout</v>
          </cell>
          <cell r="C270" t="str">
            <v>RHNM-SHAELCH</v>
          </cell>
          <cell r="D270"/>
          <cell r="E270">
            <v>6.4190758587383254E-2</v>
          </cell>
          <cell r="F270">
            <v>0.31307782312684329</v>
          </cell>
          <cell r="G270">
            <v>0.61378249787530759</v>
          </cell>
          <cell r="H270">
            <v>0.94583966416372156</v>
          </cell>
          <cell r="I270">
            <v>1.200464338783984</v>
          </cell>
          <cell r="J270">
            <v>1.4462446152987032</v>
          </cell>
          <cell r="K270">
            <v>1.6613562015084871</v>
          </cell>
          <cell r="L270">
            <v>1.6853398565396793</v>
          </cell>
          <cell r="M270">
            <v>1.6568614619693076</v>
          </cell>
          <cell r="N270">
            <v>1.6809542975499203</v>
          </cell>
          <cell r="O270">
            <v>1.6633018880261647</v>
          </cell>
        </row>
        <row r="271">
          <cell r="A271" t="str">
            <v>RHNM-SHSTG-ELCHP</v>
          </cell>
          <cell r="B271" t="str">
            <v>VAR_fin</v>
          </cell>
          <cell r="C271" t="str">
            <v>RHNM-SHAELCH</v>
          </cell>
          <cell r="D271"/>
          <cell r="E271">
            <v>6.4195322866627089E-2</v>
          </cell>
          <cell r="F271">
            <v>0.31314450370460711</v>
          </cell>
          <cell r="G271">
            <v>0.61386921005874495</v>
          </cell>
          <cell r="H271">
            <v>0.94593618877594787</v>
          </cell>
          <cell r="I271">
            <v>1.2005751153094926</v>
          </cell>
          <cell r="J271">
            <v>1.4463646070032097</v>
          </cell>
          <cell r="K271">
            <v>1.6614910243749623</v>
          </cell>
          <cell r="L271">
            <v>1.6854763954103886</v>
          </cell>
          <cell r="M271">
            <v>1.6569980858831173</v>
          </cell>
          <cell r="N271">
            <v>1.6810944801936951</v>
          </cell>
          <cell r="O271">
            <v>1.6634496789718511</v>
          </cell>
        </row>
        <row r="272">
          <cell r="A272" t="str">
            <v>RHNM-SHSTG-ELCHP</v>
          </cell>
          <cell r="B272" t="str">
            <v>VAR_ncap</v>
          </cell>
          <cell r="C272" t="str">
            <v>-</v>
          </cell>
          <cell r="D272">
            <v>3.0800156820620802E-4</v>
          </cell>
          <cell r="E272">
            <v>9.45352796054604E-3</v>
          </cell>
          <cell r="F272">
            <v>3.04855574750868E-2</v>
          </cell>
          <cell r="G272">
            <v>3.9210900475013598E-2</v>
          </cell>
          <cell r="H272">
            <v>3.60060707409239E-2</v>
          </cell>
          <cell r="I272">
            <v>6.4663604247298806E-2</v>
          </cell>
          <cell r="J272">
            <v>6.0810899152864598E-2</v>
          </cell>
          <cell r="K272">
            <v>6.03463510298205E-2</v>
          </cell>
          <cell r="L272">
            <v>7.6884423553279096E-2</v>
          </cell>
          <cell r="M272">
            <v>6.5581092071371194E-2</v>
          </cell>
          <cell r="N272">
            <v>7.4401767729211199E-2</v>
          </cell>
          <cell r="O272">
            <v>6.3028191413043694E-2</v>
          </cell>
        </row>
        <row r="273">
          <cell r="A273" t="str">
            <v>RHNM-SHSTG-ELCHP</v>
          </cell>
          <cell r="B273" t="str">
            <v>VAR_cap</v>
          </cell>
          <cell r="C273" t="str">
            <v>-</v>
          </cell>
          <cell r="D273">
            <v>3.0800156820620802E-4</v>
          </cell>
          <cell r="E273">
            <v>9.7268239946074146E-3</v>
          </cell>
          <cell r="F273">
            <v>4.0160564145026084E-2</v>
          </cell>
          <cell r="G273">
            <v>7.9282726176219162E-2</v>
          </cell>
          <cell r="H273">
            <v>0.11021829278222474</v>
          </cell>
          <cell r="I273">
            <v>0.13844795892060499</v>
          </cell>
          <cell r="J273">
            <v>0.16122128437032718</v>
          </cell>
          <cell r="K273">
            <v>0.18507701241097305</v>
          </cell>
          <cell r="L273">
            <v>0.19880145759096152</v>
          </cell>
          <cell r="M273">
            <v>0.20162021666566413</v>
          </cell>
          <cell r="N273">
            <v>0.20158862871055719</v>
          </cell>
          <cell r="O273">
            <v>0.20167508826614741</v>
          </cell>
        </row>
        <row r="274">
          <cell r="A274" t="str">
            <v>D-SCOM_LTH</v>
          </cell>
          <cell r="B274" t="str">
            <v>VAR_fout</v>
          </cell>
          <cell r="C274" t="str">
            <v>SCOM_LTH_DH</v>
          </cell>
          <cell r="D274">
            <v>5.6100286972858715</v>
          </cell>
          <cell r="E274">
            <v>6.0767310595095738</v>
          </cell>
          <cell r="F274">
            <v>6.0767350562406026</v>
          </cell>
          <cell r="G274">
            <v>6.0767372387499377</v>
          </cell>
          <cell r="H274">
            <v>6.0767480522345991</v>
          </cell>
          <cell r="I274">
            <v>6.0912835208675631</v>
          </cell>
          <cell r="J274">
            <v>7.8010173443084279</v>
          </cell>
          <cell r="K274">
            <v>8.1525479669736161</v>
          </cell>
          <cell r="L274">
            <v>8.1525801784035394</v>
          </cell>
          <cell r="M274">
            <v>8.1526079769933677</v>
          </cell>
          <cell r="N274">
            <v>8.2601000271209344</v>
          </cell>
          <cell r="O274">
            <v>8.2601929153073126</v>
          </cell>
        </row>
        <row r="275">
          <cell r="A275" t="str">
            <v>D-SCOM_LTH</v>
          </cell>
          <cell r="B275" t="str">
            <v>VAR_fin</v>
          </cell>
          <cell r="C275" t="str">
            <v>LTH</v>
          </cell>
          <cell r="D275">
            <v>6.0988069312599631</v>
          </cell>
          <cell r="E275">
            <v>6.6044349281645802</v>
          </cell>
          <cell r="F275">
            <v>6.6018367082237708</v>
          </cell>
          <cell r="G275">
            <v>6.597506026637129</v>
          </cell>
          <cell r="H275">
            <v>6.593190390615832</v>
          </cell>
          <cell r="I275">
            <v>6.6046291391170753</v>
          </cell>
          <cell r="J275">
            <v>8.4529108258539711</v>
          </cell>
          <cell r="K275">
            <v>8.8280343633317635</v>
          </cell>
          <cell r="L275">
            <v>8.8280692436675086</v>
          </cell>
          <cell r="M275">
            <v>8.8280993455334862</v>
          </cell>
          <cell r="N275">
            <v>8.9444977422255718</v>
          </cell>
          <cell r="O275">
            <v>8.9445983267427938</v>
          </cell>
        </row>
        <row r="276">
          <cell r="A276" t="str">
            <v>D-SCOM_LTH</v>
          </cell>
          <cell r="B276" t="str">
            <v>VAR_ncap</v>
          </cell>
          <cell r="C276" t="str">
            <v>-</v>
          </cell>
          <cell r="D276">
            <v>0.84970086868425898</v>
          </cell>
          <cell r="E276">
            <v>7.0474663521215399E-7</v>
          </cell>
          <cell r="F276">
            <v>5.4864053095055402E-7</v>
          </cell>
          <cell r="G276">
            <v>4.6702441125832199E-7</v>
          </cell>
          <cell r="H276">
            <v>7.3008418105606396E-7</v>
          </cell>
          <cell r="I276">
            <v>6.2575097867433897E-7</v>
          </cell>
          <cell r="J276">
            <v>9.0720322846689201E-7</v>
          </cell>
          <cell r="K276">
            <v>1.4802932324213901E-6</v>
          </cell>
          <cell r="L276">
            <v>1.5498366181051901E-6</v>
          </cell>
          <cell r="M276">
            <v>4.6029254689098303E-6</v>
          </cell>
          <cell r="N276">
            <v>3.3349562956713598E-6</v>
          </cell>
          <cell r="O276">
            <v>1.6095148551850699E-5</v>
          </cell>
        </row>
        <row r="277">
          <cell r="A277" t="str">
            <v>D-SCOM_LTH</v>
          </cell>
          <cell r="B277" t="str">
            <v>VAR_cap</v>
          </cell>
          <cell r="C277" t="str">
            <v>-</v>
          </cell>
          <cell r="D277">
            <v>0.84970086868425898</v>
          </cell>
          <cell r="E277">
            <v>0.84970157343089403</v>
          </cell>
          <cell r="F277">
            <v>0.84970212207142504</v>
          </cell>
          <cell r="G277">
            <v>0.84970258909583696</v>
          </cell>
          <cell r="H277">
            <v>0.84970331918001796</v>
          </cell>
          <cell r="I277">
            <v>0.84970394493099599</v>
          </cell>
          <cell r="J277">
            <v>0.84970485213422497</v>
          </cell>
          <cell r="K277">
            <v>0.84970633242745697</v>
          </cell>
          <cell r="L277">
            <v>0.84970788226407501</v>
          </cell>
          <cell r="M277">
            <v>0.84971248518954401</v>
          </cell>
          <cell r="N277">
            <v>0.84971582014584002</v>
          </cell>
          <cell r="O277">
            <v>0.84973191529439196</v>
          </cell>
        </row>
        <row r="278">
          <cell r="A278" t="str">
            <v>ITOT-SWHBIOBR</v>
          </cell>
          <cell r="B278" t="str">
            <v>VAR_fout</v>
          </cell>
          <cell r="C278" t="str">
            <v>ITOT-SWH</v>
          </cell>
          <cell r="D278">
            <v>0.31053898295683396</v>
          </cell>
          <cell r="E278">
            <v>0.3925464321288657</v>
          </cell>
          <cell r="F278">
            <v>0.81131196641405001</v>
          </cell>
          <cell r="G278">
            <v>3.0739402007004268</v>
          </cell>
          <cell r="H278">
            <v>3.0739553384286631</v>
          </cell>
          <cell r="I278">
            <v>3.0739598806406092</v>
          </cell>
          <cell r="J278">
            <v>3.0934166071042899</v>
          </cell>
          <cell r="K278">
            <v>3.1128732870309226</v>
          </cell>
          <cell r="L278">
            <v>3.1128828687621306</v>
          </cell>
          <cell r="M278">
            <v>3.1128844978990693</v>
          </cell>
          <cell r="N278">
            <v>3.1128941181415732</v>
          </cell>
          <cell r="O278">
            <v>3.113002997014207</v>
          </cell>
        </row>
        <row r="279">
          <cell r="A279" t="str">
            <v>ITOT-SWHBIOBR</v>
          </cell>
          <cell r="B279" t="str">
            <v>VAR_fin</v>
          </cell>
          <cell r="C279" t="str">
            <v>IBIO</v>
          </cell>
          <cell r="D279">
            <v>0.436763689109471</v>
          </cell>
          <cell r="E279">
            <v>0.55210468653848932</v>
          </cell>
          <cell r="F279">
            <v>1.1410857474177907</v>
          </cell>
          <cell r="G279">
            <v>4.3234039391004639</v>
          </cell>
          <cell r="H279">
            <v>4.3234252298574729</v>
          </cell>
          <cell r="I279">
            <v>4.3234316183412229</v>
          </cell>
          <cell r="J279">
            <v>4.3234334131436638</v>
          </cell>
          <cell r="K279">
            <v>4.3234351208762805</v>
          </cell>
          <cell r="L279">
            <v>4.3234484288362891</v>
          </cell>
          <cell r="M279">
            <v>4.3234506915264861</v>
          </cell>
          <cell r="N279">
            <v>4.3234640529744084</v>
          </cell>
          <cell r="O279">
            <v>4.3236152736308444</v>
          </cell>
        </row>
        <row r="280">
          <cell r="A280" t="str">
            <v>ITOT-SWHBIOBR</v>
          </cell>
          <cell r="B280" t="str">
            <v>VAR_ncap</v>
          </cell>
          <cell r="C280" t="str">
            <v>-</v>
          </cell>
          <cell r="D280"/>
          <cell r="E280">
            <v>1.47141143997166E-2</v>
          </cell>
          <cell r="F280">
            <v>2.2463859094431E-2</v>
          </cell>
          <cell r="G280">
            <v>0.120606000391778</v>
          </cell>
          <cell r="H280">
            <v>3.3642014548548302E-2</v>
          </cell>
          <cell r="I280">
            <v>0.106351783821273</v>
          </cell>
          <cell r="J280">
            <v>8.6452053713342303E-2</v>
          </cell>
          <cell r="K280">
            <v>4.9109807322541797E-2</v>
          </cell>
          <cell r="L280">
            <v>0.10572172932466301</v>
          </cell>
          <cell r="M280">
            <v>0.119388128509752</v>
          </cell>
          <cell r="N280">
            <v>6.5347290947691997E-2</v>
          </cell>
          <cell r="O280">
            <v>0.120409851274439</v>
          </cell>
        </row>
        <row r="281">
          <cell r="A281" t="str">
            <v>ITOT-SWHBIOBR</v>
          </cell>
          <cell r="B281" t="str">
            <v>VAR_cap</v>
          </cell>
          <cell r="C281" t="str">
            <v>-</v>
          </cell>
          <cell r="D281">
            <v>1.7013611085743299E-2</v>
          </cell>
          <cell r="E281">
            <v>3.1717169496238852E-2</v>
          </cell>
          <cell r="F281">
            <v>5.4149816493521685E-2</v>
          </cell>
          <cell r="G281">
            <v>0.17470626346577248</v>
          </cell>
          <cell r="H281">
            <v>0.18847126046324253</v>
          </cell>
          <cell r="I281">
            <v>0.24224842097240595</v>
          </cell>
          <cell r="J281">
            <v>0.22636413306706818</v>
          </cell>
          <cell r="K281">
            <v>0.2417786671213154</v>
          </cell>
          <cell r="L281">
            <v>0.24602391583501002</v>
          </cell>
          <cell r="M281">
            <v>0.27406427197382732</v>
          </cell>
          <cell r="N281">
            <v>0.26543219393379774</v>
          </cell>
          <cell r="O281">
            <v>0.30497011501549398</v>
          </cell>
        </row>
        <row r="282">
          <cell r="A282" t="str">
            <v>RHNS-SHPLTBR</v>
          </cell>
          <cell r="B282" t="str">
            <v>VAR_fout</v>
          </cell>
          <cell r="C282" t="str">
            <v>RHNS-SHPLT</v>
          </cell>
          <cell r="D282"/>
          <cell r="E282"/>
          <cell r="F282">
            <v>1.7236404809344946E-5</v>
          </cell>
          <cell r="G282">
            <v>4.7944989562446515E-3</v>
          </cell>
          <cell r="H282">
            <v>4.9765834602990937E-3</v>
          </cell>
          <cell r="I282">
            <v>4.9922379191756948E-3</v>
          </cell>
          <cell r="J282">
            <v>4.9959654890423385E-3</v>
          </cell>
          <cell r="K282">
            <v>5.0200193592752247E-3</v>
          </cell>
          <cell r="L282">
            <v>5.022242140264449E-3</v>
          </cell>
          <cell r="M282">
            <v>5.2037259446450811E-3</v>
          </cell>
          <cell r="N282">
            <v>5.2087836046018476E-3</v>
          </cell>
          <cell r="O282">
            <v>5.2457018820194837E-3</v>
          </cell>
        </row>
        <row r="283">
          <cell r="A283" t="str">
            <v>RHNS-SHPLTBR</v>
          </cell>
          <cell r="B283" t="str">
            <v>VAR_fin</v>
          </cell>
          <cell r="C283" t="str">
            <v>RPLT</v>
          </cell>
          <cell r="D283"/>
          <cell r="E283"/>
          <cell r="F283">
            <v>1.9151560899272175E-5</v>
          </cell>
          <cell r="G283">
            <v>5.3272210624940568E-3</v>
          </cell>
          <cell r="H283">
            <v>5.5295371781101024E-3</v>
          </cell>
          <cell r="I283">
            <v>5.5469310213063254E-3</v>
          </cell>
          <cell r="J283">
            <v>5.5510727656025941E-3</v>
          </cell>
          <cell r="K283">
            <v>5.5777992880835835E-3</v>
          </cell>
          <cell r="L283">
            <v>5.580269044738277E-3</v>
          </cell>
          <cell r="M283">
            <v>5.7819177162723124E-3</v>
          </cell>
          <cell r="N283">
            <v>5.7875373384465049E-3</v>
          </cell>
          <cell r="O283">
            <v>5.8285576466883138E-3</v>
          </cell>
        </row>
        <row r="284">
          <cell r="A284" t="str">
            <v>RHNS-SHPLTBR</v>
          </cell>
          <cell r="B284" t="str">
            <v>VAR_ncap</v>
          </cell>
          <cell r="C284" t="str">
            <v>-</v>
          </cell>
          <cell r="D284"/>
          <cell r="E284">
            <v>6.7580481795760405E-7</v>
          </cell>
          <cell r="F284">
            <v>2.1857848558186701E-7</v>
          </cell>
          <cell r="G284">
            <v>4.53727278181551E-4</v>
          </cell>
          <cell r="H284">
            <v>9.3215677562729201E-6</v>
          </cell>
          <cell r="I284">
            <v>4.5809999967137402E-5</v>
          </cell>
          <cell r="J284">
            <v>3.5763527261226699E-4</v>
          </cell>
          <cell r="K284">
            <v>7.2524195888392406E-5</v>
          </cell>
          <cell r="L284">
            <v>3.7404442295820401E-5</v>
          </cell>
          <cell r="M284">
            <v>3.7194954992289401E-4</v>
          </cell>
          <cell r="N284">
            <v>5.1117968234452702E-5</v>
          </cell>
          <cell r="O284">
            <v>9.8242586929827303E-5</v>
          </cell>
        </row>
        <row r="285">
          <cell r="A285" t="str">
            <v>RHNS-SHPLTBR</v>
          </cell>
          <cell r="B285" t="str">
            <v>VAR_cap</v>
          </cell>
          <cell r="C285" t="str">
            <v>-</v>
          </cell>
          <cell r="D285"/>
          <cell r="E285">
            <v>6.7580481795760405E-7</v>
          </cell>
          <cell r="F285">
            <v>9.0637575962580908E-8</v>
          </cell>
          <cell r="G285">
            <v>4.5370290189715294E-4</v>
          </cell>
          <cell r="H285">
            <v>4.6261291277657443E-4</v>
          </cell>
          <cell r="I285">
            <v>4.2142248425749632E-4</v>
          </cell>
          <cell r="J285">
            <v>4.1177570567408717E-4</v>
          </cell>
          <cell r="K285">
            <v>4.7424280850967001E-4</v>
          </cell>
          <cell r="L285">
            <v>4.2527813358353195E-4</v>
          </cell>
          <cell r="M285">
            <v>4.8011601411611013E-4</v>
          </cell>
          <cell r="N285">
            <v>4.5885382257698082E-4</v>
          </cell>
          <cell r="O285">
            <v>5.1928255839712317E-4</v>
          </cell>
        </row>
        <row r="286">
          <cell r="A286" t="str">
            <v>D-RHNM_KEV_WOD_ELC_CHP</v>
          </cell>
          <cell r="B286" t="str">
            <v>VAR_fout</v>
          </cell>
          <cell r="C286" t="str">
            <v>ELC5</v>
          </cell>
          <cell r="D286"/>
          <cell r="E286"/>
          <cell r="F286"/>
          <cell r="G286">
            <v>1.0985444765995059E-3</v>
          </cell>
          <cell r="H286">
            <v>1.9827897742711741E-3</v>
          </cell>
          <cell r="I286">
            <v>3.3455807252724275E-3</v>
          </cell>
          <cell r="J286">
            <v>3.0346877421165049E-3</v>
          </cell>
          <cell r="K286">
            <v>2.3607731062680101E-3</v>
          </cell>
          <cell r="L286">
            <v>2.8427428329538054E-3</v>
          </cell>
          <cell r="M286">
            <v>3.2631979810231171E-3</v>
          </cell>
          <cell r="N286">
            <v>2.0247681729838943E-3</v>
          </cell>
          <cell r="O286">
            <v>2.7607137208750399E-3</v>
          </cell>
        </row>
        <row r="287">
          <cell r="A287" t="str">
            <v>D-RHNM_KEV_WOD_ELC_CHP</v>
          </cell>
          <cell r="B287" t="str">
            <v>VAR_fout</v>
          </cell>
          <cell r="C287" t="str">
            <v>RHNM_ELC</v>
          </cell>
          <cell r="D287"/>
          <cell r="E287"/>
          <cell r="F287"/>
          <cell r="G287">
            <v>5.7614261373900696E-4</v>
          </cell>
          <cell r="H287">
            <v>1.9801103678321235E-3</v>
          </cell>
          <cell r="I287">
            <v>3.3432454224580624E-3</v>
          </cell>
          <cell r="J287">
            <v>3.0324496225632176E-3</v>
          </cell>
          <cell r="K287">
            <v>2.3622916677650593E-3</v>
          </cell>
          <cell r="L287">
            <v>2.8470819143619716E-3</v>
          </cell>
          <cell r="M287">
            <v>3.2654669174272161E-3</v>
          </cell>
          <cell r="N287">
            <v>2.026045413941348E-3</v>
          </cell>
          <cell r="O287">
            <v>2.7625836807169276E-3</v>
          </cell>
        </row>
        <row r="288">
          <cell r="A288" t="str">
            <v>D-RHNM_KEV_WOD_ELC_CHP</v>
          </cell>
          <cell r="B288" t="str">
            <v>VAR_fin</v>
          </cell>
          <cell r="C288" t="str">
            <v>RHNM_KEV_WOD_ELC_CHP</v>
          </cell>
          <cell r="D288"/>
          <cell r="E288"/>
          <cell r="F288"/>
          <cell r="G288">
            <v>1.646265112331121E-3</v>
          </cell>
          <cell r="H288">
            <v>3.9344781640959017E-3</v>
          </cell>
          <cell r="I288">
            <v>6.6604041697230932E-3</v>
          </cell>
          <cell r="J288">
            <v>6.0399486804938252E-3</v>
          </cell>
          <cell r="K288">
            <v>4.6946134934445155E-3</v>
          </cell>
          <cell r="L288">
            <v>5.6614027693083846E-3</v>
          </cell>
          <cell r="M288">
            <v>6.5002429204429344E-3</v>
          </cell>
          <cell r="N288">
            <v>4.0223916089178495E-3</v>
          </cell>
          <cell r="O288">
            <v>5.494617919266258E-3</v>
          </cell>
        </row>
        <row r="289">
          <cell r="A289" t="str">
            <v>SCOM-SHLTHCHPNGA</v>
          </cell>
          <cell r="B289" t="str">
            <v>VAR_fout</v>
          </cell>
          <cell r="C289" t="str">
            <v>SCOM-SHLTHC-NGA</v>
          </cell>
          <cell r="D289">
            <v>0.68567675427779418</v>
          </cell>
          <cell r="E289">
            <v>0.74271662896547153</v>
          </cell>
          <cell r="F289">
            <v>0.86838220938066846</v>
          </cell>
          <cell r="G289">
            <v>0.89623856765469234</v>
          </cell>
          <cell r="H289">
            <v>0.78813829748265751</v>
          </cell>
          <cell r="I289">
            <v>0.47634170635572293</v>
          </cell>
          <cell r="J289"/>
          <cell r="K289"/>
          <cell r="L289">
            <v>1.3386654445549772E-2</v>
          </cell>
          <cell r="M289">
            <v>1.551826133895688E-2</v>
          </cell>
          <cell r="N289">
            <v>2.5178431450605672E-2</v>
          </cell>
          <cell r="O289">
            <v>4.2296704871815742E-2</v>
          </cell>
        </row>
        <row r="290">
          <cell r="A290" t="str">
            <v>SCOM-SHLTHCHPNGA</v>
          </cell>
          <cell r="B290" t="str">
            <v>VAR_fin</v>
          </cell>
          <cell r="C290" t="str">
            <v>SCOMLTHCHPC</v>
          </cell>
          <cell r="D290">
            <v>0.68567675427779418</v>
          </cell>
          <cell r="E290">
            <v>0.74271662896547153</v>
          </cell>
          <cell r="F290">
            <v>0.86838220938066846</v>
          </cell>
          <cell r="G290">
            <v>0.89623856765469234</v>
          </cell>
          <cell r="H290">
            <v>0.78813829748265751</v>
          </cell>
          <cell r="I290">
            <v>0.47634170635572293</v>
          </cell>
          <cell r="J290"/>
          <cell r="K290"/>
          <cell r="L290">
            <v>1.3386654445549772E-2</v>
          </cell>
          <cell r="M290">
            <v>1.551826133895688E-2</v>
          </cell>
          <cell r="N290">
            <v>2.5178431450605672E-2</v>
          </cell>
          <cell r="O290">
            <v>4.2296704871815742E-2</v>
          </cell>
        </row>
        <row r="291">
          <cell r="A291" t="str">
            <v>SCOM-SHLTHCHPNGA</v>
          </cell>
          <cell r="B291" t="str">
            <v>VAR_fin</v>
          </cell>
          <cell r="C291" t="str">
            <v>SCOM_LTH_CHPNGA_ON</v>
          </cell>
          <cell r="D291">
            <v>0.69260278209878279</v>
          </cell>
          <cell r="E291">
            <v>0.7502188171368398</v>
          </cell>
          <cell r="F291">
            <v>0.87715374684915881</v>
          </cell>
          <cell r="G291">
            <v>0.9052914824794871</v>
          </cell>
          <cell r="H291">
            <v>0.79609929038652238</v>
          </cell>
          <cell r="I291">
            <v>0.48115323874315419</v>
          </cell>
          <cell r="J291"/>
          <cell r="K291"/>
          <cell r="L291">
            <v>1.3521873177323014E-2</v>
          </cell>
          <cell r="M291">
            <v>1.5675011453491781E-2</v>
          </cell>
          <cell r="N291">
            <v>2.5432759041015822E-2</v>
          </cell>
          <cell r="O291">
            <v>4.2723944314965359E-2</v>
          </cell>
        </row>
        <row r="292">
          <cell r="A292" t="str">
            <v>SCOM-SHLTHCHPNGA</v>
          </cell>
          <cell r="B292" t="str">
            <v>VAR_ncap</v>
          </cell>
          <cell r="C292" t="str">
            <v>-</v>
          </cell>
          <cell r="D292">
            <v>1.4582266320764501E-7</v>
          </cell>
          <cell r="E292">
            <v>3.97086671361494E-2</v>
          </cell>
          <cell r="F292">
            <v>3.7694749333168499E-2</v>
          </cell>
          <cell r="G292">
            <v>3.4674904052723603E-2</v>
          </cell>
          <cell r="H292">
            <v>3.4131826559356801E-2</v>
          </cell>
          <cell r="I292">
            <v>2.6377205568926601E-2</v>
          </cell>
          <cell r="J292">
            <v>1.86469852479112E-7</v>
          </cell>
          <cell r="K292">
            <v>2.3711197036297401E-7</v>
          </cell>
          <cell r="L292">
            <v>1.6428529322487599E-3</v>
          </cell>
          <cell r="M292">
            <v>1.5086081764885499E-3</v>
          </cell>
          <cell r="N292">
            <v>2.0137520493726702E-3</v>
          </cell>
          <cell r="O292">
            <v>3.8931009985190999E-3</v>
          </cell>
        </row>
        <row r="293">
          <cell r="A293" t="str">
            <v>SCOM-SHLTHCHPNGA</v>
          </cell>
          <cell r="B293" t="str">
            <v>VAR_cap</v>
          </cell>
          <cell r="C293" t="str">
            <v>-</v>
          </cell>
          <cell r="D293">
            <v>7.5969414781190112E-2</v>
          </cell>
          <cell r="E293">
            <v>6.4421477673906699E-2</v>
          </cell>
          <cell r="F293">
            <v>6.7101812452994791E-2</v>
          </cell>
          <cell r="G293">
            <v>6.9252492078485911E-2</v>
          </cell>
          <cell r="H293">
            <v>6.0899013843849617E-2</v>
          </cell>
          <cell r="I293">
            <v>3.7761842867158404E-2</v>
          </cell>
          <cell r="J293">
            <v>1.0794435297001304E-8</v>
          </cell>
          <cell r="K293">
            <v>-3.7680078016077978E-9</v>
          </cell>
          <cell r="L293">
            <v>1.6428472016050697E-3</v>
          </cell>
          <cell r="M293">
            <v>1.98734576466186E-3</v>
          </cell>
          <cell r="N293">
            <v>2.8076733329326095E-3</v>
          </cell>
          <cell r="O293">
            <v>5.0449221247773198E-3</v>
          </cell>
        </row>
        <row r="294">
          <cell r="A294" t="str">
            <v>ITOT-PROCESSCO2</v>
          </cell>
          <cell r="B294" t="str">
            <v>VAR_fout</v>
          </cell>
          <cell r="C294" t="str">
            <v>CO2</v>
          </cell>
          <cell r="D294">
            <v>2089.34680048464</v>
          </cell>
          <cell r="E294">
            <v>2111.0131698740802</v>
          </cell>
          <cell r="F294">
            <v>2102.26947106126</v>
          </cell>
          <cell r="G294">
            <v>2093.6570864435298</v>
          </cell>
          <cell r="H294">
            <v>2085.53497881767</v>
          </cell>
          <cell r="I294">
            <v>2077.41287119138</v>
          </cell>
          <cell r="J294">
            <v>2070.5807257700199</v>
          </cell>
          <cell r="K294">
            <v>2063.7485803487498</v>
          </cell>
          <cell r="L294">
            <v>2063.7485803486402</v>
          </cell>
          <cell r="M294">
            <v>2063.7485803486602</v>
          </cell>
          <cell r="N294">
            <v>2063.7485803486302</v>
          </cell>
          <cell r="O294">
            <v>2063.7485803488198</v>
          </cell>
        </row>
        <row r="295">
          <cell r="A295" t="str">
            <v>ITOT-PROCESSCO2</v>
          </cell>
          <cell r="B295" t="str">
            <v>VAR_fout</v>
          </cell>
          <cell r="C295" t="str">
            <v>CO2P</v>
          </cell>
          <cell r="D295">
            <v>2089.34680048464</v>
          </cell>
          <cell r="E295">
            <v>2111.0131698740802</v>
          </cell>
          <cell r="F295">
            <v>2102.26947106126</v>
          </cell>
          <cell r="G295">
            <v>2093.6570864435334</v>
          </cell>
          <cell r="H295">
            <v>2085.5349788176741</v>
          </cell>
          <cell r="I295">
            <v>2077.412871191375</v>
          </cell>
          <cell r="J295">
            <v>2070.5807257700144</v>
          </cell>
          <cell r="K295">
            <v>2063.7485803487489</v>
          </cell>
          <cell r="L295">
            <v>2063.748580348637</v>
          </cell>
          <cell r="M295">
            <v>2063.7485803486602</v>
          </cell>
          <cell r="N295">
            <v>2063.7485803486325</v>
          </cell>
          <cell r="O295">
            <v>2063.7485803488207</v>
          </cell>
        </row>
        <row r="296">
          <cell r="A296" t="str">
            <v>RHNM-SHWODBR</v>
          </cell>
          <cell r="B296" t="str">
            <v>VAR_fout</v>
          </cell>
          <cell r="C296" t="str">
            <v>RHNM-SHWOD</v>
          </cell>
          <cell r="D296"/>
          <cell r="E296">
            <v>8.1166478165627429E-2</v>
          </cell>
          <cell r="F296">
            <v>8.1166541371111789E-2</v>
          </cell>
          <cell r="G296">
            <v>8.1165985939249508E-2</v>
          </cell>
          <cell r="H296">
            <v>8.1165415099151317E-2</v>
          </cell>
          <cell r="I296">
            <v>8.1164755060240304E-2</v>
          </cell>
          <cell r="J296">
            <v>8.1164296655440615E-2</v>
          </cell>
          <cell r="K296">
            <v>8.1163412799589593E-2</v>
          </cell>
          <cell r="L296">
            <v>8.1162745103109446E-2</v>
          </cell>
          <cell r="M296">
            <v>8.1161030703431614E-2</v>
          </cell>
          <cell r="N296">
            <v>4.3719783102954053E-2</v>
          </cell>
          <cell r="O296">
            <v>8.5103114815563517E-3</v>
          </cell>
        </row>
        <row r="297">
          <cell r="A297" t="str">
            <v>RHNM-SHWODBR</v>
          </cell>
          <cell r="B297" t="str">
            <v>VAR_fin</v>
          </cell>
          <cell r="C297" t="str">
            <v>RHNMWODBRC</v>
          </cell>
          <cell r="D297"/>
          <cell r="E297">
            <v>8.1166478165627429E-2</v>
          </cell>
          <cell r="F297">
            <v>8.1166541371111789E-2</v>
          </cell>
          <cell r="G297">
            <v>8.1165985939249508E-2</v>
          </cell>
          <cell r="H297">
            <v>8.1165415099151317E-2</v>
          </cell>
          <cell r="I297">
            <v>8.1164755060240304E-2</v>
          </cell>
          <cell r="J297">
            <v>8.1164296655440615E-2</v>
          </cell>
          <cell r="K297">
            <v>8.1163412799589593E-2</v>
          </cell>
          <cell r="L297">
            <v>8.1162745103109446E-2</v>
          </cell>
          <cell r="M297">
            <v>8.1161030703431614E-2</v>
          </cell>
          <cell r="N297">
            <v>4.3719783102954053E-2</v>
          </cell>
          <cell r="O297">
            <v>8.5103114815563517E-3</v>
          </cell>
        </row>
        <row r="298">
          <cell r="A298" t="str">
            <v>RHNM-SHWODBR</v>
          </cell>
          <cell r="B298" t="str">
            <v>VAR_fin</v>
          </cell>
          <cell r="C298" t="str">
            <v>RWOD</v>
          </cell>
          <cell r="D298"/>
          <cell r="E298">
            <v>0.11273121967448255</v>
          </cell>
          <cell r="F298">
            <v>0.1127313074598774</v>
          </cell>
          <cell r="G298">
            <v>0.11273053602673551</v>
          </cell>
          <cell r="H298">
            <v>0.1127297431932658</v>
          </cell>
          <cell r="I298">
            <v>0.11272882647255579</v>
          </cell>
          <cell r="J298">
            <v>0.11272818979922297</v>
          </cell>
          <cell r="K298">
            <v>0.11272696222165227</v>
          </cell>
          <cell r="L298">
            <v>0.11272603486542976</v>
          </cell>
          <cell r="M298">
            <v>0.11272365375476613</v>
          </cell>
          <cell r="N298">
            <v>6.0721920976325089E-2</v>
          </cell>
          <cell r="O298">
            <v>1.1819877057717162E-2</v>
          </cell>
        </row>
        <row r="299">
          <cell r="A299" t="str">
            <v>RHNM-SHWODBR</v>
          </cell>
          <cell r="B299" t="str">
            <v>VAR_ncap</v>
          </cell>
          <cell r="C299" t="str">
            <v>-</v>
          </cell>
          <cell r="D299"/>
          <cell r="E299">
            <v>6.4025174417739403E-3</v>
          </cell>
          <cell r="F299">
            <v>1.47966821081702E-4</v>
          </cell>
          <cell r="G299"/>
          <cell r="H299">
            <v>6.3258151475859602E-3</v>
          </cell>
          <cell r="I299"/>
          <cell r="J299">
            <v>6.3801440403304299E-3</v>
          </cell>
          <cell r="K299"/>
          <cell r="L299">
            <v>2.13919041292901E-3</v>
          </cell>
          <cell r="M299">
            <v>4.26898700239589E-3</v>
          </cell>
          <cell r="N299">
            <v>7.7769972510304997E-6</v>
          </cell>
          <cell r="O299">
            <v>1.1398502312049401E-5</v>
          </cell>
        </row>
        <row r="300">
          <cell r="A300" t="str">
            <v>RHNM-SHWODBR</v>
          </cell>
          <cell r="B300" t="str">
            <v>VAR_cap</v>
          </cell>
          <cell r="C300" t="str">
            <v>-</v>
          </cell>
          <cell r="D300"/>
          <cell r="E300">
            <v>6.4025174417739403E-3</v>
          </cell>
          <cell r="F300">
            <v>6.5495486913107123E-3</v>
          </cell>
          <cell r="G300">
            <v>6.5474183537411104E-3</v>
          </cell>
          <cell r="H300">
            <v>8.9026320331999417E-3</v>
          </cell>
          <cell r="I300">
            <v>6.3556491344827302E-3</v>
          </cell>
          <cell r="J300">
            <v>8.5615249029715318E-3</v>
          </cell>
          <cell r="K300">
            <v>6.3798303445511163E-3</v>
          </cell>
          <cell r="L300">
            <v>7.6704566266339314E-3</v>
          </cell>
          <cell r="M300">
            <v>6.4075208238438663E-3</v>
          </cell>
          <cell r="N300">
            <v>5.3935984318644265E-3</v>
          </cell>
          <cell r="O300">
            <v>1.1802558045504799E-3</v>
          </cell>
        </row>
        <row r="301">
          <cell r="A301" t="str">
            <v>RHNS-SHDEM</v>
          </cell>
          <cell r="B301" t="str">
            <v>VAR_fout</v>
          </cell>
          <cell r="C301" t="str">
            <v>RHNS-SHD</v>
          </cell>
          <cell r="D301"/>
          <cell r="E301">
            <v>0.40498900274511701</v>
          </cell>
          <cell r="F301">
            <v>0.99391635777870935</v>
          </cell>
          <cell r="G301">
            <v>1.8460248800363404</v>
          </cell>
          <cell r="H301">
            <v>2.5919174576310802</v>
          </cell>
          <cell r="I301">
            <v>3.3577558477160485</v>
          </cell>
          <cell r="J301">
            <v>4.1380724816408536</v>
          </cell>
          <cell r="K301">
            <v>4.9940828428825199</v>
          </cell>
          <cell r="L301">
            <v>4.9107134017925507</v>
          </cell>
          <cell r="M301">
            <v>4.8891371853700276</v>
          </cell>
          <cell r="N301">
            <v>4.8906557867632197</v>
          </cell>
          <cell r="O301">
            <v>4.7384836096024898</v>
          </cell>
        </row>
        <row r="302">
          <cell r="A302" t="str">
            <v>RHNS-SHDEM</v>
          </cell>
          <cell r="B302" t="str">
            <v>VAR_fin</v>
          </cell>
          <cell r="C302" t="str">
            <v>RHNS-SHLTHC-WOD</v>
          </cell>
          <cell r="D302"/>
          <cell r="E302">
            <v>3.0483777287067006E-5</v>
          </cell>
          <cell r="F302">
            <v>3.5095452816858309E-4</v>
          </cell>
          <cell r="G302">
            <v>3.9324153727581862E-3</v>
          </cell>
          <cell r="H302">
            <v>5.687796975639303E-3</v>
          </cell>
          <cell r="I302">
            <v>1.2512452807878129E-2</v>
          </cell>
          <cell r="J302">
            <v>1.1407516422565911E-2</v>
          </cell>
          <cell r="K302">
            <v>1.7549609787882399E-2</v>
          </cell>
          <cell r="L302">
            <v>8.4165535675422357E-3</v>
          </cell>
          <cell r="M302">
            <v>1.3119464282372881E-2</v>
          </cell>
          <cell r="N302">
            <v>2.1498054961022837E-2</v>
          </cell>
          <cell r="O302">
            <v>0.21322498180312435</v>
          </cell>
        </row>
        <row r="303">
          <cell r="A303" t="str">
            <v>RHNS-SHDEM</v>
          </cell>
          <cell r="B303" t="str">
            <v>VAR_fin</v>
          </cell>
          <cell r="C303" t="str">
            <v>RHNS-SHLFO</v>
          </cell>
          <cell r="D303"/>
          <cell r="E303">
            <v>4.4849456422328801E-6</v>
          </cell>
          <cell r="F303">
            <v>4.6905750857349386E-4</v>
          </cell>
          <cell r="G303"/>
          <cell r="H303">
            <v>7.7318412397588186E-4</v>
          </cell>
          <cell r="I303">
            <v>1.3032645993521692E-4</v>
          </cell>
          <cell r="J303">
            <v>1.3780752874766244E-3</v>
          </cell>
          <cell r="K303">
            <v>1.1942408888839164E-3</v>
          </cell>
          <cell r="L303">
            <v>1.0278404765540741E-3</v>
          </cell>
          <cell r="M303">
            <v>2.9213747674790855E-3</v>
          </cell>
          <cell r="N303">
            <v>1.0548191105560292E-3</v>
          </cell>
          <cell r="O303">
            <v>0.11351504435009242</v>
          </cell>
        </row>
        <row r="304">
          <cell r="A304" t="str">
            <v>RHNS-SHDEM</v>
          </cell>
          <cell r="B304" t="str">
            <v>VAR_fin</v>
          </cell>
          <cell r="C304" t="str">
            <v>RHNS-SHNGAH</v>
          </cell>
          <cell r="D304"/>
          <cell r="E304">
            <v>3.8795281079720816E-6</v>
          </cell>
          <cell r="F304">
            <v>7.4881763499611018E-3</v>
          </cell>
          <cell r="G304">
            <v>7.2768517930181815E-3</v>
          </cell>
          <cell r="H304">
            <v>0.19432659363926127</v>
          </cell>
          <cell r="I304">
            <v>0.18815496546387458</v>
          </cell>
          <cell r="J304">
            <v>0.18678697951193077</v>
          </cell>
          <cell r="K304">
            <v>9.8037416210345237E-3</v>
          </cell>
          <cell r="L304">
            <v>1.047955465504072E-2</v>
          </cell>
          <cell r="M304">
            <v>1.4836692685381472E-2</v>
          </cell>
          <cell r="N304">
            <v>2.3058281276641269E-2</v>
          </cell>
          <cell r="O304">
            <v>0.21323923011397383</v>
          </cell>
        </row>
        <row r="305">
          <cell r="A305" t="str">
            <v>RHNS-SHDEM</v>
          </cell>
          <cell r="B305" t="str">
            <v>VAR_fin</v>
          </cell>
          <cell r="C305" t="str">
            <v>RHNS-SHCON</v>
          </cell>
          <cell r="D305"/>
          <cell r="E305"/>
          <cell r="F305">
            <v>3.8214269673711746E-4</v>
          </cell>
          <cell r="G305">
            <v>3.8687262521076463E-4</v>
          </cell>
          <cell r="H305">
            <v>5.7416211359030678E-4</v>
          </cell>
          <cell r="I305">
            <v>5.9694217504220864E-4</v>
          </cell>
          <cell r="J305">
            <v>6.0366728738425572E-4</v>
          </cell>
          <cell r="K305">
            <v>1.0852539539139025E-3</v>
          </cell>
          <cell r="L305">
            <v>1.2243112289716527E-3</v>
          </cell>
          <cell r="M305">
            <v>1.4829816700259915E-3</v>
          </cell>
          <cell r="N305">
            <v>4.613738815138186E-2</v>
          </cell>
          <cell r="O305">
            <v>1.9818895646851036</v>
          </cell>
        </row>
        <row r="306">
          <cell r="A306" t="str">
            <v>RHNS-SHDEM</v>
          </cell>
          <cell r="B306" t="str">
            <v>VAR_fin</v>
          </cell>
          <cell r="C306" t="str">
            <v>RHNS-SHWOD</v>
          </cell>
          <cell r="D306"/>
          <cell r="E306">
            <v>2.6286723849545866E-2</v>
          </cell>
          <cell r="F306">
            <v>9.1958250089251764E-2</v>
          </cell>
          <cell r="G306">
            <v>0.10109529525012916</v>
          </cell>
          <cell r="H306">
            <v>0.2229866684957785</v>
          </cell>
          <cell r="I306">
            <v>0.14717020069737652</v>
          </cell>
          <cell r="J306">
            <v>0.15608763439651244</v>
          </cell>
          <cell r="K306">
            <v>0.20736471088164185</v>
          </cell>
          <cell r="L306">
            <v>0.14919912861275486</v>
          </cell>
          <cell r="M306">
            <v>0.13124033744313998</v>
          </cell>
          <cell r="N306">
            <v>0.11682078378241791</v>
          </cell>
          <cell r="O306">
            <v>0.22241674413711957</v>
          </cell>
        </row>
        <row r="307">
          <cell r="A307" t="str">
            <v>RHNS-SHDEM</v>
          </cell>
          <cell r="B307" t="str">
            <v>VAR_fin</v>
          </cell>
          <cell r="C307" t="str">
            <v>RHNS-SHNST</v>
          </cell>
          <cell r="D307"/>
          <cell r="E307">
            <v>1.731971301325881E-4</v>
          </cell>
          <cell r="F307">
            <v>7.1172527112575105E-4</v>
          </cell>
          <cell r="G307">
            <v>1.7378280802640147E-3</v>
          </cell>
          <cell r="H307">
            <v>9.057543646833401E-4</v>
          </cell>
          <cell r="I307">
            <v>1.5673310276078777E-3</v>
          </cell>
          <cell r="J307"/>
          <cell r="L307">
            <v>1.0617943694032075E-3</v>
          </cell>
          <cell r="M307">
            <v>3.4434416758975569E-3</v>
          </cell>
          <cell r="N307">
            <v>5.2618254291652488E-3</v>
          </cell>
          <cell r="O307">
            <v>9.7392116707295199E-3</v>
          </cell>
        </row>
        <row r="308">
          <cell r="A308" t="str">
            <v>RHNS-SHDEM</v>
          </cell>
          <cell r="B308" t="str">
            <v>VAR_fin</v>
          </cell>
          <cell r="C308" t="str">
            <v>RHNS-SHPLT</v>
          </cell>
          <cell r="D308"/>
          <cell r="E308">
            <v>1.4084505905456645E-4</v>
          </cell>
          <cell r="F308">
            <v>3.3155452213395678E-3</v>
          </cell>
          <cell r="G308">
            <v>5.7311715215024829E-3</v>
          </cell>
          <cell r="H308">
            <v>6.3420291649787571E-3</v>
          </cell>
          <cell r="I308">
            <v>6.3930575579108345E-3</v>
          </cell>
          <cell r="J308">
            <v>6.9932375389550857E-3</v>
          </cell>
          <cell r="K308">
            <v>5.8087145339976807E-3</v>
          </cell>
          <cell r="L308">
            <v>7.0531715768182256E-3</v>
          </cell>
          <cell r="M308">
            <v>1.2442248023171792E-2</v>
          </cell>
          <cell r="N308">
            <v>2.1700978619600221E-2</v>
          </cell>
          <cell r="O308">
            <v>0.2120584665722117</v>
          </cell>
        </row>
        <row r="309">
          <cell r="A309" t="str">
            <v>RHNS-SHDEM</v>
          </cell>
          <cell r="B309" t="str">
            <v>VAR_fin</v>
          </cell>
          <cell r="C309" t="str">
            <v>RHNS-SHLTHD</v>
          </cell>
          <cell r="D309"/>
          <cell r="E309">
            <v>5.34708568631714E-2</v>
          </cell>
          <cell r="F309">
            <v>6.8597597170753963E-2</v>
          </cell>
          <cell r="G309">
            <v>0.10885641245154472</v>
          </cell>
          <cell r="H309">
            <v>0.17233535611532969</v>
          </cell>
          <cell r="I309">
            <v>0.24617455411315725</v>
          </cell>
          <cell r="J309">
            <v>0.33686029342432872</v>
          </cell>
          <cell r="K309">
            <v>0.44956596319008002</v>
          </cell>
          <cell r="L309">
            <v>0.46383415585896343</v>
          </cell>
          <cell r="M309">
            <v>0.46382588901925348</v>
          </cell>
          <cell r="N309">
            <v>0.45039482901638633</v>
          </cell>
          <cell r="O309">
            <v>0.32871801891274177</v>
          </cell>
        </row>
        <row r="310">
          <cell r="A310" t="str">
            <v>RHNS-SHDEM</v>
          </cell>
          <cell r="B310" t="str">
            <v>VAR_fin</v>
          </cell>
          <cell r="C310" t="str">
            <v>RHNS-SHELCB</v>
          </cell>
          <cell r="D310"/>
          <cell r="E310">
            <v>6.8531167515513344E-2</v>
          </cell>
          <cell r="F310">
            <v>7.0588829578240975E-2</v>
          </cell>
          <cell r="G310">
            <v>8.8058616488820799E-3</v>
          </cell>
          <cell r="H310">
            <v>5.7047172565346518E-3</v>
          </cell>
          <cell r="I310">
            <v>4.3314663940097441E-3</v>
          </cell>
          <cell r="J310">
            <v>5.883300837386753E-3</v>
          </cell>
          <cell r="K310">
            <v>5.7423254002836139E-3</v>
          </cell>
          <cell r="L310">
            <v>6.740257550761292E-3</v>
          </cell>
          <cell r="M310">
            <v>1.2816167485088282E-2</v>
          </cell>
          <cell r="N310">
            <v>2.1195055115193807E-2</v>
          </cell>
          <cell r="O310">
            <v>0.21244796446606456</v>
          </cell>
        </row>
        <row r="311">
          <cell r="A311" t="str">
            <v>RHNS-SHDEM</v>
          </cell>
          <cell r="B311" t="str">
            <v>VAR_fin</v>
          </cell>
          <cell r="C311" t="str">
            <v>RHNS-SHELCH</v>
          </cell>
          <cell r="D311"/>
          <cell r="E311">
            <v>0.24188372901180341</v>
          </cell>
          <cell r="F311">
            <v>0.72687271438729306</v>
          </cell>
          <cell r="G311">
            <v>1.5919993172523352</v>
          </cell>
          <cell r="H311">
            <v>1.9546045731931045</v>
          </cell>
          <cell r="I311">
            <v>2.7251765076071366</v>
          </cell>
          <cell r="J311">
            <v>3.4073644938585508</v>
          </cell>
          <cell r="K311">
            <v>4.2619075855692667</v>
          </cell>
          <cell r="L311">
            <v>4.2481937589932421</v>
          </cell>
          <cell r="M311">
            <v>4.2069308272703392</v>
          </cell>
          <cell r="N311">
            <v>4.1343365029756569</v>
          </cell>
          <cell r="O311">
            <v>0.7773585435174255</v>
          </cell>
        </row>
        <row r="312">
          <cell r="A312" t="str">
            <v>RHNS-SHDEM</v>
          </cell>
          <cell r="B312" t="str">
            <v>VAR_fin</v>
          </cell>
          <cell r="C312" t="str">
            <v>RHNS-SHSOL</v>
          </cell>
          <cell r="D312"/>
          <cell r="E312">
            <v>1.3347788633276332E-2</v>
          </cell>
          <cell r="F312">
            <v>1.4733857683058214E-2</v>
          </cell>
          <cell r="G312">
            <v>8.41394535660271E-3</v>
          </cell>
          <cell r="H312">
            <v>1.8692631059210416E-2</v>
          </cell>
          <cell r="I312">
            <v>1.9077383040667494E-2</v>
          </cell>
          <cell r="J312">
            <v>2.3815050962815713E-2</v>
          </cell>
          <cell r="K312">
            <v>3.396629854170858E-2</v>
          </cell>
          <cell r="L312">
            <v>6.0184956379004499E-3</v>
          </cell>
          <cell r="M312">
            <v>1.1759286886921126E-2</v>
          </cell>
          <cell r="N312">
            <v>2.0723628705247864E-2</v>
          </cell>
          <cell r="O312">
            <v>0.21154434982446121</v>
          </cell>
        </row>
        <row r="313">
          <cell r="A313" t="str">
            <v>RHNS-SHDEM</v>
          </cell>
          <cell r="B313" t="str">
            <v>VAR_fin</v>
          </cell>
          <cell r="C313" t="str">
            <v>RHNS-SHLTHC-NGA</v>
          </cell>
          <cell r="D313"/>
          <cell r="E313">
            <v>1.2417144461540186E-3</v>
          </cell>
          <cell r="F313">
            <v>8.0998678802390763E-3</v>
          </cell>
          <cell r="G313">
            <v>7.7185188439325486E-3</v>
          </cell>
          <cell r="H313">
            <v>8.696995780150733E-3</v>
          </cell>
          <cell r="I313">
            <v>6.261298917760086E-3</v>
          </cell>
          <cell r="J313">
            <v>1.164600723384877E-3</v>
          </cell>
          <cell r="K313">
            <v>3.6676532895468756E-4</v>
          </cell>
          <cell r="L313">
            <v>6.7772643013364253E-3</v>
          </cell>
          <cell r="M313">
            <v>1.3741251798523122E-2</v>
          </cell>
          <cell r="N313">
            <v>2.1608179052613197E-2</v>
          </cell>
          <cell r="O313">
            <v>0.21457584265949073</v>
          </cell>
        </row>
        <row r="314">
          <cell r="A314" t="str">
            <v>RHNS-SHDEM</v>
          </cell>
          <cell r="B314" t="str">
            <v>VAR_fin</v>
          </cell>
          <cell r="C314" t="str">
            <v>RHNS-SHNGA</v>
          </cell>
          <cell r="D314"/>
          <cell r="E314">
            <v>6.4795238503407351E-5</v>
          </cell>
          <cell r="F314">
            <v>6.2001461865857023E-4</v>
          </cell>
          <cell r="G314">
            <v>3.7000098664504132E-4</v>
          </cell>
          <cell r="H314">
            <v>5.8660493096390146E-4</v>
          </cell>
          <cell r="I314">
            <v>5.0896942961355465E-4</v>
          </cell>
          <cell r="J314"/>
          <cell r="L314">
            <v>9.8671968216064074E-4</v>
          </cell>
          <cell r="M314">
            <v>8.7682712658358807E-4</v>
          </cell>
          <cell r="N314">
            <v>7.1650653283010322E-3</v>
          </cell>
          <cell r="O314">
            <v>2.805525197006839E-2</v>
          </cell>
        </row>
        <row r="315">
          <cell r="A315" t="str">
            <v>RES-ELCSPEC</v>
          </cell>
          <cell r="B315" t="str">
            <v>VAR_fout</v>
          </cell>
          <cell r="C315" t="str">
            <v>RHSA-ELS</v>
          </cell>
          <cell r="D315">
            <v>44.576933838041754</v>
          </cell>
          <cell r="E315">
            <v>44.827366434609601</v>
          </cell>
          <cell r="F315">
            <v>44.633518962952948</v>
          </cell>
          <cell r="G315">
            <v>44.838300721178683</v>
          </cell>
          <cell r="H315">
            <v>45.030114443521214</v>
          </cell>
          <cell r="I315">
            <v>45.051894663256142</v>
          </cell>
          <cell r="J315">
            <v>44.873494842551352</v>
          </cell>
          <cell r="K315">
            <v>44.932116293948795</v>
          </cell>
          <cell r="L315">
            <v>45.475867480807594</v>
          </cell>
          <cell r="M315">
            <v>45.859546482696835</v>
          </cell>
          <cell r="N315">
            <v>46.272821813868887</v>
          </cell>
          <cell r="O315">
            <v>46.289005232610833</v>
          </cell>
        </row>
        <row r="316">
          <cell r="A316" t="str">
            <v>RES-ELCSPEC</v>
          </cell>
          <cell r="B316" t="str">
            <v>VAR_fin</v>
          </cell>
          <cell r="C316" t="str">
            <v>RHSA_ELC</v>
          </cell>
          <cell r="D316">
            <v>44.576933838041754</v>
          </cell>
          <cell r="E316">
            <v>44.827366434609601</v>
          </cell>
          <cell r="F316">
            <v>44.633518962952948</v>
          </cell>
          <cell r="G316">
            <v>44.838300721178683</v>
          </cell>
          <cell r="H316">
            <v>45.030114443521214</v>
          </cell>
          <cell r="I316">
            <v>45.051894663256142</v>
          </cell>
          <cell r="J316">
            <v>44.873494842551352</v>
          </cell>
          <cell r="K316">
            <v>44.932116293948795</v>
          </cell>
          <cell r="L316">
            <v>45.475867480807594</v>
          </cell>
          <cell r="M316">
            <v>45.859546482696835</v>
          </cell>
          <cell r="N316">
            <v>46.272821813868887</v>
          </cell>
          <cell r="O316">
            <v>46.289005232610833</v>
          </cell>
        </row>
        <row r="317">
          <cell r="A317" t="str">
            <v>RES-ELCSPEC</v>
          </cell>
          <cell r="B317" t="str">
            <v>VAR_ncap</v>
          </cell>
          <cell r="C317" t="str">
            <v>-</v>
          </cell>
          <cell r="D317">
            <v>0.19321422058638801</v>
          </cell>
          <cell r="E317">
            <v>1.4637925712909099E-5</v>
          </cell>
          <cell r="F317">
            <v>1.2975644720311901E-5</v>
          </cell>
          <cell r="G317">
            <v>1.6190585523703601E-5</v>
          </cell>
          <cell r="H317">
            <v>1.4441824694820099E-3</v>
          </cell>
          <cell r="I317">
            <v>2.3279878567259698E-3</v>
          </cell>
          <cell r="J317">
            <v>3.0588666738725698</v>
          </cell>
          <cell r="K317">
            <v>1.68670091775647</v>
          </cell>
          <cell r="L317">
            <v>5.7492408325864698E-2</v>
          </cell>
          <cell r="M317">
            <v>4.2033362583786101E-2</v>
          </cell>
          <cell r="N317">
            <v>0.52486678860173896</v>
          </cell>
          <cell r="O317">
            <v>2.5817420365207702</v>
          </cell>
        </row>
        <row r="318">
          <cell r="A318" t="str">
            <v>RES-ELCSPEC</v>
          </cell>
          <cell r="B318" t="str">
            <v>VAR_cap</v>
          </cell>
          <cell r="C318" t="str">
            <v>-</v>
          </cell>
          <cell r="D318">
            <v>4.7117509047168573</v>
          </cell>
          <cell r="E318">
            <v>4.7423600448337471</v>
          </cell>
          <cell r="F318">
            <v>4.7582333329810753</v>
          </cell>
          <cell r="G318">
            <v>4.7582328784691716</v>
          </cell>
          <cell r="H318">
            <v>4.7596626113435834</v>
          </cell>
          <cell r="I318">
            <v>4.7619679522168941</v>
          </cell>
          <cell r="J318">
            <v>4.7431049055958994</v>
          </cell>
          <cell r="K318">
            <v>4.7493140383761032</v>
          </cell>
          <cell r="L318">
            <v>4.8067758458845224</v>
          </cell>
          <cell r="M318">
            <v>4.8473468349476247</v>
          </cell>
          <cell r="N318">
            <v>4.8910204117593823</v>
          </cell>
          <cell r="O318">
            <v>4.8927564844592553</v>
          </cell>
        </row>
        <row r="319">
          <cell r="A319" t="str">
            <v>SCOM-SHCONBR1</v>
          </cell>
          <cell r="B319" t="str">
            <v>VAR_fout</v>
          </cell>
          <cell r="C319" t="str">
            <v>SCOM-SHCON</v>
          </cell>
          <cell r="D319"/>
          <cell r="E319">
            <v>2.6177451801968696</v>
          </cell>
          <cell r="F319">
            <v>2.6178039035731095</v>
          </cell>
          <cell r="G319">
            <v>2.6178084159555963</v>
          </cell>
          <cell r="H319">
            <v>2.6178067542704992</v>
          </cell>
          <cell r="I319">
            <v>2.6178164169355065</v>
          </cell>
          <cell r="J319">
            <v>2.6178169928525654</v>
          </cell>
          <cell r="K319">
            <v>2.617813917141568</v>
          </cell>
          <cell r="L319">
            <v>2.6178162016357063</v>
          </cell>
          <cell r="M319">
            <v>2.617814994586479</v>
          </cell>
          <cell r="N319">
            <v>2.6178149404572419</v>
          </cell>
          <cell r="O319">
            <v>2.6178088619672062</v>
          </cell>
        </row>
        <row r="320">
          <cell r="A320" t="str">
            <v>SCOM-SHCONBR1</v>
          </cell>
          <cell r="B320" t="str">
            <v>VAR_fin</v>
          </cell>
          <cell r="C320" t="str">
            <v>CON</v>
          </cell>
          <cell r="E320">
            <v>2.6177451801968696</v>
          </cell>
          <cell r="F320">
            <v>2.6178039035731095</v>
          </cell>
          <cell r="G320">
            <v>2.6178084159555963</v>
          </cell>
          <cell r="H320">
            <v>2.6178067542704992</v>
          </cell>
          <cell r="I320">
            <v>2.6178164169355065</v>
          </cell>
          <cell r="J320">
            <v>2.6178169928525654</v>
          </cell>
          <cell r="K320">
            <v>2.617813917141568</v>
          </cell>
          <cell r="L320">
            <v>2.6178162016357063</v>
          </cell>
          <cell r="M320">
            <v>2.617814994586479</v>
          </cell>
          <cell r="N320">
            <v>2.6178149404572419</v>
          </cell>
          <cell r="O320">
            <v>2.6178088619672062</v>
          </cell>
        </row>
        <row r="321">
          <cell r="A321" t="str">
            <v>SCOM-SHCONBR1</v>
          </cell>
          <cell r="B321" t="str">
            <v>VAR_ncap</v>
          </cell>
          <cell r="C321" t="str">
            <v>-</v>
          </cell>
          <cell r="D321"/>
          <cell r="E321">
            <v>0.20229934837218899</v>
          </cell>
          <cell r="F321">
            <v>1.14988100714606E-5</v>
          </cell>
          <cell r="G321">
            <v>6.2775346966706503E-6</v>
          </cell>
          <cell r="H321">
            <v>2.5835357642717901E-6</v>
          </cell>
          <cell r="I321">
            <v>1.8259504302171099E-6</v>
          </cell>
          <cell r="J321">
            <v>2.7177398386818202E-6</v>
          </cell>
          <cell r="K321">
            <v>6.5763102022728503E-2</v>
          </cell>
          <cell r="L321">
            <v>0.13656791784442401</v>
          </cell>
          <cell r="M321">
            <v>6.8543379255837903E-6</v>
          </cell>
          <cell r="N321">
            <v>5.1994195726903403E-6</v>
          </cell>
          <cell r="O321">
            <v>1.9367057140566499E-5</v>
          </cell>
        </row>
        <row r="322">
          <cell r="A322" t="str">
            <v>SCOM-SHCONBR1</v>
          </cell>
          <cell r="B322" t="str">
            <v>VAR_cap</v>
          </cell>
          <cell r="C322" t="str">
            <v>-</v>
          </cell>
          <cell r="D322"/>
          <cell r="E322">
            <v>0.20229934837218899</v>
          </cell>
          <cell r="F322">
            <v>0.2023106553061666</v>
          </cell>
          <cell r="G322">
            <v>0.2023163761388154</v>
          </cell>
          <cell r="H322">
            <v>0.20231805434836492</v>
          </cell>
          <cell r="I322">
            <v>0.20231881266823842</v>
          </cell>
          <cell r="J322">
            <v>0.20231983838801731</v>
          </cell>
          <cell r="K322">
            <v>0.20230596058764166</v>
          </cell>
          <cell r="L322">
            <v>0.20234231150608215</v>
          </cell>
          <cell r="M322">
            <v>0.20234120515923293</v>
          </cell>
          <cell r="N322">
            <v>0.20234331149996973</v>
          </cell>
          <cell r="O322">
            <v>0.20236008733497368</v>
          </cell>
        </row>
        <row r="323">
          <cell r="A323" t="str">
            <v>RHSA-WHSTG-SOL</v>
          </cell>
          <cell r="B323" t="str">
            <v>VAR_fout</v>
          </cell>
          <cell r="C323" t="str">
            <v>RHSA-WHASOL</v>
          </cell>
          <cell r="D323">
            <v>2.8617537107624772E-5</v>
          </cell>
          <cell r="E323">
            <v>1.3380810189363969E-5</v>
          </cell>
          <cell r="F323">
            <v>0.4994292015193596</v>
          </cell>
          <cell r="G323">
            <v>0.49074561951784823</v>
          </cell>
          <cell r="H323">
            <v>0.25157946196131764</v>
          </cell>
          <cell r="I323">
            <v>0.43489299214985927</v>
          </cell>
          <cell r="J323">
            <v>1.2611091041671456</v>
          </cell>
          <cell r="K323">
            <v>1.3836606208690516</v>
          </cell>
          <cell r="L323">
            <v>0.97831037290818201</v>
          </cell>
          <cell r="M323">
            <v>3.4623530364514717E-2</v>
          </cell>
          <cell r="N323">
            <v>0.65894674600335257</v>
          </cell>
          <cell r="O323">
            <v>0.64165177160820241</v>
          </cell>
        </row>
        <row r="324">
          <cell r="A324" t="str">
            <v>RHSA-WHSTG-SOL</v>
          </cell>
          <cell r="B324" t="str">
            <v>VAR_fin</v>
          </cell>
          <cell r="C324" t="str">
            <v>RHSA-WHASOL</v>
          </cell>
          <cell r="D324">
            <v>1.654004996767127E-7</v>
          </cell>
          <cell r="E324">
            <v>3.3809038838629057E-5</v>
          </cell>
          <cell r="F324">
            <v>0.4994441273378798</v>
          </cell>
          <cell r="G324">
            <v>0.49076319281436054</v>
          </cell>
          <cell r="H324">
            <v>0.25158260736616583</v>
          </cell>
          <cell r="I324">
            <v>0.43490544319271512</v>
          </cell>
          <cell r="J324">
            <v>1.2611689272683955</v>
          </cell>
          <cell r="K324">
            <v>1.3837281618892598</v>
          </cell>
          <cell r="L324">
            <v>0.97835531653232966</v>
          </cell>
          <cell r="M324">
            <v>3.4621621818598784E-2</v>
          </cell>
          <cell r="N324">
            <v>0.65897549615096307</v>
          </cell>
          <cell r="O324">
            <v>0.64167883686957716</v>
          </cell>
        </row>
        <row r="325">
          <cell r="A325" t="str">
            <v>RHSA-WHSTG-SOL</v>
          </cell>
          <cell r="B325" t="str">
            <v>VAR_ncap</v>
          </cell>
          <cell r="C325" t="str">
            <v>-</v>
          </cell>
          <cell r="D325">
            <v>1.8190992507821E-2</v>
          </cell>
          <cell r="E325">
            <v>6.00744396016515E-2</v>
          </cell>
          <cell r="F325">
            <v>2.7110599509822499E-6</v>
          </cell>
          <cell r="G325">
            <v>1.97947992398731E-5</v>
          </cell>
          <cell r="H325">
            <v>3.2603349673323602E-3</v>
          </cell>
          <cell r="I325">
            <v>6.3403135080223702E-2</v>
          </cell>
          <cell r="J325">
            <v>0.130068630895183</v>
          </cell>
          <cell r="K325">
            <v>1.8584006528568099E-2</v>
          </cell>
          <cell r="L325">
            <v>8.7109408447088501E-3</v>
          </cell>
          <cell r="M325">
            <v>1.5823243916592701E-3</v>
          </cell>
          <cell r="N325">
            <v>9.4696169522068399E-2</v>
          </cell>
          <cell r="O325">
            <v>4.1336209857550004E-3</v>
          </cell>
        </row>
        <row r="326">
          <cell r="A326" t="str">
            <v>RHSA-WHSTG-SOL</v>
          </cell>
          <cell r="B326" t="str">
            <v>VAR_cap</v>
          </cell>
          <cell r="C326" t="str">
            <v>-</v>
          </cell>
          <cell r="D326">
            <v>1.8192055060784598E-2</v>
          </cell>
          <cell r="E326">
            <v>7.8266494662436001E-2</v>
          </cell>
          <cell r="F326">
            <v>7.8269205722387006E-2</v>
          </cell>
          <cell r="G326">
            <v>7.8289000521626906E-2</v>
          </cell>
          <cell r="H326">
            <v>3.8779435209759669E-2</v>
          </cell>
          <cell r="I326">
            <v>6.6680068262696499E-2</v>
          </cell>
          <cell r="J326">
            <v>0.19673210094273899</v>
          </cell>
          <cell r="K326">
            <v>0.212055772503974</v>
          </cell>
          <cell r="L326">
            <v>0.14987222953933099</v>
          </cell>
          <cell r="M326">
            <v>2.8877271764936201E-2</v>
          </cell>
          <cell r="N326">
            <v>0.105519582233121</v>
          </cell>
          <cell r="O326">
            <v>0.100412114899483</v>
          </cell>
        </row>
        <row r="327">
          <cell r="A327" t="str">
            <v>SCOM-SHCONBR2</v>
          </cell>
          <cell r="B327" t="str">
            <v>VAR_fout</v>
          </cell>
          <cell r="C327" t="str">
            <v>SCOM-SHCON</v>
          </cell>
          <cell r="D327"/>
          <cell r="E327">
            <v>4.0771669192076283</v>
          </cell>
          <cell r="F327">
            <v>4.0772762858759322</v>
          </cell>
          <cell r="G327">
            <v>4.0772818652364533</v>
          </cell>
          <cell r="H327">
            <v>4.0772804146833979</v>
          </cell>
          <cell r="I327">
            <v>4.0772923944606259</v>
          </cell>
          <cell r="J327">
            <v>4.0772930913934946</v>
          </cell>
          <cell r="K327">
            <v>4.0772895044982622</v>
          </cell>
          <cell r="L327">
            <v>4.0772922585178923</v>
          </cell>
          <cell r="M327">
            <v>4.0772908022607828</v>
          </cell>
          <cell r="N327">
            <v>4.077290857692935</v>
          </cell>
          <cell r="O327">
            <v>4.0772842411372263</v>
          </cell>
        </row>
        <row r="328">
          <cell r="A328" t="str">
            <v>SCOM-SHCONBR2</v>
          </cell>
          <cell r="B328" t="str">
            <v>VAR_fin</v>
          </cell>
          <cell r="C328" t="str">
            <v>CON</v>
          </cell>
          <cell r="D328"/>
          <cell r="E328">
            <v>4.0771669192076283</v>
          </cell>
          <cell r="F328">
            <v>4.0772762858759322</v>
          </cell>
          <cell r="G328">
            <v>4.0772818652364533</v>
          </cell>
          <cell r="H328">
            <v>4.0772804146833979</v>
          </cell>
          <cell r="I328">
            <v>4.0772923944606259</v>
          </cell>
          <cell r="J328">
            <v>4.0772930913934946</v>
          </cell>
          <cell r="K328">
            <v>4.0772895044982622</v>
          </cell>
          <cell r="L328">
            <v>4.0772922585178923</v>
          </cell>
          <cell r="M328">
            <v>4.0772908022607828</v>
          </cell>
          <cell r="N328">
            <v>4.077290857692935</v>
          </cell>
          <cell r="O328">
            <v>4.0772842411372263</v>
          </cell>
        </row>
        <row r="329">
          <cell r="A329" t="str">
            <v>SCOM-SHCONBR2</v>
          </cell>
          <cell r="B329" t="str">
            <v>VAR_ncap</v>
          </cell>
          <cell r="C329" t="str">
            <v>-</v>
          </cell>
          <cell r="D329"/>
          <cell r="E329">
            <v>0.31507406761255902</v>
          </cell>
          <cell r="F329">
            <v>1.80599947750071E-5</v>
          </cell>
          <cell r="G329">
            <v>1.1530778313485701E-5</v>
          </cell>
          <cell r="H329">
            <v>2.74152414393455E-6</v>
          </cell>
          <cell r="I329">
            <v>1.88467477609794E-6</v>
          </cell>
          <cell r="J329">
            <v>2.7773203057319101E-6</v>
          </cell>
          <cell r="K329">
            <v>0.102428195160676</v>
          </cell>
          <cell r="L329">
            <v>0.212694039567633</v>
          </cell>
          <cell r="M329">
            <v>1.1726126522817099E-5</v>
          </cell>
          <cell r="N329">
            <v>5.7879959858320096E-6</v>
          </cell>
          <cell r="O329">
            <v>3.3314399043778598E-5</v>
          </cell>
        </row>
        <row r="330">
          <cell r="A330" t="str">
            <v>SCOM-SHCONBR2</v>
          </cell>
          <cell r="B330" t="str">
            <v>VAR_cap</v>
          </cell>
          <cell r="C330" t="str">
            <v>-</v>
          </cell>
          <cell r="D330"/>
          <cell r="E330">
            <v>0.31507406761255902</v>
          </cell>
          <cell r="F330">
            <v>0.31509194211638036</v>
          </cell>
          <cell r="G330">
            <v>0.3151029540439238</v>
          </cell>
          <cell r="H330">
            <v>0.31510486957944273</v>
          </cell>
          <cell r="I330">
            <v>0.31510574996086443</v>
          </cell>
          <cell r="J330">
            <v>0.31510690854950096</v>
          </cell>
          <cell r="K330">
            <v>0.31509080161132152</v>
          </cell>
          <cell r="L330">
            <v>0.31513961888643449</v>
          </cell>
          <cell r="M330">
            <v>0.31513760974892602</v>
          </cell>
          <cell r="N330">
            <v>0.3151402108240875</v>
          </cell>
          <cell r="O330">
            <v>0.31517092445805561</v>
          </cell>
        </row>
        <row r="331">
          <cell r="A331" t="str">
            <v>SCOM-SHCONBR3</v>
          </cell>
          <cell r="B331" t="str">
            <v>VAR_fout</v>
          </cell>
          <cell r="C331" t="str">
            <v>SCOM-SHCON</v>
          </cell>
          <cell r="D331"/>
          <cell r="E331">
            <v>2.4105581067197157</v>
          </cell>
          <cell r="F331">
            <v>3.2762172126748474</v>
          </cell>
          <cell r="G331">
            <v>3.2762221780764009</v>
          </cell>
          <cell r="H331">
            <v>3.276197724869311</v>
          </cell>
          <cell r="I331">
            <v>3.2762549462951811</v>
          </cell>
          <cell r="J331">
            <v>3.2762578600275556</v>
          </cell>
          <cell r="K331">
            <v>3.2762524481869706</v>
          </cell>
          <cell r="L331">
            <v>3.2762568470126068</v>
          </cell>
          <cell r="M331">
            <v>3.27625367750302</v>
          </cell>
          <cell r="N331">
            <v>3.2762539684790908</v>
          </cell>
          <cell r="O331">
            <v>3.2762428338153842</v>
          </cell>
        </row>
        <row r="332">
          <cell r="A332" t="str">
            <v>SCOM-SHCONBR3</v>
          </cell>
          <cell r="B332" t="str">
            <v>VAR_fin</v>
          </cell>
          <cell r="C332" t="str">
            <v>CON</v>
          </cell>
          <cell r="D332"/>
          <cell r="E332">
            <v>2.4105581067197157</v>
          </cell>
          <cell r="F332">
            <v>3.2762172126748474</v>
          </cell>
          <cell r="G332">
            <v>3.2762221780764009</v>
          </cell>
          <cell r="H332">
            <v>3.276197724869311</v>
          </cell>
          <cell r="I332">
            <v>3.2762549462951811</v>
          </cell>
          <cell r="J332">
            <v>3.2762578600275556</v>
          </cell>
          <cell r="K332">
            <v>3.2762524481869706</v>
          </cell>
          <cell r="L332">
            <v>3.2762568470126068</v>
          </cell>
          <cell r="M332">
            <v>3.27625367750302</v>
          </cell>
          <cell r="N332">
            <v>3.2762539684790908</v>
          </cell>
          <cell r="O332">
            <v>3.2762428338153842</v>
          </cell>
        </row>
        <row r="333">
          <cell r="A333" t="str">
            <v>SCOM-SHCONBR3</v>
          </cell>
          <cell r="B333" t="str">
            <v>VAR_ncap</v>
          </cell>
          <cell r="C333" t="str">
            <v>-</v>
          </cell>
          <cell r="D333"/>
          <cell r="E333">
            <v>0.186285695300629</v>
          </cell>
          <cell r="F333">
            <v>6.6893521384499305E-2</v>
          </cell>
          <cell r="G333">
            <v>1.041469578214E-5</v>
          </cell>
          <cell r="H333">
            <v>2.3546220004452599E-6</v>
          </cell>
          <cell r="I333">
            <v>1.8260096037671399E-6</v>
          </cell>
          <cell r="J333">
            <v>2.2688054766767202E-6</v>
          </cell>
          <cell r="K333">
            <v>6.0562456268374698E-2</v>
          </cell>
          <cell r="L333">
            <v>0.17232437716604301</v>
          </cell>
          <cell r="M333">
            <v>2.0307160747924501E-2</v>
          </cell>
          <cell r="N333">
            <v>5.92622803382245E-6</v>
          </cell>
          <cell r="O333">
            <v>2.6406847464603099E-5</v>
          </cell>
        </row>
        <row r="334">
          <cell r="A334" t="str">
            <v>SCOM-SHCONBR3</v>
          </cell>
          <cell r="B334" t="str">
            <v>VAR_cap</v>
          </cell>
          <cell r="C334" t="str">
            <v>-</v>
          </cell>
          <cell r="D334"/>
          <cell r="E334">
            <v>0.186285695300629</v>
          </cell>
          <cell r="F334">
            <v>0.25317907686630015</v>
          </cell>
          <cell r="G334">
            <v>0.25318915219963989</v>
          </cell>
          <cell r="H334">
            <v>0.25319102804744364</v>
          </cell>
          <cell r="I334">
            <v>0.25319232525349583</v>
          </cell>
          <cell r="J334">
            <v>0.25319360061809448</v>
          </cell>
          <cell r="K334">
            <v>0.2531860831966844</v>
          </cell>
          <cell r="L334">
            <v>0.25320429881408185</v>
          </cell>
          <cell r="M334">
            <v>0.25319790083491778</v>
          </cell>
          <cell r="N334">
            <v>0.25320111938054096</v>
          </cell>
          <cell r="O334">
            <v>0.2532253208874134</v>
          </cell>
        </row>
        <row r="335">
          <cell r="A335" t="str">
            <v>SCOM-SHCONBR4</v>
          </cell>
          <cell r="B335" t="str">
            <v>VAR_fout</v>
          </cell>
          <cell r="C335" t="str">
            <v>SCOM-SHCON</v>
          </cell>
          <cell r="D335"/>
          <cell r="E335">
            <v>4.6425505507395725E-3</v>
          </cell>
          <cell r="F335">
            <v>3.6024535595613387</v>
          </cell>
          <cell r="G335">
            <v>3.6024875582283435</v>
          </cell>
          <cell r="H335">
            <v>3.6024384834643639</v>
          </cell>
          <cell r="I335">
            <v>3.6025761514849202</v>
          </cell>
          <cell r="J335">
            <v>3.6025865324036297</v>
          </cell>
          <cell r="K335">
            <v>3.6025771394166299</v>
          </cell>
          <cell r="L335">
            <v>3.6025854369086865</v>
          </cell>
          <cell r="M335">
            <v>3.6025811096816032</v>
          </cell>
          <cell r="N335">
            <v>3.6025801987289667</v>
          </cell>
          <cell r="O335">
            <v>3.6025526651537452</v>
          </cell>
        </row>
        <row r="336">
          <cell r="A336" t="str">
            <v>SCOM-SHCONBR4</v>
          </cell>
          <cell r="B336" t="str">
            <v>VAR_fin</v>
          </cell>
          <cell r="C336" t="str">
            <v>CON</v>
          </cell>
          <cell r="D336"/>
          <cell r="E336">
            <v>4.6425505507395725E-3</v>
          </cell>
          <cell r="F336">
            <v>3.6024535595613387</v>
          </cell>
          <cell r="G336">
            <v>3.6024875582283435</v>
          </cell>
          <cell r="H336">
            <v>3.6024384834643639</v>
          </cell>
          <cell r="I336">
            <v>3.6025761514849202</v>
          </cell>
          <cell r="J336">
            <v>3.6025865324036297</v>
          </cell>
          <cell r="K336">
            <v>3.6025771394166299</v>
          </cell>
          <cell r="L336">
            <v>3.6025854369086865</v>
          </cell>
          <cell r="M336">
            <v>3.6025811096816032</v>
          </cell>
          <cell r="N336">
            <v>3.6025801987289667</v>
          </cell>
          <cell r="O336">
            <v>3.6025526651537452</v>
          </cell>
        </row>
        <row r="337">
          <cell r="A337" t="str">
            <v>SCOM-SHCONBR4</v>
          </cell>
          <cell r="B337" t="str">
            <v>VAR_ncap</v>
          </cell>
          <cell r="C337" t="str">
            <v>-</v>
          </cell>
          <cell r="D337"/>
          <cell r="E337">
            <v>3.5676287060456001E-4</v>
          </cell>
          <cell r="F337">
            <v>0.27802805464424701</v>
          </cell>
          <cell r="G337">
            <v>1.46780042071253E-5</v>
          </cell>
          <cell r="H337">
            <v>2.61443361264911E-6</v>
          </cell>
          <cell r="I337">
            <v>2.96907202888772E-6</v>
          </cell>
          <cell r="J337">
            <v>2.9430404326313201E-6</v>
          </cell>
          <cell r="K337">
            <v>1.12971369324222E-4</v>
          </cell>
          <cell r="L337">
            <v>0.193885745954014</v>
          </cell>
          <cell r="M337">
            <v>8.4402794692327601E-2</v>
          </cell>
          <cell r="N337">
            <v>5.25876872787776E-6</v>
          </cell>
          <cell r="O337">
            <v>2.4735279912301599E-5</v>
          </cell>
        </row>
        <row r="338">
          <cell r="A338" t="str">
            <v>SCOM-SHCONBR4</v>
          </cell>
          <cell r="B338" t="str">
            <v>VAR_cap</v>
          </cell>
          <cell r="C338" t="str">
            <v>-</v>
          </cell>
          <cell r="D338"/>
          <cell r="E338">
            <v>3.5676287060456001E-4</v>
          </cell>
          <cell r="F338">
            <v>0.27838469304080632</v>
          </cell>
          <cell r="G338">
            <v>0.27839908169338062</v>
          </cell>
          <cell r="H338">
            <v>0.27840133029560238</v>
          </cell>
          <cell r="I338">
            <v>0.27840394476784414</v>
          </cell>
          <cell r="J338">
            <v>0.27840620122890769</v>
          </cell>
          <cell r="K338">
            <v>0.27840178313329583</v>
          </cell>
          <cell r="L338">
            <v>0.27841399478822387</v>
          </cell>
          <cell r="M338">
            <v>0.27840785617298469</v>
          </cell>
          <cell r="N338">
            <v>0.27841002990714314</v>
          </cell>
          <cell r="O338">
            <v>0.27843169208181578</v>
          </cell>
        </row>
        <row r="339">
          <cell r="A339" t="str">
            <v>RHEM-SHNGABR</v>
          </cell>
          <cell r="B339" t="str">
            <v>VAR_fout</v>
          </cell>
          <cell r="C339" t="str">
            <v>CO2_R</v>
          </cell>
          <cell r="D339">
            <v>1127.9646506962899</v>
          </cell>
          <cell r="E339">
            <v>1119.6017901082801</v>
          </cell>
          <cell r="F339">
            <v>1149.35953924522</v>
          </cell>
          <cell r="G339">
            <v>1149.3477540505301</v>
          </cell>
          <cell r="H339">
            <v>1040.34065343682</v>
          </cell>
          <cell r="I339">
            <v>707.26044613314502</v>
          </cell>
          <cell r="J339">
            <v>352.90964109729498</v>
          </cell>
          <cell r="K339">
            <v>309.81482087817301</v>
          </cell>
          <cell r="L339">
            <v>290.79394695688001</v>
          </cell>
          <cell r="M339">
            <v>285.10754613767398</v>
          </cell>
          <cell r="N339">
            <v>285.10722427853301</v>
          </cell>
          <cell r="O339">
            <v>252.07161234405999</v>
          </cell>
        </row>
        <row r="340">
          <cell r="A340" t="str">
            <v>RHEM-SHNGABR</v>
          </cell>
          <cell r="B340" t="str">
            <v>VAR_fout</v>
          </cell>
          <cell r="C340" t="str">
            <v>RHEM-SHNGA</v>
          </cell>
          <cell r="D340">
            <v>18.999404577331084</v>
          </cell>
          <cell r="E340">
            <v>18.858540790830983</v>
          </cell>
          <cell r="F340">
            <v>19.359779473102055</v>
          </cell>
          <cell r="G340">
            <v>19.359580963617105</v>
          </cell>
          <cell r="H340">
            <v>17.523468453279712</v>
          </cell>
          <cell r="I340">
            <v>11.913074890540562</v>
          </cell>
          <cell r="J340">
            <v>5.9443999830218077</v>
          </cell>
          <cell r="K340">
            <v>5.2185120537990093</v>
          </cell>
          <cell r="L340">
            <v>4.8981249930680164</v>
          </cell>
          <cell r="M340">
            <v>4.8023434189856431</v>
          </cell>
          <cell r="N340">
            <v>4.8023379975993992</v>
          </cell>
          <cell r="O340">
            <v>4.2458870873556211</v>
          </cell>
        </row>
        <row r="341">
          <cell r="A341" t="str">
            <v>RHEM-SHNGABR</v>
          </cell>
          <cell r="B341" t="str">
            <v>VAR_fin</v>
          </cell>
          <cell r="C341" t="str">
            <v>RNGA</v>
          </cell>
          <cell r="D341">
            <v>19.999373239295871</v>
          </cell>
          <cell r="E341">
            <v>19.851095569295765</v>
          </cell>
          <cell r="F341">
            <v>20.378715234844254</v>
          </cell>
          <cell r="G341">
            <v>20.378506277491709</v>
          </cell>
          <cell r="H341">
            <v>18.445756266610228</v>
          </cell>
          <cell r="I341">
            <v>12.540078832147961</v>
          </cell>
          <cell r="J341">
            <v>6.2572631400229515</v>
          </cell>
          <cell r="K341">
            <v>5.4931705829463278</v>
          </cell>
          <cell r="L341">
            <v>5.1559210453347486</v>
          </cell>
          <cell r="M341">
            <v>5.0550983357743622</v>
          </cell>
          <cell r="N341">
            <v>5.0550926290519964</v>
          </cell>
          <cell r="O341">
            <v>4.4693548287953924</v>
          </cell>
        </row>
        <row r="342">
          <cell r="A342" t="str">
            <v>RHEM-SHNGABR</v>
          </cell>
          <cell r="B342" t="str">
            <v>VAR_ncap</v>
          </cell>
          <cell r="C342" t="str">
            <v>-</v>
          </cell>
          <cell r="D342"/>
          <cell r="E342">
            <v>6.8322471496762197E-6</v>
          </cell>
          <cell r="F342">
            <v>6.0106262931283398E-2</v>
          </cell>
          <cell r="G342">
            <v>8.8133681191286204E-5</v>
          </cell>
          <cell r="H342">
            <v>0.83095175555424605</v>
          </cell>
          <cell r="I342">
            <v>5.7854379164175702E-5</v>
          </cell>
          <cell r="J342">
            <v>7.2991285059577398E-6</v>
          </cell>
          <cell r="K342">
            <v>0.37632217497698101</v>
          </cell>
          <cell r="L342">
            <v>1.73056758335766E-5</v>
          </cell>
          <cell r="M342">
            <v>2.6141355685244901E-5</v>
          </cell>
          <cell r="N342">
            <v>0.30064275903072302</v>
          </cell>
          <cell r="O342">
            <v>2.43196224382644E-4</v>
          </cell>
        </row>
        <row r="343">
          <cell r="A343" t="str">
            <v>RHEM-SHNGABR</v>
          </cell>
          <cell r="B343" t="str">
            <v>VAR_cap</v>
          </cell>
          <cell r="C343" t="str">
            <v>-</v>
          </cell>
          <cell r="D343">
            <v>1.34683498965227</v>
          </cell>
          <cell r="E343">
            <v>1.3468407575642352</v>
          </cell>
          <cell r="F343">
            <v>1.4069446719944787</v>
          </cell>
          <cell r="G343">
            <v>1.407022686118452</v>
          </cell>
          <cell r="H343">
            <v>1.2404212828159558</v>
          </cell>
          <cell r="I343">
            <v>0.84369444158856466</v>
          </cell>
          <cell r="J343">
            <v>0.48546922516597207</v>
          </cell>
          <cell r="K343">
            <v>0.37637748838197055</v>
          </cell>
          <cell r="L343">
            <v>0.37634246867777826</v>
          </cell>
          <cell r="M343">
            <v>0.37634410771472032</v>
          </cell>
          <cell r="N343">
            <v>0.36731874840063244</v>
          </cell>
          <cell r="O343">
            <v>0.30090079631488303</v>
          </cell>
        </row>
        <row r="344">
          <cell r="A344" t="str">
            <v>RHNS-SHCONBR1</v>
          </cell>
          <cell r="B344" t="str">
            <v>VAR_ncap</v>
          </cell>
          <cell r="C344" t="str">
            <v>-</v>
          </cell>
          <cell r="D344"/>
          <cell r="F344">
            <v>6.4851428965488196E-8</v>
          </cell>
          <cell r="G344">
            <v>7.3406948988962595E-8</v>
          </cell>
          <cell r="H344">
            <v>8.7844046244402195E-8</v>
          </cell>
          <cell r="I344"/>
          <cell r="J344"/>
        </row>
        <row r="345">
          <cell r="A345" t="str">
            <v>RHNS-SHCONBR1</v>
          </cell>
          <cell r="B345" t="str">
            <v>VAR_cap</v>
          </cell>
          <cell r="C345" t="str">
            <v>-</v>
          </cell>
          <cell r="D345"/>
          <cell r="F345">
            <v>6.4851428965488196E-8</v>
          </cell>
          <cell r="G345">
            <v>1.38258377954451E-7</v>
          </cell>
          <cell r="H345">
            <v>2.26102424198853E-7</v>
          </cell>
          <cell r="I345">
            <v>2.26102424198853E-7</v>
          </cell>
          <cell r="J345">
            <v>2.26102424198853E-7</v>
          </cell>
          <cell r="K345">
            <v>2.26102424198853E-7</v>
          </cell>
          <cell r="L345">
            <v>1.6124200458434201E-7</v>
          </cell>
          <cell r="M345">
            <v>8.7844046244402195E-8</v>
          </cell>
          <cell r="N345">
            <v>1.5559106417842899E-8</v>
          </cell>
        </row>
        <row r="346">
          <cell r="A346" t="str">
            <v>SCOM-SHCONBR5</v>
          </cell>
          <cell r="B346" t="str">
            <v>VAR_fout</v>
          </cell>
          <cell r="C346" t="str">
            <v>SCOM-SHCON</v>
          </cell>
          <cell r="D346"/>
          <cell r="E346">
            <v>3.5243423868485495E-3</v>
          </cell>
          <cell r="F346">
            <v>3.9963348698462826</v>
          </cell>
          <cell r="G346">
            <v>3.9966816870086466</v>
          </cell>
          <cell r="H346">
            <v>3.9966267003916562</v>
          </cell>
          <cell r="I346">
            <v>3.9968063032435373</v>
          </cell>
          <cell r="J346">
            <v>3.9968240614523425</v>
          </cell>
          <cell r="K346">
            <v>3.996810762176878</v>
          </cell>
          <cell r="L346">
            <v>3.9968233328404472</v>
          </cell>
          <cell r="M346">
            <v>3.9968180208890836</v>
          </cell>
          <cell r="N346">
            <v>3.9968156107765926</v>
          </cell>
          <cell r="O346">
            <v>3.9967668902899147</v>
          </cell>
        </row>
        <row r="347">
          <cell r="A347" t="str">
            <v>SCOM-SHCONBR5</v>
          </cell>
          <cell r="B347" t="str">
            <v>VAR_fin</v>
          </cell>
          <cell r="C347" t="str">
            <v>CON</v>
          </cell>
          <cell r="D347"/>
          <cell r="E347">
            <v>3.5243423868485495E-3</v>
          </cell>
          <cell r="F347">
            <v>3.9963348698462826</v>
          </cell>
          <cell r="G347">
            <v>3.9966816870086466</v>
          </cell>
          <cell r="H347">
            <v>3.9966267003916562</v>
          </cell>
          <cell r="I347">
            <v>3.9968063032435373</v>
          </cell>
          <cell r="J347">
            <v>3.9968240614523425</v>
          </cell>
          <cell r="K347">
            <v>3.996810762176878</v>
          </cell>
          <cell r="L347">
            <v>3.9968233328404472</v>
          </cell>
          <cell r="M347">
            <v>3.9968180208890836</v>
          </cell>
          <cell r="N347">
            <v>3.9968156107765926</v>
          </cell>
          <cell r="O347">
            <v>3.9967668902899147</v>
          </cell>
        </row>
        <row r="348">
          <cell r="A348" t="str">
            <v>SCOM-SHCONBR5</v>
          </cell>
          <cell r="B348" t="str">
            <v>VAR_ncap</v>
          </cell>
          <cell r="C348" t="str">
            <v>-</v>
          </cell>
          <cell r="D348"/>
          <cell r="E348">
            <v>2.7031225856207099E-4</v>
          </cell>
          <cell r="F348">
            <v>0.30854951278039999</v>
          </cell>
          <cell r="G348">
            <v>4.1269462619737197E-5</v>
          </cell>
          <cell r="H348">
            <v>2.7188361660810799E-6</v>
          </cell>
          <cell r="I348">
            <v>4.15104658525275E-6</v>
          </cell>
          <cell r="J348">
            <v>3.7486199656803101E-6</v>
          </cell>
          <cell r="K348">
            <v>8.5510243457333896E-5</v>
          </cell>
          <cell r="L348">
            <v>0.21509034152158499</v>
          </cell>
          <cell r="M348">
            <v>9.3686126904899802E-2</v>
          </cell>
          <cell r="N348">
            <v>5.3316802784868897E-6</v>
          </cell>
          <cell r="O348">
            <v>2.5159580819446101E-5</v>
          </cell>
        </row>
        <row r="349">
          <cell r="A349" t="str">
            <v>SCOM-SHCONBR5</v>
          </cell>
          <cell r="B349" t="str">
            <v>VAR_cap</v>
          </cell>
          <cell r="C349" t="str">
            <v>-</v>
          </cell>
          <cell r="D349"/>
          <cell r="E349">
            <v>2.7031225856207099E-4</v>
          </cell>
          <cell r="F349">
            <v>0.30881970522080132</v>
          </cell>
          <cell r="G349">
            <v>0.30886069172614977</v>
          </cell>
          <cell r="H349">
            <v>0.30886306774235606</v>
          </cell>
          <cell r="I349">
            <v>0.30886690066669609</v>
          </cell>
          <cell r="J349">
            <v>0.30887004146962471</v>
          </cell>
          <cell r="K349">
            <v>0.30886631295330524</v>
          </cell>
          <cell r="L349">
            <v>0.30887790999416742</v>
          </cell>
          <cell r="M349">
            <v>0.30887050009402373</v>
          </cell>
          <cell r="N349">
            <v>0.30887247624011671</v>
          </cell>
          <cell r="O349">
            <v>0.30889356667708079</v>
          </cell>
        </row>
        <row r="350">
          <cell r="A350" t="str">
            <v>RHES-SHSTG-ELCHP</v>
          </cell>
          <cell r="B350" t="str">
            <v>VAR_fout</v>
          </cell>
          <cell r="C350" t="str">
            <v>RHES-SHAELCH</v>
          </cell>
          <cell r="D350">
            <v>2.5255806921872282E-7</v>
          </cell>
          <cell r="E350">
            <v>1.943531868352655E-7</v>
          </cell>
          <cell r="F350">
            <v>1.5033714509862728</v>
          </cell>
          <cell r="G350">
            <v>1.7214142365554506</v>
          </cell>
          <cell r="H350">
            <v>3.1628929787375863</v>
          </cell>
          <cell r="I350">
            <v>3.6975555069357391</v>
          </cell>
          <cell r="J350">
            <v>3.7943950123085473</v>
          </cell>
          <cell r="K350">
            <v>4.325794536211566</v>
          </cell>
          <cell r="L350">
            <v>4.1973886694005369</v>
          </cell>
          <cell r="M350">
            <v>3.802406916651806</v>
          </cell>
          <cell r="N350">
            <v>3.80797923462901</v>
          </cell>
          <cell r="O350">
            <v>3.9240218460083223</v>
          </cell>
        </row>
        <row r="351">
          <cell r="A351" t="str">
            <v>RHES-SHSTG-ELCHP</v>
          </cell>
          <cell r="B351" t="str">
            <v>VAR_fin</v>
          </cell>
          <cell r="C351" t="str">
            <v>RHES-SHAELCH</v>
          </cell>
          <cell r="D351">
            <v>1.7431013394554866E-6</v>
          </cell>
          <cell r="E351">
            <v>1.6835597368719987E-6</v>
          </cell>
          <cell r="F351">
            <v>1.5034817887845704</v>
          </cell>
          <cell r="G351">
            <v>1.7215476948055839</v>
          </cell>
          <cell r="H351">
            <v>3.163064046138369</v>
          </cell>
          <cell r="I351">
            <v>3.6977668566217443</v>
          </cell>
          <cell r="J351">
            <v>3.7946029738005835</v>
          </cell>
          <cell r="K351">
            <v>4.3260313352968529</v>
          </cell>
          <cell r="L351">
            <v>4.1976171179468782</v>
          </cell>
          <cell r="M351">
            <v>3.8026393846215076</v>
          </cell>
          <cell r="N351">
            <v>3.8082105308463552</v>
          </cell>
          <cell r="O351">
            <v>3.9242738187177024</v>
          </cell>
        </row>
        <row r="352">
          <cell r="A352" t="str">
            <v>RHES-SHSTG-ELCHP</v>
          </cell>
          <cell r="B352" t="str">
            <v>VAR_ncap</v>
          </cell>
          <cell r="C352" t="str">
            <v>-</v>
          </cell>
          <cell r="D352">
            <v>1.84613998098631E-2</v>
          </cell>
          <cell r="E352">
            <v>0.12811959403145901</v>
          </cell>
          <cell r="F352">
            <v>1.43210798404692E-4</v>
          </cell>
          <cell r="G352">
            <v>3.7738114514230599E-2</v>
          </cell>
          <cell r="H352">
            <v>0.182653755408621</v>
          </cell>
          <cell r="I352">
            <v>0.17285953422457401</v>
          </cell>
          <cell r="J352">
            <v>3.0809304185344499E-2</v>
          </cell>
          <cell r="K352">
            <v>0.24089287780455901</v>
          </cell>
          <cell r="L352">
            <v>0.14746393770254901</v>
          </cell>
          <cell r="M352">
            <v>5.3426104543982902E-2</v>
          </cell>
          <cell r="N352">
            <v>0.24627489855488499</v>
          </cell>
          <cell r="O352">
            <v>0.142081510534873</v>
          </cell>
        </row>
        <row r="353">
          <cell r="A353" t="str">
            <v>RHES-SHSTG-ELCHP</v>
          </cell>
          <cell r="B353" t="str">
            <v>VAR_cap</v>
          </cell>
          <cell r="C353" t="str">
            <v>-</v>
          </cell>
          <cell r="D353">
            <v>1.84613998098631E-2</v>
          </cell>
          <cell r="E353">
            <v>0.14650018721389355</v>
          </cell>
          <cell r="F353">
            <v>0.14651634101195157</v>
          </cell>
          <cell r="G353">
            <v>0.1841917685069879</v>
          </cell>
          <cell r="H353">
            <v>0.29060896027578897</v>
          </cell>
          <cell r="I353">
            <v>0.38593427335881031</v>
          </cell>
          <cell r="J353">
            <v>0.38612515791716312</v>
          </cell>
          <cell r="K353">
            <v>0.44409849629144804</v>
          </cell>
          <cell r="L353">
            <v>0.44091793993378942</v>
          </cell>
          <cell r="M353">
            <v>0.440899965123556</v>
          </cell>
          <cell r="N353">
            <v>0.44194107455599763</v>
          </cell>
          <cell r="O353">
            <v>0.44092863615922517</v>
          </cell>
        </row>
        <row r="354">
          <cell r="A354" t="str">
            <v>SCOM-SHCONBR6</v>
          </cell>
          <cell r="B354" t="str">
            <v>VAR_fout</v>
          </cell>
          <cell r="C354" t="str">
            <v>SCOM-SHCON</v>
          </cell>
          <cell r="D354"/>
          <cell r="E354">
            <v>1.9852085559109011E-3</v>
          </cell>
          <cell r="F354">
            <v>8.6558680709528824E-2</v>
          </cell>
          <cell r="G354">
            <v>0.30290924711105743</v>
          </cell>
          <cell r="H354">
            <v>0.30293177157688345</v>
          </cell>
          <cell r="I354">
            <v>0.30554641236411495</v>
          </cell>
          <cell r="J354">
            <v>3.6273306723249008</v>
          </cell>
          <cell r="K354">
            <v>3.8574710948623858</v>
          </cell>
          <cell r="L354">
            <v>3.857485352006135</v>
          </cell>
          <cell r="M354">
            <v>3.8574747728376333</v>
          </cell>
          <cell r="N354">
            <v>3.8573851707836266</v>
          </cell>
          <cell r="O354">
            <v>3.8549574251000363</v>
          </cell>
        </row>
        <row r="355">
          <cell r="A355" t="str">
            <v>SCOM-SHCONBR6</v>
          </cell>
          <cell r="B355" t="str">
            <v>VAR_fin</v>
          </cell>
          <cell r="C355" t="str">
            <v>CON</v>
          </cell>
          <cell r="D355"/>
          <cell r="E355">
            <v>1.9852085559109011E-3</v>
          </cell>
          <cell r="F355">
            <v>8.6558680709528824E-2</v>
          </cell>
          <cell r="G355">
            <v>0.30290924711105743</v>
          </cell>
          <cell r="H355">
            <v>0.30293177157688345</v>
          </cell>
          <cell r="I355">
            <v>0.30554641236411495</v>
          </cell>
          <cell r="J355">
            <v>3.6273306723249008</v>
          </cell>
          <cell r="K355">
            <v>3.8574710948623858</v>
          </cell>
          <cell r="L355">
            <v>3.857485352006135</v>
          </cell>
          <cell r="M355">
            <v>3.8574747728376333</v>
          </cell>
          <cell r="N355">
            <v>3.8573851707836266</v>
          </cell>
          <cell r="O355">
            <v>3.8549574251000363</v>
          </cell>
        </row>
        <row r="356">
          <cell r="A356" t="str">
            <v>SCOM-SHCONBR6</v>
          </cell>
          <cell r="B356" t="str">
            <v>VAR_ncap</v>
          </cell>
          <cell r="C356" t="str">
            <v>-</v>
          </cell>
          <cell r="D356"/>
          <cell r="E356">
            <v>1.51311257903711E-4</v>
          </cell>
          <cell r="F356">
            <v>6.5378127004168196E-3</v>
          </cell>
          <cell r="G356">
            <v>1.6723031648853401E-2</v>
          </cell>
          <cell r="H356">
            <v>2.8274213870432101E-6</v>
          </cell>
          <cell r="I356">
            <v>2.0015579756487499E-4</v>
          </cell>
          <cell r="J356">
            <v>0.25669322641327402</v>
          </cell>
          <cell r="K356">
            <v>1.7839599886920798E-2</v>
          </cell>
          <cell r="L356">
            <v>9.1487567237745707E-3</v>
          </cell>
          <cell r="M356">
            <v>1.42180950617854E-2</v>
          </cell>
          <cell r="N356">
            <v>2.2834309617643801E-5</v>
          </cell>
          <cell r="O356">
            <v>8.9759252034125804E-6</v>
          </cell>
        </row>
        <row r="357">
          <cell r="A357" t="str">
            <v>SCOM-SHCONBR6</v>
          </cell>
          <cell r="B357" t="str">
            <v>VAR_cap</v>
          </cell>
          <cell r="C357" t="str">
            <v>-</v>
          </cell>
          <cell r="D357"/>
          <cell r="E357">
            <v>1.51311257903711E-4</v>
          </cell>
          <cell r="F357">
            <v>6.6890141137480076E-3</v>
          </cell>
          <cell r="G357">
            <v>2.3411794978461679E-2</v>
          </cell>
          <cell r="H357">
            <v>2.3414335829590596E-2</v>
          </cell>
          <cell r="I357">
            <v>2.3614251205192345E-2</v>
          </cell>
          <cell r="J357">
            <v>0.280307036456311</v>
          </cell>
          <cell r="K357">
            <v>0.29809622511218198</v>
          </cell>
          <cell r="L357">
            <v>0.29810350122803486</v>
          </cell>
          <cell r="M357">
            <v>0.29810080727129318</v>
          </cell>
          <cell r="N357">
            <v>0.29808959875620539</v>
          </cell>
          <cell r="O357">
            <v>0.29792913144682764</v>
          </cell>
        </row>
        <row r="358">
          <cell r="A358" t="str">
            <v>RHNM-SHDEM</v>
          </cell>
          <cell r="B358" t="str">
            <v>VAR_fout</v>
          </cell>
          <cell r="C358" t="str">
            <v>RHNM-SHD</v>
          </cell>
          <cell r="E358">
            <v>1.2080578110777898</v>
          </cell>
          <cell r="F358">
            <v>2.8025049217268294</v>
          </cell>
          <cell r="G358">
            <v>5.1042307618571909</v>
          </cell>
          <cell r="H358">
            <v>7.1934634103047488</v>
          </cell>
          <cell r="I358">
            <v>8.8969416294061237</v>
          </cell>
          <cell r="J358">
            <v>10.284794376888298</v>
          </cell>
          <cell r="K358">
            <v>11.568474406511099</v>
          </cell>
          <cell r="L358">
            <v>12.515511464951903</v>
          </cell>
          <cell r="M358">
            <v>13.591742775948493</v>
          </cell>
          <cell r="N358">
            <v>13.595964469620199</v>
          </cell>
          <cell r="O358">
            <v>13.595270877560104</v>
          </cell>
        </row>
        <row r="359">
          <cell r="A359" t="str">
            <v>RHNM-SHDEM</v>
          </cell>
          <cell r="B359" t="str">
            <v>VAR_fin</v>
          </cell>
          <cell r="C359" t="str">
            <v>RHNM-SHLFO</v>
          </cell>
          <cell r="D359"/>
          <cell r="E359">
            <v>1.152437357961949E-5</v>
          </cell>
          <cell r="F359">
            <v>7.4834171590063578E-4</v>
          </cell>
          <cell r="G359">
            <v>1.4515378357698627E-3</v>
          </cell>
          <cell r="H359">
            <v>1.0304905351424046E-3</v>
          </cell>
          <cell r="I359">
            <v>4.8935941825429576E-4</v>
          </cell>
          <cell r="J359"/>
          <cell r="K359"/>
          <cell r="L359">
            <v>9.50727894054647E-4</v>
          </cell>
          <cell r="M359">
            <v>6.9143954649541291E-4</v>
          </cell>
          <cell r="O359">
            <v>9.3010011671680326E-2</v>
          </cell>
        </row>
        <row r="360">
          <cell r="A360" t="str">
            <v>RHNM-SHDEM</v>
          </cell>
          <cell r="B360" t="str">
            <v>VAR_fin</v>
          </cell>
          <cell r="C360" t="str">
            <v>RHNM-SHLTHD</v>
          </cell>
          <cell r="D360"/>
          <cell r="E360">
            <v>0.34598341272635458</v>
          </cell>
          <cell r="F360">
            <v>0.37375061792598724</v>
          </cell>
          <cell r="G360">
            <v>0.43428073186666594</v>
          </cell>
          <cell r="H360">
            <v>0.50517637560125062</v>
          </cell>
          <cell r="I360">
            <v>0.58595061129487613</v>
          </cell>
          <cell r="J360">
            <v>0.6790592036784977</v>
          </cell>
          <cell r="K360">
            <v>0.78067859703170073</v>
          </cell>
          <cell r="L360">
            <v>0.91115420822488213</v>
          </cell>
          <cell r="M360">
            <v>1.0611440300046959</v>
          </cell>
          <cell r="N360">
            <v>1.1788096633489298</v>
          </cell>
          <cell r="O360">
            <v>0.93338171345528942</v>
          </cell>
        </row>
        <row r="361">
          <cell r="A361" t="str">
            <v>RHNM-SHDEM</v>
          </cell>
          <cell r="B361" t="str">
            <v>VAR_fin</v>
          </cell>
          <cell r="C361" t="str">
            <v>RHNM-SHCON</v>
          </cell>
          <cell r="D361"/>
          <cell r="F361">
            <v>9.5622009027932734E-4</v>
          </cell>
          <cell r="G361">
            <v>8.449298790328217E-4</v>
          </cell>
          <cell r="H361">
            <v>8.569756202695207E-4</v>
          </cell>
          <cell r="I361">
            <v>8.7949641079062776E-4</v>
          </cell>
          <cell r="J361">
            <v>8.9215201267167166E-4</v>
          </cell>
          <cell r="K361">
            <v>8.8490195944253898E-4</v>
          </cell>
          <cell r="L361">
            <v>3.6221945811306935E-3</v>
          </cell>
          <cell r="M361">
            <v>3.7565204820587637E-3</v>
          </cell>
          <cell r="N361">
            <v>0.67724168182843736</v>
          </cell>
          <cell r="O361">
            <v>2.2052429437646954</v>
          </cell>
        </row>
        <row r="362">
          <cell r="A362" t="str">
            <v>RHNM-SHDEM</v>
          </cell>
          <cell r="B362" t="str">
            <v>VAR_fin</v>
          </cell>
          <cell r="C362" t="str">
            <v>RHNM-SHELCB</v>
          </cell>
          <cell r="D362"/>
          <cell r="E362">
            <v>0.15394136205463135</v>
          </cell>
          <cell r="F362">
            <v>3.5200062065466074E-2</v>
          </cell>
          <cell r="G362">
            <v>1.5460372954930026E-2</v>
          </cell>
          <cell r="H362">
            <v>6.8484615668412451E-3</v>
          </cell>
          <cell r="I362">
            <v>6.0335987325918737E-3</v>
          </cell>
          <cell r="J362">
            <v>6.6595573742055832E-3</v>
          </cell>
          <cell r="K362">
            <v>8.389274463618741E-3</v>
          </cell>
          <cell r="L362">
            <v>9.1856927388499748E-3</v>
          </cell>
          <cell r="M362">
            <v>0.68394787350608865</v>
          </cell>
          <cell r="N362">
            <v>2.0352429617774229E-2</v>
          </cell>
          <cell r="O362">
            <v>0.26609847997274144</v>
          </cell>
        </row>
        <row r="363">
          <cell r="A363" t="str">
            <v>RHNM-SHDEM</v>
          </cell>
          <cell r="B363" t="str">
            <v>VAR_fin</v>
          </cell>
          <cell r="C363" t="str">
            <v>RHNM-SHWOD</v>
          </cell>
          <cell r="D363"/>
          <cell r="E363">
            <v>8.081581932253605E-2</v>
          </cell>
          <cell r="F363">
            <v>7.9519205591327385E-2</v>
          </cell>
          <cell r="G363">
            <v>7.9562230488082891E-2</v>
          </cell>
          <cell r="H363">
            <v>8.0210167110425126E-2</v>
          </cell>
          <cell r="I363">
            <v>8.0310034725096721E-2</v>
          </cell>
          <cell r="J363">
            <v>8.1082031223948761E-2</v>
          </cell>
          <cell r="K363">
            <v>7.9253838472963162E-2</v>
          </cell>
          <cell r="L363">
            <v>7.8931786806128834E-2</v>
          </cell>
          <cell r="M363">
            <v>8.0213784481042452E-2</v>
          </cell>
          <cell r="N363">
            <v>4.4484556586483953E-2</v>
          </cell>
          <cell r="O363">
            <v>0.26560169106737608</v>
          </cell>
        </row>
        <row r="364">
          <cell r="A364" t="str">
            <v>RHNM-SHDEM</v>
          </cell>
          <cell r="B364" t="str">
            <v>VAR_fin</v>
          </cell>
          <cell r="C364" t="str">
            <v>RHNM-SHELCH</v>
          </cell>
          <cell r="D364"/>
          <cell r="E364">
            <v>0.52944806505296382</v>
          </cell>
          <cell r="F364">
            <v>2.1843324573950764</v>
          </cell>
          <cell r="G364">
            <v>4.3039685541083328</v>
          </cell>
          <cell r="H364">
            <v>6.0220492347443164</v>
          </cell>
          <cell r="I364">
            <v>7.567479231180986</v>
          </cell>
          <cell r="J364">
            <v>8.7969898266194146</v>
          </cell>
          <cell r="K364">
            <v>10.096204148248564</v>
          </cell>
          <cell r="L364">
            <v>10.853112874850169</v>
          </cell>
          <cell r="M364">
            <v>11.021088842625316</v>
          </cell>
          <cell r="N364">
            <v>10.937578407320947</v>
          </cell>
          <cell r="O364">
            <v>8.167374503969965</v>
          </cell>
        </row>
        <row r="365">
          <cell r="A365" t="str">
            <v>RHNM-SHDEM</v>
          </cell>
          <cell r="B365" t="str">
            <v>VAR_fin</v>
          </cell>
          <cell r="C365" t="str">
            <v>RHNM-SHNST</v>
          </cell>
          <cell r="D365"/>
          <cell r="E365">
            <v>2.7315663487075399E-4</v>
          </cell>
          <cell r="F365">
            <v>8.9003128417922996E-4</v>
          </cell>
          <cell r="G365">
            <v>4.5646213215386709E-4</v>
          </cell>
          <cell r="H365">
            <v>1.0596195288173559E-3</v>
          </cell>
          <cell r="I365">
            <v>1.5280216218085312E-3</v>
          </cell>
          <cell r="J365">
            <v>3.4024821398186138E-3</v>
          </cell>
          <cell r="K365">
            <v>4.7529794601744854E-3</v>
          </cell>
          <cell r="L365">
            <v>1.134197166046378E-3</v>
          </cell>
          <cell r="M365">
            <v>1.1005771163306169E-3</v>
          </cell>
          <cell r="N365">
            <v>1.2433120896691371E-2</v>
          </cell>
          <cell r="O365">
            <v>6.8500100943934716E-2</v>
          </cell>
        </row>
        <row r="366">
          <cell r="A366" t="str">
            <v>RHNM-SHDEM</v>
          </cell>
          <cell r="B366" t="str">
            <v>VAR_fin</v>
          </cell>
          <cell r="C366" t="str">
            <v>RHNM-SHPLT</v>
          </cell>
          <cell r="D366"/>
          <cell r="E366">
            <v>7.3224737180007632E-2</v>
          </cell>
          <cell r="F366">
            <v>7.5024965791624959E-2</v>
          </cell>
          <cell r="G366">
            <v>0.20276387347403885</v>
          </cell>
          <cell r="H366">
            <v>0.3204111921276015</v>
          </cell>
          <cell r="I366">
            <v>0.41585222466044702</v>
          </cell>
          <cell r="J366">
            <v>0.4937052353862022</v>
          </cell>
          <cell r="K366">
            <v>0.56008341434965869</v>
          </cell>
          <cell r="L366">
            <v>0.61604765606435863</v>
          </cell>
          <cell r="M366">
            <v>0.67984997580249351</v>
          </cell>
          <cell r="N366">
            <v>0.63870165675423951</v>
          </cell>
          <cell r="O366">
            <v>0.51707643059170916</v>
          </cell>
        </row>
        <row r="367">
          <cell r="A367" t="str">
            <v>RHNM-SHDEM</v>
          </cell>
          <cell r="B367" t="str">
            <v>VAR_fin</v>
          </cell>
          <cell r="C367" t="str">
            <v>RHNM-SHLTHC-NGA</v>
          </cell>
          <cell r="D367"/>
          <cell r="E367">
            <v>2.7926872737279373E-3</v>
          </cell>
          <cell r="F367">
            <v>2.6845474706873748E-2</v>
          </cell>
          <cell r="G367">
            <v>2.6618620102072804E-2</v>
          </cell>
          <cell r="H367">
            <v>2.998263728409279E-2</v>
          </cell>
          <cell r="I367">
            <v>1.8672408976302027E-2</v>
          </cell>
          <cell r="J367"/>
          <cell r="K367"/>
          <cell r="L367">
            <v>1.0585887176263699E-2</v>
          </cell>
          <cell r="M367">
            <v>2.0173405787337596E-2</v>
          </cell>
          <cell r="N367">
            <v>2.1286318586547334E-2</v>
          </cell>
          <cell r="O367">
            <v>0.26808011673809529</v>
          </cell>
        </row>
        <row r="368">
          <cell r="A368" t="str">
            <v>RHNM-SHDEM</v>
          </cell>
          <cell r="B368" t="str">
            <v>VAR_fin</v>
          </cell>
          <cell r="C368" t="str">
            <v>RHNM-SHSOL</v>
          </cell>
          <cell r="D368"/>
          <cell r="E368">
            <v>2.1644879960750138E-2</v>
          </cell>
          <cell r="F368">
            <v>1.2013569030558016E-2</v>
          </cell>
          <cell r="G368">
            <v>1.9898795836621561E-2</v>
          </cell>
          <cell r="H368">
            <v>2.6525338197652404E-2</v>
          </cell>
          <cell r="I368">
            <v>2.6334362383280838E-2</v>
          </cell>
          <cell r="J368">
            <v>3.4004683038866654E-2</v>
          </cell>
          <cell r="K368">
            <v>1.5492308475333024E-2</v>
          </cell>
          <cell r="L368">
            <v>6.6602362895710008E-3</v>
          </cell>
          <cell r="M368">
            <v>8.172302565081219E-3</v>
          </cell>
          <cell r="N368">
            <v>1.9690669127809673E-2</v>
          </cell>
          <cell r="O368">
            <v>0.26476388752795804</v>
          </cell>
        </row>
        <row r="369">
          <cell r="A369" t="str">
            <v>RHNM-SHDEM</v>
          </cell>
          <cell r="B369" t="str">
            <v>VAR_fin</v>
          </cell>
          <cell r="C369" t="str">
            <v>RHNM-SHLTHC-WOD</v>
          </cell>
          <cell r="E369">
            <v>5.6413398291818401E-5</v>
          </cell>
          <cell r="F369">
            <v>9.3405136302509044E-4</v>
          </cell>
          <cell r="G369">
            <v>5.7183221779899505E-3</v>
          </cell>
          <cell r="H369">
            <v>9.410046283534413E-3</v>
          </cell>
          <cell r="I369">
            <v>1.523599917703357E-2</v>
          </cell>
          <cell r="J369">
            <v>1.4773760396407114E-2</v>
          </cell>
          <cell r="K369">
            <v>1.2490954338003036E-2</v>
          </cell>
          <cell r="L369">
            <v>1.272279942150779E-2</v>
          </cell>
          <cell r="M369">
            <v>1.554009303012595E-2</v>
          </cell>
          <cell r="N369">
            <v>2.100978162993512E-2</v>
          </cell>
          <cell r="O369">
            <v>0.2660093771508954</v>
          </cell>
        </row>
        <row r="370">
          <cell r="A370" t="str">
            <v>RHNM-SHDEM</v>
          </cell>
          <cell r="B370" t="str">
            <v>VAR_fin</v>
          </cell>
          <cell r="C370" t="str">
            <v>RHNM-SHNGAH</v>
          </cell>
          <cell r="E370">
            <v>7.8352900753168313E-5</v>
          </cell>
          <cell r="F370">
            <v>1.1884235647995053E-2</v>
          </cell>
          <cell r="G370">
            <v>1.2499403042322622E-2</v>
          </cell>
          <cell r="H370">
            <v>0.18924340887742114</v>
          </cell>
          <cell r="I370">
            <v>0.17741647112413986</v>
          </cell>
          <cell r="J370">
            <v>0.17450668260527863</v>
          </cell>
          <cell r="K370">
            <v>1.0525224606384933E-2</v>
          </cell>
          <cell r="L370">
            <v>1.0624034175611785E-2</v>
          </cell>
          <cell r="M370">
            <v>1.5100950837260792E-2</v>
          </cell>
          <cell r="N370">
            <v>2.4599726271578404E-2</v>
          </cell>
          <cell r="O370">
            <v>0.26708920677400255</v>
          </cell>
        </row>
        <row r="371">
          <cell r="A371" t="str">
            <v>RHNM-SHDEM</v>
          </cell>
          <cell r="B371" t="str">
            <v>VAR_fin</v>
          </cell>
          <cell r="C371" t="str">
            <v>RHNM-SHNGA</v>
          </cell>
          <cell r="E371">
            <v>1.24049915479518E-5</v>
          </cell>
          <cell r="F371">
            <v>6.8694239819245119E-4</v>
          </cell>
          <cell r="G371">
            <v>1.0163023271481672E-3</v>
          </cell>
          <cell r="H371">
            <v>9.6883281360089053E-4</v>
          </cell>
          <cell r="I371">
            <v>1.0691761140126661E-3</v>
          </cell>
          <cell r="J371"/>
          <cell r="K371"/>
          <cell r="L371">
            <v>1.0885283875838366E-3</v>
          </cell>
          <cell r="M371">
            <v>1.2723367312523679E-3</v>
          </cell>
          <cell r="N371">
            <v>8.58142090506239E-5</v>
          </cell>
          <cell r="O371">
            <v>1.3351770491430513E-2</v>
          </cell>
        </row>
        <row r="372">
          <cell r="A372" t="str">
            <v>SCOM-STG-ELCSPEC</v>
          </cell>
          <cell r="B372" t="str">
            <v>VAR_fout</v>
          </cell>
          <cell r="C372" t="str">
            <v>SCOM-ELS</v>
          </cell>
          <cell r="E372">
            <v>4.6273877077720973E-2</v>
          </cell>
          <cell r="F372">
            <v>4.6638007629954847E-2</v>
          </cell>
          <cell r="G372">
            <v>4.7537713441439713E-2</v>
          </cell>
          <cell r="H372">
            <v>8.1846922344355186E-2</v>
          </cell>
          <cell r="I372">
            <v>0.60107176256233708</v>
          </cell>
          <cell r="J372">
            <v>1.6055969980194273</v>
          </cell>
          <cell r="K372">
            <v>1.8960475929093297</v>
          </cell>
          <cell r="L372">
            <v>1.9258365426675828</v>
          </cell>
          <cell r="M372">
            <v>2.199699374071765</v>
          </cell>
          <cell r="N372">
            <v>2.2122720230280812</v>
          </cell>
          <cell r="O372">
            <v>2.2506693807150806</v>
          </cell>
        </row>
        <row r="373">
          <cell r="A373" t="str">
            <v>SCOM-STG-ELCSPEC</v>
          </cell>
          <cell r="B373" t="str">
            <v>VAR_fin</v>
          </cell>
          <cell r="C373" t="str">
            <v>SCOM-ELS</v>
          </cell>
          <cell r="D373"/>
          <cell r="E373">
            <v>4.6273877077720869E-2</v>
          </cell>
          <cell r="F373">
            <v>4.6638007629954875E-2</v>
          </cell>
          <cell r="G373">
            <v>4.75377134414397E-2</v>
          </cell>
          <cell r="H373">
            <v>8.18469223443552E-2</v>
          </cell>
          <cell r="I373">
            <v>0.60107176256233696</v>
          </cell>
          <cell r="J373">
            <v>1.6055969980194276</v>
          </cell>
          <cell r="K373">
            <v>1.8960475929093339</v>
          </cell>
          <cell r="L373">
            <v>1.9258365426675845</v>
          </cell>
          <cell r="M373">
            <v>2.1996993740717685</v>
          </cell>
          <cell r="N373">
            <v>2.2122720230280817</v>
          </cell>
          <cell r="O373">
            <v>2.2506693807150802</v>
          </cell>
        </row>
        <row r="374">
          <cell r="A374" t="str">
            <v>SCOM-STG-ELCSPEC</v>
          </cell>
          <cell r="B374" t="str">
            <v>VAR_ncap</v>
          </cell>
          <cell r="C374" t="str">
            <v>-</v>
          </cell>
          <cell r="E374">
            <v>1.8204818643236199E-3</v>
          </cell>
          <cell r="F374">
            <v>2.4100168298187401E-5</v>
          </cell>
          <cell r="G374">
            <v>1.06775041515726E-5</v>
          </cell>
          <cell r="H374">
            <v>1.2796621924440401E-3</v>
          </cell>
          <cell r="I374">
            <v>1.90670050475347E-2</v>
          </cell>
          <cell r="J374">
            <v>4.6988516381306203E-2</v>
          </cell>
          <cell r="K374">
            <v>1.72555716941033E-2</v>
          </cell>
          <cell r="L374">
            <v>3.4281416615727501E-3</v>
          </cell>
          <cell r="M374">
            <v>3.4661212821465698E-2</v>
          </cell>
          <cell r="N374">
            <v>4.7098340213046402E-2</v>
          </cell>
          <cell r="O374">
            <v>1.9723025496138E-2</v>
          </cell>
        </row>
        <row r="375">
          <cell r="A375" t="str">
            <v>SCOM-STG-ELCSPEC</v>
          </cell>
          <cell r="B375" t="str">
            <v>VAR_cap</v>
          </cell>
          <cell r="C375" t="str">
            <v>-</v>
          </cell>
          <cell r="E375">
            <v>1.8204818643236199E-3</v>
          </cell>
          <cell r="F375">
            <v>1.8436061768806182E-3</v>
          </cell>
          <cell r="G375">
            <v>1.852172397232135E-3</v>
          </cell>
          <cell r="H375">
            <v>3.127089797715395E-3</v>
          </cell>
          <cell r="I375">
            <v>2.1487810967028086E-2</v>
          </cell>
          <cell r="J375">
            <v>6.7337648930508434E-2</v>
          </cell>
          <cell r="K375">
            <v>8.4579168316778669E-2</v>
          </cell>
          <cell r="L375">
            <v>8.4586718432772226E-2</v>
          </cell>
          <cell r="M375">
            <v>0.10231866492279633</v>
          </cell>
          <cell r="N375">
            <v>0.10242901451491261</v>
          </cell>
          <cell r="O375">
            <v>0.10489093305143316</v>
          </cell>
        </row>
        <row r="376">
          <cell r="A376" t="str">
            <v>SCOM-SHCONBR7</v>
          </cell>
          <cell r="B376" t="str">
            <v>VAR_fout</v>
          </cell>
          <cell r="C376" t="str">
            <v>SCOM-SHCON</v>
          </cell>
          <cell r="E376">
            <v>1.1517207666117467E-3</v>
          </cell>
          <cell r="F376">
            <v>2.8372000931155849E-3</v>
          </cell>
          <cell r="G376">
            <v>3.6739194903631939E-3</v>
          </cell>
          <cell r="H376">
            <v>3.7103177171842836E-3</v>
          </cell>
          <cell r="I376">
            <v>3.7098717303574594E-3</v>
          </cell>
          <cell r="J376">
            <v>3.9760803929605312E-3</v>
          </cell>
          <cell r="K376">
            <v>0.85257054350067252</v>
          </cell>
          <cell r="L376">
            <v>0.85123350900622907</v>
          </cell>
          <cell r="M376">
            <v>0.85108201834420183</v>
          </cell>
          <cell r="N376">
            <v>0.85105416586749694</v>
          </cell>
          <cell r="O376">
            <v>0.85102123821148945</v>
          </cell>
        </row>
        <row r="377">
          <cell r="A377" t="str">
            <v>SCOM-SHCONBR7</v>
          </cell>
          <cell r="B377" t="str">
            <v>VAR_fin</v>
          </cell>
          <cell r="C377" t="str">
            <v>CON</v>
          </cell>
          <cell r="D377"/>
          <cell r="E377">
            <v>1.1517207666117467E-3</v>
          </cell>
          <cell r="F377">
            <v>2.8372000931155849E-3</v>
          </cell>
          <cell r="G377">
            <v>3.6739194903631939E-3</v>
          </cell>
          <cell r="H377">
            <v>3.7103177171842836E-3</v>
          </cell>
          <cell r="I377">
            <v>3.7098717303574594E-3</v>
          </cell>
          <cell r="J377">
            <v>3.9760803929605312E-3</v>
          </cell>
          <cell r="K377">
            <v>0.85257054350067252</v>
          </cell>
          <cell r="L377">
            <v>0.85123350900622907</v>
          </cell>
          <cell r="M377">
            <v>0.85108201834420183</v>
          </cell>
          <cell r="N377">
            <v>0.85105416586749694</v>
          </cell>
          <cell r="O377">
            <v>0.85102123821148945</v>
          </cell>
        </row>
        <row r="378">
          <cell r="A378" t="str">
            <v>SCOM-SHCONBR7</v>
          </cell>
          <cell r="B378" t="str">
            <v>VAR_ncap</v>
          </cell>
          <cell r="C378" t="str">
            <v>-</v>
          </cell>
          <cell r="E378">
            <v>8.6854141172101101E-5</v>
          </cell>
          <cell r="F378">
            <v>1.3041231716012501E-4</v>
          </cell>
          <cell r="G378">
            <v>6.4914167667478001E-5</v>
          </cell>
          <cell r="H378">
            <v>3.06620769042558E-6</v>
          </cell>
          <cell r="I378"/>
          <cell r="J378">
            <v>2.0959691820683301E-5</v>
          </cell>
          <cell r="K378">
            <v>6.5610455491835598E-2</v>
          </cell>
          <cell r="L378">
            <v>6.4967078703180396E-5</v>
          </cell>
          <cell r="M378">
            <v>7.5496100327994797E-5</v>
          </cell>
          <cell r="N378">
            <v>2.43199561843045E-6</v>
          </cell>
          <cell r="O378">
            <v>6.8070983104565402E-6</v>
          </cell>
        </row>
        <row r="379">
          <cell r="A379" t="str">
            <v>SCOM-SHCONBR7</v>
          </cell>
          <cell r="B379" t="str">
            <v>VAR_cap</v>
          </cell>
          <cell r="C379" t="str">
            <v>-</v>
          </cell>
          <cell r="D379"/>
          <cell r="E379">
            <v>8.6854141172101101E-5</v>
          </cell>
          <cell r="F379">
            <v>2.1717200637519127E-4</v>
          </cell>
          <cell r="G379">
            <v>2.818764366641119E-4</v>
          </cell>
          <cell r="H379">
            <v>2.8470014971190084E-4</v>
          </cell>
          <cell r="I379">
            <v>2.8453802671869109E-4</v>
          </cell>
          <cell r="J379">
            <v>3.0521070787088012E-4</v>
          </cell>
          <cell r="K379">
            <v>6.5886569414100496E-2</v>
          </cell>
          <cell r="L379">
            <v>6.578524501874182E-2</v>
          </cell>
          <cell r="M379">
            <v>6.5773875416776817E-2</v>
          </cell>
          <cell r="N379">
            <v>6.5773505355094408E-2</v>
          </cell>
          <cell r="O379">
            <v>6.5779130091784918E-2</v>
          </cell>
        </row>
        <row r="380">
          <cell r="A380" t="str">
            <v>SCOM-SHCONBR8</v>
          </cell>
          <cell r="B380" t="str">
            <v>VAR_fout</v>
          </cell>
          <cell r="C380" t="str">
            <v>SCOM-SHCON</v>
          </cell>
          <cell r="E380">
            <v>4.0543606509154154E-4</v>
          </cell>
          <cell r="F380">
            <v>5.688842804580567E-4</v>
          </cell>
          <cell r="G380">
            <v>6.3516358351134949E-4</v>
          </cell>
          <cell r="H380">
            <v>6.4437377566577093E-4</v>
          </cell>
          <cell r="I380">
            <v>6.4493793368389815E-4</v>
          </cell>
          <cell r="J380">
            <v>6.5564633994648098E-4</v>
          </cell>
          <cell r="K380">
            <v>9.8142641892711661E-4</v>
          </cell>
          <cell r="L380">
            <v>6.4960736879725452E-4</v>
          </cell>
          <cell r="M380">
            <v>1.0725542686067326E-3</v>
          </cell>
          <cell r="N380">
            <v>1.0819282906654958E-3</v>
          </cell>
          <cell r="O380">
            <v>1.5786087510306437E-3</v>
          </cell>
        </row>
        <row r="381">
          <cell r="A381" t="str">
            <v>SCOM-SHCONBR8</v>
          </cell>
          <cell r="B381" t="str">
            <v>VAR_fin</v>
          </cell>
          <cell r="C381" t="str">
            <v>CON</v>
          </cell>
          <cell r="E381">
            <v>4.0543606509154154E-4</v>
          </cell>
          <cell r="F381">
            <v>5.688842804580567E-4</v>
          </cell>
          <cell r="G381">
            <v>6.3516358351134949E-4</v>
          </cell>
          <cell r="H381">
            <v>6.4437377566577093E-4</v>
          </cell>
          <cell r="I381">
            <v>6.4493793368389815E-4</v>
          </cell>
          <cell r="J381">
            <v>6.5564633994648098E-4</v>
          </cell>
          <cell r="K381">
            <v>9.8142641892711661E-4</v>
          </cell>
          <cell r="L381">
            <v>6.4960736879725452E-4</v>
          </cell>
          <cell r="M381">
            <v>1.0725542686067326E-3</v>
          </cell>
          <cell r="N381">
            <v>1.0819282906654958E-3</v>
          </cell>
          <cell r="O381">
            <v>1.5786087510306437E-3</v>
          </cell>
        </row>
        <row r="382">
          <cell r="A382" t="str">
            <v>SCOM-SHCONBR8</v>
          </cell>
          <cell r="B382" t="str">
            <v>VAR_ncap</v>
          </cell>
          <cell r="C382" t="str">
            <v>-</v>
          </cell>
          <cell r="D382"/>
          <cell r="E382">
            <v>2.9078927053809798E-5</v>
          </cell>
          <cell r="F382">
            <v>1.2723842296427499E-5</v>
          </cell>
          <cell r="G382">
            <v>5.2651483097684203E-6</v>
          </cell>
          <cell r="H382">
            <v>8.5060735794291598E-7</v>
          </cell>
          <cell r="I382"/>
          <cell r="J382">
            <v>1.02294050709981E-6</v>
          </cell>
          <cell r="K382">
            <v>3.5082152715386398E-5</v>
          </cell>
          <cell r="L382">
            <v>3.9655530434697202E-6</v>
          </cell>
          <cell r="M382">
            <v>4.0350418689549602E-5</v>
          </cell>
          <cell r="N382">
            <v>1.52449902878976E-6</v>
          </cell>
          <cell r="O382">
            <v>3.8783217077450197E-5</v>
          </cell>
        </row>
        <row r="383">
          <cell r="A383" t="str">
            <v>SCOM-SHCONBR8</v>
          </cell>
          <cell r="B383" t="str">
            <v>VAR_cap</v>
          </cell>
          <cell r="C383" t="str">
            <v>-</v>
          </cell>
          <cell r="E383">
            <v>2.9078927053809798E-5</v>
          </cell>
          <cell r="F383">
            <v>4.1733355355100172E-5</v>
          </cell>
          <cell r="G383">
            <v>4.6877039409162381E-5</v>
          </cell>
          <cell r="H383">
            <v>4.759861058497108E-5</v>
          </cell>
          <cell r="I383">
            <v>4.7518627036035014E-5</v>
          </cell>
          <cell r="J383">
            <v>4.8439149404692063E-5</v>
          </cell>
          <cell r="K383">
            <v>7.365624431878386E-5</v>
          </cell>
          <cell r="L383">
            <v>4.7984239156774198E-5</v>
          </cell>
          <cell r="M383">
            <v>8.0716189912515555E-5</v>
          </cell>
          <cell r="N383">
            <v>8.145000097033544E-5</v>
          </cell>
          <cell r="O383">
            <v>1.1988065103617786E-4</v>
          </cell>
        </row>
        <row r="384">
          <cell r="A384" t="str">
            <v>ITOT-ELCSPEC</v>
          </cell>
          <cell r="B384" t="str">
            <v>VAR_fout</v>
          </cell>
          <cell r="C384" t="str">
            <v>ITOT-ELS</v>
          </cell>
          <cell r="D384">
            <v>48.063397652170998</v>
          </cell>
          <cell r="E384">
            <v>49.866403982329949</v>
          </cell>
          <cell r="F384">
            <v>51.516138583457092</v>
          </cell>
          <cell r="G384">
            <v>52.946481840365067</v>
          </cell>
          <cell r="H384">
            <v>52.091468042847552</v>
          </cell>
          <cell r="I384">
            <v>52.006118515399208</v>
          </cell>
          <cell r="J384">
            <v>51.602430729276776</v>
          </cell>
          <cell r="K384">
            <v>51.427753082194378</v>
          </cell>
          <cell r="L384">
            <v>52.126401499236081</v>
          </cell>
          <cell r="M384">
            <v>53.670253516660139</v>
          </cell>
          <cell r="N384">
            <v>52.206434285937533</v>
          </cell>
          <cell r="O384">
            <v>52.31958887010574</v>
          </cell>
        </row>
        <row r="385">
          <cell r="A385" t="str">
            <v>ITOT-ELCSPEC</v>
          </cell>
          <cell r="B385" t="str">
            <v>VAR_fin</v>
          </cell>
          <cell r="C385" t="str">
            <v>ITOT_ELC</v>
          </cell>
          <cell r="D385">
            <v>48.063397652170998</v>
          </cell>
          <cell r="E385">
            <v>49.866403982329949</v>
          </cell>
          <cell r="F385">
            <v>51.516138583457092</v>
          </cell>
          <cell r="G385">
            <v>52.946481840365067</v>
          </cell>
          <cell r="H385">
            <v>52.091468042847552</v>
          </cell>
          <cell r="I385">
            <v>52.006118515399208</v>
          </cell>
          <cell r="J385">
            <v>51.602430729276776</v>
          </cell>
          <cell r="K385">
            <v>51.427753082194378</v>
          </cell>
          <cell r="L385">
            <v>52.126401499236081</v>
          </cell>
          <cell r="M385">
            <v>53.670253516660139</v>
          </cell>
          <cell r="N385">
            <v>52.206434285937533</v>
          </cell>
          <cell r="O385">
            <v>52.31958887010574</v>
          </cell>
        </row>
        <row r="386">
          <cell r="A386" t="str">
            <v>ITOT-ELCSPEC</v>
          </cell>
          <cell r="B386" t="str">
            <v>VAR_ncap</v>
          </cell>
          <cell r="C386" t="str">
            <v>-</v>
          </cell>
          <cell r="D386">
            <v>8.3509995537662696E-2</v>
          </cell>
          <cell r="E386">
            <v>9.8047834862839203E-2</v>
          </cell>
          <cell r="F386">
            <v>8.9721682159758995E-2</v>
          </cell>
          <cell r="G386">
            <v>7.7792506289842106E-2</v>
          </cell>
          <cell r="H386">
            <v>2.0315054565344699E-5</v>
          </cell>
          <cell r="I386">
            <v>2.60597188282031E-5</v>
          </cell>
          <cell r="J386">
            <v>1.6912244215197201</v>
          </cell>
          <cell r="K386">
            <v>1.02779602037864</v>
          </cell>
          <cell r="L386">
            <v>0.11575617114625</v>
          </cell>
          <cell r="M386">
            <v>8.4004617589071906E-2</v>
          </cell>
          <cell r="N386">
            <v>0.18518452694651699</v>
          </cell>
          <cell r="O386">
            <v>1.4326384630072699</v>
          </cell>
        </row>
        <row r="387">
          <cell r="A387" t="str">
            <v>ITOT-ELCSPEC</v>
          </cell>
          <cell r="B387" t="str">
            <v>VAR_cap</v>
          </cell>
          <cell r="C387" t="str">
            <v>-</v>
          </cell>
          <cell r="D387">
            <v>2.613837227570373</v>
          </cell>
          <cell r="E387">
            <v>2.7118834707824631</v>
          </cell>
          <cell r="F387">
            <v>2.8016011166209327</v>
          </cell>
          <cell r="G387">
            <v>2.8793809636721202</v>
          </cell>
          <cell r="H387">
            <v>2.8329037456560906</v>
          </cell>
          <cell r="I387">
            <v>2.8282862284838286</v>
          </cell>
          <cell r="J387">
            <v>2.8062924282830091</v>
          </cell>
          <cell r="K387">
            <v>2.7968033190890114</v>
          </cell>
          <cell r="L387">
            <v>2.8347879018882263</v>
          </cell>
          <cell r="M387">
            <v>2.9187585568426631</v>
          </cell>
          <cell r="N387">
            <v>2.839145563713223</v>
          </cell>
          <cell r="O387">
            <v>2.8453175270762143</v>
          </cell>
        </row>
        <row r="388">
          <cell r="A388" t="str">
            <v>RHNM-SHLTHDH</v>
          </cell>
          <cell r="B388" t="str">
            <v>VAR_fout</v>
          </cell>
          <cell r="C388" t="str">
            <v>RHNM-SHLTHD</v>
          </cell>
          <cell r="E388">
            <v>0.34660836057623529</v>
          </cell>
          <cell r="F388">
            <v>0.37881452378374719</v>
          </cell>
          <cell r="G388">
            <v>0.43914621103698903</v>
          </cell>
          <cell r="H388">
            <v>0.50908749102515893</v>
          </cell>
          <cell r="I388">
            <v>0.5901687793380872</v>
          </cell>
          <cell r="J388">
            <v>0.68416510787537566</v>
          </cell>
          <cell r="K388">
            <v>0.79313337048640065</v>
          </cell>
          <cell r="L388">
            <v>0.91945753476443937</v>
          </cell>
          <cell r="M388">
            <v>1.0659062074302588</v>
          </cell>
          <cell r="N388">
            <v>1.2356780968174146</v>
          </cell>
          <cell r="O388">
            <v>1.4325100370993906</v>
          </cell>
        </row>
        <row r="389">
          <cell r="A389" t="str">
            <v>RHNM-SHLTHDH</v>
          </cell>
          <cell r="B389" t="str">
            <v>VAR_fin</v>
          </cell>
          <cell r="C389" t="str">
            <v>RHNMLTHDHC</v>
          </cell>
          <cell r="D389"/>
          <cell r="E389">
            <v>0.34660836057623529</v>
          </cell>
          <cell r="F389">
            <v>0.37881452378374719</v>
          </cell>
          <cell r="G389">
            <v>0.43914621103698903</v>
          </cell>
          <cell r="H389">
            <v>0.50908749102515893</v>
          </cell>
          <cell r="I389">
            <v>0.5901687793380872</v>
          </cell>
          <cell r="J389">
            <v>0.68416510787537566</v>
          </cell>
          <cell r="K389">
            <v>0.79313337048640065</v>
          </cell>
          <cell r="L389">
            <v>0.91945753476443937</v>
          </cell>
          <cell r="M389">
            <v>1.0659062074302588</v>
          </cell>
          <cell r="N389">
            <v>1.2356780968174146</v>
          </cell>
          <cell r="O389">
            <v>1.4325100370993906</v>
          </cell>
        </row>
        <row r="390">
          <cell r="A390" t="str">
            <v>RHNM-SHLTHDH</v>
          </cell>
          <cell r="B390" t="str">
            <v>VAR_fin</v>
          </cell>
          <cell r="C390" t="str">
            <v>RHNM_LTH_DH</v>
          </cell>
          <cell r="E390">
            <v>0.35010945512751063</v>
          </cell>
          <cell r="F390">
            <v>0.3826409331148965</v>
          </cell>
          <cell r="G390">
            <v>0.44358203135049401</v>
          </cell>
          <cell r="H390">
            <v>0.51422978891430204</v>
          </cell>
          <cell r="I390">
            <v>0.59613008013948243</v>
          </cell>
          <cell r="J390">
            <v>0.69107586654078434</v>
          </cell>
          <cell r="K390">
            <v>0.80114481867313259</v>
          </cell>
          <cell r="L390">
            <v>0.92874498461054478</v>
          </cell>
          <cell r="M390">
            <v>1.0766729367982422</v>
          </cell>
          <cell r="N390">
            <v>1.2481596937549646</v>
          </cell>
          <cell r="O390">
            <v>1.4469798354539294</v>
          </cell>
        </row>
        <row r="391">
          <cell r="A391" t="str">
            <v>RHNM-SHLTHDH</v>
          </cell>
          <cell r="B391" t="str">
            <v>VAR_ncap</v>
          </cell>
          <cell r="C391" t="str">
            <v>-</v>
          </cell>
          <cell r="D391"/>
          <cell r="E391">
            <v>2.8589451289614601E-2</v>
          </cell>
          <cell r="F391">
            <v>1.30256385842185E-3</v>
          </cell>
          <cell r="G391">
            <v>4.2596723394516403E-3</v>
          </cell>
          <cell r="H391">
            <v>8.2302687173655496E-3</v>
          </cell>
          <cell r="I391">
            <v>7.0940053038341501E-3</v>
          </cell>
          <cell r="J391">
            <v>6.5989700237606402E-3</v>
          </cell>
          <cell r="K391">
            <v>8.7387993037298505E-3</v>
          </cell>
          <cell r="L391">
            <v>8.8221168561352595E-3</v>
          </cell>
          <cell r="M391">
            <v>1.38744591072496E-2</v>
          </cell>
          <cell r="N391">
            <v>8.5967483645925501E-3</v>
          </cell>
          <cell r="O391">
            <v>1.5493344027243E-2</v>
          </cell>
        </row>
        <row r="392">
          <cell r="A392" t="str">
            <v>RHNM-SHLTHDH</v>
          </cell>
          <cell r="B392" t="str">
            <v>VAR_cap</v>
          </cell>
          <cell r="C392" t="str">
            <v>-</v>
          </cell>
          <cell r="D392"/>
          <cell r="E392">
            <v>2.8589451289614601E-2</v>
          </cell>
          <cell r="F392">
            <v>2.98920151480364E-2</v>
          </cell>
          <cell r="G392">
            <v>3.4151687487488099E-2</v>
          </cell>
          <cell r="H392">
            <v>4.2381956204853598E-2</v>
          </cell>
          <cell r="I392">
            <v>4.9475961508687799E-2</v>
          </cell>
          <cell r="J392">
            <v>5.6074931532448399E-2</v>
          </cell>
          <cell r="K392">
            <v>6.4813730836178293E-2</v>
          </cell>
          <cell r="L392">
            <v>7.3635847692313502E-2</v>
          </cell>
          <cell r="M392">
            <v>8.7510306799563203E-2</v>
          </cell>
          <cell r="N392">
            <v>9.61070551641557E-2</v>
          </cell>
          <cell r="O392">
            <v>0.111600399191399</v>
          </cell>
        </row>
        <row r="393">
          <cell r="A393" t="str">
            <v>SCOM-SHCONBR9</v>
          </cell>
          <cell r="B393" t="str">
            <v>VAR_fout</v>
          </cell>
          <cell r="C393" t="str">
            <v>SCOM-SHCON</v>
          </cell>
          <cell r="D393"/>
          <cell r="E393">
            <v>1.4674307686470196E-4</v>
          </cell>
          <cell r="F393">
            <v>1.8147157435617994E-4</v>
          </cell>
          <cell r="G393">
            <v>1.937926666738993E-4</v>
          </cell>
          <cell r="H393">
            <v>1.9620633902647515E-4</v>
          </cell>
          <cell r="I393">
            <v>1.9726462793138652E-4</v>
          </cell>
          <cell r="J393">
            <v>1.9929683379553238E-4</v>
          </cell>
          <cell r="K393">
            <v>2.6217645710939849E-4</v>
          </cell>
          <cell r="L393">
            <v>1.7174388031348798E-4</v>
          </cell>
          <cell r="M393">
            <v>2.7485306238967674E-4</v>
          </cell>
          <cell r="N393">
            <v>2.8056798270883674E-4</v>
          </cell>
          <cell r="O393">
            <v>5.099616943105244E-4</v>
          </cell>
        </row>
        <row r="394">
          <cell r="A394" t="str">
            <v>SCOM-SHCONBR9</v>
          </cell>
          <cell r="B394" t="str">
            <v>VAR_fin</v>
          </cell>
          <cell r="C394" t="str">
            <v>CON</v>
          </cell>
          <cell r="E394">
            <v>1.4674307686470196E-4</v>
          </cell>
          <cell r="F394">
            <v>1.8147157435617994E-4</v>
          </cell>
          <cell r="G394">
            <v>1.937926666738993E-4</v>
          </cell>
          <cell r="H394">
            <v>1.9620633902647515E-4</v>
          </cell>
          <cell r="I394">
            <v>1.9726462793138652E-4</v>
          </cell>
          <cell r="J394">
            <v>1.9929683379553238E-4</v>
          </cell>
          <cell r="K394">
            <v>2.6217645710939849E-4</v>
          </cell>
          <cell r="L394">
            <v>1.7174388031348798E-4</v>
          </cell>
          <cell r="M394">
            <v>2.7485306238967674E-4</v>
          </cell>
          <cell r="N394">
            <v>2.8056798270883674E-4</v>
          </cell>
          <cell r="O394">
            <v>5.099616943105244E-4</v>
          </cell>
        </row>
        <row r="395">
          <cell r="A395" t="str">
            <v>SCOM-SHCONBR9</v>
          </cell>
          <cell r="B395" t="str">
            <v>VAR_ncap</v>
          </cell>
          <cell r="C395" t="str">
            <v>-</v>
          </cell>
          <cell r="E395">
            <v>8.9358580625059107E-6</v>
          </cell>
          <cell r="F395">
            <v>2.7519636606567999E-6</v>
          </cell>
          <cell r="G395">
            <v>1.03535725690121E-6</v>
          </cell>
          <cell r="H395">
            <v>2.6387182015260498E-7</v>
          </cell>
          <cell r="I395"/>
          <cell r="J395">
            <v>2.7661354823123602E-7</v>
          </cell>
          <cell r="K395">
            <v>7.9717463785914498E-6</v>
          </cell>
          <cell r="L395">
            <v>1.0623799790813301E-6</v>
          </cell>
          <cell r="M395">
            <v>9.6107929956169505E-6</v>
          </cell>
          <cell r="N395">
            <v>6.9793515435270702E-7</v>
          </cell>
          <cell r="O395">
            <v>1.7889883387503499E-5</v>
          </cell>
        </row>
        <row r="396">
          <cell r="A396" t="str">
            <v>SCOM-SHCONBR9</v>
          </cell>
          <cell r="B396" t="str">
            <v>VAR_cap</v>
          </cell>
          <cell r="C396" t="str">
            <v>-</v>
          </cell>
          <cell r="D396"/>
          <cell r="E396">
            <v>8.9358580625059107E-6</v>
          </cell>
          <cell r="F396">
            <v>1.1643862126380866E-5</v>
          </cell>
          <cell r="G396">
            <v>1.2615013827390322E-5</v>
          </cell>
          <cell r="H396">
            <v>1.2811339508022969E-5</v>
          </cell>
          <cell r="I396">
            <v>1.277250836857357E-5</v>
          </cell>
          <cell r="J396">
            <v>1.3022698424650125E-5</v>
          </cell>
          <cell r="K396">
            <v>1.7926953746879725E-5</v>
          </cell>
          <cell r="L396">
            <v>1.0879485924822319E-5</v>
          </cell>
          <cell r="M396">
            <v>1.8923220147982792E-5</v>
          </cell>
          <cell r="N396">
            <v>1.9375992195348505E-5</v>
          </cell>
          <cell r="O396">
            <v>3.7193583350242224E-5</v>
          </cell>
        </row>
        <row r="397">
          <cell r="A397" t="str">
            <v>ITOT-SWHCOABR</v>
          </cell>
          <cell r="B397" t="str">
            <v>VAR_fout</v>
          </cell>
          <cell r="C397" t="str">
            <v>ITOT-SWH</v>
          </cell>
          <cell r="D397">
            <v>2.367428421554894</v>
          </cell>
          <cell r="E397">
            <v>2.307529550527907</v>
          </cell>
          <cell r="F397">
            <v>1.140837651744917E-2</v>
          </cell>
          <cell r="G397">
            <v>9.2048671445742311E-4</v>
          </cell>
          <cell r="H397">
            <v>1.1706431567904123E-3</v>
          </cell>
          <cell r="I397">
            <v>2.696431288260749E-3</v>
          </cell>
          <cell r="J397">
            <v>1.3009239994298148E-3</v>
          </cell>
          <cell r="K397">
            <v>2.8352239670783415E-5</v>
          </cell>
          <cell r="L397">
            <v>7.6902158943863269E-5</v>
          </cell>
          <cell r="M397">
            <v>1.0694778929347851E-4</v>
          </cell>
          <cell r="N397">
            <v>1.0381600811993906E-4</v>
          </cell>
          <cell r="O397">
            <v>1.1884520197118609E-4</v>
          </cell>
        </row>
        <row r="398">
          <cell r="A398" t="str">
            <v>ITOT-SWHCOABR</v>
          </cell>
          <cell r="B398" t="str">
            <v>VAR_fout</v>
          </cell>
          <cell r="C398" t="str">
            <v>CO2_I</v>
          </cell>
          <cell r="D398">
            <v>330.01596192201299</v>
          </cell>
          <cell r="E398">
            <v>321.183167168073</v>
          </cell>
          <cell r="F398">
            <v>1.58435431186148</v>
          </cell>
          <cell r="G398">
            <v>0.12735689317940799</v>
          </cell>
          <cell r="H398">
            <v>0.16136597863861901</v>
          </cell>
          <cell r="I398">
            <v>0.37030989692114302</v>
          </cell>
          <cell r="J398">
            <v>0.178000966416448</v>
          </cell>
          <cell r="K398">
            <v>3.8650773786494401E-3</v>
          </cell>
          <cell r="L398">
            <v>1.04835737266119E-2</v>
          </cell>
          <cell r="M398">
            <v>1.45795000992727E-2</v>
          </cell>
          <cell r="N398">
            <v>1.4152564636350499E-2</v>
          </cell>
          <cell r="O398">
            <v>1.6201397386366102E-2</v>
          </cell>
        </row>
        <row r="399">
          <cell r="A399" t="str">
            <v>ITOT-SWHCOABR</v>
          </cell>
          <cell r="B399" t="str">
            <v>VAR_fin</v>
          </cell>
          <cell r="C399" t="str">
            <v>ICOA</v>
          </cell>
          <cell r="D399">
            <v>3.56004273918029</v>
          </cell>
          <cell r="E399">
            <v>3.4647590848767336</v>
          </cell>
          <cell r="F399">
            <v>1.7091200775204762E-2</v>
          </cell>
          <cell r="G399">
            <v>1.3738607678468987E-3</v>
          </cell>
          <cell r="H399">
            <v>1.740733318647451E-3</v>
          </cell>
          <cell r="I399">
            <v>3.9947130196455504E-3</v>
          </cell>
          <cell r="J399">
            <v>1.9201830249886559E-3</v>
          </cell>
          <cell r="K399">
            <v>4.1694470104093183E-5</v>
          </cell>
          <cell r="L399">
            <v>1.1309141021156351E-4</v>
          </cell>
          <cell r="M399">
            <v>1.5727616072570364E-4</v>
          </cell>
          <cell r="N399">
            <v>1.5267060017638086E-4</v>
          </cell>
          <cell r="O399">
            <v>1.7477235583997954E-4</v>
          </cell>
        </row>
        <row r="400">
          <cell r="A400" t="str">
            <v>ITOT-SWHCOABR</v>
          </cell>
          <cell r="B400" t="str">
            <v>VAR_ncap</v>
          </cell>
          <cell r="C400" t="str">
            <v>-</v>
          </cell>
          <cell r="E400">
            <v>3.2268288186117802E-5</v>
          </cell>
          <cell r="F400">
            <v>3.1618765442506499E-5</v>
          </cell>
          <cell r="G400">
            <v>2.3251251323297498E-5</v>
          </cell>
          <cell r="H400">
            <v>7.7056645374809897E-5</v>
          </cell>
          <cell r="I400">
            <v>1.7420871960896101E-4</v>
          </cell>
          <cell r="J400">
            <v>2.44065761763614E-5</v>
          </cell>
          <cell r="K400">
            <v>7.5705806272263402E-7</v>
          </cell>
          <cell r="L400">
            <v>4.9393157749840703E-6</v>
          </cell>
          <cell r="M400">
            <v>6.3165496549970301E-6</v>
          </cell>
          <cell r="N400">
            <v>5.0097925869187401E-6</v>
          </cell>
          <cell r="O400">
            <v>6.0953013999056303E-6</v>
          </cell>
        </row>
        <row r="401">
          <cell r="A401" t="str">
            <v>ITOT-SWHCOABR</v>
          </cell>
          <cell r="B401" t="str">
            <v>VAR_cap</v>
          </cell>
          <cell r="C401" t="str">
            <v>-</v>
          </cell>
          <cell r="D401">
            <v>0.26172155007150499</v>
          </cell>
          <cell r="E401">
            <v>0.17287486670328983</v>
          </cell>
          <cell r="F401">
            <v>1.0789784195546215E-3</v>
          </cell>
          <cell r="G401">
            <v>8.4629131383906486E-5</v>
          </cell>
          <cell r="H401">
            <v>1.0837599829359446E-4</v>
          </cell>
          <cell r="I401">
            <v>2.5169158087106562E-4</v>
          </cell>
          <cell r="J401">
            <v>1.2056428240474199E-4</v>
          </cell>
          <cell r="K401">
            <v>9.5360171801700858E-7</v>
          </cell>
          <cell r="L401">
            <v>5.1623330080558999E-6</v>
          </cell>
          <cell r="M401">
            <v>7.9590752324718191E-6</v>
          </cell>
          <cell r="N401">
            <v>7.6498842935816117E-6</v>
          </cell>
          <cell r="O401">
            <v>9.0347260060133914E-6</v>
          </cell>
        </row>
        <row r="402">
          <cell r="A402" t="str">
            <v>RHSA-WHDEM</v>
          </cell>
          <cell r="B402" t="str">
            <v>VAR_fout</v>
          </cell>
          <cell r="C402" t="str">
            <v>RHSA-WHD</v>
          </cell>
          <cell r="D402">
            <v>26.438654975424289</v>
          </cell>
          <cell r="E402">
            <v>25.92879146371218</v>
          </cell>
          <cell r="F402">
            <v>25.418927951999976</v>
          </cell>
          <cell r="G402">
            <v>25.509072923999994</v>
          </cell>
          <cell r="H402">
            <v>25.499829726000012</v>
          </cell>
          <cell r="I402">
            <v>25.33969431720001</v>
          </cell>
          <cell r="J402">
            <v>25.129286488799984</v>
          </cell>
          <cell r="K402">
            <v>24.930159425999989</v>
          </cell>
          <cell r="L402">
            <v>25.250286988188904</v>
          </cell>
          <cell r="M402">
            <v>24.785394604187807</v>
          </cell>
          <cell r="N402">
            <v>24.326761510807483</v>
          </cell>
          <cell r="O402">
            <v>23.897883426756486</v>
          </cell>
        </row>
        <row r="403">
          <cell r="A403" t="str">
            <v>RHSA-WHDEM</v>
          </cell>
          <cell r="B403" t="str">
            <v>VAR_fin</v>
          </cell>
          <cell r="C403" t="str">
            <v>RHSA-WHNGA</v>
          </cell>
          <cell r="D403">
            <v>6.1996756263622608</v>
          </cell>
          <cell r="E403">
            <v>5.1629789971961078</v>
          </cell>
          <cell r="F403">
            <v>9.2156690006949908</v>
          </cell>
          <cell r="G403">
            <v>9.2727874454320762</v>
          </cell>
          <cell r="H403">
            <v>6.7592642046381401</v>
          </cell>
          <cell r="I403">
            <v>2.7463410926556522</v>
          </cell>
          <cell r="J403">
            <v>1.7314408185517729</v>
          </cell>
          <cell r="K403">
            <v>1.0294100694493442</v>
          </cell>
          <cell r="L403">
            <v>0.8598786878590392</v>
          </cell>
          <cell r="M403">
            <v>0.76321305467178135</v>
          </cell>
          <cell r="N403">
            <v>0.83591547960010448</v>
          </cell>
          <cell r="O403">
            <v>0.73553047648492609</v>
          </cell>
        </row>
        <row r="404">
          <cell r="A404" t="str">
            <v>RHSA-WHDEM</v>
          </cell>
          <cell r="B404" t="str">
            <v>VAR_fin</v>
          </cell>
          <cell r="C404" t="str">
            <v>RHSA-WHLFO</v>
          </cell>
          <cell r="D404">
            <v>6.808475869030886</v>
          </cell>
          <cell r="E404">
            <v>5.9207382569695843</v>
          </cell>
          <cell r="F404">
            <v>1.755738288741832</v>
          </cell>
          <cell r="G404">
            <v>0.59654530562360308</v>
          </cell>
          <cell r="H404">
            <v>0.22684095469247448</v>
          </cell>
          <cell r="I404">
            <v>0.14561762698387981</v>
          </cell>
          <cell r="J404">
            <v>0.11742120546806661</v>
          </cell>
          <cell r="K404">
            <v>0.17194143074793075</v>
          </cell>
          <cell r="L404">
            <v>0.17297493068417016</v>
          </cell>
          <cell r="M404">
            <v>0.13243338978059066</v>
          </cell>
          <cell r="N404">
            <v>0.25731257876961594</v>
          </cell>
          <cell r="O404">
            <v>4.4761665688935137E-2</v>
          </cell>
        </row>
        <row r="405">
          <cell r="A405" t="str">
            <v>RHSA-WHDEM</v>
          </cell>
          <cell r="B405" t="str">
            <v>VAR_fin</v>
          </cell>
          <cell r="C405" t="str">
            <v>RHSA-WHWOD</v>
          </cell>
          <cell r="D405">
            <v>0.557720567946138</v>
          </cell>
          <cell r="E405">
            <v>0.59691636432257267</v>
          </cell>
          <cell r="F405">
            <v>0.37078361736646404</v>
          </cell>
          <cell r="G405">
            <v>0.32449600452064414</v>
          </cell>
          <cell r="H405">
            <v>0.28765484787339046</v>
          </cell>
          <cell r="I405">
            <v>0.29703017625605616</v>
          </cell>
          <cell r="J405">
            <v>0.25835158639422479</v>
          </cell>
          <cell r="K405">
            <v>0.34329109893792209</v>
          </cell>
          <cell r="L405">
            <v>0.28259413344557849</v>
          </cell>
          <cell r="M405">
            <v>0.22317277529650437</v>
          </cell>
          <cell r="N405">
            <v>0.32406488187422794</v>
          </cell>
          <cell r="O405">
            <v>0.11421471629720371</v>
          </cell>
        </row>
        <row r="406">
          <cell r="A406" t="str">
            <v>RHSA-WHDEM</v>
          </cell>
          <cell r="B406" t="str">
            <v>VAR_fin</v>
          </cell>
          <cell r="C406" t="str">
            <v>RHSA-WHNGAH</v>
          </cell>
          <cell r="E406">
            <v>8.4734633878875949E-5</v>
          </cell>
          <cell r="F406">
            <v>5.299945895059488E-2</v>
          </cell>
          <cell r="G406">
            <v>9.3099671114160384E-2</v>
          </cell>
          <cell r="H406">
            <v>0.87186634364195126</v>
          </cell>
          <cell r="I406">
            <v>0.85877591420528387</v>
          </cell>
          <cell r="J406">
            <v>1.3647514748225962</v>
          </cell>
          <cell r="K406">
            <v>0.58982507797663575</v>
          </cell>
          <cell r="L406">
            <v>0.5925045054749507</v>
          </cell>
          <cell r="M406">
            <v>0.53822352569202936</v>
          </cell>
          <cell r="N406">
            <v>0.64085747871560306</v>
          </cell>
          <cell r="O406">
            <v>0.569499671944248</v>
          </cell>
        </row>
        <row r="407">
          <cell r="A407" t="str">
            <v>RHSA-WHDEM</v>
          </cell>
          <cell r="B407" t="str">
            <v>VAR_fin</v>
          </cell>
          <cell r="C407" t="str">
            <v>RHSA-WHNST</v>
          </cell>
          <cell r="D407">
            <v>9.4842133050115005E-2</v>
          </cell>
          <cell r="E407">
            <v>4.1168843746008981E-4</v>
          </cell>
          <cell r="F407">
            <v>2.6947544081689701E-2</v>
          </cell>
          <cell r="G407">
            <v>4.9953616646059233E-2</v>
          </cell>
          <cell r="H407">
            <v>5.4602270429488467E-2</v>
          </cell>
          <cell r="I407">
            <v>8.4501361304030118E-2</v>
          </cell>
          <cell r="J407">
            <v>6.9293161750428434E-2</v>
          </cell>
          <cell r="K407">
            <v>9.947978339798956E-2</v>
          </cell>
          <cell r="L407">
            <v>9.9476998874948569E-2</v>
          </cell>
          <cell r="M407">
            <v>7.8996185064369617E-2</v>
          </cell>
          <cell r="N407">
            <v>0.15670951883286649</v>
          </cell>
          <cell r="O407">
            <v>2.5947356546240318E-2</v>
          </cell>
        </row>
        <row r="408">
          <cell r="A408" t="str">
            <v>RHSA-WHDEM</v>
          </cell>
          <cell r="B408" t="str">
            <v>VAR_fin</v>
          </cell>
          <cell r="C408" t="str">
            <v>RHSA-WHPLT</v>
          </cell>
          <cell r="D408">
            <v>0.27124155318198717</v>
          </cell>
          <cell r="E408">
            <v>0.19458544011893772</v>
          </cell>
          <cell r="F408">
            <v>0.14631040532321557</v>
          </cell>
          <cell r="G408">
            <v>0.17735269250126301</v>
          </cell>
          <cell r="H408">
            <v>0.1953658557592336</v>
          </cell>
          <cell r="I408">
            <v>0.23766573772879196</v>
          </cell>
          <cell r="J408">
            <v>0.20365939621856541</v>
          </cell>
          <cell r="K408">
            <v>0.25609474523396059</v>
          </cell>
          <cell r="L408">
            <v>0.26059177633201142</v>
          </cell>
          <cell r="M408">
            <v>0.2107846172557469</v>
          </cell>
          <cell r="N408">
            <v>0.33940764276637542</v>
          </cell>
          <cell r="O408">
            <v>0.16139589396350434</v>
          </cell>
        </row>
        <row r="409">
          <cell r="A409" t="str">
            <v>RHSA-WHDEM</v>
          </cell>
          <cell r="B409" t="str">
            <v>VAR_fin</v>
          </cell>
          <cell r="C409" t="str">
            <v>RHSA-WHLTHRD</v>
          </cell>
          <cell r="D409">
            <v>1.2771841677488107</v>
          </cell>
          <cell r="E409">
            <v>1.4630117395433926</v>
          </cell>
          <cell r="F409">
            <v>1.3636555157188281</v>
          </cell>
          <cell r="G409">
            <v>0.98293893203081317</v>
          </cell>
          <cell r="H409">
            <v>1.1950596741220449</v>
          </cell>
          <cell r="I409">
            <v>1.2620303317704771</v>
          </cell>
          <cell r="J409">
            <v>1.218285389855025</v>
          </cell>
          <cell r="K409">
            <v>1.2503613474982695</v>
          </cell>
          <cell r="L409">
            <v>1.2355519955001928</v>
          </cell>
          <cell r="M409">
            <v>1.0976760700402237</v>
          </cell>
          <cell r="N409">
            <v>1.2609968506088436</v>
          </cell>
          <cell r="O409">
            <v>1.1756852328884553</v>
          </cell>
        </row>
        <row r="410">
          <cell r="A410" t="str">
            <v>RHSA-WHDEM</v>
          </cell>
          <cell r="B410" t="str">
            <v>VAR_fin</v>
          </cell>
          <cell r="C410" t="str">
            <v>RHSA-WHELCB</v>
          </cell>
          <cell r="D410">
            <v>6.4543427939521658</v>
          </cell>
          <cell r="E410">
            <v>6.968323519855506</v>
          </cell>
          <cell r="F410">
            <v>5.9392041633143631</v>
          </cell>
          <cell r="G410">
            <v>4.4142938109210963</v>
          </cell>
          <cell r="H410">
            <v>2.0326743622732484</v>
          </cell>
          <cell r="I410">
            <v>1.231353104481653</v>
          </cell>
          <cell r="J410">
            <v>0.79807741372590491</v>
          </cell>
          <cell r="K410">
            <v>1.7142949029487342</v>
          </cell>
          <cell r="L410">
            <v>1.4007840725717065</v>
          </cell>
          <cell r="M410">
            <v>1.1950389221633704</v>
          </cell>
          <cell r="N410">
            <v>0.72869954368317214</v>
          </cell>
          <cell r="O410">
            <v>0.39461993821454716</v>
          </cell>
        </row>
        <row r="411">
          <cell r="A411" t="str">
            <v>RHSA-WHDEM</v>
          </cell>
          <cell r="B411" t="str">
            <v>VAR_fin</v>
          </cell>
          <cell r="C411" t="str">
            <v>RHSA-WHSOL</v>
          </cell>
          <cell r="D411">
            <v>1.662469391694017</v>
          </cell>
          <cell r="E411">
            <v>1.9869173172295498</v>
          </cell>
          <cell r="F411">
            <v>1.511570711561826</v>
          </cell>
          <cell r="G411">
            <v>1.5650718473303973</v>
          </cell>
          <cell r="H411">
            <v>1.0421003028053619</v>
          </cell>
          <cell r="I411">
            <v>1.5978238058956107</v>
          </cell>
          <cell r="J411">
            <v>2.9200093052252782</v>
          </cell>
          <cell r="K411">
            <v>3.3227398065556706</v>
          </cell>
          <cell r="L411">
            <v>2.5944732068574954</v>
          </cell>
          <cell r="M411">
            <v>0.18488998808270352</v>
          </cell>
          <cell r="N411">
            <v>2.3337290330407852</v>
          </cell>
          <cell r="O411">
            <v>1.5138773771593259</v>
          </cell>
        </row>
        <row r="412">
          <cell r="A412" t="str">
            <v>RHSA-WHDEM</v>
          </cell>
          <cell r="B412" t="str">
            <v>VAR_fin</v>
          </cell>
          <cell r="C412" t="str">
            <v>RHSA-WHELCH</v>
          </cell>
          <cell r="D412">
            <v>3.1129586148096746</v>
          </cell>
          <cell r="E412">
            <v>3.6350791488267489</v>
          </cell>
          <cell r="F412">
            <v>5.0363334127150319</v>
          </cell>
          <cell r="G412">
            <v>8.0328177641596419</v>
          </cell>
          <cell r="H412">
            <v>12.834685076063808</v>
          </cell>
          <cell r="I412">
            <v>16.878839332553561</v>
          </cell>
          <cell r="J412">
            <v>16.44828090386444</v>
          </cell>
          <cell r="K412">
            <v>16.153005330747487</v>
          </cell>
          <cell r="L412">
            <v>17.751740847411334</v>
          </cell>
          <cell r="M412">
            <v>20.361250243938027</v>
          </cell>
          <cell r="N412">
            <v>17.449352671675335</v>
          </cell>
          <cell r="O412">
            <v>19.162635267228044</v>
          </cell>
        </row>
        <row r="413">
          <cell r="A413" t="str">
            <v>RHSA-WHNGAHP</v>
          </cell>
          <cell r="B413" t="str">
            <v>VAR_fout</v>
          </cell>
          <cell r="C413" t="str">
            <v>RHSA-WHANGAH</v>
          </cell>
          <cell r="F413">
            <v>7.6250342598741866E-3</v>
          </cell>
          <cell r="G413">
            <v>9.1636719233431172E-3</v>
          </cell>
          <cell r="H413">
            <v>0.8934094758649036</v>
          </cell>
          <cell r="I413">
            <v>0.88167979913383832</v>
          </cell>
          <cell r="J413">
            <v>1.4578723865864174</v>
          </cell>
          <cell r="K413">
            <v>0.59235248245549443</v>
          </cell>
          <cell r="L413">
            <v>0.59282659409056992</v>
          </cell>
          <cell r="M413">
            <v>0.59397373352900662</v>
          </cell>
          <cell r="N413">
            <v>0.59397652275666879</v>
          </cell>
          <cell r="O413">
            <v>0.59386206768262928</v>
          </cell>
        </row>
        <row r="414">
          <cell r="A414" t="str">
            <v>RHSA-WHNGAHP</v>
          </cell>
          <cell r="B414" t="str">
            <v>VAR_fout</v>
          </cell>
          <cell r="C414" t="str">
            <v>CO2_R</v>
          </cell>
          <cell r="F414">
            <v>0.25282300544203701</v>
          </cell>
          <cell r="G414">
            <v>0.30224040729622897</v>
          </cell>
          <cell r="H414">
            <v>28.6622835260413</v>
          </cell>
          <cell r="I414">
            <v>27.534186418133199</v>
          </cell>
          <cell r="J414">
            <v>44.711257533156001</v>
          </cell>
          <cell r="K414">
            <v>17.846517099620701</v>
          </cell>
          <cell r="L414">
            <v>17.860801232215898</v>
          </cell>
          <cell r="M414">
            <v>17.895362484527801</v>
          </cell>
          <cell r="N414">
            <v>17.895446518950902</v>
          </cell>
          <cell r="O414">
            <v>17.891998193002301</v>
          </cell>
        </row>
        <row r="415">
          <cell r="A415" t="str">
            <v>RHSA-WHNGAHP</v>
          </cell>
          <cell r="B415" t="str">
            <v>VAR_fin</v>
          </cell>
          <cell r="C415" t="str">
            <v>RNGA</v>
          </cell>
          <cell r="F415">
            <v>4.4826774014545519E-3</v>
          </cell>
          <cell r="G415">
            <v>5.3588724697913055E-3</v>
          </cell>
          <cell r="H415">
            <v>0.50819651641917196</v>
          </cell>
          <cell r="I415">
            <v>0.48819479464775151</v>
          </cell>
          <cell r="J415">
            <v>0.79275279314106351</v>
          </cell>
          <cell r="K415">
            <v>0.31642760814930238</v>
          </cell>
          <cell r="L415">
            <v>0.31668087291162922</v>
          </cell>
          <cell r="M415">
            <v>0.31729366107318735</v>
          </cell>
          <cell r="N415">
            <v>0.31729515104522915</v>
          </cell>
          <cell r="O415">
            <v>0.31723401051422495</v>
          </cell>
        </row>
        <row r="416">
          <cell r="A416" t="str">
            <v>RHSA-WHNGAHP</v>
          </cell>
          <cell r="B416" t="str">
            <v>VAR_ncap</v>
          </cell>
          <cell r="C416" t="str">
            <v>-</v>
          </cell>
          <cell r="E416">
            <v>8.5733794955926205E-6</v>
          </cell>
          <cell r="F416">
            <v>6.7578231183582104E-4</v>
          </cell>
          <cell r="G416">
            <v>9.5159570172529794E-6</v>
          </cell>
          <cell r="H416">
            <v>6.0158595114551801E-2</v>
          </cell>
          <cell r="I416">
            <v>2.3738380018036701E-5</v>
          </cell>
          <cell r="J416">
            <v>3.9518978196882E-2</v>
          </cell>
          <cell r="K416">
            <v>2.0773950673621598E-3</v>
          </cell>
          <cell r="L416">
            <v>4.2463983819325804E-3</v>
          </cell>
          <cell r="M416">
            <v>3.3260083980644499E-2</v>
          </cell>
          <cell r="N416">
            <v>4.1962900912617899E-3</v>
          </cell>
          <cell r="O416">
            <v>3.41808418741697E-3</v>
          </cell>
        </row>
        <row r="417">
          <cell r="A417" t="str">
            <v>RHSA-WHNGAHP</v>
          </cell>
          <cell r="B417" t="str">
            <v>VAR_cap</v>
          </cell>
          <cell r="C417" t="str">
            <v>-</v>
          </cell>
          <cell r="D417">
            <v>4.7729432218241499E-11</v>
          </cell>
          <cell r="E417">
            <v>8.4574819818588809E-6</v>
          </cell>
          <cell r="F417">
            <v>6.8373747952501498E-4</v>
          </cell>
          <cell r="G417">
            <v>6.9267342315478052E-4</v>
          </cell>
          <cell r="H417">
            <v>6.0845979074244189E-2</v>
          </cell>
          <cell r="I417">
            <v>6.032955935753305E-2</v>
          </cell>
          <cell r="J417">
            <v>9.9699952845367784E-2</v>
          </cell>
          <cell r="K417">
            <v>4.161792055682903E-2</v>
          </cell>
          <cell r="L417">
            <v>4.0607674213577263E-2</v>
          </cell>
          <cell r="M417">
            <v>3.9581194164320967E-2</v>
          </cell>
          <cell r="N417">
            <v>4.0720687108642843E-2</v>
          </cell>
          <cell r="O417">
            <v>4.087146700396041E-2</v>
          </cell>
        </row>
        <row r="418">
          <cell r="A418" t="str">
            <v>SCOM-SHSTG-ELCHP</v>
          </cell>
          <cell r="B418" t="str">
            <v>VAR_fout</v>
          </cell>
          <cell r="C418" t="str">
            <v>SCOM-SHAELCH</v>
          </cell>
          <cell r="D418">
            <v>1.541871800118397E-5</v>
          </cell>
          <cell r="E418">
            <v>1.6365500481638903E-5</v>
          </cell>
          <cell r="F418">
            <v>4.7756564011753502E-2</v>
          </cell>
          <cell r="G418">
            <v>2.9966682369383962E-2</v>
          </cell>
          <cell r="H418">
            <v>1.0063042541454581</v>
          </cell>
          <cell r="I418">
            <v>0.88646537141480808</v>
          </cell>
          <cell r="J418">
            <v>1.5087522800320969</v>
          </cell>
          <cell r="K418">
            <v>5.4359653709392628</v>
          </cell>
          <cell r="L418">
            <v>0.69728747194054896</v>
          </cell>
          <cell r="M418">
            <v>0.10387710248170225</v>
          </cell>
          <cell r="N418">
            <v>1.0172593004270749</v>
          </cell>
          <cell r="O418">
            <v>2.0024698076504039</v>
          </cell>
        </row>
        <row r="419">
          <cell r="A419" t="str">
            <v>SCOM-SHSTG-ELCHP</v>
          </cell>
          <cell r="B419" t="str">
            <v>VAR_fin</v>
          </cell>
          <cell r="C419" t="str">
            <v>SCOM-SHAELCH</v>
          </cell>
          <cell r="D419">
            <v>2.252421699718679E-5</v>
          </cell>
          <cell r="E419">
            <v>2.3186778020028957E-5</v>
          </cell>
          <cell r="F419">
            <v>6.166596825544586E-2</v>
          </cell>
          <cell r="G419">
            <v>3.7501555141878258E-2</v>
          </cell>
          <cell r="H419">
            <v>1.219807427557674</v>
          </cell>
          <cell r="I419">
            <v>1.0429439708687027</v>
          </cell>
          <cell r="J419">
            <v>1.7243339606340962</v>
          </cell>
          <cell r="K419">
            <v>6.040060188062542</v>
          </cell>
          <cell r="L419">
            <v>0.77488295936581575</v>
          </cell>
          <cell r="M419">
            <v>0.115541993976384</v>
          </cell>
          <cell r="N419">
            <v>1.1304362877497858</v>
          </cell>
          <cell r="O419">
            <v>2.2251486112621581</v>
          </cell>
        </row>
        <row r="420">
          <cell r="A420" t="str">
            <v>SCOM-SHSTG-ELCHP</v>
          </cell>
          <cell r="B420" t="str">
            <v>VAR_ncap</v>
          </cell>
          <cell r="C420" t="str">
            <v>-</v>
          </cell>
          <cell r="D420">
            <v>3.3411369079651997E-2</v>
          </cell>
          <cell r="E420">
            <v>6.8115848721515201E-2</v>
          </cell>
          <cell r="F420">
            <v>2.1321691166019201E-4</v>
          </cell>
          <cell r="G420">
            <v>1.9731063273844499E-4</v>
          </cell>
          <cell r="H420">
            <v>5.7952300512976701E-2</v>
          </cell>
          <cell r="I420">
            <v>4.4262459722795598E-2</v>
          </cell>
          <cell r="J420">
            <v>7.8742036423378892E-3</v>
          </cell>
          <cell r="K420">
            <v>0.23321915364971901</v>
          </cell>
          <cell r="L420">
            <v>7.3375289160161103E-2</v>
          </cell>
          <cell r="M420">
            <v>4.2026028395707599E-2</v>
          </cell>
          <cell r="N420">
            <v>0.248603984816226</v>
          </cell>
          <cell r="O420">
            <v>0.14915178646756899</v>
          </cell>
        </row>
        <row r="421">
          <cell r="A421" t="str">
            <v>SCOM-SHSTG-ELCHP</v>
          </cell>
          <cell r="B421" t="str">
            <v>VAR_cap</v>
          </cell>
          <cell r="C421" t="str">
            <v>-</v>
          </cell>
          <cell r="D421">
            <v>3.3411369079651997E-2</v>
          </cell>
          <cell r="E421">
            <v>0.10132145358591033</v>
          </cell>
          <cell r="F421">
            <v>0.10132100797922305</v>
          </cell>
          <cell r="G421">
            <v>0.10132180884483641</v>
          </cell>
          <cell r="H421">
            <v>0.10124116204737893</v>
          </cell>
          <cell r="I421">
            <v>0.10223550003271491</v>
          </cell>
          <cell r="J421">
            <v>0.10976807677893444</v>
          </cell>
          <cell r="K421">
            <v>0.28471174837274044</v>
          </cell>
          <cell r="L421">
            <v>0.31924484111635465</v>
          </cell>
          <cell r="M421">
            <v>0.34719063498459318</v>
          </cell>
          <cell r="N421">
            <v>0.38034676046466659</v>
          </cell>
          <cell r="O421">
            <v>0.43848167111518938</v>
          </cell>
        </row>
        <row r="422">
          <cell r="A422" t="str">
            <v>RHEM-SHLFOBR</v>
          </cell>
          <cell r="B422" t="str">
            <v>VAR_fout</v>
          </cell>
          <cell r="C422" t="str">
            <v>CO2_R</v>
          </cell>
          <cell r="D422">
            <v>1928.7126367556</v>
          </cell>
          <cell r="E422">
            <v>1530.6288470971299</v>
          </cell>
          <cell r="F422">
            <v>1598.2026193177001</v>
          </cell>
          <cell r="G422">
            <v>1199.7087740084401</v>
          </cell>
          <cell r="H422">
            <v>500.061749661303</v>
          </cell>
          <cell r="I422">
            <v>0.82436053057345204</v>
          </cell>
          <cell r="J422">
            <v>0.66364882684326698</v>
          </cell>
          <cell r="K422">
            <v>0.65869977190691797</v>
          </cell>
          <cell r="L422">
            <v>0.432118981697594</v>
          </cell>
          <cell r="M422">
            <v>0.431339603055378</v>
          </cell>
          <cell r="N422">
            <v>0.43086885333032798</v>
          </cell>
          <cell r="O422">
            <v>0.35454767953137001</v>
          </cell>
        </row>
        <row r="423">
          <cell r="A423" t="str">
            <v>RHEM-SHLFOBR</v>
          </cell>
          <cell r="B423" t="str">
            <v>VAR_fout</v>
          </cell>
          <cell r="C423" t="str">
            <v>RHEM-SHLFO</v>
          </cell>
          <cell r="D423">
            <v>23.443759435914419</v>
          </cell>
          <cell r="E423">
            <v>18.604997858767746</v>
          </cell>
          <cell r="F423">
            <v>19.426366076057565</v>
          </cell>
          <cell r="G423">
            <v>14.582620217764307</v>
          </cell>
          <cell r="H423">
            <v>6.0783172872670921</v>
          </cell>
          <cell r="I423">
            <v>1.0020212238426742E-2</v>
          </cell>
          <cell r="J423">
            <v>8.0667400368217082E-3</v>
          </cell>
          <cell r="K423">
            <v>8.0065836137487231E-3</v>
          </cell>
          <cell r="L423">
            <v>5.252463877486584E-3</v>
          </cell>
          <cell r="M423">
            <v>5.2429904261027975E-3</v>
          </cell>
          <cell r="N423">
            <v>5.2372684003856081E-3</v>
          </cell>
          <cell r="O423">
            <v>4.309574349798991E-3</v>
          </cell>
        </row>
        <row r="424">
          <cell r="A424" t="str">
            <v>RHEM-SHLFOBR</v>
          </cell>
          <cell r="B424" t="str">
            <v>VAR_fin</v>
          </cell>
          <cell r="C424" t="str">
            <v>RLFO</v>
          </cell>
          <cell r="D424">
            <v>26.169777974974199</v>
          </cell>
          <cell r="E424">
            <v>20.768369702810475</v>
          </cell>
          <cell r="F424">
            <v>21.685245852343332</v>
          </cell>
          <cell r="G424">
            <v>16.278273731457812</v>
          </cell>
          <cell r="H424">
            <v>6.7850983671818677</v>
          </cell>
          <cell r="I424">
            <v>1.1185353196383327E-2</v>
          </cell>
          <cell r="J424">
            <v>9.0047330643591179E-3</v>
          </cell>
          <cell r="K424">
            <v>8.9375817083706659E-3</v>
          </cell>
          <cell r="L424">
            <v>5.8632154911478114E-3</v>
          </cell>
          <cell r="M424">
            <v>5.8526404756496214E-3</v>
          </cell>
          <cell r="N424">
            <v>5.8462530981048585E-3</v>
          </cell>
          <cell r="O424">
            <v>4.8106876462872409E-3</v>
          </cell>
        </row>
        <row r="425">
          <cell r="A425" t="str">
            <v>RHEM-SHLFOBR</v>
          </cell>
          <cell r="B425" t="str">
            <v>VAR_ncap</v>
          </cell>
          <cell r="C425" t="str">
            <v>-</v>
          </cell>
          <cell r="E425">
            <v>2.2608869669992898E-6</v>
          </cell>
          <cell r="F425">
            <v>3.01503786520896E-6</v>
          </cell>
          <cell r="G425">
            <v>3.1807173630669502E-6</v>
          </cell>
          <cell r="H425">
            <v>7.05289948317932E-4</v>
          </cell>
          <cell r="I425">
            <v>1.7701219493437801E-4</v>
          </cell>
          <cell r="J425">
            <v>5.97537736568633E-6</v>
          </cell>
          <cell r="K425">
            <v>5.5691505183068303E-4</v>
          </cell>
          <cell r="L425">
            <v>8.1681841957624503E-6</v>
          </cell>
          <cell r="M425">
            <v>3.6091247366500002E-5</v>
          </cell>
          <cell r="N425">
            <v>4.2199233535716E-4</v>
          </cell>
          <cell r="O425">
            <v>5.6245618407170003E-5</v>
          </cell>
        </row>
        <row r="426">
          <cell r="A426" t="str">
            <v>RHEM-SHLFOBR</v>
          </cell>
          <cell r="B426" t="str">
            <v>VAR_cap</v>
          </cell>
          <cell r="C426" t="str">
            <v>-</v>
          </cell>
          <cell r="D426">
            <v>1.65587464377338</v>
          </cell>
          <cell r="E426">
            <v>1.6558711041401588</v>
          </cell>
          <cell r="F426">
            <v>1.6558674881446667</v>
          </cell>
          <cell r="G426">
            <v>1.6558531208849006</v>
          </cell>
          <cell r="H426">
            <v>0.43012696416187307</v>
          </cell>
          <cell r="I426">
            <v>8.8187410969254774E-4</v>
          </cell>
          <cell r="J426">
            <v>8.713538043014495E-4</v>
          </cell>
          <cell r="K426">
            <v>7.3376943408691431E-4</v>
          </cell>
          <cell r="L426">
            <v>5.892531454887006E-4</v>
          </cell>
          <cell r="M426">
            <v>5.9492694656648846E-4</v>
          </cell>
          <cell r="N426">
            <v>5.5561161998200748E-4</v>
          </cell>
          <cell r="O426">
            <v>5.0826351351808516E-4</v>
          </cell>
        </row>
        <row r="427">
          <cell r="A427" t="str">
            <v>RHES-SHNGAHP</v>
          </cell>
          <cell r="B427" t="str">
            <v>VAR_fout</v>
          </cell>
          <cell r="C427" t="str">
            <v>RHES-SHANGAH</v>
          </cell>
          <cell r="F427">
            <v>9.0890435784665696E-3</v>
          </cell>
          <cell r="G427">
            <v>9.3836136742107903E-3</v>
          </cell>
          <cell r="H427">
            <v>3.9142746762920253</v>
          </cell>
          <cell r="I427">
            <v>3.9012540163451108</v>
          </cell>
          <cell r="J427">
            <v>3.8991919366559014</v>
          </cell>
          <cell r="K427">
            <v>1.1204665974218124E-2</v>
          </cell>
          <cell r="L427">
            <v>1.117503688697891E-2</v>
          </cell>
          <cell r="M427">
            <v>1.1164638284738473E-2</v>
          </cell>
          <cell r="N427">
            <v>1.1156582383386425E-2</v>
          </cell>
          <cell r="O427">
            <v>1.1142811549074547E-2</v>
          </cell>
        </row>
        <row r="428">
          <cell r="A428" t="str">
            <v>RHES-SHNGAHP</v>
          </cell>
          <cell r="B428" t="str">
            <v>VAR_fout</v>
          </cell>
          <cell r="C428" t="str">
            <v>CO2_R</v>
          </cell>
          <cell r="F428">
            <v>0.25631102891275798</v>
          </cell>
          <cell r="G428">
            <v>0.254440293858408</v>
          </cell>
          <cell r="H428">
            <v>102.68143801994</v>
          </cell>
          <cell r="I428">
            <v>99.112939874713604</v>
          </cell>
          <cell r="J428">
            <v>96.453695275172393</v>
          </cell>
          <cell r="K428">
            <v>0.27006117989141099</v>
          </cell>
          <cell r="L428">
            <v>0.26934704291692801</v>
          </cell>
          <cell r="M428">
            <v>0.26909640993985001</v>
          </cell>
          <cell r="N428">
            <v>0.26890224206110902</v>
          </cell>
          <cell r="O428">
            <v>0.26857032964436101</v>
          </cell>
        </row>
        <row r="429">
          <cell r="A429" t="str">
            <v>RHES-SHNGAHP</v>
          </cell>
          <cell r="B429" t="str">
            <v>VAR_fin</v>
          </cell>
          <cell r="C429" t="str">
            <v>RHESELCHPC</v>
          </cell>
          <cell r="F429">
            <v>9.0890435784665696E-3</v>
          </cell>
          <cell r="G429">
            <v>9.3836136742107903E-3</v>
          </cell>
          <cell r="H429">
            <v>3.9142746762920253</v>
          </cell>
          <cell r="I429">
            <v>3.9012540163451108</v>
          </cell>
          <cell r="J429">
            <v>3.8991919366559014</v>
          </cell>
          <cell r="K429">
            <v>1.1204665974218124E-2</v>
          </cell>
          <cell r="L429">
            <v>1.117503688697891E-2</v>
          </cell>
          <cell r="M429">
            <v>1.1164638284738473E-2</v>
          </cell>
          <cell r="N429">
            <v>1.1156582383386425E-2</v>
          </cell>
          <cell r="O429">
            <v>1.1142811549074547E-2</v>
          </cell>
        </row>
        <row r="430">
          <cell r="A430" t="str">
            <v>RHES-SHNGAHP</v>
          </cell>
          <cell r="B430" t="str">
            <v>VAR_fin</v>
          </cell>
          <cell r="C430" t="str">
            <v>RNGA</v>
          </cell>
          <cell r="F430">
            <v>4.5445217892332856E-3</v>
          </cell>
          <cell r="G430">
            <v>4.5113527279859577E-3</v>
          </cell>
          <cell r="H430">
            <v>1.8205928726939653</v>
          </cell>
          <cell r="I430">
            <v>1.757321628984283</v>
          </cell>
          <cell r="J430">
            <v>1.7101719020420625</v>
          </cell>
          <cell r="K430">
            <v>4.7883187924009103E-3</v>
          </cell>
          <cell r="L430">
            <v>4.7756567893072321E-3</v>
          </cell>
          <cell r="M430">
            <v>4.7712129421959354E-3</v>
          </cell>
          <cell r="N430">
            <v>4.767770249310437E-3</v>
          </cell>
          <cell r="O430">
            <v>4.7618852773822851E-3</v>
          </cell>
        </row>
        <row r="431">
          <cell r="A431" t="str">
            <v>RHES-SHNGAHP</v>
          </cell>
          <cell r="B431" t="str">
            <v>VAR_ncap</v>
          </cell>
          <cell r="C431" t="str">
            <v>-</v>
          </cell>
          <cell r="E431">
            <v>3.8822342207430901E-6</v>
          </cell>
          <cell r="F431">
            <v>7.96094169411291E-4</v>
          </cell>
          <cell r="G431">
            <v>3.9901636175887802E-6</v>
          </cell>
          <cell r="H431">
            <v>0.31555405256328201</v>
          </cell>
          <cell r="I431">
            <v>6.1826629558835104E-5</v>
          </cell>
          <cell r="J431">
            <v>1.0174830185427799E-5</v>
          </cell>
          <cell r="K431">
            <v>1.00534121131581E-3</v>
          </cell>
          <cell r="L431">
            <v>9.6762527325652192E-6</v>
          </cell>
          <cell r="M431">
            <v>1.2951338068898299E-4</v>
          </cell>
          <cell r="N431">
            <v>7.9258130789647502E-4</v>
          </cell>
          <cell r="O431">
            <v>4.6542451899146502E-4</v>
          </cell>
        </row>
        <row r="432">
          <cell r="A432" t="str">
            <v>RHES-SHNGAHP</v>
          </cell>
          <cell r="B432" t="str">
            <v>VAR_cap</v>
          </cell>
          <cell r="C432" t="str">
            <v>-</v>
          </cell>
          <cell r="E432">
            <v>3.8822342207430901E-6</v>
          </cell>
          <cell r="F432">
            <v>7.9972390284884876E-4</v>
          </cell>
          <cell r="G432">
            <v>8.0329962617290535E-4</v>
          </cell>
          <cell r="H432">
            <v>0.31635474783267237</v>
          </cell>
          <cell r="I432">
            <v>0.31578418888376375</v>
          </cell>
          <cell r="J432">
            <v>0.31562464748915176</v>
          </cell>
          <cell r="K432">
            <v>1.0752752074908454E-3</v>
          </cell>
          <cell r="L432">
            <v>1.0308601014651678E-3</v>
          </cell>
          <cell r="M432">
            <v>1.1418661223668634E-3</v>
          </cell>
          <cell r="N432">
            <v>1.1034588757402376E-3</v>
          </cell>
          <cell r="O432">
            <v>1.3845226567062634E-3</v>
          </cell>
        </row>
        <row r="433">
          <cell r="A433" t="str">
            <v>D-RHES_LTH_CHPWOD</v>
          </cell>
          <cell r="B433" t="str">
            <v>VAR_fout</v>
          </cell>
          <cell r="C433" t="str">
            <v>RHES_LTH_CHPWOD_ON</v>
          </cell>
          <cell r="D433">
            <v>1.1806581966976576E-5</v>
          </cell>
          <cell r="E433">
            <v>1.5989213297576794E-5</v>
          </cell>
          <cell r="F433">
            <v>1.1505117660424088E-6</v>
          </cell>
          <cell r="G433">
            <v>2.226215783914358E-3</v>
          </cell>
          <cell r="H433">
            <v>5.2985189178794403E-3</v>
          </cell>
          <cell r="I433">
            <v>1.2764779856422366E-2</v>
          </cell>
          <cell r="J433">
            <v>1.5813772239818571E-2</v>
          </cell>
          <cell r="K433">
            <v>2.9529212838816238E-2</v>
          </cell>
          <cell r="L433">
            <v>2.1225364880275752E-2</v>
          </cell>
          <cell r="M433">
            <v>1.4093605437246694E-2</v>
          </cell>
          <cell r="N433">
            <v>2.0602449037147311E-2</v>
          </cell>
          <cell r="O433">
            <v>1.7683777285639683E-2</v>
          </cell>
        </row>
        <row r="434">
          <cell r="A434" t="str">
            <v>D-RHES_LTH_CHPWOD</v>
          </cell>
          <cell r="B434" t="str">
            <v>VAR_fout</v>
          </cell>
          <cell r="C434" t="str">
            <v>RHSA_LTH</v>
          </cell>
          <cell r="D434">
            <v>1.0366427078334256E-5</v>
          </cell>
          <cell r="E434">
            <v>1.403395883110338E-5</v>
          </cell>
          <cell r="F434">
            <v>2.3703088618673343E-5</v>
          </cell>
          <cell r="G434">
            <v>1.7842342386263787E-4</v>
          </cell>
          <cell r="H434">
            <v>4.8907688340389805E-5</v>
          </cell>
          <cell r="I434">
            <v>4.5352008815583187E-4</v>
          </cell>
          <cell r="J434">
            <v>3.916238435050886E-4</v>
          </cell>
          <cell r="K434">
            <v>8.3401881768757277E-5</v>
          </cell>
          <cell r="L434">
            <v>2.3313157662603967E-4</v>
          </cell>
          <cell r="M434">
            <v>1.8655576006051765E-4</v>
          </cell>
          <cell r="N434">
            <v>5.3497427876823258E-4</v>
          </cell>
          <cell r="O434">
            <v>2.0466375191348471E-4</v>
          </cell>
        </row>
        <row r="435">
          <cell r="A435" t="str">
            <v>D-RHES_LTH_CHPWOD</v>
          </cell>
          <cell r="B435" t="str">
            <v>VAR_fout</v>
          </cell>
          <cell r="C435" t="str">
            <v>LTH</v>
          </cell>
          <cell r="E435">
            <v>1.2738516813035397E-5</v>
          </cell>
          <cell r="F435">
            <v>1.3381679780545669E-5</v>
          </cell>
          <cell r="G435">
            <v>2.9158066001952257E-5</v>
          </cell>
          <cell r="H435">
            <v>3.2117639006448522E-5</v>
          </cell>
          <cell r="I435">
            <v>4.7066875925461036E-5</v>
          </cell>
          <cell r="J435">
            <v>6.1283067058270723E-5</v>
          </cell>
          <cell r="K435">
            <v>6.9807197762137644E-5</v>
          </cell>
          <cell r="L435">
            <v>7.1295013931307958E-5</v>
          </cell>
          <cell r="M435">
            <v>6.3100794126544446E-5</v>
          </cell>
          <cell r="N435">
            <v>7.830855111535013E-5</v>
          </cell>
          <cell r="O435">
            <v>8.57633110343351E-5</v>
          </cell>
        </row>
        <row r="436">
          <cell r="A436" t="str">
            <v>D-RHES_LTH_CHPWOD</v>
          </cell>
          <cell r="B436" t="str">
            <v>VAR_fin</v>
          </cell>
          <cell r="C436" t="str">
            <v>RHES_LTH_CHPWOD</v>
          </cell>
          <cell r="D436">
            <v>2.2173009045310835E-5</v>
          </cell>
          <cell r="E436">
            <v>4.2761688941715593E-5</v>
          </cell>
          <cell r="F436">
            <v>3.8235280165261408E-5</v>
          </cell>
          <cell r="G436">
            <v>2.4337972737789484E-3</v>
          </cell>
          <cell r="H436">
            <v>5.379544245226275E-3</v>
          </cell>
          <cell r="I436">
            <v>1.3265366820503659E-2</v>
          </cell>
          <cell r="J436">
            <v>1.6266679150381946E-2</v>
          </cell>
          <cell r="K436">
            <v>2.9682421918347145E-2</v>
          </cell>
          <cell r="L436">
            <v>2.1529791470833098E-2</v>
          </cell>
          <cell r="M436">
            <v>1.4343261991433747E-2</v>
          </cell>
          <cell r="N436">
            <v>2.1215731867030897E-2</v>
          </cell>
          <cell r="O436">
            <v>1.7974204348587486E-2</v>
          </cell>
        </row>
        <row r="437">
          <cell r="A437" t="str">
            <v>ITOT-SWHCONBR</v>
          </cell>
          <cell r="B437" t="str">
            <v>VAR_ncap</v>
          </cell>
          <cell r="C437" t="str">
            <v>-</v>
          </cell>
          <cell r="E437">
            <v>2.2628169189979399E-8</v>
          </cell>
          <cell r="F437">
            <v>4.5764299496157997E-8</v>
          </cell>
          <cell r="G437">
            <v>3.9904444847692403E-8</v>
          </cell>
          <cell r="H437">
            <v>7.5784128623179106E-8</v>
          </cell>
          <cell r="I437">
            <v>7.3170183144584105E-8</v>
          </cell>
          <cell r="J437">
            <v>8.5091280870039594E-8</v>
          </cell>
          <cell r="K437">
            <v>1.2031548904867499E-7</v>
          </cell>
          <cell r="L437">
            <v>8.4739787652836997E-8</v>
          </cell>
          <cell r="M437">
            <v>1.2974551672047301E-7</v>
          </cell>
          <cell r="N437">
            <v>6.9385980843602004E-8</v>
          </cell>
          <cell r="O437">
            <v>1.3930897066312401E-7</v>
          </cell>
        </row>
        <row r="438">
          <cell r="A438" t="str">
            <v>ITOT-SWHCONBR</v>
          </cell>
          <cell r="B438" t="str">
            <v>VAR_cap</v>
          </cell>
          <cell r="C438" t="str">
            <v>-</v>
          </cell>
          <cell r="E438">
            <v>2.2628169189979399E-8</v>
          </cell>
          <cell r="F438">
            <v>3.7657320837998395E-8</v>
          </cell>
          <cell r="G438">
            <v>3.1814033108088204E-8</v>
          </cell>
          <cell r="H438">
            <v>4.3923830626914001E-8</v>
          </cell>
          <cell r="I438">
            <v>4.4936570264143018E-8</v>
          </cell>
          <cell r="J438">
            <v>4.6765439953646986E-8</v>
          </cell>
          <cell r="K438">
            <v>6.4153028291439977E-8</v>
          </cell>
          <cell r="L438">
            <v>5.3583741356078991E-8</v>
          </cell>
          <cell r="M438">
            <v>7.1131884538473013E-8</v>
          </cell>
          <cell r="N438">
            <v>9.7419383049232963E-8</v>
          </cell>
          <cell r="O438">
            <v>6.5314695797760892E-7</v>
          </cell>
        </row>
        <row r="439">
          <cell r="A439" t="str">
            <v>ITOT-SWHSOLBR</v>
          </cell>
          <cell r="B439" t="str">
            <v>VAR_fout</v>
          </cell>
          <cell r="C439" t="str">
            <v>ITOT-SWHASOL</v>
          </cell>
          <cell r="D439">
            <v>6.7643841174582955E-2</v>
          </cell>
          <cell r="E439">
            <v>8.5504629910869059E-2</v>
          </cell>
          <cell r="F439">
            <v>8.4059751866770782E-2</v>
          </cell>
          <cell r="G439">
            <v>8.5790528175208103E-2</v>
          </cell>
          <cell r="H439">
            <v>7.0101056862322694E-2</v>
          </cell>
          <cell r="I439">
            <v>7.8599766137742957E-2</v>
          </cell>
          <cell r="J439">
            <v>5.6677337779538005E-2</v>
          </cell>
          <cell r="K439">
            <v>8.6768660865463823E-2</v>
          </cell>
          <cell r="L439">
            <v>5.4063659843056888E-2</v>
          </cell>
          <cell r="M439">
            <v>4.8168606817597347E-2</v>
          </cell>
          <cell r="N439">
            <v>8.8235570506150635E-3</v>
          </cell>
          <cell r="O439">
            <v>4.7697291840711779E-3</v>
          </cell>
        </row>
        <row r="440">
          <cell r="A440" t="str">
            <v>ITOT-SWHSOLBR</v>
          </cell>
          <cell r="B440" t="str">
            <v>VAR_fin</v>
          </cell>
          <cell r="C440" t="str">
            <v>SOL</v>
          </cell>
          <cell r="D440">
            <v>6.7643841174582955E-2</v>
          </cell>
          <cell r="E440">
            <v>8.5504629910869059E-2</v>
          </cell>
          <cell r="F440">
            <v>8.4059751866770782E-2</v>
          </cell>
          <cell r="G440">
            <v>8.5790528175208103E-2</v>
          </cell>
          <cell r="H440">
            <v>7.0101056862322694E-2</v>
          </cell>
          <cell r="I440">
            <v>7.8599766137742957E-2</v>
          </cell>
          <cell r="J440">
            <v>5.6677337779538005E-2</v>
          </cell>
          <cell r="K440">
            <v>8.6768660865463823E-2</v>
          </cell>
          <cell r="L440">
            <v>5.4063659843056888E-2</v>
          </cell>
          <cell r="M440">
            <v>4.8168606817597347E-2</v>
          </cell>
          <cell r="N440">
            <v>8.8235570506150635E-3</v>
          </cell>
          <cell r="O440">
            <v>4.7697291840711779E-3</v>
          </cell>
        </row>
        <row r="441">
          <cell r="A441" t="str">
            <v>ITOT-SWHSOLBR</v>
          </cell>
          <cell r="B441" t="str">
            <v>VAR_ncap</v>
          </cell>
          <cell r="C441" t="str">
            <v>-</v>
          </cell>
          <cell r="E441">
            <v>2.7011269055432201E-3</v>
          </cell>
          <cell r="F441">
            <v>1.49398923645107E-6</v>
          </cell>
          <cell r="G441">
            <v>1.92958504101201E-6</v>
          </cell>
          <cell r="H441">
            <v>8.5928832802670291E-3</v>
          </cell>
          <cell r="I441">
            <v>3.9829993845993004E-3</v>
          </cell>
          <cell r="J441">
            <v>1.70139415372204E-4</v>
          </cell>
          <cell r="K441">
            <v>8.6159176440373294E-3</v>
          </cell>
          <cell r="L441">
            <v>3.39460176599148E-3</v>
          </cell>
          <cell r="M441">
            <v>7.6211737765095097E-4</v>
          </cell>
          <cell r="N441">
            <v>8.1697763398997907E-3</v>
          </cell>
          <cell r="O441">
            <v>3.85958466122062E-3</v>
          </cell>
        </row>
        <row r="442">
          <cell r="A442" t="str">
            <v>ITOT-SWHSOLBR</v>
          </cell>
          <cell r="B442" t="str">
            <v>VAR_cap</v>
          </cell>
          <cell r="C442" t="str">
            <v>-</v>
          </cell>
          <cell r="D442">
            <v>9.8214799778629808E-3</v>
          </cell>
          <cell r="E442">
            <v>1.2522606883406201E-2</v>
          </cell>
          <cell r="F442">
            <v>1.2524100872642651E-2</v>
          </cell>
          <cell r="G442">
            <v>1.2526030457683661E-2</v>
          </cell>
          <cell r="H442">
            <v>1.2527261225670591E-2</v>
          </cell>
          <cell r="I442">
            <v>1.2577758885578201E-2</v>
          </cell>
          <cell r="J442">
            <v>1.2746022080238501E-2</v>
          </cell>
          <cell r="K442">
            <v>1.2769056444008799E-2</v>
          </cell>
          <cell r="L442">
            <v>1.27701202283826E-2</v>
          </cell>
          <cell r="M442">
            <v>1.27726367876798E-2</v>
          </cell>
          <cell r="N442">
            <v>1.2776428154227099E-2</v>
          </cell>
          <cell r="O442">
            <v>1.27914783787714E-2</v>
          </cell>
        </row>
        <row r="443">
          <cell r="A443" t="str">
            <v>SCOM-SHNGAHP</v>
          </cell>
          <cell r="B443" t="str">
            <v>VAR_fout</v>
          </cell>
          <cell r="C443" t="str">
            <v>SCOM-SHANGAH</v>
          </cell>
          <cell r="F443">
            <v>7.8224328276087912E-3</v>
          </cell>
          <cell r="G443">
            <v>6.8861841698354912E-3</v>
          </cell>
          <cell r="H443">
            <v>5.9746069109868738E-2</v>
          </cell>
          <cell r="I443">
            <v>0.49399353896898268</v>
          </cell>
          <cell r="J443">
            <v>0.49361630833212899</v>
          </cell>
          <cell r="K443">
            <v>0.77064457780040319</v>
          </cell>
          <cell r="L443">
            <v>0.20856969604091086</v>
          </cell>
          <cell r="M443">
            <v>0.34800519628490206</v>
          </cell>
          <cell r="N443">
            <v>0.47094304659033664</v>
          </cell>
          <cell r="O443">
            <v>0.44442213159221738</v>
          </cell>
        </row>
        <row r="444">
          <cell r="A444" t="str">
            <v>SCOM-SHNGAHP</v>
          </cell>
          <cell r="B444" t="str">
            <v>VAR_fout</v>
          </cell>
          <cell r="C444" t="str">
            <v>CO2_S</v>
          </cell>
          <cell r="F444">
            <v>0.22282081387734101</v>
          </cell>
          <cell r="G444">
            <v>0.190382738813099</v>
          </cell>
          <cell r="H444">
            <v>1.6046087132364799</v>
          </cell>
          <cell r="I444">
            <v>12.8987201841901</v>
          </cell>
          <cell r="J444">
            <v>12.540522427897301</v>
          </cell>
          <cell r="K444">
            <v>19.063313240325801</v>
          </cell>
          <cell r="L444">
            <v>5.1593556389067396</v>
          </cell>
          <cell r="M444">
            <v>8.6085495923107391</v>
          </cell>
          <cell r="N444">
            <v>11.649643784076799</v>
          </cell>
          <cell r="O444">
            <v>10.993600097281201</v>
          </cell>
        </row>
        <row r="445">
          <cell r="A445" t="str">
            <v>SCOM-SHNGAHP</v>
          </cell>
          <cell r="B445" t="str">
            <v>VAR_fin</v>
          </cell>
          <cell r="C445" t="str">
            <v>SCOMELCHPC</v>
          </cell>
          <cell r="F445">
            <v>7.8224328276087912E-3</v>
          </cell>
          <cell r="G445">
            <v>6.8861841698354912E-3</v>
          </cell>
          <cell r="H445">
            <v>5.9746069109868738E-2</v>
          </cell>
          <cell r="I445">
            <v>0.49399353896898268</v>
          </cell>
          <cell r="J445">
            <v>0.49361630833212899</v>
          </cell>
          <cell r="K445">
            <v>0.77064457780040319</v>
          </cell>
          <cell r="L445">
            <v>0.20856969604091086</v>
          </cell>
          <cell r="M445">
            <v>0.34800519628490206</v>
          </cell>
          <cell r="N445">
            <v>0.47094304659033664</v>
          </cell>
          <cell r="O445">
            <v>0.44442213159221738</v>
          </cell>
        </row>
        <row r="446">
          <cell r="A446" t="str">
            <v>SCOM-SHNGAHP</v>
          </cell>
          <cell r="B446" t="str">
            <v>VAR_fin</v>
          </cell>
          <cell r="C446" t="str">
            <v>SNGA</v>
          </cell>
          <cell r="F446">
            <v>3.9507236503074656E-3</v>
          </cell>
          <cell r="G446">
            <v>3.3755804754095576E-3</v>
          </cell>
          <cell r="H446">
            <v>2.8450509099937498E-2</v>
          </cell>
          <cell r="I446">
            <v>0.2287007124856402</v>
          </cell>
          <cell r="J446">
            <v>0.22234968843789588</v>
          </cell>
          <cell r="K446">
            <v>0.33800200780719442</v>
          </cell>
          <cell r="L446">
            <v>9.147793686004857E-2</v>
          </cell>
          <cell r="M446">
            <v>0.15263385801969392</v>
          </cell>
          <cell r="N446">
            <v>0.2065539678027791</v>
          </cell>
          <cell r="O446">
            <v>0.1949219875404464</v>
          </cell>
        </row>
        <row r="447">
          <cell r="A447" t="str">
            <v>SCOM-SHNGAHP</v>
          </cell>
          <cell r="B447" t="str">
            <v>VAR_ncap</v>
          </cell>
          <cell r="C447" t="str">
            <v>-</v>
          </cell>
          <cell r="D447">
            <v>3.0773827900938301E-6</v>
          </cell>
          <cell r="E447">
            <v>1.5977047529087799E-4</v>
          </cell>
          <cell r="F447">
            <v>4.5246932863034098E-4</v>
          </cell>
          <cell r="G447">
            <v>1.57150333020917E-5</v>
          </cell>
          <cell r="H447">
            <v>4.0745270238968199E-3</v>
          </cell>
          <cell r="I447">
            <v>3.4328300836844301E-2</v>
          </cell>
          <cell r="J447">
            <v>5.0523590635574802E-5</v>
          </cell>
          <cell r="K447">
            <v>2.5702731626299501E-2</v>
          </cell>
          <cell r="L447">
            <v>5.6116498889682999E-5</v>
          </cell>
          <cell r="M447">
            <v>2.0262886107394601E-3</v>
          </cell>
          <cell r="N447">
            <v>3.0477327702429301E-2</v>
          </cell>
          <cell r="O447">
            <v>4.03399879095014E-3</v>
          </cell>
        </row>
        <row r="448">
          <cell r="A448" t="str">
            <v>SCOM-SHNGAHP</v>
          </cell>
          <cell r="B448" t="str">
            <v>VAR_cap</v>
          </cell>
          <cell r="C448" t="str">
            <v>-</v>
          </cell>
          <cell r="D448">
            <v>3.0773827900938301E-6</v>
          </cell>
          <cell r="E448">
            <v>1.6263862077329076E-4</v>
          </cell>
          <cell r="F448">
            <v>6.1380584787167763E-4</v>
          </cell>
          <cell r="G448">
            <v>6.2811622420529416E-4</v>
          </cell>
          <cell r="H448">
            <v>4.620683347092259E-3</v>
          </cell>
          <cell r="I448">
            <v>3.8503705677975383E-2</v>
          </cell>
          <cell r="J448">
            <v>3.845021043447721E-2</v>
          </cell>
          <cell r="K448">
            <v>6.0073673037274532E-2</v>
          </cell>
          <cell r="L448">
            <v>2.6656616730830109E-2</v>
          </cell>
          <cell r="M448">
            <v>2.7775925148724876E-2</v>
          </cell>
          <cell r="N448">
            <v>3.7081771214429585E-2</v>
          </cell>
          <cell r="O448">
            <v>3.6528272712999382E-2</v>
          </cell>
        </row>
        <row r="449">
          <cell r="A449" t="str">
            <v>D-RHNM_LTH_CHPNGA</v>
          </cell>
          <cell r="B449" t="str">
            <v>VAR_fout</v>
          </cell>
          <cell r="C449" t="str">
            <v>RHSA_LTH</v>
          </cell>
          <cell r="D449">
            <v>1.5192086533140821E-5</v>
          </cell>
          <cell r="E449">
            <v>5.5511270258524377E-3</v>
          </cell>
          <cell r="F449">
            <v>3.7350288803731048E-3</v>
          </cell>
          <cell r="G449">
            <v>6.9140765264272209E-4</v>
          </cell>
          <cell r="H449">
            <v>2.8364133946061831E-5</v>
          </cell>
          <cell r="I449">
            <v>5.5594212129608106E-4</v>
          </cell>
          <cell r="J449">
            <v>2.1651805492158193E-5</v>
          </cell>
          <cell r="K449">
            <v>2.1208605940938038E-5</v>
          </cell>
          <cell r="L449">
            <v>5.5894148530957592E-4</v>
          </cell>
          <cell r="M449">
            <v>1.480101898369111E-4</v>
          </cell>
          <cell r="N449">
            <v>3.5678504041912933E-3</v>
          </cell>
          <cell r="O449">
            <v>5.8091375758290304E-5</v>
          </cell>
        </row>
        <row r="450">
          <cell r="A450" t="str">
            <v>D-RHNM_LTH_CHPNGA</v>
          </cell>
          <cell r="B450" t="str">
            <v>VAR_fout</v>
          </cell>
          <cell r="C450" t="str">
            <v>LTH</v>
          </cell>
          <cell r="E450">
            <v>2.4385447697931005E-5</v>
          </cell>
          <cell r="F450">
            <v>3.7118088283255244E-5</v>
          </cell>
          <cell r="G450">
            <v>4.7321142940612569E-5</v>
          </cell>
          <cell r="H450">
            <v>5.9331123255533531E-5</v>
          </cell>
          <cell r="I450">
            <v>5.2337012254262713E-5</v>
          </cell>
          <cell r="J450">
            <v>1.4248392115224025E-5</v>
          </cell>
          <cell r="K450">
            <v>1.3724537884393063E-5</v>
          </cell>
          <cell r="L450">
            <v>5.0141877764445499E-5</v>
          </cell>
          <cell r="M450">
            <v>8.0063879857299278E-5</v>
          </cell>
          <cell r="N450">
            <v>5.7971768476630168E-5</v>
          </cell>
          <cell r="O450">
            <v>9.5093287184785466E-5</v>
          </cell>
        </row>
        <row r="451">
          <cell r="A451" t="str">
            <v>D-RHNM_LTH_CHPNGA</v>
          </cell>
          <cell r="B451" t="str">
            <v>VAR_fout</v>
          </cell>
          <cell r="C451" t="str">
            <v>RHNM_LTH_CHPNGA_ON</v>
          </cell>
          <cell r="D451">
            <v>6.9809080536533739E-6</v>
          </cell>
          <cell r="E451">
            <v>3.2220431803084474E-3</v>
          </cell>
          <cell r="F451">
            <v>2.8016196113108911E-2</v>
          </cell>
          <cell r="G451">
            <v>2.8204874224122319E-2</v>
          </cell>
          <cell r="H451">
            <v>3.1846397507068962E-2</v>
          </cell>
          <cell r="I451">
            <v>1.8427391147469462E-2</v>
          </cell>
          <cell r="J451">
            <v>4.9032812674687769E-6</v>
          </cell>
          <cell r="K451">
            <v>2.5282225817271539E-6</v>
          </cell>
          <cell r="L451">
            <v>9.9167618222045142E-3</v>
          </cell>
          <cell r="M451">
            <v>2.1391325270661614E-2</v>
          </cell>
          <cell r="N451">
            <v>7.1823040965225213E-3</v>
          </cell>
          <cell r="O451">
            <v>2.0823192394423436E-2</v>
          </cell>
        </row>
        <row r="452">
          <cell r="A452" t="str">
            <v>D-RHNM_LTH_CHPNGA</v>
          </cell>
          <cell r="B452" t="str">
            <v>VAR_fin</v>
          </cell>
          <cell r="C452" t="str">
            <v>RHNM_LTH_CHPNGA</v>
          </cell>
          <cell r="D452">
            <v>2.2172994586794207E-5</v>
          </cell>
          <cell r="E452">
            <v>8.7975556538588216E-3</v>
          </cell>
          <cell r="F452">
            <v>3.1788343081765327E-2</v>
          </cell>
          <cell r="G452">
            <v>2.8943603019705621E-2</v>
          </cell>
          <cell r="H452">
            <v>3.1934092764270561E-2</v>
          </cell>
          <cell r="I452">
            <v>1.9035670281019809E-2</v>
          </cell>
          <cell r="J452">
            <v>4.0803478874850956E-5</v>
          </cell>
          <cell r="K452">
            <v>3.7461366407058244E-5</v>
          </cell>
          <cell r="L452">
            <v>1.0525845185278533E-2</v>
          </cell>
          <cell r="M452">
            <v>2.1619399340355828E-2</v>
          </cell>
          <cell r="N452">
            <v>1.0808126269190442E-2</v>
          </cell>
          <cell r="O452">
            <v>2.0976377057366522E-2</v>
          </cell>
        </row>
        <row r="453">
          <cell r="A453" t="str">
            <v>RHNM-SHELCHP</v>
          </cell>
          <cell r="B453" t="str">
            <v>VAR_fout</v>
          </cell>
          <cell r="C453" t="str">
            <v>RHNM-SHAELCH</v>
          </cell>
          <cell r="E453">
            <v>0.53028155469970095</v>
          </cell>
          <cell r="F453">
            <v>2.1961154999676884</v>
          </cell>
          <cell r="G453">
            <v>4.3162134529350062</v>
          </cell>
          <cell r="H453">
            <v>6.0318463213901694</v>
          </cell>
          <cell r="I453">
            <v>7.5789605812605725</v>
          </cell>
          <cell r="J453">
            <v>8.8099111458226282</v>
          </cell>
          <cell r="K453">
            <v>10.12391604813477</v>
          </cell>
          <cell r="L453">
            <v>10.87104921425351</v>
          </cell>
          <cell r="M453">
            <v>11.034914850137325</v>
          </cell>
          <cell r="N453">
            <v>11.034964187987239</v>
          </cell>
          <cell r="O453">
            <v>11.035068241869096</v>
          </cell>
        </row>
        <row r="454">
          <cell r="A454" t="str">
            <v>RHNM-SHELCHP</v>
          </cell>
          <cell r="B454" t="str">
            <v>VAR_fin</v>
          </cell>
          <cell r="C454" t="str">
            <v>RHNM_ELC</v>
          </cell>
          <cell r="E454">
            <v>0.16299637951835058</v>
          </cell>
          <cell r="F454">
            <v>0.65883464999030561</v>
          </cell>
          <cell r="G454">
            <v>1.2450615729620216</v>
          </cell>
          <cell r="H454">
            <v>1.6833059501553937</v>
          </cell>
          <cell r="I454">
            <v>2.0483677246650172</v>
          </cell>
          <cell r="J454">
            <v>2.318397669953324</v>
          </cell>
          <cell r="K454">
            <v>2.5958759097781465</v>
          </cell>
          <cell r="L454">
            <v>2.7874485164752616</v>
          </cell>
          <cell r="M454">
            <v>2.8294653461890604</v>
          </cell>
          <cell r="N454">
            <v>2.8294779969198056</v>
          </cell>
          <cell r="O454">
            <v>2.8295046774023347</v>
          </cell>
        </row>
        <row r="455">
          <cell r="A455" t="str">
            <v>RHNM-SHELCHP</v>
          </cell>
          <cell r="B455" t="str">
            <v>VAR_fin</v>
          </cell>
          <cell r="C455" t="str">
            <v>RHNMELCHPC</v>
          </cell>
          <cell r="E455">
            <v>0.53028155469970095</v>
          </cell>
          <cell r="F455">
            <v>2.1961154999676884</v>
          </cell>
          <cell r="G455">
            <v>4.3162134529350062</v>
          </cell>
          <cell r="H455">
            <v>6.0318463213901694</v>
          </cell>
          <cell r="I455">
            <v>7.5789605812605725</v>
          </cell>
          <cell r="J455">
            <v>8.8099111458226282</v>
          </cell>
          <cell r="K455">
            <v>10.12391604813477</v>
          </cell>
          <cell r="L455">
            <v>10.87104921425351</v>
          </cell>
          <cell r="M455">
            <v>11.034914850137325</v>
          </cell>
          <cell r="N455">
            <v>11.034964187987239</v>
          </cell>
          <cell r="O455">
            <v>11.035068241869096</v>
          </cell>
        </row>
        <row r="456">
          <cell r="A456" t="str">
            <v>RHNM-SHELCHP</v>
          </cell>
          <cell r="B456" t="str">
            <v>VAR_ncap</v>
          </cell>
          <cell r="C456" t="str">
            <v>-</v>
          </cell>
          <cell r="E456">
            <v>4.1341032690837498E-2</v>
          </cell>
          <cell r="F456">
            <v>0.129341542262388</v>
          </cell>
          <cell r="G456">
            <v>0.16627116854413801</v>
          </cell>
          <cell r="H456">
            <v>0.15163873621886001</v>
          </cell>
          <cell r="I456">
            <v>0.27496930499446898</v>
          </cell>
          <cell r="J456">
            <v>0.25858523059645</v>
          </cell>
          <cell r="K456">
            <v>0.25302902651229497</v>
          </cell>
          <cell r="L456">
            <v>0.32530936929105803</v>
          </cell>
          <cell r="M456">
            <v>0.27855083531352098</v>
          </cell>
          <cell r="N456">
            <v>0.31120720896760401</v>
          </cell>
          <cell r="O456">
            <v>0.26736491506372601</v>
          </cell>
        </row>
        <row r="457">
          <cell r="A457" t="str">
            <v>RHNM-SHELCHP</v>
          </cell>
          <cell r="B457" t="str">
            <v>VAR_cap</v>
          </cell>
          <cell r="C457" t="str">
            <v>-</v>
          </cell>
          <cell r="E457">
            <v>4.1341032690837498E-2</v>
          </cell>
          <cell r="F457">
            <v>0.1706820833958167</v>
          </cell>
          <cell r="G457">
            <v>0.33695128093741661</v>
          </cell>
          <cell r="H457">
            <v>0.46842745897511501</v>
          </cell>
          <cell r="I457">
            <v>0.5884036038680911</v>
          </cell>
          <cell r="J457">
            <v>0.68519028017443118</v>
          </cell>
          <cell r="K457">
            <v>0.78657706749853196</v>
          </cell>
          <cell r="L457">
            <v>0.84490606898109122</v>
          </cell>
          <cell r="M457">
            <v>0.85688570087346583</v>
          </cell>
          <cell r="N457">
            <v>0.8567514869649322</v>
          </cell>
          <cell r="O457">
            <v>0.857118864246878</v>
          </cell>
        </row>
        <row r="458">
          <cell r="A458" t="str">
            <v>D-IH2R</v>
          </cell>
          <cell r="B458" t="str">
            <v>VAR_fout</v>
          </cell>
          <cell r="C458" t="str">
            <v>IH2</v>
          </cell>
          <cell r="H458">
            <v>4.3713841666262274</v>
          </cell>
          <cell r="I458">
            <v>6.7668086789771014</v>
          </cell>
          <cell r="J458">
            <v>6.7843078575623839</v>
          </cell>
          <cell r="K458">
            <v>6.9041769622192168</v>
          </cell>
          <cell r="L458">
            <v>1.0627700373515878</v>
          </cell>
          <cell r="M458">
            <v>0.27348761251143355</v>
          </cell>
          <cell r="N458">
            <v>0.16779888918622496</v>
          </cell>
          <cell r="O458">
            <v>0.27803202861733683</v>
          </cell>
        </row>
        <row r="459">
          <cell r="A459" t="str">
            <v>D-IH2R</v>
          </cell>
          <cell r="B459" t="str">
            <v>VAR_fin</v>
          </cell>
          <cell r="C459" t="str">
            <v>H2</v>
          </cell>
          <cell r="H459">
            <v>4.3713841666262274</v>
          </cell>
          <cell r="I459">
            <v>6.7668086789771014</v>
          </cell>
          <cell r="J459">
            <v>6.7843078575623839</v>
          </cell>
          <cell r="K459">
            <v>6.9041769622192168</v>
          </cell>
          <cell r="L459">
            <v>1.0627700373515878</v>
          </cell>
          <cell r="M459">
            <v>0.27348761251143355</v>
          </cell>
          <cell r="N459">
            <v>0.16779888918622496</v>
          </cell>
          <cell r="O459">
            <v>0.27803202861733683</v>
          </cell>
        </row>
        <row r="460">
          <cell r="A460" t="str">
            <v>D-IH2R</v>
          </cell>
          <cell r="B460" t="str">
            <v>VAR_ncap</v>
          </cell>
          <cell r="C460" t="str">
            <v>-</v>
          </cell>
          <cell r="G460">
            <v>2.3140265251649302E-6</v>
          </cell>
          <cell r="H460">
            <v>0.17243728491378901</v>
          </cell>
          <cell r="I460">
            <v>0.21084931371664101</v>
          </cell>
          <cell r="J460">
            <v>0.243274977898435</v>
          </cell>
          <cell r="K460">
            <v>3.5723793487495602E-5</v>
          </cell>
          <cell r="L460">
            <v>9.1987375251365705E-5</v>
          </cell>
          <cell r="M460">
            <v>9.7548713274279997E-3</v>
          </cell>
          <cell r="N460">
            <v>4.4888900648401104E-3</v>
          </cell>
          <cell r="O460">
            <v>6.1750208976641598E-3</v>
          </cell>
        </row>
        <row r="461">
          <cell r="A461" t="str">
            <v>D-IH2R</v>
          </cell>
          <cell r="B461" t="str">
            <v>VAR_cap</v>
          </cell>
          <cell r="C461" t="str">
            <v>-</v>
          </cell>
          <cell r="G461">
            <v>2.3140265251649302E-6</v>
          </cell>
          <cell r="H461">
            <v>0.17243904168136201</v>
          </cell>
          <cell r="I461">
            <v>0.247060615522469</v>
          </cell>
          <cell r="J461">
            <v>0.243274977898435</v>
          </cell>
          <cell r="K461">
            <v>0.24331070169192201</v>
          </cell>
          <cell r="L461">
            <v>3.7483024113480298E-2</v>
          </cell>
          <cell r="M461">
            <v>9.8247064983606695E-3</v>
          </cell>
          <cell r="N461">
            <v>6.2166916355184303E-3</v>
          </cell>
          <cell r="O461">
            <v>1.0663910962504301E-2</v>
          </cell>
        </row>
        <row r="462">
          <cell r="A462" t="str">
            <v>RHEM-SHSTG-ELC</v>
          </cell>
          <cell r="B462" t="str">
            <v>VAR_fout</v>
          </cell>
          <cell r="C462" t="str">
            <v>RHEM-SHAELCB</v>
          </cell>
          <cell r="D462">
            <v>1.8851823111907482E-7</v>
          </cell>
          <cell r="E462">
            <v>0.75849241616782526</v>
          </cell>
          <cell r="F462">
            <v>0.77988397678916865</v>
          </cell>
          <cell r="G462">
            <v>0.65413340989861068</v>
          </cell>
          <cell r="H462">
            <v>0.43617342888964078</v>
          </cell>
          <cell r="I462">
            <v>0.20869166979067674</v>
          </cell>
          <cell r="J462">
            <v>0.15954739137998436</v>
          </cell>
          <cell r="K462">
            <v>0.12318759699888346</v>
          </cell>
          <cell r="L462">
            <v>0.11732009772186444</v>
          </cell>
          <cell r="M462">
            <v>8.9489655673282542E-2</v>
          </cell>
          <cell r="N462">
            <v>6.6419461109290298E-2</v>
          </cell>
          <cell r="O462">
            <v>5.7497164147545063E-2</v>
          </cell>
        </row>
        <row r="463">
          <cell r="A463" t="str">
            <v>RHEM-SHSTG-ELC</v>
          </cell>
          <cell r="B463" t="str">
            <v>VAR_fin</v>
          </cell>
          <cell r="C463" t="str">
            <v>RHEM-SHAELCB</v>
          </cell>
          <cell r="D463">
            <v>1.3749715373838829E-6</v>
          </cell>
          <cell r="E463">
            <v>0.75852774829216951</v>
          </cell>
          <cell r="F463">
            <v>0.77991634378647734</v>
          </cell>
          <cell r="G463">
            <v>0.6541682322167236</v>
          </cell>
          <cell r="H463">
            <v>0.43619241200333353</v>
          </cell>
          <cell r="I463">
            <v>0.20870239840000818</v>
          </cell>
          <cell r="J463">
            <v>0.15955612312324835</v>
          </cell>
          <cell r="K463">
            <v>0.12319430832447234</v>
          </cell>
          <cell r="L463">
            <v>0.1173267376717113</v>
          </cell>
          <cell r="M463">
            <v>8.9495456358861414E-2</v>
          </cell>
          <cell r="N463">
            <v>6.6423928166885637E-2</v>
          </cell>
          <cell r="O463">
            <v>5.7501438993632636E-2</v>
          </cell>
        </row>
        <row r="464">
          <cell r="A464" t="str">
            <v>RHEM-SHSTG-ELC</v>
          </cell>
          <cell r="B464" t="str">
            <v>VAR_ncap</v>
          </cell>
          <cell r="C464" t="str">
            <v>-</v>
          </cell>
          <cell r="D464">
            <v>2.4546910381391202E-2</v>
          </cell>
          <cell r="E464">
            <v>5.2542216872556897E-2</v>
          </cell>
          <cell r="F464">
            <v>2.4311511937116201E-4</v>
          </cell>
          <cell r="G464">
            <v>2.63327899403566E-4</v>
          </cell>
          <cell r="H464">
            <v>1.1690631875232199E-2</v>
          </cell>
          <cell r="I464">
            <v>1.32161198328527E-2</v>
          </cell>
          <cell r="J464">
            <v>2.8370288659924399E-4</v>
          </cell>
          <cell r="K464">
            <v>2.6359907292369598E-3</v>
          </cell>
          <cell r="L464">
            <v>9.5294338106031804E-3</v>
          </cell>
          <cell r="M464">
            <v>9.33580335032838E-4</v>
          </cell>
          <cell r="N464">
            <v>1.5832366424092599E-3</v>
          </cell>
          <cell r="O464">
            <v>5.8414822757461302E-3</v>
          </cell>
        </row>
        <row r="465">
          <cell r="A465" t="str">
            <v>RHEM-SHSTG-ELC</v>
          </cell>
          <cell r="B465" t="str">
            <v>VAR_cap</v>
          </cell>
          <cell r="C465" t="str">
            <v>-</v>
          </cell>
          <cell r="D465">
            <v>2.4546910381391202E-2</v>
          </cell>
          <cell r="E465">
            <v>7.6897218237868339E-2</v>
          </cell>
          <cell r="F465">
            <v>7.6900009365349839E-2</v>
          </cell>
          <cell r="G465">
            <v>7.6918502678235287E-2</v>
          </cell>
          <cell r="H465">
            <v>4.483777701847131E-2</v>
          </cell>
          <cell r="I465">
            <v>2.4932632141338468E-2</v>
          </cell>
          <cell r="J465">
            <v>1.9434715345235012E-2</v>
          </cell>
          <cell r="K465">
            <v>1.3378298314828811E-2</v>
          </cell>
          <cell r="L465">
            <v>1.3380540014988769E-2</v>
          </cell>
          <cell r="M465">
            <v>1.139495786772044E-2</v>
          </cell>
          <cell r="N465">
            <v>8.0397532672659509E-3</v>
          </cell>
          <cell r="O465">
            <v>7.4886351151727823E-3</v>
          </cell>
        </row>
        <row r="466">
          <cell r="A466" t="str">
            <v>RHNM-SHLTHCHPWOD</v>
          </cell>
          <cell r="B466" t="str">
            <v>VAR_fout</v>
          </cell>
          <cell r="C466" t="str">
            <v>RHNM-SHLTHC-WOD</v>
          </cell>
          <cell r="G466">
            <v>2.9532224622786799E-3</v>
          </cell>
          <cell r="H466">
            <v>8.1643938123250846E-3</v>
          </cell>
          <cell r="I466">
            <v>1.4788424505803166E-2</v>
          </cell>
          <cell r="J466">
            <v>1.3508622562227688E-2</v>
          </cell>
          <cell r="K466">
            <v>9.6172846166441058E-3</v>
          </cell>
          <cell r="L466">
            <v>1.1874176966587607E-2</v>
          </cell>
          <cell r="M466">
            <v>1.5310631237153854E-2</v>
          </cell>
          <cell r="N466">
            <v>5.8965576960232479E-3</v>
          </cell>
          <cell r="O466">
            <v>8.4523260222186241E-3</v>
          </cell>
        </row>
        <row r="467">
          <cell r="A467" t="str">
            <v>RHNM-SHLTHCHPWOD</v>
          </cell>
          <cell r="B467" t="str">
            <v>VAR_fin</v>
          </cell>
          <cell r="C467" t="str">
            <v>RHNM_LTH_CHPWOD_ON</v>
          </cell>
          <cell r="G467">
            <v>2.9830529922006874E-3</v>
          </cell>
          <cell r="H467">
            <v>8.2468624366920061E-3</v>
          </cell>
          <cell r="I467">
            <v>1.4937802531114312E-2</v>
          </cell>
          <cell r="J467">
            <v>1.3645073295179489E-2</v>
          </cell>
          <cell r="K467">
            <v>9.7144289057011172E-3</v>
          </cell>
          <cell r="L467">
            <v>1.1994118148068292E-2</v>
          </cell>
          <cell r="M467">
            <v>1.5465284077933185E-2</v>
          </cell>
          <cell r="N467">
            <v>5.9561188848719733E-3</v>
          </cell>
          <cell r="O467">
            <v>8.5377030527460946E-3</v>
          </cell>
        </row>
        <row r="468">
          <cell r="A468" t="str">
            <v>RHNM-SHLTHCHPWOD</v>
          </cell>
          <cell r="B468" t="str">
            <v>VAR_fin</v>
          </cell>
          <cell r="C468" t="str">
            <v>RHNMLTHCHPC</v>
          </cell>
          <cell r="G468">
            <v>2.9532224622786799E-3</v>
          </cell>
          <cell r="H468">
            <v>8.1643938123250846E-3</v>
          </cell>
          <cell r="I468">
            <v>1.4788424505803166E-2</v>
          </cell>
          <cell r="J468">
            <v>1.3508622562227688E-2</v>
          </cell>
          <cell r="K468">
            <v>9.6172846166441058E-3</v>
          </cell>
          <cell r="L468">
            <v>1.1874176966587607E-2</v>
          </cell>
          <cell r="M468">
            <v>1.5310631237153854E-2</v>
          </cell>
          <cell r="N468">
            <v>5.8965576960232479E-3</v>
          </cell>
          <cell r="O468">
            <v>8.4523260222186241E-3</v>
          </cell>
        </row>
        <row r="469">
          <cell r="A469" t="str">
            <v>RHNM-SHLTHCHPWOD</v>
          </cell>
          <cell r="B469" t="str">
            <v>VAR_ncap</v>
          </cell>
          <cell r="C469" t="str">
            <v>-</v>
          </cell>
          <cell r="G469">
            <v>3.7886767642601401E-4</v>
          </cell>
          <cell r="H469">
            <v>8.1813371134348105E-4</v>
          </cell>
          <cell r="I469">
            <v>1.0886141362664999E-3</v>
          </cell>
          <cell r="J469">
            <v>8.4480039194135203E-4</v>
          </cell>
          <cell r="K469">
            <v>8.8298555739018899E-4</v>
          </cell>
          <cell r="L469">
            <v>8.0685861556000697E-4</v>
          </cell>
          <cell r="M469">
            <v>1.2096859353071599E-3</v>
          </cell>
          <cell r="N469">
            <v>4.5789894551882202E-4</v>
          </cell>
          <cell r="O469">
            <v>8.2358369450388899E-4</v>
          </cell>
        </row>
        <row r="470">
          <cell r="A470" t="str">
            <v>RHNM-SHLTHCHPWOD</v>
          </cell>
          <cell r="B470" t="str">
            <v>VAR_cap</v>
          </cell>
          <cell r="C470" t="str">
            <v>-</v>
          </cell>
          <cell r="G470">
            <v>3.7886767642601401E-4</v>
          </cell>
          <cell r="H470">
            <v>9.870526553497599E-4</v>
          </cell>
          <cell r="I470">
            <v>1.3864210282129373E-3</v>
          </cell>
          <cell r="J470">
            <v>1.26783781071246E-3</v>
          </cell>
          <cell r="K470">
            <v>1.2554781088736102E-3</v>
          </cell>
          <cell r="L470">
            <v>1.2093233581308401E-3</v>
          </cell>
          <cell r="M470">
            <v>1.6809620613863901E-3</v>
          </cell>
          <cell r="N470">
            <v>7.8347450436447004E-4</v>
          </cell>
          <cell r="O470">
            <v>1.1254289818384798E-3</v>
          </cell>
        </row>
        <row r="471">
          <cell r="A471" t="str">
            <v>ITOT-SWHDEM</v>
          </cell>
          <cell r="B471" t="str">
            <v>VAR_fout</v>
          </cell>
          <cell r="C471" t="str">
            <v>ITOT-SWHD</v>
          </cell>
          <cell r="D471">
            <v>72.708169056255471</v>
          </cell>
          <cell r="E471">
            <v>74.35269248141455</v>
          </cell>
          <cell r="F471">
            <v>76.093376262787288</v>
          </cell>
          <cell r="G471">
            <v>77.130034444764803</v>
          </cell>
          <cell r="H471">
            <v>77.659568671916603</v>
          </cell>
          <cell r="I471">
            <v>78.127545789073338</v>
          </cell>
          <cell r="J471">
            <v>78.429892796661278</v>
          </cell>
          <cell r="K471">
            <v>78.732239804249261</v>
          </cell>
          <cell r="L471">
            <v>78.176111803446162</v>
          </cell>
          <cell r="M471">
            <v>80.407440059609044</v>
          </cell>
          <cell r="N471">
            <v>77.870207574025486</v>
          </cell>
          <cell r="O471">
            <v>77.650484572634625</v>
          </cell>
        </row>
        <row r="472">
          <cell r="A472" t="str">
            <v>ITOT-SWHDEM</v>
          </cell>
          <cell r="B472" t="str">
            <v>VAR_fin</v>
          </cell>
          <cell r="C472" t="str">
            <v>ITOT-SWHNGAH</v>
          </cell>
          <cell r="F472">
            <v>2.6815109533795817E-2</v>
          </cell>
          <cell r="G472">
            <v>1.1992308341281595E-2</v>
          </cell>
          <cell r="H472">
            <v>1.7616529827832773E-2</v>
          </cell>
          <cell r="I472">
            <v>3.5195087423791543E-2</v>
          </cell>
          <cell r="J472">
            <v>2.6510995229828638E-2</v>
          </cell>
          <cell r="K472">
            <v>4.3655208377097528E-2</v>
          </cell>
          <cell r="L472">
            <v>4.3473844536306712E-2</v>
          </cell>
          <cell r="M472">
            <v>4.3447685458062851E-2</v>
          </cell>
          <cell r="N472">
            <v>4.3147571215302757E-2</v>
          </cell>
          <cell r="O472">
            <v>4.291371849444902E-2</v>
          </cell>
        </row>
        <row r="473">
          <cell r="A473" t="str">
            <v>ITOT-SWHDEM</v>
          </cell>
          <cell r="B473" t="str">
            <v>VAR_fin</v>
          </cell>
          <cell r="C473" t="str">
            <v>ITOT-SWH</v>
          </cell>
          <cell r="D473">
            <v>61.718469856874613</v>
          </cell>
          <cell r="E473">
            <v>58.48776714102781</v>
          </cell>
          <cell r="F473">
            <v>58.072132492860739</v>
          </cell>
          <cell r="G473">
            <v>53.259624524882121</v>
          </cell>
          <cell r="H473">
            <v>43.933202528695283</v>
          </cell>
          <cell r="I473">
            <v>41.250944695429467</v>
          </cell>
          <cell r="J473">
            <v>38.849125940452332</v>
          </cell>
          <cell r="K473">
            <v>37.094129368406229</v>
          </cell>
          <cell r="L473">
            <v>36.764411068500628</v>
          </cell>
          <cell r="M473">
            <v>38.795854727312545</v>
          </cell>
          <cell r="N473">
            <v>36.468256182303342</v>
          </cell>
          <cell r="O473">
            <v>36.292894358915873</v>
          </cell>
        </row>
        <row r="474">
          <cell r="A474" t="str">
            <v>ITOT-SWHDEM</v>
          </cell>
          <cell r="B474" t="str">
            <v>VAR_fin</v>
          </cell>
          <cell r="C474" t="str">
            <v>ITOT-SWHELCH</v>
          </cell>
          <cell r="D474">
            <v>1.1081275654045448</v>
          </cell>
          <cell r="E474">
            <v>1.4008182403075442</v>
          </cell>
          <cell r="F474">
            <v>3.57259662608304</v>
          </cell>
          <cell r="G474">
            <v>5.9665076971600213</v>
          </cell>
          <cell r="H474">
            <v>7.3849524380892886</v>
          </cell>
          <cell r="I474">
            <v>9.3326046106025906</v>
          </cell>
          <cell r="J474">
            <v>11.198498900639306</v>
          </cell>
          <cell r="K474">
            <v>13.094526221451567</v>
          </cell>
          <cell r="L474">
            <v>13.04227827220901</v>
          </cell>
          <cell r="M474">
            <v>13.125393876910334</v>
          </cell>
          <cell r="N474">
            <v>13.02616279487262</v>
          </cell>
          <cell r="O474">
            <v>12.990729907252319</v>
          </cell>
        </row>
        <row r="475">
          <cell r="A475" t="str">
            <v>ITOT-SWHDEM</v>
          </cell>
          <cell r="B475" t="str">
            <v>VAR_fin</v>
          </cell>
          <cell r="C475" t="str">
            <v>ITOT-SWHC</v>
          </cell>
          <cell r="E475">
            <v>4.0436164513167183</v>
          </cell>
          <cell r="F475">
            <v>4.043714810731954</v>
          </cell>
          <cell r="G475">
            <v>4.2112745542323369</v>
          </cell>
          <cell r="H475">
            <v>12.711883775954677</v>
          </cell>
          <cell r="I475">
            <v>13.952085984026159</v>
          </cell>
          <cell r="J475">
            <v>14.931018670128159</v>
          </cell>
          <cell r="K475">
            <v>14.931193557626083</v>
          </cell>
          <cell r="L475">
            <v>14.931523616411205</v>
          </cell>
          <cell r="M475">
            <v>14.931632515364962</v>
          </cell>
          <cell r="N475">
            <v>14.931636329633207</v>
          </cell>
          <cell r="O475">
            <v>14.931646741918206</v>
          </cell>
        </row>
        <row r="476">
          <cell r="A476" t="str">
            <v>ITOT-SWHDEM</v>
          </cell>
          <cell r="B476" t="str">
            <v>VAR_fin</v>
          </cell>
          <cell r="C476" t="str">
            <v>ITOT-SWHELC</v>
          </cell>
          <cell r="D476">
            <v>9.8139156542486479</v>
          </cell>
          <cell r="E476">
            <v>10.335110894604103</v>
          </cell>
          <cell r="F476">
            <v>10.295575001638944</v>
          </cell>
          <cell r="G476">
            <v>13.595431898757051</v>
          </cell>
          <cell r="H476">
            <v>13.542781967474824</v>
          </cell>
          <cell r="I476">
            <v>13.479256846891063</v>
          </cell>
          <cell r="J476">
            <v>13.370086733770442</v>
          </cell>
          <cell r="K476">
            <v>13.483252737279216</v>
          </cell>
          <cell r="L476">
            <v>13.341875488505991</v>
          </cell>
          <cell r="M476">
            <v>13.464052178571688</v>
          </cell>
          <cell r="N476">
            <v>13.393700036318396</v>
          </cell>
          <cell r="O476">
            <v>13.389228505361187</v>
          </cell>
        </row>
        <row r="477">
          <cell r="A477" t="str">
            <v>ITOT-SWHDEM</v>
          </cell>
          <cell r="B477" t="str">
            <v>VAR_fin</v>
          </cell>
          <cell r="C477" t="str">
            <v>ITOT-SWHSOL</v>
          </cell>
          <cell r="D477">
            <v>6.7655979727690357E-2</v>
          </cell>
          <cell r="E477">
            <v>8.5516768463976697E-2</v>
          </cell>
          <cell r="F477">
            <v>8.2707654571100561E-2</v>
          </cell>
          <cell r="G477">
            <v>8.5405048567922276E-2</v>
          </cell>
          <cell r="H477">
            <v>6.9382628984512335E-2</v>
          </cell>
          <cell r="I477">
            <v>7.7749130307471895E-2</v>
          </cell>
          <cell r="J477">
            <v>5.5009038392503776E-2</v>
          </cell>
          <cell r="K477">
            <v>8.5838715068896801E-2</v>
          </cell>
          <cell r="L477">
            <v>5.2914265507018506E-2</v>
          </cell>
          <cell r="M477">
            <v>4.7414610648624539E-2</v>
          </cell>
          <cell r="N477">
            <v>7.6605767630693053E-3</v>
          </cell>
          <cell r="O477">
            <v>3.4326778683655638E-3</v>
          </cell>
        </row>
        <row r="478">
          <cell r="A478" t="str">
            <v>D-RHNS_NKEV_GAS_ELC_CHP</v>
          </cell>
          <cell r="B478" t="str">
            <v>VAR_fout</v>
          </cell>
          <cell r="C478" t="str">
            <v>RHNS_ELC</v>
          </cell>
          <cell r="E478">
            <v>1.6891836427755571E-3</v>
          </cell>
          <cell r="F478">
            <v>2.2705284695942584E-3</v>
          </cell>
          <cell r="G478">
            <v>2.2702556301316575E-3</v>
          </cell>
          <cell r="H478">
            <v>2.2721469154238375E-3</v>
          </cell>
          <cell r="I478">
            <v>1.4086268428828666E-3</v>
          </cell>
          <cell r="L478">
            <v>2.1640879090494636E-3</v>
          </cell>
          <cell r="M478">
            <v>3.1219953091964473E-3</v>
          </cell>
          <cell r="N478">
            <v>3.0403864228816034E-3</v>
          </cell>
          <cell r="O478">
            <v>6.4322463044039387E-3</v>
          </cell>
        </row>
        <row r="479">
          <cell r="A479" t="str">
            <v>D-RHNS_NKEV_GAS_ELC_CHP</v>
          </cell>
          <cell r="B479" t="str">
            <v>VAR_fout</v>
          </cell>
          <cell r="C479" t="str">
            <v>ELC5</v>
          </cell>
          <cell r="E479">
            <v>1.6913674320996302E-3</v>
          </cell>
          <cell r="F479">
            <v>2.2732004712908492E-3</v>
          </cell>
          <cell r="G479">
            <v>2.2719855550508419E-3</v>
          </cell>
          <cell r="H479">
            <v>2.2735204785293223E-3</v>
          </cell>
          <cell r="I479">
            <v>1.4091687376248691E-3</v>
          </cell>
          <cell r="L479">
            <v>2.1581114582260412E-3</v>
          </cell>
          <cell r="M479">
            <v>3.1113751989922073E-3</v>
          </cell>
          <cell r="N479">
            <v>3.0318696425964365E-3</v>
          </cell>
          <cell r="O479">
            <v>6.4177787069411999E-3</v>
          </cell>
        </row>
        <row r="480">
          <cell r="A480" t="str">
            <v>D-RHNS_NKEV_GAS_ELC_CHP</v>
          </cell>
          <cell r="B480" t="str">
            <v>VAR_fin</v>
          </cell>
          <cell r="C480" t="str">
            <v>RHNS_NKEV_GAS_ELC_CHP</v>
          </cell>
          <cell r="E480">
            <v>3.3805510748751879E-3</v>
          </cell>
          <cell r="F480">
            <v>4.5153069628777083E-3</v>
          </cell>
          <cell r="G480">
            <v>4.5138192071751048E-3</v>
          </cell>
          <cell r="H480">
            <v>4.5172454159457644E-3</v>
          </cell>
          <cell r="I480">
            <v>2.789373602500343E-3</v>
          </cell>
          <cell r="L480">
            <v>4.3221993672755091E-3</v>
          </cell>
          <cell r="M480">
            <v>6.2333705081886546E-3</v>
          </cell>
          <cell r="N480">
            <v>6.0722560654780404E-3</v>
          </cell>
          <cell r="O480">
            <v>1.2850025011345141E-2</v>
          </cell>
        </row>
        <row r="481">
          <cell r="A481" t="str">
            <v>RHNM-SHSTG-NGAHP</v>
          </cell>
          <cell r="B481" t="str">
            <v>VAR_fout</v>
          </cell>
          <cell r="C481" t="str">
            <v>RHNM-SHANGAH</v>
          </cell>
          <cell r="F481">
            <v>9.5528375355496183E-4</v>
          </cell>
          <cell r="G481">
            <v>8.4868385538267889E-4</v>
          </cell>
          <cell r="H481">
            <v>1.282406392894005E-2</v>
          </cell>
          <cell r="I481">
            <v>1.2574716000648004E-2</v>
          </cell>
          <cell r="J481">
            <v>1.2645102694337603E-2</v>
          </cell>
          <cell r="K481">
            <v>3.747854832267089E-4</v>
          </cell>
          <cell r="L481">
            <v>6.6961015302643122E-4</v>
          </cell>
          <cell r="M481">
            <v>1.0306784942635402E-3</v>
          </cell>
          <cell r="N481">
            <v>1.0048216211648816E-3</v>
          </cell>
          <cell r="O481">
            <v>9.2572254210463692E-4</v>
          </cell>
        </row>
        <row r="482">
          <cell r="A482" t="str">
            <v>RHNM-SHSTG-NGAHP</v>
          </cell>
          <cell r="B482" t="str">
            <v>VAR_fin</v>
          </cell>
          <cell r="C482" t="str">
            <v>RHNM-SHANGAH</v>
          </cell>
          <cell r="F482">
            <v>9.5570197326300739E-4</v>
          </cell>
          <cell r="G482">
            <v>8.490952716955195E-4</v>
          </cell>
          <cell r="H482">
            <v>1.2825951566876773E-2</v>
          </cell>
          <cell r="I482">
            <v>1.257651384492121E-2</v>
          </cell>
          <cell r="J482">
            <v>1.2646874687285238E-2</v>
          </cell>
          <cell r="K482">
            <v>3.7517256503397572E-4</v>
          </cell>
          <cell r="L482">
            <v>6.7002425700872557E-4</v>
          </cell>
          <cell r="M482">
            <v>1.0311597754814323E-3</v>
          </cell>
          <cell r="N482">
            <v>1.0052814010233749E-3</v>
          </cell>
          <cell r="O482">
            <v>9.2622503323764292E-4</v>
          </cell>
        </row>
        <row r="483">
          <cell r="A483" t="str">
            <v>RHNM-SHSTG-NGAHP</v>
          </cell>
          <cell r="B483" t="str">
            <v>VAR_ncap</v>
          </cell>
          <cell r="C483" t="str">
            <v>-</v>
          </cell>
          <cell r="D483">
            <v>7.0179778622525294E-5</v>
          </cell>
          <cell r="E483">
            <v>1.29532305265944E-6</v>
          </cell>
          <cell r="F483">
            <v>2.6158709770044E-4</v>
          </cell>
          <cell r="G483">
            <v>8.9187909352117707E-5</v>
          </cell>
          <cell r="H483">
            <v>3.39830027501735E-3</v>
          </cell>
          <cell r="I483">
            <v>2.2196519224262101E-4</v>
          </cell>
          <cell r="J483">
            <v>2.4458931068492502E-4</v>
          </cell>
          <cell r="K483">
            <v>1.3516783569001499E-4</v>
          </cell>
          <cell r="L483">
            <v>1.59053500794749E-4</v>
          </cell>
          <cell r="M483">
            <v>2.82430036322739E-4</v>
          </cell>
          <cell r="N483">
            <v>2.19479024506573E-4</v>
          </cell>
          <cell r="O483">
            <v>3.0019443492659403E-4</v>
          </cell>
        </row>
        <row r="484">
          <cell r="A484" t="str">
            <v>RHNM-SHSTG-NGAHP</v>
          </cell>
          <cell r="B484" t="str">
            <v>VAR_cap</v>
          </cell>
          <cell r="C484" t="str">
            <v>-</v>
          </cell>
          <cell r="D484">
            <v>7.0179778622525294E-5</v>
          </cell>
          <cell r="E484">
            <v>1.7232515618449061E-6</v>
          </cell>
          <cell r="F484">
            <v>2.6261217744239109E-4</v>
          </cell>
          <cell r="G484">
            <v>2.6408610596749402E-4</v>
          </cell>
          <cell r="H484">
            <v>3.6106576747457499E-3</v>
          </cell>
          <cell r="I484">
            <v>3.4080413810416753E-3</v>
          </cell>
          <cell r="J484">
            <v>3.3548270322646661E-3</v>
          </cell>
          <cell r="K484">
            <v>2.1989783565362105E-4</v>
          </cell>
          <cell r="L484">
            <v>2.4023581131349706E-4</v>
          </cell>
          <cell r="M484">
            <v>3.9719667798984401E-4</v>
          </cell>
          <cell r="N484">
            <v>3.6717074289904398E-4</v>
          </cell>
          <cell r="O484">
            <v>4.6181677435422699E-4</v>
          </cell>
        </row>
        <row r="485">
          <cell r="A485" t="str">
            <v>D-IBIO</v>
          </cell>
          <cell r="B485" t="str">
            <v>VAR_fout</v>
          </cell>
          <cell r="C485" t="str">
            <v>IBIO</v>
          </cell>
          <cell r="D485">
            <v>0.436763689109471</v>
          </cell>
          <cell r="E485">
            <v>0.55210468653848932</v>
          </cell>
          <cell r="F485">
            <v>1.1410857474177907</v>
          </cell>
          <cell r="G485">
            <v>4.3234039391004639</v>
          </cell>
          <cell r="H485">
            <v>4.3234252298574729</v>
          </cell>
          <cell r="I485">
            <v>4.3234316183412229</v>
          </cell>
          <cell r="J485">
            <v>4.3234334131436638</v>
          </cell>
          <cell r="K485">
            <v>4.3234351208762805</v>
          </cell>
          <cell r="L485">
            <v>4.3234484288362891</v>
          </cell>
          <cell r="M485">
            <v>4.3234506915264861</v>
          </cell>
          <cell r="N485">
            <v>4.3234640529744084</v>
          </cell>
          <cell r="O485">
            <v>4.3236152736308444</v>
          </cell>
        </row>
        <row r="486">
          <cell r="A486" t="str">
            <v>D-IBIO</v>
          </cell>
          <cell r="B486" t="str">
            <v>VAR_fin</v>
          </cell>
          <cell r="C486" t="str">
            <v>BIO</v>
          </cell>
          <cell r="D486">
            <v>0.436763689109471</v>
          </cell>
          <cell r="E486">
            <v>0.55210468653848932</v>
          </cell>
          <cell r="F486">
            <v>1.1410857474177907</v>
          </cell>
          <cell r="G486">
            <v>4.3234039391004639</v>
          </cell>
          <cell r="H486">
            <v>4.3234252298574729</v>
          </cell>
          <cell r="I486">
            <v>4.3234316183412229</v>
          </cell>
          <cell r="J486">
            <v>4.3234334131436638</v>
          </cell>
          <cell r="K486">
            <v>4.3234351208762805</v>
          </cell>
          <cell r="L486">
            <v>4.3234484288362891</v>
          </cell>
          <cell r="M486">
            <v>4.3234506915264861</v>
          </cell>
          <cell r="N486">
            <v>4.3234640529744084</v>
          </cell>
          <cell r="O486">
            <v>4.3236152736308444</v>
          </cell>
        </row>
        <row r="487">
          <cell r="A487" t="str">
            <v>D-RHES_KEV_WOD_ELC_CHP</v>
          </cell>
          <cell r="B487" t="str">
            <v>VAR_fout</v>
          </cell>
          <cell r="C487" t="str">
            <v>RHES_ELC</v>
          </cell>
          <cell r="G487">
            <v>4.4288542682407279E-4</v>
          </cell>
          <cell r="H487">
            <v>1.1598185504937037E-3</v>
          </cell>
          <cell r="I487">
            <v>2.7624304347588289E-3</v>
          </cell>
          <cell r="J487">
            <v>3.3467534863112895E-3</v>
          </cell>
          <cell r="K487">
            <v>6.1141128703425069E-3</v>
          </cell>
          <cell r="L487">
            <v>4.5345249384068174E-3</v>
          </cell>
          <cell r="M487">
            <v>3.0949558414137051E-3</v>
          </cell>
          <cell r="N487">
            <v>4.4717048088104561E-3</v>
          </cell>
          <cell r="O487">
            <v>4.0463072991376104E-3</v>
          </cell>
        </row>
        <row r="488">
          <cell r="A488" t="str">
            <v>D-RHES_KEV_WOD_ELC_CHP</v>
          </cell>
          <cell r="B488" t="str">
            <v>VAR_fout</v>
          </cell>
          <cell r="C488" t="str">
            <v>ELC5</v>
          </cell>
          <cell r="G488">
            <v>7.0141876774758413E-4</v>
          </cell>
          <cell r="H488">
            <v>1.1610588143190577E-3</v>
          </cell>
          <cell r="I488">
            <v>2.7632837637685012E-3</v>
          </cell>
          <cell r="J488">
            <v>3.3478969060315627E-3</v>
          </cell>
          <cell r="K488">
            <v>6.1089285233536794E-3</v>
          </cell>
          <cell r="L488">
            <v>4.526710495103347E-3</v>
          </cell>
          <cell r="M488">
            <v>3.0920762756841314E-3</v>
          </cell>
          <cell r="N488">
            <v>4.4692441167032276E-3</v>
          </cell>
          <cell r="O488">
            <v>4.0433143914109376E-3</v>
          </cell>
        </row>
        <row r="489">
          <cell r="A489" t="str">
            <v>D-RHES_KEV_WOD_ELC_CHP</v>
          </cell>
          <cell r="B489" t="str">
            <v>VAR_fin</v>
          </cell>
          <cell r="C489" t="str">
            <v>RHES_KEV_WOD_ELC_CHP</v>
          </cell>
          <cell r="G489">
            <v>1.1158822165642638E-3</v>
          </cell>
          <cell r="H489">
            <v>2.2924553868053656E-3</v>
          </cell>
          <cell r="I489">
            <v>5.4972922205199313E-3</v>
          </cell>
          <cell r="J489">
            <v>6.6678055938427299E-3</v>
          </cell>
          <cell r="K489">
            <v>1.2194618057158038E-2</v>
          </cell>
          <cell r="L489">
            <v>9.0328134555027664E-3</v>
          </cell>
          <cell r="M489">
            <v>6.1586101390904485E-3</v>
          </cell>
          <cell r="N489">
            <v>8.9125269475062892E-3</v>
          </cell>
          <cell r="O489">
            <v>8.0610461060814653E-3</v>
          </cell>
        </row>
        <row r="490">
          <cell r="A490" t="str">
            <v>D-SNGA</v>
          </cell>
          <cell r="B490" t="str">
            <v>VAR_fout</v>
          </cell>
          <cell r="C490" t="str">
            <v>CO2</v>
          </cell>
          <cell r="D490">
            <v>1525.0097905354</v>
          </cell>
          <cell r="E490">
            <v>1441.0364030549999</v>
          </cell>
          <cell r="F490">
            <v>1377.0296465066499</v>
          </cell>
          <cell r="G490">
            <v>1392.91474352921</v>
          </cell>
          <cell r="H490">
            <v>1394.5397373968101</v>
          </cell>
          <cell r="I490">
            <v>1056.0089980677801</v>
          </cell>
          <cell r="J490">
            <v>325.13711450452303</v>
          </cell>
          <cell r="K490">
            <v>180.14364756505401</v>
          </cell>
          <cell r="L490">
            <v>197.35761231315001</v>
          </cell>
          <cell r="M490">
            <v>194.81829305026201</v>
          </cell>
          <cell r="N490">
            <v>191.947173513096</v>
          </cell>
          <cell r="O490">
            <v>195.82892737540999</v>
          </cell>
        </row>
        <row r="491">
          <cell r="A491" t="str">
            <v>D-SNGA</v>
          </cell>
          <cell r="B491" t="str">
            <v>VAR_fout</v>
          </cell>
          <cell r="C491" t="str">
            <v>SNGA</v>
          </cell>
          <cell r="D491">
            <v>27.256629419512684</v>
          </cell>
          <cell r="E491">
            <v>28.488809309911428</v>
          </cell>
          <cell r="F491">
            <v>24.341162036118231</v>
          </cell>
          <cell r="G491">
            <v>24.619007265769312</v>
          </cell>
          <cell r="H491">
            <v>24.648182069649042</v>
          </cell>
          <cell r="I491">
            <v>18.755355620922451</v>
          </cell>
          <cell r="J491">
            <v>6.3111011109928823</v>
          </cell>
          <cell r="K491">
            <v>4.4584731935437381</v>
          </cell>
          <cell r="L491">
            <v>4.762429086730477</v>
          </cell>
          <cell r="M491">
            <v>4.7176763121647189</v>
          </cell>
          <cell r="N491">
            <v>4.6669299967830886</v>
          </cell>
          <cell r="O491">
            <v>4.7354768998448753</v>
          </cell>
        </row>
        <row r="492">
          <cell r="A492" t="str">
            <v>D-SNGA</v>
          </cell>
          <cell r="B492" t="str">
            <v>VAR_fout</v>
          </cell>
          <cell r="C492" t="str">
            <v>RSH2</v>
          </cell>
          <cell r="G492">
            <v>0.23097636594551171</v>
          </cell>
          <cell r="H492">
            <v>0.15205569859998214</v>
          </cell>
          <cell r="I492">
            <v>0.19873318230473316</v>
          </cell>
          <cell r="J492">
            <v>3.1435981115326118E-2</v>
          </cell>
          <cell r="K492">
            <v>3.3264446505522925E-2</v>
          </cell>
          <cell r="L492">
            <v>0.14582335642361063</v>
          </cell>
          <cell r="M492">
            <v>0.10467903057828519</v>
          </cell>
          <cell r="N492">
            <v>0.10807111855162306</v>
          </cell>
          <cell r="O492">
            <v>0.13026451713794382</v>
          </cell>
        </row>
        <row r="493">
          <cell r="A493" t="str">
            <v>D-SNGA</v>
          </cell>
          <cell r="B493" t="str">
            <v>VAR_fin</v>
          </cell>
          <cell r="C493" t="str">
            <v>NGA</v>
          </cell>
          <cell r="D493">
            <v>27.039180683251807</v>
          </cell>
          <cell r="E493">
            <v>25.55029083430847</v>
          </cell>
          <cell r="F493">
            <v>24.415419264302354</v>
          </cell>
          <cell r="G493">
            <v>24.697069920730673</v>
          </cell>
          <cell r="H493">
            <v>24.725881868737815</v>
          </cell>
          <cell r="I493">
            <v>18.723563795527962</v>
          </cell>
          <cell r="J493">
            <v>5.764842455753949</v>
          </cell>
          <cell r="K493">
            <v>3.1940363043449342</v>
          </cell>
          <cell r="L493">
            <v>3.4992484452686168</v>
          </cell>
          <cell r="M493">
            <v>3.4542250540826647</v>
          </cell>
          <cell r="N493">
            <v>3.4033186793102201</v>
          </cell>
          <cell r="O493">
            <v>3.4721441024008914</v>
          </cell>
        </row>
        <row r="494">
          <cell r="A494" t="str">
            <v>D-SNGA</v>
          </cell>
          <cell r="B494" t="str">
            <v>VAR_fin</v>
          </cell>
          <cell r="C494" t="str">
            <v>BNGA</v>
          </cell>
          <cell r="D494">
            <v>0.30452329850901905</v>
          </cell>
          <cell r="E494">
            <v>3.029529383864983</v>
          </cell>
          <cell r="F494">
            <v>3.5035248526675195E-3</v>
          </cell>
          <cell r="G494">
            <v>1.3154841501427979E-3</v>
          </cell>
          <cell r="H494">
            <v>1.5195540258411036E-3</v>
          </cell>
          <cell r="I494">
            <v>9.2335130949904462E-2</v>
          </cell>
          <cell r="J494">
            <v>0.566534538479329</v>
          </cell>
          <cell r="K494">
            <v>1.2788075722517753</v>
          </cell>
          <cell r="L494">
            <v>1.2788392099082626</v>
          </cell>
          <cell r="M494">
            <v>1.2788445958600334</v>
          </cell>
          <cell r="N494">
            <v>1.2788440718999619</v>
          </cell>
          <cell r="O494">
            <v>1.2788567427796669</v>
          </cell>
        </row>
        <row r="495">
          <cell r="A495" t="str">
            <v>D-SNGA</v>
          </cell>
          <cell r="B495" t="str">
            <v>VAR_fin</v>
          </cell>
          <cell r="C495" t="str">
            <v>H2</v>
          </cell>
          <cell r="G495">
            <v>0.23097636594551157</v>
          </cell>
          <cell r="H495">
            <v>0.15205569859998208</v>
          </cell>
          <cell r="I495">
            <v>0.1987334454045053</v>
          </cell>
          <cell r="J495">
            <v>3.1435981115326118E-2</v>
          </cell>
          <cell r="K495">
            <v>3.326611298266742E-2</v>
          </cell>
          <cell r="L495">
            <v>0.14582311671563711</v>
          </cell>
          <cell r="M495">
            <v>0.10467903057828547</v>
          </cell>
          <cell r="N495">
            <v>0.1080709692824605</v>
          </cell>
          <cell r="O495">
            <v>0.13026948211350259</v>
          </cell>
        </row>
        <row r="496">
          <cell r="A496" t="str">
            <v>D-SNGA</v>
          </cell>
          <cell r="B496" t="str">
            <v>VAR_ncap</v>
          </cell>
          <cell r="C496" t="str">
            <v>-</v>
          </cell>
          <cell r="D496">
            <v>5.5057480920305002E-5</v>
          </cell>
          <cell r="E496">
            <v>7.2243873953563101E-7</v>
          </cell>
          <cell r="F496">
            <v>1.22127434241444E-6</v>
          </cell>
          <cell r="G496">
            <v>1.4594484227827199E-6</v>
          </cell>
          <cell r="H496">
            <v>2.3825627299010898E-6</v>
          </cell>
          <cell r="I496">
            <v>3.3864333091372599E-6</v>
          </cell>
          <cell r="J496">
            <v>6.25746497133641E-6</v>
          </cell>
          <cell r="K496">
            <v>3.7091563910589801E-5</v>
          </cell>
          <cell r="L496">
            <v>0.34902112452531803</v>
          </cell>
          <cell r="M496">
            <v>4.9964808399590098E-5</v>
          </cell>
          <cell r="N496">
            <v>3.5982731494195303E-5</v>
          </cell>
          <cell r="O496">
            <v>1.9656663785424299E-4</v>
          </cell>
        </row>
        <row r="497">
          <cell r="A497" t="str">
            <v>D-SNGA</v>
          </cell>
          <cell r="B497" t="str">
            <v>VAR_cap</v>
          </cell>
          <cell r="C497" t="str">
            <v>-</v>
          </cell>
          <cell r="D497">
            <v>2.2351072591060603</v>
          </cell>
          <cell r="E497">
            <v>2.2351079815447998</v>
          </cell>
          <cell r="F497">
            <v>2.2351092028191424</v>
          </cell>
          <cell r="G497">
            <v>2.2351106622675654</v>
          </cell>
          <cell r="H497">
            <v>2.2351130448302952</v>
          </cell>
          <cell r="I497">
            <v>2.235116431263604</v>
          </cell>
          <cell r="J497">
            <v>2.2351226887285756</v>
          </cell>
          <cell r="K497">
            <v>0.76359523625675196</v>
          </cell>
          <cell r="L497">
            <v>0.34912870319266398</v>
          </cell>
          <cell r="M497">
            <v>0.34913753652354901</v>
          </cell>
          <cell r="N497">
            <v>0.34915740318788502</v>
          </cell>
          <cell r="O497">
            <v>0.34935275672798699</v>
          </cell>
        </row>
        <row r="498">
          <cell r="A498" t="str">
            <v>D-IPLT</v>
          </cell>
          <cell r="B498" t="str">
            <v>VAR_fout</v>
          </cell>
          <cell r="C498" t="str">
            <v>IPLT</v>
          </cell>
          <cell r="D498">
            <v>0.62583999239942545</v>
          </cell>
          <cell r="E498">
            <v>0.7376031502473418</v>
          </cell>
          <cell r="F498">
            <v>0.73635649024723615</v>
          </cell>
          <cell r="G498">
            <v>0.73458389049963158</v>
          </cell>
          <cell r="H498">
            <v>0.73255054253989116</v>
          </cell>
          <cell r="I498">
            <v>0.73052149461296378</v>
          </cell>
          <cell r="J498">
            <v>0.72849115340106263</v>
          </cell>
          <cell r="K498">
            <v>0.72647149020320789</v>
          </cell>
          <cell r="L498">
            <v>0.7264747056069184</v>
          </cell>
          <cell r="M498">
            <v>0.72928285068496179</v>
          </cell>
          <cell r="N498">
            <v>0.72938214761081377</v>
          </cell>
          <cell r="O498">
            <v>0.7295584775215922</v>
          </cell>
        </row>
        <row r="499">
          <cell r="A499" t="str">
            <v>D-IPLT</v>
          </cell>
          <cell r="B499" t="str">
            <v>VAR_fin</v>
          </cell>
          <cell r="C499" t="str">
            <v>PLT</v>
          </cell>
          <cell r="D499">
            <v>0.62583999239942545</v>
          </cell>
          <cell r="E499">
            <v>0.7376031502473418</v>
          </cell>
          <cell r="F499">
            <v>0.73635649024723615</v>
          </cell>
          <cell r="G499">
            <v>0.73458389049963158</v>
          </cell>
          <cell r="H499">
            <v>0.73255054253989116</v>
          </cell>
          <cell r="I499">
            <v>0.73052149461296378</v>
          </cell>
          <cell r="J499">
            <v>0.72849115340106263</v>
          </cell>
          <cell r="K499">
            <v>0.72647149020320789</v>
          </cell>
          <cell r="L499">
            <v>0.7264747056069184</v>
          </cell>
          <cell r="M499">
            <v>0.72928285068496179</v>
          </cell>
          <cell r="N499">
            <v>0.72938214761081377</v>
          </cell>
          <cell r="O499">
            <v>0.7295584775215922</v>
          </cell>
        </row>
        <row r="500">
          <cell r="A500" t="str">
            <v>ITOT-SWHWODBR</v>
          </cell>
          <cell r="B500" t="str">
            <v>VAR_fout</v>
          </cell>
          <cell r="C500" t="str">
            <v>ITOT-SWH</v>
          </cell>
          <cell r="D500">
            <v>5.3111500211482383</v>
          </cell>
          <cell r="E500">
            <v>6.2669568337986883</v>
          </cell>
          <cell r="F500">
            <v>5.8309853171776007</v>
          </cell>
          <cell r="G500">
            <v>6.8549096051624918</v>
          </cell>
          <cell r="H500">
            <v>6.5655673592169252</v>
          </cell>
          <cell r="I500">
            <v>5.6803909496189071</v>
          </cell>
          <cell r="J500">
            <v>5.0735384260834957</v>
          </cell>
          <cell r="K500">
            <v>5.1002317687378538</v>
          </cell>
          <cell r="L500">
            <v>5.050992684365176</v>
          </cell>
          <cell r="M500">
            <v>7.2278699335290657</v>
          </cell>
          <cell r="N500">
            <v>5.0217336136581094</v>
          </cell>
          <cell r="O500">
            <v>5.002166421043599</v>
          </cell>
        </row>
        <row r="501">
          <cell r="A501" t="str">
            <v>ITOT-SWHWODBR</v>
          </cell>
          <cell r="B501" t="str">
            <v>VAR_fin</v>
          </cell>
          <cell r="C501" t="str">
            <v>IWOD</v>
          </cell>
          <cell r="D501">
            <v>9.0019491883868472</v>
          </cell>
          <cell r="E501">
            <v>10.609972066250592</v>
          </cell>
          <cell r="F501">
            <v>9.8551864515677803</v>
          </cell>
          <cell r="G501">
            <v>11.55321843566713</v>
          </cell>
          <cell r="H501">
            <v>11.034566990280547</v>
          </cell>
          <cell r="I501">
            <v>9.5202082954506828</v>
          </cell>
          <cell r="J501">
            <v>8.4794514084961001</v>
          </cell>
          <cell r="K501">
            <v>8.5003862812297566</v>
          </cell>
          <cell r="L501">
            <v>8.4183211406086293</v>
          </cell>
          <cell r="M501">
            <v>12.04644988921512</v>
          </cell>
          <cell r="N501">
            <v>8.3695560227635202</v>
          </cell>
          <cell r="O501">
            <v>8.3369440350726602</v>
          </cell>
        </row>
        <row r="502">
          <cell r="A502" t="str">
            <v>ITOT-SWHWODBR</v>
          </cell>
          <cell r="B502" t="str">
            <v>VAR_fin</v>
          </cell>
          <cell r="C502" t="str">
            <v>ITOTWODBRC</v>
          </cell>
          <cell r="D502">
            <v>5.3111500211482383</v>
          </cell>
          <cell r="E502">
            <v>6.2669568337986883</v>
          </cell>
          <cell r="F502">
            <v>5.8309853171776007</v>
          </cell>
          <cell r="G502">
            <v>6.8549096051624918</v>
          </cell>
          <cell r="H502">
            <v>6.5655673592169252</v>
          </cell>
          <cell r="I502">
            <v>5.6803909496189071</v>
          </cell>
          <cell r="J502">
            <v>5.0735384260834957</v>
          </cell>
          <cell r="K502">
            <v>5.1002317687378538</v>
          </cell>
          <cell r="L502">
            <v>5.050992684365176</v>
          </cell>
          <cell r="M502">
            <v>7.2278699335290657</v>
          </cell>
          <cell r="N502">
            <v>5.0217336136581094</v>
          </cell>
          <cell r="O502">
            <v>5.002166421043599</v>
          </cell>
        </row>
        <row r="503">
          <cell r="A503" t="str">
            <v>ITOT-SWHWODBR</v>
          </cell>
          <cell r="B503" t="str">
            <v>VAR_ncap</v>
          </cell>
          <cell r="C503" t="str">
            <v>-</v>
          </cell>
          <cell r="E503">
            <v>5.4552833682546799E-2</v>
          </cell>
          <cell r="F503">
            <v>1.2993160755517299E-4</v>
          </cell>
          <cell r="G503">
            <v>3.1559017257300502E-2</v>
          </cell>
          <cell r="H503">
            <v>0.25388343603264102</v>
          </cell>
          <cell r="I503">
            <v>7.0079312578721395E-2</v>
          </cell>
          <cell r="J503">
            <v>1.68353881950862E-2</v>
          </cell>
          <cell r="K503">
            <v>0.27557756446264198</v>
          </cell>
          <cell r="L503">
            <v>4.3774175637148902E-2</v>
          </cell>
          <cell r="M503">
            <v>0.18131548446048501</v>
          </cell>
          <cell r="N503">
            <v>8.0373626493288206E-2</v>
          </cell>
          <cell r="O503">
            <v>7.7314653366933897E-2</v>
          </cell>
        </row>
        <row r="504">
          <cell r="A504" t="str">
            <v>ITOT-SWHWODBR</v>
          </cell>
          <cell r="B504" t="str">
            <v>VAR_cap</v>
          </cell>
          <cell r="C504" t="str">
            <v>-</v>
          </cell>
          <cell r="D504">
            <v>0.28883369534761499</v>
          </cell>
          <cell r="E504">
            <v>0.34338132255457748</v>
          </cell>
          <cell r="F504">
            <v>0.34348639786074192</v>
          </cell>
          <cell r="G504">
            <v>0.37500878349315631</v>
          </cell>
          <cell r="H504">
            <v>0.38831900721350937</v>
          </cell>
          <cell r="I504">
            <v>0.34948998828299743</v>
          </cell>
          <cell r="J504">
            <v>0.34068229325672694</v>
          </cell>
          <cell r="K504">
            <v>0.36239674154484686</v>
          </cell>
          <cell r="L504">
            <v>0.3446150835025395</v>
          </cell>
          <cell r="M504">
            <v>0.50054442855980241</v>
          </cell>
          <cell r="N504">
            <v>0.34021414457863991</v>
          </cell>
          <cell r="O504">
            <v>0.33884394417433999</v>
          </cell>
        </row>
        <row r="505">
          <cell r="A505" t="str">
            <v>D-ITOT_KEV_WOD_ELC_CHP</v>
          </cell>
          <cell r="B505" t="str">
            <v>VAR_fout</v>
          </cell>
          <cell r="C505" t="str">
            <v>ITOT_ELC</v>
          </cell>
          <cell r="D505">
            <v>1.3022052628295514E-3</v>
          </cell>
          <cell r="E505">
            <v>5.4040371502180702E-4</v>
          </cell>
          <cell r="F505">
            <v>9.3723997191927204E-4</v>
          </cell>
          <cell r="G505">
            <v>5.9962798224330897E-3</v>
          </cell>
          <cell r="H505">
            <v>0.98573702758171289</v>
          </cell>
          <cell r="I505">
            <v>2.51677351800407</v>
          </cell>
          <cell r="J505">
            <v>3.3019718265249618</v>
          </cell>
          <cell r="K505">
            <v>4.6972467085058653</v>
          </cell>
          <cell r="L505">
            <v>4.3444542279955707</v>
          </cell>
          <cell r="M505">
            <v>4.2097996575637442</v>
          </cell>
          <cell r="N505">
            <v>4.2946160595301111</v>
          </cell>
          <cell r="O505">
            <v>4.258174002492833</v>
          </cell>
        </row>
        <row r="506">
          <cell r="A506" t="str">
            <v>D-ITOT_KEV_WOD_ELC_CHP</v>
          </cell>
          <cell r="B506" t="str">
            <v>VAR_fout</v>
          </cell>
          <cell r="C506" t="str">
            <v>ELC5</v>
          </cell>
          <cell r="D506">
            <v>0.17131183841517744</v>
          </cell>
          <cell r="E506">
            <v>0.49271388412813616</v>
          </cell>
          <cell r="F506">
            <v>1.1349977121532058</v>
          </cell>
          <cell r="G506">
            <v>1.4645891020976389</v>
          </cell>
          <cell r="H506">
            <v>0.47471337204294384</v>
          </cell>
          <cell r="I506">
            <v>5.4250422568091372E-2</v>
          </cell>
          <cell r="J506">
            <v>0.80214022511194838</v>
          </cell>
          <cell r="K506">
            <v>5.3042283408918867E-2</v>
          </cell>
          <cell r="L506">
            <v>6.7625777587717664E-2</v>
          </cell>
          <cell r="M506">
            <v>0.1987132635964429</v>
          </cell>
          <cell r="N506">
            <v>0.11436369733649547</v>
          </cell>
          <cell r="O506">
            <v>0.15142240505354709</v>
          </cell>
        </row>
        <row r="507">
          <cell r="A507" t="str">
            <v>D-ITOT_KEV_WOD_ELC_CHP</v>
          </cell>
          <cell r="B507" t="str">
            <v>VAR_fin</v>
          </cell>
          <cell r="C507" t="str">
            <v>ITOT_KEV_WOD_ELC_CHP</v>
          </cell>
          <cell r="D507">
            <v>0.17261404367800709</v>
          </cell>
          <cell r="E507">
            <v>0.49325428784315839</v>
          </cell>
          <cell r="F507">
            <v>1.1359065301471178</v>
          </cell>
          <cell r="G507">
            <v>1.470556959942066</v>
          </cell>
          <cell r="H507">
            <v>1.4604219776466498</v>
          </cell>
          <cell r="I507">
            <v>2.5710239405721613</v>
          </cell>
          <cell r="J507">
            <v>4.1041120516369132</v>
          </cell>
          <cell r="K507">
            <v>4.750288991914787</v>
          </cell>
          <cell r="L507">
            <v>4.4120800055832827</v>
          </cell>
          <cell r="M507">
            <v>4.4085129211601872</v>
          </cell>
          <cell r="N507">
            <v>4.4089797568666063</v>
          </cell>
          <cell r="O507">
            <v>4.4095964075463785</v>
          </cell>
        </row>
        <row r="508">
          <cell r="A508" t="str">
            <v>RHEM-SHSTG-SOL</v>
          </cell>
          <cell r="B508" t="str">
            <v>VAR_fout</v>
          </cell>
          <cell r="C508" t="str">
            <v>RHEM-SHASOL</v>
          </cell>
          <cell r="D508">
            <v>1.3989580869005518E-5</v>
          </cell>
          <cell r="E508">
            <v>1.4103803862053893E-5</v>
          </cell>
          <cell r="F508">
            <v>8.1259620244136868E-2</v>
          </cell>
          <cell r="G508">
            <v>8.2000995676549712E-2</v>
          </cell>
          <cell r="H508">
            <v>9.5279234252072562E-2</v>
          </cell>
          <cell r="I508">
            <v>0.26182936695515374</v>
          </cell>
          <cell r="J508">
            <v>0.44600060046010465</v>
          </cell>
          <cell r="K508">
            <v>0.49303455843068578</v>
          </cell>
          <cell r="L508">
            <v>0.40233847408201417</v>
          </cell>
          <cell r="M508">
            <v>1.1407145797515292E-2</v>
          </cell>
          <cell r="N508">
            <v>0.42885413738794914</v>
          </cell>
          <cell r="O508">
            <v>1.3900034100735573E-2</v>
          </cell>
        </row>
        <row r="509">
          <cell r="A509" t="str">
            <v>RHEM-SHSTG-SOL</v>
          </cell>
          <cell r="B509" t="str">
            <v>VAR_fin</v>
          </cell>
          <cell r="C509" t="str">
            <v>RHEM-SHASOL</v>
          </cell>
          <cell r="D509">
            <v>1.6377784844672656E-6</v>
          </cell>
          <cell r="E509">
            <v>1.786659730290346E-6</v>
          </cell>
          <cell r="F509">
            <v>8.1253884549044086E-2</v>
          </cell>
          <cell r="G509">
            <v>8.1995192560492397E-2</v>
          </cell>
          <cell r="H509">
            <v>9.5273764303083319E-2</v>
          </cell>
          <cell r="I509">
            <v>0.26183673797125939</v>
          </cell>
          <cell r="J509">
            <v>0.44602355121204268</v>
          </cell>
          <cell r="K509">
            <v>0.49305823477148158</v>
          </cell>
          <cell r="L509">
            <v>0.40236151746369797</v>
          </cell>
          <cell r="M509">
            <v>1.1419238132994815E-2</v>
          </cell>
          <cell r="N509">
            <v>0.42887784288897207</v>
          </cell>
          <cell r="O509">
            <v>1.3915150902421076E-2</v>
          </cell>
        </row>
        <row r="510">
          <cell r="A510" t="str">
            <v>RHEM-SHSTG-SOL</v>
          </cell>
          <cell r="B510" t="str">
            <v>VAR_ncap</v>
          </cell>
          <cell r="C510" t="str">
            <v>-</v>
          </cell>
          <cell r="D510">
            <v>1.56482509727911E-2</v>
          </cell>
          <cell r="E510">
            <v>4.5739123189071602E-4</v>
          </cell>
          <cell r="F510">
            <v>2.2434673396838199E-6</v>
          </cell>
          <cell r="G510">
            <v>5.0394120165875698E-6</v>
          </cell>
          <cell r="H510">
            <v>1.18177264891473E-2</v>
          </cell>
          <cell r="I510">
            <v>2.84745704651647E-2</v>
          </cell>
          <cell r="J510">
            <v>3.7833774186075003E-2</v>
          </cell>
          <cell r="K510">
            <v>1.18200435308319E-2</v>
          </cell>
          <cell r="L510">
            <v>2.91122862046902E-2</v>
          </cell>
          <cell r="M510">
            <v>3.7196652679817997E-2</v>
          </cell>
          <cell r="N510">
            <v>1.8956289156939098E-2</v>
          </cell>
          <cell r="O510">
            <v>2.19791519768101E-2</v>
          </cell>
        </row>
        <row r="511">
          <cell r="A511" t="str">
            <v>RHEM-SHSTG-SOL</v>
          </cell>
          <cell r="B511" t="str">
            <v>VAR_cap</v>
          </cell>
          <cell r="C511" t="str">
            <v>-</v>
          </cell>
          <cell r="D511">
            <v>1.56482509727911E-2</v>
          </cell>
          <cell r="E511">
            <v>1.6105642204681799E-2</v>
          </cell>
          <cell r="F511">
            <v>1.61078856720215E-2</v>
          </cell>
          <cell r="G511">
            <v>1.6112925084037999E-2</v>
          </cell>
          <cell r="H511">
            <v>1.6117482513677599E-2</v>
          </cell>
          <cell r="I511">
            <v>4.0296848755290798E-2</v>
          </cell>
          <cell r="J511">
            <v>7.8126071140386999E-2</v>
          </cell>
          <cell r="K511">
            <v>7.8128388182071601E-2</v>
          </cell>
          <cell r="L511">
            <v>7.8128535667204999E-2</v>
          </cell>
          <cell r="M511">
            <v>7.8128982415340095E-2</v>
          </cell>
          <cell r="N511">
            <v>7.8129823600551498E-2</v>
          </cell>
          <cell r="O511">
            <v>7.8132093813567199E-2</v>
          </cell>
        </row>
        <row r="512">
          <cell r="A512" t="str">
            <v>ITOT-SWHCONBR10</v>
          </cell>
          <cell r="B512" t="str">
            <v>VAR_fout</v>
          </cell>
          <cell r="C512" t="str">
            <v>ITOT-ELS</v>
          </cell>
          <cell r="J512">
            <v>9.7700455342196473E-5</v>
          </cell>
          <cell r="K512">
            <v>1.6574417409302055E-4</v>
          </cell>
          <cell r="L512">
            <v>1.5540283229750212E-4</v>
          </cell>
          <cell r="M512">
            <v>2.0972368159810764E-4</v>
          </cell>
          <cell r="N512">
            <v>1.8229955135059975E-4</v>
          </cell>
          <cell r="O512">
            <v>3.7888037297754761E-4</v>
          </cell>
        </row>
        <row r="513">
          <cell r="A513" t="str">
            <v>ITOT-SWHCONBR10</v>
          </cell>
          <cell r="B513" t="str">
            <v>VAR_fout</v>
          </cell>
          <cell r="C513" t="str">
            <v>ITOT-SWHC</v>
          </cell>
          <cell r="J513">
            <v>6.0164958333434795E-4</v>
          </cell>
          <cell r="K513">
            <v>1.0206698928259021E-3</v>
          </cell>
          <cell r="L513">
            <v>9.5698683259246172E-4</v>
          </cell>
          <cell r="M513">
            <v>1.2915002822341008E-3</v>
          </cell>
          <cell r="N513">
            <v>1.1226196308704026E-3</v>
          </cell>
          <cell r="O513">
            <v>2.3331848120573878E-3</v>
          </cell>
        </row>
        <row r="514">
          <cell r="A514" t="str">
            <v>ITOT-SWHCONBR10</v>
          </cell>
          <cell r="B514" t="str">
            <v>VAR_fin</v>
          </cell>
          <cell r="C514" t="str">
            <v>CON</v>
          </cell>
          <cell r="J514">
            <v>6.9935003867654401E-4</v>
          </cell>
          <cell r="K514">
            <v>1.1864140669189205E-3</v>
          </cell>
          <cell r="L514">
            <v>1.112389664889965E-3</v>
          </cell>
          <cell r="M514">
            <v>1.5012239638322095E-3</v>
          </cell>
          <cell r="N514">
            <v>1.304919182221002E-3</v>
          </cell>
          <cell r="O514">
            <v>2.7120651850349366E-3</v>
          </cell>
        </row>
        <row r="515">
          <cell r="A515" t="str">
            <v>ITOT-SWHCONBR10</v>
          </cell>
          <cell r="B515" t="str">
            <v>VAR_ncap</v>
          </cell>
          <cell r="C515" t="str">
            <v>-</v>
          </cell>
          <cell r="J515">
            <v>3.6578228606187502E-5</v>
          </cell>
          <cell r="K515">
            <v>2.66166500946555E-5</v>
          </cell>
          <cell r="L515">
            <v>8.9618343463206703E-7</v>
          </cell>
          <cell r="M515">
            <v>5.2912421506729603E-5</v>
          </cell>
          <cell r="N515">
            <v>1.1486614125310099E-5</v>
          </cell>
          <cell r="O515">
            <v>8.1916833449363405E-5</v>
          </cell>
        </row>
        <row r="516">
          <cell r="A516" t="str">
            <v>ITOT-SWHCONBR10</v>
          </cell>
          <cell r="B516" t="str">
            <v>VAR_cap</v>
          </cell>
          <cell r="C516" t="str">
            <v>-</v>
          </cell>
          <cell r="J516">
            <v>3.6578228606187502E-5</v>
          </cell>
          <cell r="K516">
            <v>6.3194878700842996E-5</v>
          </cell>
          <cell r="L516">
            <v>5.92446140622026E-5</v>
          </cell>
          <cell r="M516">
            <v>8.0425255036017197E-5</v>
          </cell>
          <cell r="N516">
            <v>6.9725508904365996E-5</v>
          </cell>
          <cell r="O516">
            <v>1.4631586908140301E-4</v>
          </cell>
        </row>
        <row r="517">
          <cell r="A517" t="str">
            <v>SCOM-SHSTG</v>
          </cell>
          <cell r="B517" t="str">
            <v>VAR_fout</v>
          </cell>
          <cell r="C517" t="str">
            <v>AUX_SCOM-SHSTG_OUT</v>
          </cell>
          <cell r="D517">
            <v>1.6864496760330329E-5</v>
          </cell>
          <cell r="E517">
            <v>8.944401222742229E-4</v>
          </cell>
          <cell r="F517">
            <v>1.2104898863050068E-2</v>
          </cell>
          <cell r="G517">
            <v>0.10173691286291736</v>
          </cell>
          <cell r="H517">
            <v>1.9602673025872575</v>
          </cell>
          <cell r="I517">
            <v>1.1324094717479123</v>
          </cell>
          <cell r="J517">
            <v>1.7164795250363651</v>
          </cell>
          <cell r="K517">
            <v>2.0375371845362844</v>
          </cell>
          <cell r="L517">
            <v>2.3991981425792162</v>
          </cell>
          <cell r="M517">
            <v>2.627367786201646</v>
          </cell>
          <cell r="N517">
            <v>2.859709589733388</v>
          </cell>
          <cell r="O517">
            <v>3.7292579029867698</v>
          </cell>
        </row>
        <row r="518">
          <cell r="A518" t="str">
            <v>SCOM-SHSTG</v>
          </cell>
          <cell r="B518" t="str">
            <v>VAR_fout</v>
          </cell>
          <cell r="C518" t="str">
            <v>SCOM-SHD</v>
          </cell>
          <cell r="D518">
            <v>1.686449676033036E-5</v>
          </cell>
          <cell r="E518">
            <v>8.9517120998591662E-4</v>
          </cell>
          <cell r="F518">
            <v>1.2120358503999054E-2</v>
          </cell>
          <cell r="G518">
            <v>0.10173691286291721</v>
          </cell>
          <cell r="H518">
            <v>1.9624478001429697</v>
          </cell>
          <cell r="I518">
            <v>1.1324094717479116</v>
          </cell>
          <cell r="J518">
            <v>1.7181574131351296</v>
          </cell>
          <cell r="K518">
            <v>2.0375371845362844</v>
          </cell>
          <cell r="L518">
            <v>2.3991981425792162</v>
          </cell>
          <cell r="M518">
            <v>2.627367786201646</v>
          </cell>
          <cell r="N518">
            <v>2.859709589733388</v>
          </cell>
          <cell r="O518">
            <v>3.7292579029867698</v>
          </cell>
        </row>
        <row r="519">
          <cell r="A519" t="str">
            <v>SCOM-SHSTG</v>
          </cell>
          <cell r="B519" t="str">
            <v>VAR_fin</v>
          </cell>
          <cell r="C519" t="str">
            <v>AUX_SCOM-SHSTG_IN</v>
          </cell>
          <cell r="D519">
            <v>2.2263731738984587E-5</v>
          </cell>
          <cell r="E519">
            <v>1.0927815745170519E-3</v>
          </cell>
          <cell r="F519">
            <v>1.4433581441056061E-2</v>
          </cell>
          <cell r="G519">
            <v>0.11694377412478872</v>
          </cell>
          <cell r="H519">
            <v>2.1808777740516185</v>
          </cell>
          <cell r="I519">
            <v>1.2180344951067914</v>
          </cell>
          <cell r="J519">
            <v>1.79013393853126</v>
          </cell>
          <cell r="K519">
            <v>2.0679879362624667</v>
          </cell>
          <cell r="L519">
            <v>2.4330388437949826</v>
          </cell>
          <cell r="M519">
            <v>2.6627936683454299</v>
          </cell>
          <cell r="N519">
            <v>2.8976199889317695</v>
          </cell>
          <cell r="O519">
            <v>3.768211526019221</v>
          </cell>
        </row>
        <row r="520">
          <cell r="A520" t="str">
            <v>SCOM-SHSTG</v>
          </cell>
          <cell r="B520" t="str">
            <v>VAR_fin</v>
          </cell>
          <cell r="C520" t="str">
            <v>SCOM-SHD</v>
          </cell>
          <cell r="D520">
            <v>2.2263731738984587E-5</v>
          </cell>
          <cell r="E520">
            <v>1.0927815745170519E-3</v>
          </cell>
          <cell r="F520">
            <v>1.4433581441056061E-2</v>
          </cell>
          <cell r="G520">
            <v>0.11694377412478872</v>
          </cell>
          <cell r="H520">
            <v>2.1808777740516185</v>
          </cell>
          <cell r="I520">
            <v>1.2180344951067914</v>
          </cell>
          <cell r="J520">
            <v>1.79013393853126</v>
          </cell>
          <cell r="K520">
            <v>2.0679879362624667</v>
          </cell>
          <cell r="L520">
            <v>2.4330388437949826</v>
          </cell>
          <cell r="M520">
            <v>2.6627936683454299</v>
          </cell>
          <cell r="N520">
            <v>2.8976199889317695</v>
          </cell>
          <cell r="O520">
            <v>3.768211526019221</v>
          </cell>
        </row>
        <row r="521">
          <cell r="A521" t="str">
            <v>SCOM-SHSTG</v>
          </cell>
          <cell r="B521" t="str">
            <v>VAR_ncap</v>
          </cell>
          <cell r="C521" t="str">
            <v>-</v>
          </cell>
          <cell r="D521">
            <v>2.8896328060041198E-3</v>
          </cell>
          <cell r="E521">
            <v>5.6545933445736899E-5</v>
          </cell>
          <cell r="F521">
            <v>2.2730052014815699E-4</v>
          </cell>
          <cell r="G521">
            <v>6.9973719708445295E-5</v>
          </cell>
          <cell r="H521">
            <v>0.250665136151065</v>
          </cell>
          <cell r="I521">
            <v>1.7893999644443299E-4</v>
          </cell>
          <cell r="J521">
            <v>3.0376856235582699E-4</v>
          </cell>
          <cell r="K521">
            <v>6.5106551585284098</v>
          </cell>
          <cell r="L521">
            <v>1.51873640893933E-3</v>
          </cell>
          <cell r="M521">
            <v>1.1383831039106999E-3</v>
          </cell>
          <cell r="N521">
            <v>6.0863933050648504E-4</v>
          </cell>
          <cell r="O521">
            <v>0.834710601453723</v>
          </cell>
        </row>
        <row r="522">
          <cell r="A522" t="str">
            <v>SCOM-SHSTG</v>
          </cell>
          <cell r="B522" t="str">
            <v>VAR_cap</v>
          </cell>
          <cell r="C522" t="str">
            <v>-</v>
          </cell>
          <cell r="D522">
            <v>2.8896328060041198E-3</v>
          </cell>
          <cell r="E522">
            <v>2.9437487489826978E-3</v>
          </cell>
          <cell r="F522">
            <v>3.1649280239115446E-3</v>
          </cell>
          <cell r="G522">
            <v>3.2242957946378176E-3</v>
          </cell>
          <cell r="H522">
            <v>0.25386503657892384</v>
          </cell>
          <cell r="I522">
            <v>0.25228235836830754</v>
          </cell>
          <cell r="J522">
            <v>0.2511647439684751</v>
          </cell>
          <cell r="K522">
            <v>6.761672210295318</v>
          </cell>
          <cell r="L522">
            <v>6.5884617893496973</v>
          </cell>
          <cell r="M522">
            <v>6.5132650566075467</v>
          </cell>
          <cell r="N522">
            <v>6.5135445995055425</v>
          </cell>
          <cell r="O522">
            <v>0.83759275002001721</v>
          </cell>
        </row>
        <row r="523">
          <cell r="A523" t="str">
            <v>D-ITOT_KEV_HFC_ELC_CHP</v>
          </cell>
          <cell r="B523" t="str">
            <v>VAR_fout</v>
          </cell>
          <cell r="C523" t="str">
            <v>ITOT_ELC</v>
          </cell>
          <cell r="H523">
            <v>0.61294972346262855</v>
          </cell>
          <cell r="I523">
            <v>0.33390627954597596</v>
          </cell>
          <cell r="J523">
            <v>0.29172626120442091</v>
          </cell>
          <cell r="K523">
            <v>0.64963253310522906</v>
          </cell>
          <cell r="L523">
            <v>1.6270302641167957</v>
          </cell>
          <cell r="M523">
            <v>1.7886305640708042</v>
          </cell>
          <cell r="N523">
            <v>3.2785272666129535</v>
          </cell>
          <cell r="O523">
            <v>3.8614741512127457</v>
          </cell>
        </row>
        <row r="524">
          <cell r="A524" t="str">
            <v>D-ITOT_KEV_HFC_ELC_CHP</v>
          </cell>
          <cell r="B524" t="str">
            <v>VAR_fout</v>
          </cell>
          <cell r="C524" t="str">
            <v>ELC5</v>
          </cell>
          <cell r="H524">
            <v>3.769635743126367E-2</v>
          </cell>
          <cell r="I524">
            <v>2.5820118317739133E-2</v>
          </cell>
          <cell r="J524">
            <v>6.803557220147248E-2</v>
          </cell>
          <cell r="K524">
            <v>3.6709895267841575E-2</v>
          </cell>
          <cell r="L524">
            <v>7.858528057087634E-2</v>
          </cell>
          <cell r="M524">
            <v>0.17850589692220234</v>
          </cell>
          <cell r="N524">
            <v>0.18679098678781147</v>
          </cell>
          <cell r="O524">
            <v>0.24724328534573237</v>
          </cell>
        </row>
        <row r="525">
          <cell r="A525" t="str">
            <v>D-ITOT_KEV_HFC_ELC_CHP</v>
          </cell>
          <cell r="B525" t="str">
            <v>VAR_fin</v>
          </cell>
          <cell r="C525" t="str">
            <v>ITOT_KEV_HFC_ELC_CHP</v>
          </cell>
          <cell r="H525">
            <v>0.65061765891588386</v>
          </cell>
          <cell r="I525">
            <v>0.35970119959755226</v>
          </cell>
          <cell r="J525">
            <v>0.35973605690891269</v>
          </cell>
          <cell r="K525">
            <v>0.68631688447511918</v>
          </cell>
          <cell r="L525">
            <v>1.7055878339183161</v>
          </cell>
          <cell r="M525">
            <v>1.9671081819723344</v>
          </cell>
          <cell r="N525">
            <v>3.4652906123534075</v>
          </cell>
          <cell r="O525">
            <v>4.1086942417916195</v>
          </cell>
        </row>
        <row r="526">
          <cell r="A526" t="str">
            <v>D-RNGA</v>
          </cell>
          <cell r="B526" t="str">
            <v>VAR_fout</v>
          </cell>
          <cell r="C526" t="str">
            <v>CO2</v>
          </cell>
          <cell r="D526">
            <v>2657.19339703281</v>
          </cell>
          <cell r="E526">
            <v>2731.43678422015</v>
          </cell>
          <cell r="F526">
            <v>2992.2424416869098</v>
          </cell>
          <cell r="G526">
            <v>2989.9138044210799</v>
          </cell>
          <cell r="H526">
            <v>2665.8463170558998</v>
          </cell>
          <cell r="I526">
            <v>1703.1741573464999</v>
          </cell>
          <cell r="J526">
            <v>1135.3490533691499</v>
          </cell>
          <cell r="K526">
            <v>547.78641742439697</v>
          </cell>
          <cell r="L526">
            <v>444.10626835263503</v>
          </cell>
          <cell r="M526">
            <v>434.25012043896203</v>
          </cell>
          <cell r="N526">
            <v>444.56235429032603</v>
          </cell>
          <cell r="O526">
            <v>417.252211371464</v>
          </cell>
        </row>
        <row r="527">
          <cell r="A527" t="str">
            <v>D-RNGA</v>
          </cell>
          <cell r="B527" t="str">
            <v>VAR_fout</v>
          </cell>
          <cell r="C527" t="str">
            <v>RNGA</v>
          </cell>
          <cell r="D527">
            <v>47.271626074647855</v>
          </cell>
          <cell r="E527">
            <v>48.283051295359691</v>
          </cell>
          <cell r="F527">
            <v>52.892542374654603</v>
          </cell>
          <cell r="G527">
            <v>52.850747650935141</v>
          </cell>
          <cell r="H527">
            <v>47.122888851820896</v>
          </cell>
          <cell r="I527">
            <v>30.213919133471997</v>
          </cell>
          <cell r="J527">
            <v>21.27183019270873</v>
          </cell>
          <cell r="K527">
            <v>12.032620527356265</v>
          </cell>
          <cell r="L527">
            <v>10.199813748964319</v>
          </cell>
          <cell r="M527">
            <v>10.025611069203272</v>
          </cell>
          <cell r="N527">
            <v>10.208022741535647</v>
          </cell>
          <cell r="O527">
            <v>9.7251756660639348</v>
          </cell>
        </row>
        <row r="528">
          <cell r="A528" t="str">
            <v>D-RNGA</v>
          </cell>
          <cell r="B528" t="str">
            <v>VAR_fout</v>
          </cell>
          <cell r="C528" t="str">
            <v>RSH2</v>
          </cell>
          <cell r="G528">
            <v>0.19284284614888622</v>
          </cell>
          <cell r="H528">
            <v>0.28743362993890403</v>
          </cell>
          <cell r="I528">
            <v>0.32791530508754263</v>
          </cell>
          <cell r="J528">
            <v>0.10543108564342747</v>
          </cell>
          <cell r="K528">
            <v>8.7943792068392701E-2</v>
          </cell>
          <cell r="L528">
            <v>0.21342704568079185</v>
          </cell>
          <cell r="M528">
            <v>0.21258905415087664</v>
          </cell>
          <cell r="N528">
            <v>0.16746467806580795</v>
          </cell>
          <cell r="O528">
            <v>0.22415659573128924</v>
          </cell>
        </row>
        <row r="529">
          <cell r="A529" t="str">
            <v>D-RNGA</v>
          </cell>
          <cell r="B529" t="str">
            <v>VAR_fin</v>
          </cell>
          <cell r="C529" t="str">
            <v>NGA</v>
          </cell>
          <cell r="D529">
            <v>47.113358103418577</v>
          </cell>
          <cell r="E529">
            <v>48.429730216669299</v>
          </cell>
          <cell r="F529">
            <v>53.053944001540913</v>
          </cell>
          <cell r="G529">
            <v>53.01265610675685</v>
          </cell>
          <cell r="H529">
            <v>47.266778671203873</v>
          </cell>
          <cell r="I529">
            <v>30.198123357207397</v>
          </cell>
          <cell r="J529">
            <v>20.130302364701315</v>
          </cell>
          <cell r="K529">
            <v>9.7125251316382446</v>
          </cell>
          <cell r="L529">
            <v>7.8742246161814711</v>
          </cell>
          <cell r="M529">
            <v>7.6994702205489718</v>
          </cell>
          <cell r="N529">
            <v>7.8823112462823737</v>
          </cell>
          <cell r="O529">
            <v>7.3980888541039729</v>
          </cell>
        </row>
        <row r="530">
          <cell r="A530" t="str">
            <v>D-RNGA</v>
          </cell>
          <cell r="B530" t="str">
            <v>VAR_fin</v>
          </cell>
          <cell r="C530" t="str">
            <v>BNGA</v>
          </cell>
          <cell r="D530">
            <v>0.30928283384692734</v>
          </cell>
          <cell r="E530">
            <v>7.5670601300430263E-3</v>
          </cell>
          <cell r="F530">
            <v>7.5699250461672739E-3</v>
          </cell>
          <cell r="G530">
            <v>7.5738777844855292E-3</v>
          </cell>
          <cell r="H530">
            <v>7.5963658768529044E-3</v>
          </cell>
          <cell r="I530">
            <v>0.11338871630919954</v>
          </cell>
          <cell r="J530">
            <v>1.2098483376622262</v>
          </cell>
          <cell r="K530">
            <v>2.3588452517231113</v>
          </cell>
          <cell r="L530">
            <v>2.3588777613015961</v>
          </cell>
          <cell r="M530">
            <v>2.3588827923008626</v>
          </cell>
          <cell r="N530">
            <v>2.3588820051912398</v>
          </cell>
          <cell r="O530">
            <v>2.358896015097351</v>
          </cell>
        </row>
        <row r="531">
          <cell r="A531" t="str">
            <v>D-RNGA</v>
          </cell>
          <cell r="B531" t="str">
            <v>VAR_fin</v>
          </cell>
          <cell r="C531" t="str">
            <v>H2</v>
          </cell>
          <cell r="G531">
            <v>0.19284284614888647</v>
          </cell>
          <cell r="H531">
            <v>0.2874336299389042</v>
          </cell>
          <cell r="I531">
            <v>0.32791428286658553</v>
          </cell>
          <cell r="J531">
            <v>0.10543108564342725</v>
          </cell>
          <cell r="K531">
            <v>8.7944666870531596E-2</v>
          </cell>
          <cell r="L531">
            <v>0.2134270064059467</v>
          </cell>
          <cell r="M531">
            <v>0.2125890541508772</v>
          </cell>
          <cell r="N531">
            <v>0.1674654279032915</v>
          </cell>
          <cell r="O531">
            <v>0.22415935875262755</v>
          </cell>
        </row>
        <row r="532">
          <cell r="A532" t="str">
            <v>D-RNGA</v>
          </cell>
          <cell r="B532" t="str">
            <v>VAR_ncap</v>
          </cell>
          <cell r="C532" t="str">
            <v>-</v>
          </cell>
          <cell r="D532">
            <v>1.81399647715755E-6</v>
          </cell>
          <cell r="E532">
            <v>4.0525853374123302E-7</v>
          </cell>
          <cell r="F532">
            <v>5.1349763720722104E-7</v>
          </cell>
          <cell r="G532">
            <v>4.6101154432120401E-7</v>
          </cell>
          <cell r="H532">
            <v>6.5219291149483897E-7</v>
          </cell>
          <cell r="I532">
            <v>8.8750920612050401E-7</v>
          </cell>
          <cell r="J532">
            <v>1.5840311514016201E-6</v>
          </cell>
          <cell r="K532">
            <v>1.3653111929177E-5</v>
          </cell>
          <cell r="L532">
            <v>0.60242867472058803</v>
          </cell>
          <cell r="M532">
            <v>5.7861750306357897E-5</v>
          </cell>
          <cell r="N532">
            <v>1.3406334834306101E-2</v>
          </cell>
          <cell r="O532">
            <v>7.1020236215222995E-5</v>
          </cell>
        </row>
        <row r="533">
          <cell r="A533" t="str">
            <v>D-RNGA</v>
          </cell>
          <cell r="B533" t="str">
            <v>VAR_cap</v>
          </cell>
          <cell r="C533" t="str">
            <v>-</v>
          </cell>
          <cell r="D533">
            <v>3.0972418213923971</v>
          </cell>
          <cell r="E533">
            <v>3.097242226650931</v>
          </cell>
          <cell r="F533">
            <v>3.0972427401485683</v>
          </cell>
          <cell r="G533">
            <v>3.0972432011601123</v>
          </cell>
          <cell r="H533">
            <v>3.097243853353024</v>
          </cell>
          <cell r="I533">
            <v>3.0972447408622301</v>
          </cell>
          <cell r="J533">
            <v>3.0972463248933817</v>
          </cell>
          <cell r="K533">
            <v>1.0580286007968607</v>
          </cell>
          <cell r="L533">
            <v>0.60244864532997899</v>
          </cell>
          <cell r="M533">
            <v>0.60250496588886904</v>
          </cell>
          <cell r="N533">
            <v>0.61591005396666099</v>
          </cell>
          <cell r="O533">
            <v>0.61598066838661403</v>
          </cell>
        </row>
        <row r="534">
          <cell r="A534" t="str">
            <v>RHNS-SHLTHCHPNGA</v>
          </cell>
          <cell r="B534" t="str">
            <v>VAR_fout</v>
          </cell>
          <cell r="C534" t="str">
            <v>RHNS-SHLTHC-NGA</v>
          </cell>
          <cell r="E534">
            <v>8.856828191714846E-4</v>
          </cell>
          <cell r="F534">
            <v>8.3953791016753345E-3</v>
          </cell>
          <cell r="G534">
            <v>7.84598751423435E-3</v>
          </cell>
          <cell r="H534">
            <v>8.2722125693854825E-3</v>
          </cell>
          <cell r="I534">
            <v>4.9795755783222694E-3</v>
          </cell>
          <cell r="L534">
            <v>4.974384022154334E-3</v>
          </cell>
          <cell r="M534">
            <v>7.2633227266312231E-3</v>
          </cell>
          <cell r="N534">
            <v>4.9248041037401741E-3</v>
          </cell>
          <cell r="O534">
            <v>1.1065459136206856E-2</v>
          </cell>
        </row>
        <row r="535">
          <cell r="A535" t="str">
            <v>RHNS-SHLTHCHPNGA</v>
          </cell>
          <cell r="B535" t="str">
            <v>VAR_fin</v>
          </cell>
          <cell r="C535" t="str">
            <v>RHNSLTHCHPC</v>
          </cell>
          <cell r="E535">
            <v>8.856828191714846E-4</v>
          </cell>
          <cell r="F535">
            <v>8.3953791016753345E-3</v>
          </cell>
          <cell r="G535">
            <v>7.84598751423435E-3</v>
          </cell>
          <cell r="H535">
            <v>8.2722125693854825E-3</v>
          </cell>
          <cell r="I535">
            <v>4.9795755783222694E-3</v>
          </cell>
          <cell r="L535">
            <v>4.974384022154334E-3</v>
          </cell>
          <cell r="M535">
            <v>7.2633227266312231E-3</v>
          </cell>
          <cell r="N535">
            <v>4.9248041037401741E-3</v>
          </cell>
          <cell r="O535">
            <v>1.1065459136206856E-2</v>
          </cell>
        </row>
        <row r="536">
          <cell r="A536" t="str">
            <v>RHNS-SHLTHCHPNGA</v>
          </cell>
          <cell r="B536" t="str">
            <v>VAR_fin</v>
          </cell>
          <cell r="C536" t="str">
            <v>RHNS_LTH_CHPNGA_ON</v>
          </cell>
          <cell r="E536">
            <v>8.9462911027422755E-4</v>
          </cell>
          <cell r="F536">
            <v>8.4801809107831663E-3</v>
          </cell>
          <cell r="G536">
            <v>7.9252399133680259E-3</v>
          </cell>
          <cell r="H536">
            <v>8.3557702721065545E-3</v>
          </cell>
          <cell r="I536">
            <v>5.0298743215376508E-3</v>
          </cell>
          <cell r="L536">
            <v>5.0246303254084237E-3</v>
          </cell>
          <cell r="M536">
            <v>7.3366896228598145E-3</v>
          </cell>
          <cell r="N536">
            <v>4.9745495997375435E-3</v>
          </cell>
          <cell r="O536">
            <v>1.1177231450714002E-2</v>
          </cell>
        </row>
        <row r="537">
          <cell r="A537" t="str">
            <v>RHNS-SHLTHCHPNGA</v>
          </cell>
          <cell r="B537" t="str">
            <v>VAR_ncap</v>
          </cell>
          <cell r="C537" t="str">
            <v>-</v>
          </cell>
          <cell r="E537">
            <v>1.08096936005054E-4</v>
          </cell>
          <cell r="F537">
            <v>8.67387915668512E-4</v>
          </cell>
          <cell r="G537">
            <v>6.0493509395850398E-4</v>
          </cell>
          <cell r="H537">
            <v>5.3578470842496895E-4</v>
          </cell>
          <cell r="I537">
            <v>3.7944166831713899E-4</v>
          </cell>
          <cell r="J537">
            <v>2.3307736245287599E-7</v>
          </cell>
          <cell r="K537">
            <v>3.1057191273560598E-7</v>
          </cell>
          <cell r="L537">
            <v>6.1554281802181701E-4</v>
          </cell>
          <cell r="M537">
            <v>6.9431825392956702E-4</v>
          </cell>
          <cell r="N537">
            <v>3.8084217416761202E-4</v>
          </cell>
          <cell r="O537">
            <v>1.1266796349564199E-3</v>
          </cell>
        </row>
        <row r="538">
          <cell r="A538" t="str">
            <v>RHNS-SHLTHCHPNGA</v>
          </cell>
          <cell r="B538" t="str">
            <v>VAR_cap</v>
          </cell>
          <cell r="C538" t="str">
            <v>-</v>
          </cell>
          <cell r="E538">
            <v>1.08096936005054E-4</v>
          </cell>
          <cell r="F538">
            <v>9.3241949048450791E-4</v>
          </cell>
          <cell r="G538">
            <v>9.0529091817993508E-4</v>
          </cell>
          <cell r="H538">
            <v>8.9697783009705986E-4</v>
          </cell>
          <cell r="I538">
            <v>5.4490425494661994E-4</v>
          </cell>
          <cell r="J538">
            <v>2.0599841277224584E-18</v>
          </cell>
          <cell r="K538">
            <v>1.0299920638612292E-18</v>
          </cell>
          <cell r="L538">
            <v>6.15594698736419E-4</v>
          </cell>
          <cell r="M538">
            <v>8.9538235420924398E-4</v>
          </cell>
          <cell r="N538">
            <v>6.1366759165267209E-4</v>
          </cell>
          <cell r="O538">
            <v>1.3811837944687241E-3</v>
          </cell>
        </row>
        <row r="539">
          <cell r="A539" t="str">
            <v>D-SCOM_LTH_CHPWOD</v>
          </cell>
          <cell r="B539" t="str">
            <v>VAR_fout</v>
          </cell>
          <cell r="C539" t="str">
            <v>SCOM_LTH_CHPWOD_ON</v>
          </cell>
          <cell r="G539">
            <v>2.9358131556597323E-3</v>
          </cell>
          <cell r="H539">
            <v>5.0924908568939081E-3</v>
          </cell>
          <cell r="I539">
            <v>1.2724956350724632E-2</v>
          </cell>
          <cell r="J539">
            <v>1.05498919546065E-2</v>
          </cell>
          <cell r="K539">
            <v>1.548726502043027E-2</v>
          </cell>
          <cell r="L539">
            <v>1.0971684573062829E-2</v>
          </cell>
          <cell r="M539">
            <v>7.4375067530812805E-3</v>
          </cell>
          <cell r="N539">
            <v>1.4891700687353293E-2</v>
          </cell>
          <cell r="O539">
            <v>1.4384590122577128E-2</v>
          </cell>
        </row>
        <row r="540">
          <cell r="A540" t="str">
            <v>D-SCOM_LTH_CHPWOD</v>
          </cell>
          <cell r="B540" t="str">
            <v>VAR_fout</v>
          </cell>
          <cell r="C540" t="str">
            <v>LTH</v>
          </cell>
          <cell r="G540">
            <v>3.0911273021257819E-5</v>
          </cell>
          <cell r="H540">
            <v>3.3704342379118811E-5</v>
          </cell>
          <cell r="I540">
            <v>4.5214298079714318E-5</v>
          </cell>
          <cell r="J540">
            <v>1.0178931764600074E-4</v>
          </cell>
          <cell r="K540">
            <v>5.6942712749987643E-5</v>
          </cell>
          <cell r="L540">
            <v>5.866805747651392E-5</v>
          </cell>
          <cell r="M540">
            <v>4.6978590472469717E-5</v>
          </cell>
          <cell r="N540">
            <v>7.0473152263587102E-5</v>
          </cell>
          <cell r="O540">
            <v>8.0669857174233567E-5</v>
          </cell>
        </row>
        <row r="541">
          <cell r="A541" t="str">
            <v>D-SCOM_LTH_CHPWOD</v>
          </cell>
          <cell r="B541" t="str">
            <v>VAR_fin</v>
          </cell>
          <cell r="C541" t="str">
            <v>SCOM_LTH_CHPWOD</v>
          </cell>
          <cell r="G541">
            <v>2.966724428680987E-3</v>
          </cell>
          <cell r="H541">
            <v>5.1261951992730244E-3</v>
          </cell>
          <cell r="I541">
            <v>1.2770170648804348E-2</v>
          </cell>
          <cell r="J541">
            <v>1.065168127225251E-2</v>
          </cell>
          <cell r="K541">
            <v>1.5544207733180255E-2</v>
          </cell>
          <cell r="L541">
            <v>1.1030352630539348E-2</v>
          </cell>
          <cell r="M541">
            <v>7.4844853435537461E-3</v>
          </cell>
          <cell r="N541">
            <v>1.4962173839616863E-2</v>
          </cell>
          <cell r="O541">
            <v>1.4465259979751359E-2</v>
          </cell>
        </row>
        <row r="542">
          <cell r="A542" t="str">
            <v>D-SCOM_KEV_BIO_ELC_CHP</v>
          </cell>
          <cell r="B542" t="str">
            <v>VAR_fout</v>
          </cell>
          <cell r="C542" t="str">
            <v>ELC5</v>
          </cell>
          <cell r="D542">
            <v>0.95865733051710367</v>
          </cell>
          <cell r="E542">
            <v>1.1066757718125553</v>
          </cell>
          <cell r="F542">
            <v>1.1135290105627282</v>
          </cell>
          <cell r="G542">
            <v>1.1136297714594756</v>
          </cell>
          <cell r="H542">
            <v>0.55733270354408093</v>
          </cell>
          <cell r="I542">
            <v>0.55736514310739449</v>
          </cell>
          <cell r="J542">
            <v>0.56358851218937212</v>
          </cell>
          <cell r="K542">
            <v>0.5702336513987436</v>
          </cell>
          <cell r="L542">
            <v>0.56964062844632546</v>
          </cell>
          <cell r="M542">
            <v>0.56969483077730709</v>
          </cell>
          <cell r="N542">
            <v>0.65637922560460304</v>
          </cell>
          <cell r="O542">
            <v>0.88338640763305143</v>
          </cell>
        </row>
        <row r="543">
          <cell r="A543" t="str">
            <v>D-SCOM_KEV_BIO_ELC_CHP</v>
          </cell>
          <cell r="B543" t="str">
            <v>VAR_fout</v>
          </cell>
          <cell r="C543" t="str">
            <v>SCOM_ELC</v>
          </cell>
          <cell r="D543">
            <v>7.6359731833575888E-4</v>
          </cell>
          <cell r="E543">
            <v>2.9853469025433734E-4</v>
          </cell>
          <cell r="F543">
            <v>4.8228877278677076E-4</v>
          </cell>
          <cell r="G543">
            <v>1.251947957146254E-3</v>
          </cell>
          <cell r="H543">
            <v>0.55758751616531532</v>
          </cell>
          <cell r="I543">
            <v>0.55756839731031438</v>
          </cell>
          <cell r="J543">
            <v>0.56450875610167461</v>
          </cell>
          <cell r="K543">
            <v>0.57269850149738433</v>
          </cell>
          <cell r="L543">
            <v>0.57329422667208796</v>
          </cell>
          <cell r="M543">
            <v>0.57325871432984932</v>
          </cell>
          <cell r="N543">
            <v>0.66050090781844273</v>
          </cell>
          <cell r="O543">
            <v>0.89145680603812805</v>
          </cell>
        </row>
        <row r="544">
          <cell r="A544" t="str">
            <v>D-SCOM_KEV_BIO_ELC_CHP</v>
          </cell>
          <cell r="B544" t="str">
            <v>VAR_fin</v>
          </cell>
          <cell r="C544" t="str">
            <v>SCOM_KEV_BIO_ELC_CHP</v>
          </cell>
          <cell r="D544">
            <v>0.95942092783543942</v>
          </cell>
          <cell r="E544">
            <v>1.1069743065028093</v>
          </cell>
          <cell r="F544">
            <v>1.1139828773575073</v>
          </cell>
          <cell r="G544">
            <v>1.1148532974386145</v>
          </cell>
          <cell r="H544">
            <v>1.1148917977313888</v>
          </cell>
          <cell r="I544">
            <v>1.1149051184397003</v>
          </cell>
          <cell r="J544">
            <v>1.1280687497333792</v>
          </cell>
          <cell r="K544">
            <v>1.1429037023793382</v>
          </cell>
          <cell r="L544">
            <v>1.1429064331404066</v>
          </cell>
          <cell r="M544">
            <v>1.1429251231291493</v>
          </cell>
          <cell r="N544">
            <v>1.3168517114450387</v>
          </cell>
          <cell r="O544">
            <v>1.7748136513243538</v>
          </cell>
        </row>
        <row r="545">
          <cell r="A545" t="str">
            <v>RHES-SHLTHCHPWOD</v>
          </cell>
          <cell r="B545" t="str">
            <v>VAR_fout</v>
          </cell>
          <cell r="C545" t="str">
            <v>RHES-SHLTHC-WOD</v>
          </cell>
          <cell r="G545">
            <v>1.9218608031630552E-3</v>
          </cell>
          <cell r="H545">
            <v>4.7675474072404762E-3</v>
          </cell>
          <cell r="I545">
            <v>1.2227473481611354E-2</v>
          </cell>
          <cell r="J545">
            <v>1.5434892594350581E-2</v>
          </cell>
          <cell r="K545">
            <v>2.89065295956615E-2</v>
          </cell>
          <cell r="L545">
            <v>2.0394824531012389E-2</v>
          </cell>
          <cell r="M545">
            <v>1.331701669564792E-2</v>
          </cell>
          <cell r="N545">
            <v>2.0106359299151874E-2</v>
          </cell>
          <cell r="O545">
            <v>1.5891783973613894E-2</v>
          </cell>
        </row>
        <row r="546">
          <cell r="A546" t="str">
            <v>RHES-SHLTHCHPWOD</v>
          </cell>
          <cell r="B546" t="str">
            <v>VAR_fin</v>
          </cell>
          <cell r="C546" t="str">
            <v>RHESLTHCHPC</v>
          </cell>
          <cell r="G546">
            <v>1.9218608031630552E-3</v>
          </cell>
          <cell r="H546">
            <v>4.7675474072404762E-3</v>
          </cell>
          <cell r="I546">
            <v>1.2227473481611354E-2</v>
          </cell>
          <cell r="J546">
            <v>1.5434892594350581E-2</v>
          </cell>
          <cell r="K546">
            <v>2.89065295956615E-2</v>
          </cell>
          <cell r="L546">
            <v>2.0394824531012389E-2</v>
          </cell>
          <cell r="M546">
            <v>1.331701669564792E-2</v>
          </cell>
          <cell r="N546">
            <v>2.0106359299151874E-2</v>
          </cell>
          <cell r="O546">
            <v>1.5891783973613894E-2</v>
          </cell>
        </row>
        <row r="547">
          <cell r="A547" t="str">
            <v>RHES-SHLTHCHPWOD</v>
          </cell>
          <cell r="B547" t="str">
            <v>VAR_fin</v>
          </cell>
          <cell r="C547" t="str">
            <v>RHES_LTH_CHPWOD_ON</v>
          </cell>
          <cell r="G547">
            <v>1.9412735385485385E-3</v>
          </cell>
          <cell r="H547">
            <v>4.8157044517580542E-3</v>
          </cell>
          <cell r="I547">
            <v>1.2350983314758941E-2</v>
          </cell>
          <cell r="J547">
            <v>1.5590800600354103E-2</v>
          </cell>
          <cell r="K547">
            <v>2.9198514743092419E-2</v>
          </cell>
          <cell r="L547">
            <v>2.060083285960845E-2</v>
          </cell>
          <cell r="M547">
            <v>1.3451532015805965E-2</v>
          </cell>
          <cell r="N547">
            <v>2.030945383752715E-2</v>
          </cell>
          <cell r="O547">
            <v>1.6052307044054432E-2</v>
          </cell>
        </row>
        <row r="548">
          <cell r="A548" t="str">
            <v>RHES-SHLTHCHPWOD</v>
          </cell>
          <cell r="B548" t="str">
            <v>VAR_ncap</v>
          </cell>
          <cell r="C548" t="str">
            <v>-</v>
          </cell>
          <cell r="G548">
            <v>2.51168026139224E-4</v>
          </cell>
          <cell r="H548">
            <v>4.3176736642060198E-4</v>
          </cell>
          <cell r="I548">
            <v>1.0519508418645001E-3</v>
          </cell>
          <cell r="J548">
            <v>1.0250664298704099E-3</v>
          </cell>
          <cell r="K548">
            <v>2.0692483169882699E-3</v>
          </cell>
          <cell r="L548">
            <v>1.3122127494121299E-3</v>
          </cell>
          <cell r="M548">
            <v>9.3622597455363804E-4</v>
          </cell>
          <cell r="N548">
            <v>1.4204059296508401E-3</v>
          </cell>
          <cell r="O548">
            <v>1.11051799195579E-3</v>
          </cell>
        </row>
        <row r="549">
          <cell r="A549" t="str">
            <v>RHES-SHLTHCHPWOD</v>
          </cell>
          <cell r="B549" t="str">
            <v>VAR_cap</v>
          </cell>
          <cell r="C549" t="str">
            <v>-</v>
          </cell>
          <cell r="G549">
            <v>2.51168026139224E-4</v>
          </cell>
          <cell r="H549">
            <v>5.3104382671261094E-4</v>
          </cell>
          <cell r="I549">
            <v>1.2576396497161759E-3</v>
          </cell>
          <cell r="J549">
            <v>1.4936052735042497E-3</v>
          </cell>
          <cell r="K549">
            <v>2.6867623480712503E-3</v>
          </cell>
          <cell r="L549">
            <v>1.9876679431646499E-3</v>
          </cell>
          <cell r="M549">
            <v>1.4884674220130602E-3</v>
          </cell>
          <cell r="N549">
            <v>1.9612415338500196E-3</v>
          </cell>
          <cell r="O549">
            <v>1.7765066877336497E-3</v>
          </cell>
        </row>
        <row r="550">
          <cell r="A550" t="str">
            <v>RHES-SHSTG-NGAHP</v>
          </cell>
          <cell r="B550" t="str">
            <v>VAR_fout</v>
          </cell>
          <cell r="C550" t="str">
            <v>RHES-SHANGAH</v>
          </cell>
          <cell r="F550">
            <v>5.6875068201455879E-4</v>
          </cell>
          <cell r="G550">
            <v>5.1692264596606748E-4</v>
          </cell>
          <cell r="H550">
            <v>0.36748918222113597</v>
          </cell>
          <cell r="I550">
            <v>0.38120025736079161</v>
          </cell>
          <cell r="J550">
            <v>0.40471188060784857</v>
          </cell>
          <cell r="K550">
            <v>5.7042544571004727E-4</v>
          </cell>
          <cell r="L550">
            <v>6.4401919477125177E-4</v>
          </cell>
          <cell r="M550">
            <v>5.8367621657415248E-4</v>
          </cell>
          <cell r="N550">
            <v>6.8421082695387082E-4</v>
          </cell>
          <cell r="O550">
            <v>6.1433701039657082E-4</v>
          </cell>
        </row>
        <row r="551">
          <cell r="A551" t="str">
            <v>RHES-SHSTG-NGAHP</v>
          </cell>
          <cell r="B551" t="str">
            <v>VAR_fin</v>
          </cell>
          <cell r="C551" t="str">
            <v>RHES-SHANGAH</v>
          </cell>
          <cell r="F551">
            <v>5.7030220707410186E-4</v>
          </cell>
          <cell r="G551">
            <v>5.1846542990165569E-4</v>
          </cell>
          <cell r="H551">
            <v>0.36751429922931045</v>
          </cell>
          <cell r="I551">
            <v>0.38122539164773639</v>
          </cell>
          <cell r="J551">
            <v>0.40473749971986928</v>
          </cell>
          <cell r="K551">
            <v>5.7198883670621598E-4</v>
          </cell>
          <cell r="L551">
            <v>6.4557896024723389E-4</v>
          </cell>
          <cell r="M551">
            <v>5.8525599474880787E-4</v>
          </cell>
          <cell r="N551">
            <v>6.8578174117785444E-4</v>
          </cell>
          <cell r="O551">
            <v>6.1591924627284102E-4</v>
          </cell>
        </row>
        <row r="552">
          <cell r="A552" t="str">
            <v>RHES-SHSTG-NGAHP</v>
          </cell>
          <cell r="B552" t="str">
            <v>VAR_ncap</v>
          </cell>
          <cell r="C552" t="str">
            <v>-</v>
          </cell>
          <cell r="D552">
            <v>4.4945801907503797E-5</v>
          </cell>
          <cell r="E552">
            <v>6.8381066488869305E-7</v>
          </cell>
          <cell r="F552">
            <v>1.4083345376998999E-4</v>
          </cell>
          <cell r="G552">
            <v>5.3749900952017699E-5</v>
          </cell>
          <cell r="H552">
            <v>5.5716751348100002E-2</v>
          </cell>
          <cell r="I552">
            <v>1.50355568068341E-4</v>
          </cell>
          <cell r="J552">
            <v>1.6764202144345399E-4</v>
          </cell>
          <cell r="K552">
            <v>1.14584763423545E-4</v>
          </cell>
          <cell r="L552">
            <v>1.1356740290620701E-4</v>
          </cell>
          <cell r="M552">
            <v>1.2944182393707899E-4</v>
          </cell>
          <cell r="N552">
            <v>1.21652148791226E-4</v>
          </cell>
          <cell r="O552">
            <v>1.60920422110675E-4</v>
          </cell>
        </row>
        <row r="553">
          <cell r="A553" t="str">
            <v>RHES-SHSTG-NGAHP</v>
          </cell>
          <cell r="B553" t="str">
            <v>VAR_cap</v>
          </cell>
          <cell r="C553" t="str">
            <v>-</v>
          </cell>
          <cell r="D553">
            <v>4.4945801907503797E-5</v>
          </cell>
          <cell r="E553">
            <v>7.6637215254350184E-7</v>
          </cell>
          <cell r="F553">
            <v>1.412090353685369E-4</v>
          </cell>
          <cell r="G553">
            <v>1.4184003348308589E-4</v>
          </cell>
          <cell r="H553">
            <v>5.5827378718539877E-2</v>
          </cell>
          <cell r="I553">
            <v>5.5726691930189795E-2</v>
          </cell>
          <cell r="J553">
            <v>5.5698539712626123E-2</v>
          </cell>
          <cell r="K553">
            <v>1.8983584729320198E-4</v>
          </cell>
          <cell r="L553">
            <v>1.8199776078370498E-4</v>
          </cell>
          <cell r="M553">
            <v>2.0158710431522598E-4</v>
          </cell>
          <cell r="N553">
            <v>1.94809367545153E-4</v>
          </cell>
          <cell r="O553">
            <v>2.4440884796149605E-4</v>
          </cell>
        </row>
        <row r="554">
          <cell r="A554" t="str">
            <v>D-RHNS_SOLELC</v>
          </cell>
          <cell r="B554" t="str">
            <v>VAR_fout</v>
          </cell>
          <cell r="C554" t="str">
            <v>RHNS_ELC</v>
          </cell>
          <cell r="E554">
            <v>2.2488017104298252E-5</v>
          </cell>
          <cell r="F554">
            <v>1.8281697527497824E-3</v>
          </cell>
          <cell r="G554">
            <v>1.9705547845518794E-3</v>
          </cell>
          <cell r="H554">
            <v>2.9687594205197233E-3</v>
          </cell>
          <cell r="I554">
            <v>3.2946389932049162E-3</v>
          </cell>
          <cell r="J554">
            <v>3.5010972264411379E-3</v>
          </cell>
          <cell r="K554">
            <v>5.9019114251897316E-3</v>
          </cell>
          <cell r="L554">
            <v>5.8578788641428826E-3</v>
          </cell>
          <cell r="M554">
            <v>6.0886360081547995E-3</v>
          </cell>
          <cell r="N554">
            <v>6.4803546004081839E-3</v>
          </cell>
          <cell r="O554">
            <v>6.5486072298650937E-3</v>
          </cell>
        </row>
        <row r="555">
          <cell r="A555" t="str">
            <v>D-RHNS_SOLELC</v>
          </cell>
          <cell r="B555" t="str">
            <v>VAR_fout</v>
          </cell>
          <cell r="C555" t="str">
            <v>ELC5</v>
          </cell>
          <cell r="E555">
            <v>2.2689211789727766E-5</v>
          </cell>
          <cell r="F555">
            <v>1.8353829053531644E-3</v>
          </cell>
          <cell r="G555">
            <v>1.9692637011329136E-3</v>
          </cell>
          <cell r="H555">
            <v>2.9752621179220608E-3</v>
          </cell>
          <cell r="I555">
            <v>3.2448446134934038E-3</v>
          </cell>
          <cell r="J555">
            <v>3.4212014044349912E-3</v>
          </cell>
          <cell r="K555">
            <v>5.7733023257732245E-3</v>
          </cell>
          <cell r="L555">
            <v>5.7320404338431748E-3</v>
          </cell>
          <cell r="M555">
            <v>5.9413077460823997E-3</v>
          </cell>
          <cell r="N555">
            <v>6.3575821885667461E-3</v>
          </cell>
          <cell r="O555">
            <v>6.40583463388262E-3</v>
          </cell>
        </row>
        <row r="556">
          <cell r="A556" t="str">
            <v>D-RHNS_SOLELC</v>
          </cell>
          <cell r="B556" t="str">
            <v>VAR_fin</v>
          </cell>
          <cell r="C556" t="str">
            <v>RHNS_SOL_ELC</v>
          </cell>
          <cell r="E556">
            <v>1.2810759870179744E-5</v>
          </cell>
          <cell r="F556">
            <v>3.6635526581029467E-3</v>
          </cell>
          <cell r="G556">
            <v>3.9398184856847939E-3</v>
          </cell>
          <cell r="H556">
            <v>5.9440215384417875E-3</v>
          </cell>
          <cell r="I556">
            <v>6.539483606698324E-3</v>
          </cell>
          <cell r="J556">
            <v>6.9222986308761338E-3</v>
          </cell>
          <cell r="K556">
            <v>1.1675213750962952E-2</v>
          </cell>
          <cell r="L556">
            <v>1.1589919297986058E-2</v>
          </cell>
          <cell r="M556">
            <v>1.2029943754237207E-2</v>
          </cell>
          <cell r="N556">
            <v>1.2837936788974928E-2</v>
          </cell>
          <cell r="O556">
            <v>1.2954441863747713E-2</v>
          </cell>
        </row>
        <row r="557">
          <cell r="A557" t="str">
            <v>D-IHFO</v>
          </cell>
          <cell r="B557" t="str">
            <v>VAR_fout</v>
          </cell>
          <cell r="C557" t="str">
            <v>CO2</v>
          </cell>
          <cell r="D557">
            <v>213.78367285441001</v>
          </cell>
          <cell r="E557">
            <v>212.862310318982</v>
          </cell>
          <cell r="F557">
            <v>0.634055635309417</v>
          </cell>
          <cell r="G557">
            <v>0.13794188725638801</v>
          </cell>
          <cell r="H557">
            <v>0.18074544858632599</v>
          </cell>
          <cell r="I557">
            <v>0.37130312805063798</v>
          </cell>
          <cell r="J557">
            <v>0.16787338941914101</v>
          </cell>
        </row>
        <row r="558">
          <cell r="A558" t="str">
            <v>D-IHFO</v>
          </cell>
          <cell r="B558" t="str">
            <v>VAR_fout</v>
          </cell>
          <cell r="C558" t="str">
            <v>IHFO</v>
          </cell>
          <cell r="D558">
            <v>2.730042030847148</v>
          </cell>
          <cell r="E558">
            <v>2.7182761255570789</v>
          </cell>
          <cell r="F558">
            <v>8.0969632113535254E-3</v>
          </cell>
          <cell r="G558">
            <v>1.7615337270436907E-3</v>
          </cell>
          <cell r="H558">
            <v>2.3081401162989307E-3</v>
          </cell>
          <cell r="I558">
            <v>4.741583546717278E-3</v>
          </cell>
          <cell r="J558">
            <v>2.1437624438566749E-3</v>
          </cell>
        </row>
        <row r="559">
          <cell r="A559" t="str">
            <v>D-IHFO</v>
          </cell>
          <cell r="B559" t="str">
            <v>VAR_fin</v>
          </cell>
          <cell r="C559" t="str">
            <v>HFO</v>
          </cell>
          <cell r="D559">
            <v>2.7764113357715652</v>
          </cell>
          <cell r="E559">
            <v>2.7644455885582047</v>
          </cell>
          <cell r="F559">
            <v>8.2344887702521692E-3</v>
          </cell>
          <cell r="G559">
            <v>1.7914530812517958E-3</v>
          </cell>
          <cell r="H559">
            <v>2.3473434881341004E-3</v>
          </cell>
          <cell r="I559">
            <v>4.8221185461121792E-3</v>
          </cell>
          <cell r="J559">
            <v>2.1801738885602784E-3</v>
          </cell>
        </row>
        <row r="560">
          <cell r="A560" t="str">
            <v>RHEM-SHCONBR</v>
          </cell>
          <cell r="B560" t="str">
            <v>VAR_fout</v>
          </cell>
          <cell r="C560" t="str">
            <v>RHEM-SHCON</v>
          </cell>
          <cell r="F560">
            <v>5.9931832641897523E-4</v>
          </cell>
          <cell r="G560">
            <v>6.2850694782761634E-4</v>
          </cell>
          <cell r="H560">
            <v>9.573953336119897E-4</v>
          </cell>
          <cell r="I560">
            <v>9.9246292162696653E-4</v>
          </cell>
          <cell r="J560">
            <v>1.049876651828191E-3</v>
          </cell>
          <cell r="K560">
            <v>2.8854192945137669E-3</v>
          </cell>
          <cell r="L560">
            <v>7.2706773948584796E-2</v>
          </cell>
          <cell r="M560">
            <v>7.2582893725459008E-2</v>
          </cell>
          <cell r="N560">
            <v>3.06742140442873</v>
          </cell>
          <cell r="O560">
            <v>1.3807949953711103</v>
          </cell>
        </row>
        <row r="561">
          <cell r="A561" t="str">
            <v>RHEM-SHCONBR</v>
          </cell>
          <cell r="B561" t="str">
            <v>VAR_fin</v>
          </cell>
          <cell r="C561" t="str">
            <v>CON</v>
          </cell>
          <cell r="F561">
            <v>5.9931832641897523E-4</v>
          </cell>
          <cell r="G561">
            <v>6.2850694782761634E-4</v>
          </cell>
          <cell r="H561">
            <v>9.573953336119897E-4</v>
          </cell>
          <cell r="I561">
            <v>9.9246292162696653E-4</v>
          </cell>
          <cell r="J561">
            <v>1.049876651828191E-3</v>
          </cell>
          <cell r="K561">
            <v>2.8854192945137669E-3</v>
          </cell>
          <cell r="L561">
            <v>7.2706773948584796E-2</v>
          </cell>
          <cell r="M561">
            <v>7.2582893725459008E-2</v>
          </cell>
          <cell r="N561">
            <v>3.06742140442873</v>
          </cell>
          <cell r="O561">
            <v>1.3807949953711103</v>
          </cell>
        </row>
        <row r="562">
          <cell r="A562" t="str">
            <v>RHEM-SHCONBR</v>
          </cell>
          <cell r="B562" t="str">
            <v>VAR_ncap</v>
          </cell>
          <cell r="C562" t="str">
            <v>-</v>
          </cell>
          <cell r="D562">
            <v>1.4214912260351299E-7</v>
          </cell>
          <cell r="E562">
            <v>2.7845823976351898E-7</v>
          </cell>
          <cell r="F562">
            <v>4.9560433872398099E-5</v>
          </cell>
          <cell r="G562">
            <v>7.9561568172713001E-7</v>
          </cell>
          <cell r="H562">
            <v>2.7392482071308902E-5</v>
          </cell>
          <cell r="I562">
            <v>2.2995224018335198E-6</v>
          </cell>
          <cell r="J562">
            <v>2.9652860901704399E-6</v>
          </cell>
          <cell r="K562">
            <v>1.3239412876172701E-4</v>
          </cell>
          <cell r="L562">
            <v>4.9494190564242403E-3</v>
          </cell>
          <cell r="M562">
            <v>1.30672517294054E-6</v>
          </cell>
          <cell r="N562">
            <v>0.211468964025568</v>
          </cell>
          <cell r="O562">
            <v>1.73024502173839E-7</v>
          </cell>
        </row>
        <row r="563">
          <cell r="A563" t="str">
            <v>RHEM-SHCONBR</v>
          </cell>
          <cell r="B563" t="str">
            <v>VAR_cap</v>
          </cell>
          <cell r="C563" t="str">
            <v>-</v>
          </cell>
          <cell r="D563">
            <v>1.4214912260351299E-7</v>
          </cell>
          <cell r="E563">
            <v>3.4133355905665601E-7</v>
          </cell>
          <cell r="F563">
            <v>4.9841204704431695E-5</v>
          </cell>
          <cell r="G563">
            <v>5.0572074706946314E-5</v>
          </cell>
          <cell r="H563">
            <v>7.7812765954111328E-5</v>
          </cell>
          <cell r="I563">
            <v>7.9886498829658448E-5</v>
          </cell>
          <cell r="J563">
            <v>8.2681607674677928E-5</v>
          </cell>
          <cell r="K563">
            <v>2.1488877938703345E-4</v>
          </cell>
          <cell r="L563">
            <v>5.1643450039141709E-3</v>
          </cell>
          <cell r="M563">
            <v>5.1653306359076409E-3</v>
          </cell>
          <cell r="N563">
            <v>0.21663451481493781</v>
          </cell>
          <cell r="O563">
            <v>0.21663476908484136</v>
          </cell>
        </row>
        <row r="564">
          <cell r="A564" t="str">
            <v>RHEM-SHSOLBR</v>
          </cell>
          <cell r="B564" t="str">
            <v>VAR_fout</v>
          </cell>
          <cell r="C564" t="str">
            <v>RHEM-SHASOL</v>
          </cell>
          <cell r="D564">
            <v>0.40802664735076355</v>
          </cell>
          <cell r="E564">
            <v>0.47088870923623338</v>
          </cell>
          <cell r="F564">
            <v>0.4698972035615977</v>
          </cell>
          <cell r="G564">
            <v>0.47080070948925978</v>
          </cell>
          <cell r="H564">
            <v>0.41998565476843419</v>
          </cell>
          <cell r="I564">
            <v>0.96013307703570649</v>
          </cell>
          <cell r="J564">
            <v>1.5781222723510013</v>
          </cell>
          <cell r="K564">
            <v>1.6561073240100148</v>
          </cell>
          <cell r="L564">
            <v>1.3678649271888139</v>
          </cell>
          <cell r="M564">
            <v>2.5601151246831249E-2</v>
          </cell>
          <cell r="N564">
            <v>1.4231464541722509</v>
          </cell>
          <cell r="O564">
            <v>3.3244142148607006E-2</v>
          </cell>
        </row>
        <row r="565">
          <cell r="A565" t="str">
            <v>RHEM-SHSOLBR</v>
          </cell>
          <cell r="B565" t="str">
            <v>VAR_fin</v>
          </cell>
          <cell r="C565" t="str">
            <v>SOL</v>
          </cell>
          <cell r="D565">
            <v>0.40802664735076355</v>
          </cell>
          <cell r="E565">
            <v>0.47088870923623338</v>
          </cell>
          <cell r="F565">
            <v>0.4698972035615977</v>
          </cell>
          <cell r="G565">
            <v>0.47080070948925978</v>
          </cell>
          <cell r="H565">
            <v>0.41998565476843419</v>
          </cell>
          <cell r="I565">
            <v>0.96013307703570649</v>
          </cell>
          <cell r="J565">
            <v>1.5781222723510013</v>
          </cell>
          <cell r="K565">
            <v>1.6561073240100148</v>
          </cell>
          <cell r="L565">
            <v>1.3678649271888139</v>
          </cell>
          <cell r="M565">
            <v>2.5601151246831249E-2</v>
          </cell>
          <cell r="N565">
            <v>1.4231464541722509</v>
          </cell>
          <cell r="O565">
            <v>3.3244142148607006E-2</v>
          </cell>
        </row>
        <row r="566">
          <cell r="A566" t="str">
            <v>RHEM-SHSOLBR</v>
          </cell>
          <cell r="B566" t="str">
            <v>VAR_ncap</v>
          </cell>
          <cell r="C566" t="str">
            <v>-</v>
          </cell>
          <cell r="D566">
            <v>1.5214824575032599E-4</v>
          </cell>
          <cell r="E566">
            <v>9.0431620156870007E-3</v>
          </cell>
          <cell r="F566">
            <v>7.9555051110585206E-6</v>
          </cell>
          <cell r="G566">
            <v>2.05007134646162E-5</v>
          </cell>
          <cell r="H566">
            <v>4.8430129743844898E-2</v>
          </cell>
          <cell r="I566">
            <v>0.122812750187188</v>
          </cell>
          <cell r="J566">
            <v>0.16079240746909801</v>
          </cell>
          <cell r="K566">
            <v>4.8439827595819197E-2</v>
          </cell>
          <cell r="L566">
            <v>0.125246923178854</v>
          </cell>
          <cell r="M566">
            <v>0.15836083786244701</v>
          </cell>
          <cell r="N566">
            <v>7.9568611565974598E-2</v>
          </cell>
          <cell r="O566">
            <v>9.4131348786909694E-2</v>
          </cell>
        </row>
        <row r="567">
          <cell r="A567" t="str">
            <v>RHEM-SHSOLBR</v>
          </cell>
          <cell r="B567" t="str">
            <v>VAR_cap</v>
          </cell>
          <cell r="C567" t="str">
            <v>-</v>
          </cell>
          <cell r="D567">
            <v>5.9407069662788629E-2</v>
          </cell>
          <cell r="E567">
            <v>6.8450231678475637E-2</v>
          </cell>
          <cell r="F567">
            <v>6.8458187183586691E-2</v>
          </cell>
          <cell r="G567">
            <v>6.8478687897051305E-2</v>
          </cell>
          <cell r="H567">
            <v>6.8498097569144697E-2</v>
          </cell>
          <cell r="I567">
            <v>0.17126115107985801</v>
          </cell>
          <cell r="J567">
            <v>0.33203528740013</v>
          </cell>
          <cell r="K567">
            <v>0.33204498525210502</v>
          </cell>
          <cell r="L567">
            <v>0.33204557919988498</v>
          </cell>
          <cell r="M567">
            <v>0.33204758863711997</v>
          </cell>
          <cell r="N567">
            <v>0.33205113871229303</v>
          </cell>
          <cell r="O567">
            <v>0.33206079821533102</v>
          </cell>
        </row>
        <row r="568">
          <cell r="A568" t="str">
            <v>SCOM-SHH2BR</v>
          </cell>
          <cell r="B568" t="str">
            <v>VAR_fout</v>
          </cell>
          <cell r="C568" t="str">
            <v>SCOM-SHH2B</v>
          </cell>
          <cell r="G568">
            <v>0.39654505716936567</v>
          </cell>
          <cell r="H568">
            <v>0.39545797824818718</v>
          </cell>
          <cell r="I568">
            <v>0.57271963796878167</v>
          </cell>
          <cell r="J568">
            <v>0.12903967539689551</v>
          </cell>
          <cell r="K568">
            <v>0.69605255896819984</v>
          </cell>
          <cell r="L568">
            <v>1.5539940035757116</v>
          </cell>
          <cell r="M568">
            <v>1.5653562292740422</v>
          </cell>
          <cell r="N568">
            <v>1.5657397335111018</v>
          </cell>
          <cell r="O568">
            <v>0.86593271629269097</v>
          </cell>
        </row>
        <row r="569">
          <cell r="A569" t="str">
            <v>SCOM-SHH2BR</v>
          </cell>
          <cell r="B569" t="str">
            <v>VAR_fin</v>
          </cell>
          <cell r="C569" t="str">
            <v>RSH2</v>
          </cell>
          <cell r="G569">
            <v>0.41882286936989133</v>
          </cell>
          <cell r="H569">
            <v>0.41767471859920857</v>
          </cell>
          <cell r="I569">
            <v>0.60489489852882539</v>
          </cell>
          <cell r="J569">
            <v>0.13628909536301326</v>
          </cell>
          <cell r="K569">
            <v>0.73515663531472819</v>
          </cell>
          <cell r="L569">
            <v>1.6412970374844584</v>
          </cell>
          <cell r="M569">
            <v>1.6532975904692113</v>
          </cell>
          <cell r="N569">
            <v>1.6537026398881312</v>
          </cell>
          <cell r="O569">
            <v>0.91458062170239274</v>
          </cell>
        </row>
        <row r="570">
          <cell r="A570" t="str">
            <v>SCOM-SHH2BR</v>
          </cell>
          <cell r="B570" t="str">
            <v>VAR_ncap</v>
          </cell>
          <cell r="C570" t="str">
            <v>-</v>
          </cell>
          <cell r="G570">
            <v>3.1394475819431299E-2</v>
          </cell>
          <cell r="H570">
            <v>1.0390798949792999E-2</v>
          </cell>
          <cell r="I570">
            <v>9.6795113357048008E-3</v>
          </cell>
          <cell r="J570">
            <v>1.2121653844034601E-5</v>
          </cell>
          <cell r="K570">
            <v>5.3864818714828802E-2</v>
          </cell>
          <cell r="L570">
            <v>9.4905261817115505E-2</v>
          </cell>
          <cell r="M570">
            <v>3.98305915229848E-2</v>
          </cell>
          <cell r="N570">
            <v>5.02474518246512E-2</v>
          </cell>
          <cell r="O570">
            <v>1.28794500380112E-3</v>
          </cell>
        </row>
        <row r="571">
          <cell r="A571" t="str">
            <v>SCOM-SHH2BR</v>
          </cell>
          <cell r="B571" t="str">
            <v>VAR_cap</v>
          </cell>
          <cell r="C571" t="str">
            <v>-</v>
          </cell>
          <cell r="G571">
            <v>3.1394475819431299E-2</v>
          </cell>
          <cell r="H571">
            <v>4.1783684362899406E-2</v>
          </cell>
          <cell r="I571">
            <v>4.5486781226725607E-2</v>
          </cell>
          <cell r="J571">
            <v>1.6669087173062671E-2</v>
          </cell>
          <cell r="K571">
            <v>6.3541437572947876E-2</v>
          </cell>
          <cell r="L571">
            <v>0.15025525270035681</v>
          </cell>
          <cell r="M571">
            <v>0.18857850335529672</v>
          </cell>
          <cell r="N571">
            <v>0.1644151263152131</v>
          </cell>
          <cell r="O571">
            <v>9.1350507780663628E-2</v>
          </cell>
        </row>
        <row r="572">
          <cell r="A572" t="str">
            <v>ITOT-SWHCONBR1</v>
          </cell>
          <cell r="B572" t="str">
            <v>VAR_fout</v>
          </cell>
          <cell r="C572" t="str">
            <v>ITOT-ELS</v>
          </cell>
          <cell r="E572">
            <v>0.85059813061579026</v>
          </cell>
          <cell r="F572">
            <v>0.8506188210882254</v>
          </cell>
          <cell r="G572">
            <v>0.88510268548368576</v>
          </cell>
          <cell r="H572">
            <v>0.9699682429795643</v>
          </cell>
          <cell r="I572">
            <v>0.96996613233386786</v>
          </cell>
          <cell r="J572">
            <v>0.96983618814883787</v>
          </cell>
          <cell r="K572">
            <v>0.96980890573096123</v>
          </cell>
          <cell r="L572">
            <v>0.96984110147904679</v>
          </cell>
          <cell r="M572">
            <v>0.96989314949893768</v>
          </cell>
          <cell r="N572">
            <v>0.96992120756906486</v>
          </cell>
          <cell r="O572">
            <v>0.96984416216089087</v>
          </cell>
        </row>
        <row r="573">
          <cell r="A573" t="str">
            <v>ITOT-SWHCONBR1</v>
          </cell>
          <cell r="B573" t="str">
            <v>VAR_fout</v>
          </cell>
          <cell r="C573" t="str">
            <v>ITOT-SWHC</v>
          </cell>
          <cell r="E573">
            <v>4.0436164513167183</v>
          </cell>
          <cell r="F573">
            <v>4.043714810731954</v>
          </cell>
          <cell r="G573">
            <v>4.2076459508974162</v>
          </cell>
          <cell r="H573">
            <v>4.6110841340874789</v>
          </cell>
          <cell r="I573">
            <v>4.6110741003931279</v>
          </cell>
          <cell r="J573">
            <v>4.6104563651484476</v>
          </cell>
          <cell r="K573">
            <v>4.610326668609285</v>
          </cell>
          <cell r="L573">
            <v>4.610479722386307</v>
          </cell>
          <cell r="M573">
            <v>4.6107271508979855</v>
          </cell>
          <cell r="N573">
            <v>4.6108605347720744</v>
          </cell>
          <cell r="O573">
            <v>4.6104942724105928</v>
          </cell>
        </row>
        <row r="574">
          <cell r="A574" t="str">
            <v>ITOT-SWHCONBR1</v>
          </cell>
          <cell r="B574" t="str">
            <v>VAR_fin</v>
          </cell>
          <cell r="C574" t="str">
            <v>CON</v>
          </cell>
          <cell r="E574">
            <v>4.8942145819325056</v>
          </cell>
          <cell r="F574">
            <v>4.894333631820178</v>
          </cell>
          <cell r="G574">
            <v>5.092748636381101</v>
          </cell>
          <cell r="H574">
            <v>5.5810523770670422</v>
          </cell>
          <cell r="I574">
            <v>5.5810402327269903</v>
          </cell>
          <cell r="J574">
            <v>5.5802925532972827</v>
          </cell>
          <cell r="K574">
            <v>5.5801355743402459</v>
          </cell>
          <cell r="L574">
            <v>5.580320823865355</v>
          </cell>
          <cell r="M574">
            <v>5.5806203003969213</v>
          </cell>
          <cell r="N574">
            <v>5.5807817423411414</v>
          </cell>
          <cell r="O574">
            <v>5.5803384345714893</v>
          </cell>
        </row>
        <row r="575">
          <cell r="A575" t="str">
            <v>ITOT-SWHCONBR1</v>
          </cell>
          <cell r="B575" t="str">
            <v>VAR_ncap</v>
          </cell>
          <cell r="C575" t="str">
            <v>-</v>
          </cell>
          <cell r="E575">
            <v>0.26618270460989801</v>
          </cell>
          <cell r="F575">
            <v>1.1115482202651301E-5</v>
          </cell>
          <cell r="G575">
            <v>1.0778127431937101E-2</v>
          </cell>
          <cell r="H575">
            <v>0.156369189586855</v>
          </cell>
          <cell r="I575">
            <v>0.13843576230691501</v>
          </cell>
          <cell r="J575">
            <v>8.7321790461700501E-3</v>
          </cell>
          <cell r="K575">
            <v>0.15636699330419501</v>
          </cell>
          <cell r="L575">
            <v>0.118323727555756</v>
          </cell>
          <cell r="M575">
            <v>2.8842385440022301E-2</v>
          </cell>
          <cell r="N575">
            <v>0.16618374882309001</v>
          </cell>
          <cell r="O575">
            <v>0.10850224008274401</v>
          </cell>
        </row>
        <row r="576">
          <cell r="A576" t="str">
            <v>ITOT-SWHCONBR1</v>
          </cell>
          <cell r="B576" t="str">
            <v>VAR_cap</v>
          </cell>
          <cell r="C576" t="str">
            <v>-</v>
          </cell>
          <cell r="E576">
            <v>0.26618270460989801</v>
          </cell>
          <cell r="F576">
            <v>0.26619382009210102</v>
          </cell>
          <cell r="G576">
            <v>0.27697194752403798</v>
          </cell>
          <cell r="H576">
            <v>0.30353549056668699</v>
          </cell>
          <cell r="I576">
            <v>0.30353490864893801</v>
          </cell>
          <cell r="J576">
            <v>0.30353713093994</v>
          </cell>
          <cell r="K576">
            <v>0.30353493465727999</v>
          </cell>
          <cell r="L576">
            <v>0.30353714550760702</v>
          </cell>
          <cell r="M576">
            <v>0.30353310629997199</v>
          </cell>
          <cell r="N576">
            <v>0.30353564287972301</v>
          </cell>
          <cell r="O576">
            <v>0.303528374345856</v>
          </cell>
        </row>
        <row r="577">
          <cell r="A577" t="str">
            <v>SCOM-SHLTHCHPWOD</v>
          </cell>
          <cell r="B577" t="str">
            <v>VAR_fout</v>
          </cell>
          <cell r="C577" t="str">
            <v>SCOM-SHLTHC-WOD</v>
          </cell>
          <cell r="G577">
            <v>2.9064550241031353E-3</v>
          </cell>
          <cell r="H577">
            <v>5.0415659483249728E-3</v>
          </cell>
          <cell r="I577">
            <v>1.2597706787217377E-2</v>
          </cell>
          <cell r="J577">
            <v>1.0444393035060439E-2</v>
          </cell>
          <cell r="K577">
            <v>1.5332392370225973E-2</v>
          </cell>
          <cell r="L577">
            <v>1.0861967727332205E-2</v>
          </cell>
          <cell r="M577">
            <v>7.3631316855504664E-3</v>
          </cell>
          <cell r="N577">
            <v>1.4742783680479755E-2</v>
          </cell>
          <cell r="O577">
            <v>1.4240744221351364E-2</v>
          </cell>
        </row>
        <row r="578">
          <cell r="A578" t="str">
            <v>SCOM-SHLTHCHPWOD</v>
          </cell>
          <cell r="B578" t="str">
            <v>VAR_fin</v>
          </cell>
          <cell r="C578" t="str">
            <v>SCOM_LTH_CHPWOD_ON</v>
          </cell>
          <cell r="G578">
            <v>2.9358131556597323E-3</v>
          </cell>
          <cell r="H578">
            <v>5.0924908568939081E-3</v>
          </cell>
          <cell r="I578">
            <v>1.2724956350724632E-2</v>
          </cell>
          <cell r="J578">
            <v>1.05498919546065E-2</v>
          </cell>
          <cell r="K578">
            <v>1.548726502043027E-2</v>
          </cell>
          <cell r="L578">
            <v>1.0971684573062829E-2</v>
          </cell>
          <cell r="M578">
            <v>7.4375067530812805E-3</v>
          </cell>
          <cell r="N578">
            <v>1.4891700687353293E-2</v>
          </cell>
          <cell r="O578">
            <v>1.4384590122577128E-2</v>
          </cell>
        </row>
        <row r="579">
          <cell r="A579" t="str">
            <v>SCOM-SHLTHCHPWOD</v>
          </cell>
          <cell r="B579" t="str">
            <v>VAR_fin</v>
          </cell>
          <cell r="C579" t="str">
            <v>SCOMLTHCHPC</v>
          </cell>
          <cell r="G579">
            <v>2.9064550241031353E-3</v>
          </cell>
          <cell r="H579">
            <v>5.0415659483249728E-3</v>
          </cell>
          <cell r="I579">
            <v>1.2597706787217377E-2</v>
          </cell>
          <cell r="J579">
            <v>1.0444393035060439E-2</v>
          </cell>
          <cell r="K579">
            <v>1.5332392370225973E-2</v>
          </cell>
          <cell r="L579">
            <v>1.0861967727332205E-2</v>
          </cell>
          <cell r="M579">
            <v>7.3631316855504664E-3</v>
          </cell>
          <cell r="N579">
            <v>1.4742783680479755E-2</v>
          </cell>
          <cell r="O579">
            <v>1.4240744221351364E-2</v>
          </cell>
        </row>
        <row r="580">
          <cell r="A580" t="str">
            <v>SCOM-SHLTHCHPWOD</v>
          </cell>
          <cell r="B580" t="str">
            <v>VAR_ncap</v>
          </cell>
          <cell r="C580" t="str">
            <v>-</v>
          </cell>
          <cell r="G580">
            <v>3.6679157231955703E-4</v>
          </cell>
          <cell r="H580">
            <v>4.9999595624011404E-4</v>
          </cell>
          <cell r="I580">
            <v>9.2315577522068099E-4</v>
          </cell>
          <cell r="J580">
            <v>6.3614586642256202E-4</v>
          </cell>
          <cell r="K580">
            <v>1.1765918632612401E-3</v>
          </cell>
          <cell r="L580">
            <v>7.0759861026213405E-4</v>
          </cell>
          <cell r="M580">
            <v>6.0540202682423001E-4</v>
          </cell>
          <cell r="N580">
            <v>1.1091889238834E-3</v>
          </cell>
          <cell r="O580">
            <v>1.23333949578389E-3</v>
          </cell>
        </row>
        <row r="581">
          <cell r="A581" t="str">
            <v>SCOM-SHLTHCHPWOD</v>
          </cell>
          <cell r="B581" t="str">
            <v>VAR_cap</v>
          </cell>
          <cell r="C581" t="str">
            <v>-</v>
          </cell>
          <cell r="G581">
            <v>3.6679157231955703E-4</v>
          </cell>
          <cell r="H581">
            <v>6.3724507436996509E-4</v>
          </cell>
          <cell r="I581">
            <v>1.145453854633792E-3</v>
          </cell>
          <cell r="J581">
            <v>9.7805881496361977E-4</v>
          </cell>
          <cell r="K581">
            <v>1.5600761419890799E-3</v>
          </cell>
          <cell r="L581">
            <v>1.0859011881566502E-3</v>
          </cell>
          <cell r="M581">
            <v>9.3503333401894991E-4</v>
          </cell>
          <cell r="N581">
            <v>1.4654873755990789E-3</v>
          </cell>
          <cell r="O581">
            <v>1.7832593253482001E-3</v>
          </cell>
        </row>
        <row r="582">
          <cell r="A582" t="str">
            <v>SCOM-SHSTG-NGAHP</v>
          </cell>
          <cell r="B582" t="str">
            <v>VAR_fout</v>
          </cell>
          <cell r="C582" t="str">
            <v>SCOM-SHANGAH</v>
          </cell>
          <cell r="D582">
            <v>8.450121109471412E-5</v>
          </cell>
          <cell r="E582">
            <v>8.6393778372251972E-5</v>
          </cell>
          <cell r="F582">
            <v>7.6880418112303889E-3</v>
          </cell>
          <cell r="G582">
            <v>5.7530331966896015E-3</v>
          </cell>
          <cell r="H582">
            <v>2.1405402087792971E-2</v>
          </cell>
          <cell r="I582">
            <v>8.3345653526000679E-2</v>
          </cell>
          <cell r="J582">
            <v>0.11563093744563797</v>
          </cell>
          <cell r="K582">
            <v>0.21122766984374361</v>
          </cell>
          <cell r="L582">
            <v>3.3912862973324846E-2</v>
          </cell>
          <cell r="M582">
            <v>2.3339106578477913E-2</v>
          </cell>
          <cell r="N582">
            <v>3.30094175923221E-2</v>
          </cell>
          <cell r="O582">
            <v>7.5977901685219465E-2</v>
          </cell>
        </row>
        <row r="583">
          <cell r="A583" t="str">
            <v>SCOM-SHSTG-NGAHP</v>
          </cell>
          <cell r="B583" t="str">
            <v>VAR_fin</v>
          </cell>
          <cell r="C583" t="str">
            <v>SCOM-SHANGAH</v>
          </cell>
          <cell r="D583">
            <v>8.450121109471412E-5</v>
          </cell>
          <cell r="E583">
            <v>8.6393778372251972E-5</v>
          </cell>
          <cell r="F583">
            <v>9.9201189225682756E-3</v>
          </cell>
          <cell r="G583">
            <v>7.1913579758354747E-3</v>
          </cell>
          <cell r="H583">
            <v>2.5946430754537123E-2</v>
          </cell>
          <cell r="I583">
            <v>9.8057755553146372E-2</v>
          </cell>
          <cell r="J583">
            <v>0.13215368189354379</v>
          </cell>
          <cell r="K583">
            <v>0.23470375499160387</v>
          </cell>
          <cell r="L583">
            <v>3.7683763503074307E-2</v>
          </cell>
          <cell r="M583">
            <v>2.5935268485377874E-2</v>
          </cell>
          <cell r="N583">
            <v>3.6681034125659089E-2</v>
          </cell>
          <cell r="O583">
            <v>8.4423727088189474E-2</v>
          </cell>
        </row>
        <row r="584">
          <cell r="A584" t="str">
            <v>SCOM-SHSTG-NGAHP</v>
          </cell>
          <cell r="B584" t="str">
            <v>VAR_ncap</v>
          </cell>
          <cell r="C584" t="str">
            <v>-</v>
          </cell>
          <cell r="D584">
            <v>4.0300957780587399E-3</v>
          </cell>
          <cell r="E584">
            <v>2.2328200070678398E-5</v>
          </cell>
          <cell r="F584">
            <v>1.19804607480541E-4</v>
          </cell>
          <cell r="G584">
            <v>7.6095571056745804E-5</v>
          </cell>
          <cell r="H584">
            <v>9.9368894227209298E-4</v>
          </cell>
          <cell r="I584">
            <v>8.0991631151746298E-3</v>
          </cell>
          <cell r="J584">
            <v>4.3915129969418802E-4</v>
          </cell>
          <cell r="K584">
            <v>5.9909787895667498E-3</v>
          </cell>
          <cell r="L584">
            <v>6.3954143333610895E-4</v>
          </cell>
          <cell r="M584">
            <v>1.6595887281009201E-3</v>
          </cell>
          <cell r="N584">
            <v>6.5252988680829403E-3</v>
          </cell>
          <cell r="O584">
            <v>1.54930381304962E-3</v>
          </cell>
        </row>
        <row r="585">
          <cell r="A585" t="str">
            <v>SCOM-SHSTG-NGAHP</v>
          </cell>
          <cell r="B585" t="str">
            <v>VAR_cap</v>
          </cell>
          <cell r="C585" t="str">
            <v>-</v>
          </cell>
          <cell r="D585">
            <v>4.0300957780587399E-3</v>
          </cell>
          <cell r="E585">
            <v>3.8343377623550196E-5</v>
          </cell>
          <cell r="F585">
            <v>1.4450090278851982E-4</v>
          </cell>
          <cell r="G585">
            <v>1.4786750771488E-4</v>
          </cell>
          <cell r="H585">
            <v>1.0872952517804598E-3</v>
          </cell>
          <cell r="I585">
            <v>9.059770881514705E-3</v>
          </cell>
          <cell r="J585">
            <v>9.0471836752276501E-3</v>
          </cell>
          <cell r="K585">
            <v>1.4135057956394931E-2</v>
          </cell>
          <cell r="L585">
            <v>6.2722199868156005E-3</v>
          </cell>
          <cell r="M585">
            <v>6.5355875739655303E-3</v>
          </cell>
          <cell r="N585">
            <v>8.7251987330535935E-3</v>
          </cell>
          <cell r="O585">
            <v>8.594963765743209E-3</v>
          </cell>
        </row>
        <row r="586">
          <cell r="A586" t="str">
            <v>ITOT-SWHCONBR2</v>
          </cell>
          <cell r="B586" t="str">
            <v>VAR_fout</v>
          </cell>
          <cell r="C586" t="str">
            <v>ITOT-ELS</v>
          </cell>
          <cell r="G586">
            <v>1.1660056228853508E-3</v>
          </cell>
          <cell r="H586">
            <v>0.8799039566276925</v>
          </cell>
          <cell r="I586">
            <v>0.88002440233586965</v>
          </cell>
          <cell r="J586">
            <v>0.8799532175813719</v>
          </cell>
          <cell r="K586">
            <v>0.87989500727879</v>
          </cell>
          <cell r="L586">
            <v>0.87995848700952961</v>
          </cell>
          <cell r="M586">
            <v>0.87994159639563341</v>
          </cell>
          <cell r="N586">
            <v>0.87996413821593011</v>
          </cell>
          <cell r="O586">
            <v>0.87989983717053066</v>
          </cell>
        </row>
        <row r="587">
          <cell r="A587" t="str">
            <v>ITOT-SWHCONBR2</v>
          </cell>
          <cell r="B587" t="str">
            <v>VAR_fout</v>
          </cell>
          <cell r="C587" t="str">
            <v>ITOT-SWHC</v>
          </cell>
          <cell r="G587">
            <v>1.8024215528957195E-3</v>
          </cell>
          <cell r="H587">
            <v>1.3601631285271396</v>
          </cell>
          <cell r="I587">
            <v>1.3603493145421215</v>
          </cell>
          <cell r="J587">
            <v>1.3602392765343907</v>
          </cell>
          <cell r="K587">
            <v>1.3601492945463842</v>
          </cell>
          <cell r="L587">
            <v>1.3602474220619052</v>
          </cell>
          <cell r="M587">
            <v>1.3602213124052018</v>
          </cell>
          <cell r="N587">
            <v>1.3602561577455192</v>
          </cell>
          <cell r="O587">
            <v>1.360156760634712</v>
          </cell>
        </row>
        <row r="588">
          <cell r="A588" t="str">
            <v>ITOT-SWHCONBR2</v>
          </cell>
          <cell r="B588" t="str">
            <v>VAR_fin</v>
          </cell>
          <cell r="C588" t="str">
            <v>CON</v>
          </cell>
          <cell r="G588">
            <v>2.9684271757810681E-3</v>
          </cell>
          <cell r="H588">
            <v>2.2400670851548323</v>
          </cell>
          <cell r="I588">
            <v>2.2403737168779916</v>
          </cell>
          <cell r="J588">
            <v>2.2401924941157625</v>
          </cell>
          <cell r="K588">
            <v>2.2400443018251734</v>
          </cell>
          <cell r="L588">
            <v>2.2402059090714341</v>
          </cell>
          <cell r="M588">
            <v>2.2401629088008335</v>
          </cell>
          <cell r="N588">
            <v>2.2402202959614486</v>
          </cell>
          <cell r="O588">
            <v>2.2400565978052431</v>
          </cell>
        </row>
        <row r="589">
          <cell r="A589" t="str">
            <v>ITOT-SWHCONBR2</v>
          </cell>
          <cell r="B589" t="str">
            <v>VAR_ncap</v>
          </cell>
          <cell r="C589" t="str">
            <v>-</v>
          </cell>
          <cell r="G589">
            <v>1.60044364306132E-4</v>
          </cell>
          <cell r="H589">
            <v>0.121679360360259</v>
          </cell>
          <cell r="I589">
            <v>4.5774769763074102E-5</v>
          </cell>
          <cell r="J589">
            <v>1.30577288896788E-4</v>
          </cell>
          <cell r="K589">
            <v>0.121676395470574</v>
          </cell>
          <cell r="L589">
            <v>5.8735845354638001E-5</v>
          </cell>
          <cell r="M589">
            <v>1.1913448209597299E-4</v>
          </cell>
          <cell r="N589">
            <v>0.10014384485352799</v>
          </cell>
          <cell r="O589">
            <v>2.15898244023261E-2</v>
          </cell>
        </row>
        <row r="590">
          <cell r="A590" t="str">
            <v>ITOT-SWHCONBR2</v>
          </cell>
          <cell r="B590" t="str">
            <v>VAR_cap</v>
          </cell>
          <cell r="C590" t="str">
            <v>-</v>
          </cell>
          <cell r="G590">
            <v>1.60044364306132E-4</v>
          </cell>
          <cell r="H590">
            <v>0.121839404724565</v>
          </cell>
          <cell r="I590">
            <v>0.12185473155665601</v>
          </cell>
          <cell r="J590">
            <v>0.121855712418919</v>
          </cell>
          <cell r="K590">
            <v>0.121852747529234</v>
          </cell>
          <cell r="L590">
            <v>0.121855441191019</v>
          </cell>
          <cell r="M590">
            <v>0.121854265798024</v>
          </cell>
          <cell r="N590">
            <v>0.12185465229511</v>
          </cell>
          <cell r="O590">
            <v>0.12185280373795</v>
          </cell>
        </row>
        <row r="591">
          <cell r="A591" t="str">
            <v>RHES-SHCONBR1</v>
          </cell>
          <cell r="B591" t="str">
            <v>VAR_fout</v>
          </cell>
          <cell r="C591" t="str">
            <v>RHES-SHCON</v>
          </cell>
          <cell r="D591">
            <v>0.56352400362109423</v>
          </cell>
          <cell r="E591">
            <v>1.1276417410487589</v>
          </cell>
          <cell r="F591">
            <v>1.1275245486048058</v>
          </cell>
          <cell r="G591">
            <v>1.1285227541873057</v>
          </cell>
          <cell r="H591">
            <v>4.3531747917602619</v>
          </cell>
          <cell r="I591">
            <v>6.4140474565810948</v>
          </cell>
          <cell r="J591">
            <v>6.4139037898943947</v>
          </cell>
          <cell r="K591">
            <v>6.4139468111731075</v>
          </cell>
          <cell r="L591">
            <v>6.4142355183278346</v>
          </cell>
          <cell r="M591">
            <v>6.4142108690755526</v>
          </cell>
          <cell r="N591">
            <v>6.1608255012159221</v>
          </cell>
          <cell r="O591">
            <v>3.847874518546528</v>
          </cell>
        </row>
        <row r="592">
          <cell r="A592" t="str">
            <v>RHES-SHCONBR1</v>
          </cell>
          <cell r="B592" t="str">
            <v>VAR_fin</v>
          </cell>
          <cell r="C592" t="str">
            <v>CON</v>
          </cell>
          <cell r="D592">
            <v>0.56352400362109423</v>
          </cell>
          <cell r="E592">
            <v>1.1276417410487589</v>
          </cell>
          <cell r="F592">
            <v>1.1275245486048058</v>
          </cell>
          <cell r="G592">
            <v>1.1285227541873057</v>
          </cell>
          <cell r="H592">
            <v>4.3531747917602619</v>
          </cell>
          <cell r="I592">
            <v>6.4140474565810948</v>
          </cell>
          <cell r="J592">
            <v>6.4139037898943947</v>
          </cell>
          <cell r="K592">
            <v>6.4139468111731075</v>
          </cell>
          <cell r="L592">
            <v>6.4142355183278346</v>
          </cell>
          <cell r="M592">
            <v>6.4142108690755526</v>
          </cell>
          <cell r="N592">
            <v>6.1608255012159221</v>
          </cell>
          <cell r="O592">
            <v>3.847874518546528</v>
          </cell>
        </row>
        <row r="593">
          <cell r="A593" t="str">
            <v>RHES-SHCONBR1</v>
          </cell>
          <cell r="B593" t="str">
            <v>VAR_ncap</v>
          </cell>
          <cell r="C593" t="str">
            <v>-</v>
          </cell>
          <cell r="D593">
            <v>4.5549671859001398E-2</v>
          </cell>
          <cell r="E593">
            <v>4.5549612296313297E-2</v>
          </cell>
          <cell r="F593">
            <v>1.1886013765922001E-5</v>
          </cell>
          <cell r="G593">
            <v>7.4448664192821405E-5</v>
          </cell>
          <cell r="H593">
            <v>0.26051855821988801</v>
          </cell>
          <cell r="I593">
            <v>0.16649315699732301</v>
          </cell>
          <cell r="J593">
            <v>1.99809350663033E-7</v>
          </cell>
          <cell r="K593">
            <v>4.47955378180269E-2</v>
          </cell>
          <cell r="L593">
            <v>4.6444225950482101E-2</v>
          </cell>
          <cell r="M593">
            <v>5.4525158786846899E-6</v>
          </cell>
          <cell r="N593">
            <v>0.21991735254977601</v>
          </cell>
          <cell r="O593">
            <v>7.7782319675470295E-8</v>
          </cell>
        </row>
        <row r="594">
          <cell r="A594" t="str">
            <v>RHES-SHCONBR1</v>
          </cell>
          <cell r="B594" t="str">
            <v>VAR_cap</v>
          </cell>
          <cell r="C594" t="str">
            <v>-</v>
          </cell>
          <cell r="D594">
            <v>4.5549671859001398E-2</v>
          </cell>
          <cell r="E594">
            <v>9.1099284155314694E-2</v>
          </cell>
          <cell r="F594">
            <v>9.1111170169080699E-2</v>
          </cell>
          <cell r="G594">
            <v>9.1185618833273502E-2</v>
          </cell>
          <cell r="H594">
            <v>0.35170417705316098</v>
          </cell>
          <cell r="I594">
            <v>0.51819733405048396</v>
          </cell>
          <cell r="J594">
            <v>0.51819753385983502</v>
          </cell>
          <cell r="K594">
            <v>0.51819317007949095</v>
          </cell>
          <cell r="L594">
            <v>0.51830976076537005</v>
          </cell>
          <cell r="M594">
            <v>0.51825713131094897</v>
          </cell>
          <cell r="N594">
            <v>0.49773497502515202</v>
          </cell>
          <cell r="O594">
            <v>0.31116284642583403</v>
          </cell>
        </row>
        <row r="595">
          <cell r="A595" t="str">
            <v>ITOT-SWHCONBR3</v>
          </cell>
          <cell r="B595" t="str">
            <v>VAR_fout</v>
          </cell>
          <cell r="C595" t="str">
            <v>ITOT-ELS</v>
          </cell>
          <cell r="G595">
            <v>9.2019631263206354E-4</v>
          </cell>
          <cell r="H595">
            <v>0.28422888067299706</v>
          </cell>
          <cell r="I595">
            <v>0.90664566071516817</v>
          </cell>
          <cell r="J595">
            <v>1.3760218050995257</v>
          </cell>
          <cell r="K595">
            <v>2.2968776030475384</v>
          </cell>
          <cell r="L595">
            <v>2.2984221170023127</v>
          </cell>
          <cell r="M595">
            <v>2.2947507197602608</v>
          </cell>
          <cell r="N595">
            <v>2.298752251322544</v>
          </cell>
          <cell r="O595">
            <v>2.297928625528169</v>
          </cell>
        </row>
        <row r="596">
          <cell r="A596" t="str">
            <v>ITOT-SWHCONBR3</v>
          </cell>
          <cell r="B596" t="str">
            <v>VAR_fout</v>
          </cell>
          <cell r="C596" t="str">
            <v>ITOT-SWHC</v>
          </cell>
          <cell r="G596">
            <v>1.8261817820197255E-3</v>
          </cell>
          <cell r="H596">
            <v>0.56406833703149906</v>
          </cell>
          <cell r="I596">
            <v>1.7992897446083356</v>
          </cell>
          <cell r="J596">
            <v>2.7307933292484412</v>
          </cell>
          <cell r="K596">
            <v>4.558283897288022</v>
          </cell>
          <cell r="L596">
            <v>4.5613490728462818</v>
          </cell>
          <cell r="M596">
            <v>4.554062976753575</v>
          </cell>
          <cell r="N596">
            <v>4.562004243132181</v>
          </cell>
          <cell r="O596">
            <v>4.5603697110217594</v>
          </cell>
        </row>
        <row r="597">
          <cell r="A597" t="str">
            <v>ITOT-SWHCONBR3</v>
          </cell>
          <cell r="B597" t="str">
            <v>VAR_fin</v>
          </cell>
          <cell r="C597" t="str">
            <v>CON</v>
          </cell>
          <cell r="G597">
            <v>2.7463780946517897E-3</v>
          </cell>
          <cell r="H597">
            <v>0.84829721770449651</v>
          </cell>
          <cell r="I597">
            <v>2.7059354053235047</v>
          </cell>
          <cell r="J597">
            <v>4.1068151343479675</v>
          </cell>
          <cell r="K597">
            <v>6.8551615003355639</v>
          </cell>
          <cell r="L597">
            <v>6.8597711898485958</v>
          </cell>
          <cell r="M597">
            <v>6.8488136965138331</v>
          </cell>
          <cell r="N597">
            <v>6.8607564944547255</v>
          </cell>
          <cell r="O597">
            <v>6.8582983365499324</v>
          </cell>
        </row>
        <row r="598">
          <cell r="A598" t="str">
            <v>ITOT-SWHCONBR3</v>
          </cell>
          <cell r="B598" t="str">
            <v>VAR_ncap</v>
          </cell>
          <cell r="C598" t="str">
            <v>-</v>
          </cell>
          <cell r="G598">
            <v>1.47958790258781E-4</v>
          </cell>
          <cell r="H598">
            <v>4.5996206796156097E-2</v>
          </cell>
          <cell r="I598">
            <v>0.10105789431008499</v>
          </cell>
          <cell r="J598">
            <v>7.6334573791095595E-2</v>
          </cell>
          <cell r="K598">
            <v>0.195496550499619</v>
          </cell>
          <cell r="L598">
            <v>9.5884277386055802E-2</v>
          </cell>
          <cell r="M598">
            <v>8.1135470834580406E-2</v>
          </cell>
          <cell r="N598">
            <v>0.191911070184658</v>
          </cell>
          <cell r="O598">
            <v>9.99907894631272E-2</v>
          </cell>
        </row>
        <row r="599">
          <cell r="A599" t="str">
            <v>ITOT-SWHCONBR3</v>
          </cell>
          <cell r="B599" t="str">
            <v>VAR_cap</v>
          </cell>
          <cell r="C599" t="str">
            <v>-</v>
          </cell>
          <cell r="G599">
            <v>1.47958790258781E-4</v>
          </cell>
          <cell r="H599">
            <v>4.6144165586414897E-2</v>
          </cell>
          <cell r="I599">
            <v>0.14717391120133499</v>
          </cell>
          <cell r="J599">
            <v>0.22338867489733699</v>
          </cell>
          <cell r="K599">
            <v>0.37288901860079998</v>
          </cell>
          <cell r="L599">
            <v>0.37312937717728001</v>
          </cell>
          <cell r="M599">
            <v>0.37251629872025499</v>
          </cell>
          <cell r="N599">
            <v>0.37316091480054903</v>
          </cell>
          <cell r="O599">
            <v>0.37303733048236598</v>
          </cell>
        </row>
        <row r="600">
          <cell r="A600" t="str">
            <v>ITOT-ELCSPECADV</v>
          </cell>
          <cell r="B600" t="str">
            <v>VAR_fout</v>
          </cell>
          <cell r="C600" t="str">
            <v>ITOT-ELS</v>
          </cell>
          <cell r="G600">
            <v>3.2836066355191209E-3</v>
          </cell>
          <cell r="H600">
            <v>3.9757144858850067E-3</v>
          </cell>
          <cell r="I600">
            <v>5.4233912130360901E-3</v>
          </cell>
          <cell r="J600">
            <v>0.37311233754618994</v>
          </cell>
          <cell r="K600">
            <v>0.48856889696254102</v>
          </cell>
          <cell r="L600">
            <v>0.48505976888411767</v>
          </cell>
          <cell r="M600">
            <v>0.50554198304741793</v>
          </cell>
          <cell r="N600">
            <v>0.49644302713723631</v>
          </cell>
          <cell r="O600">
            <v>0.50267052515583444</v>
          </cell>
        </row>
        <row r="601">
          <cell r="A601" t="str">
            <v>ITOT-ELCSPECADV</v>
          </cell>
          <cell r="B601" t="str">
            <v>VAR_fin</v>
          </cell>
          <cell r="C601" t="str">
            <v>ITOT_ELC</v>
          </cell>
          <cell r="G601">
            <v>2.8272829353801769E-3</v>
          </cell>
          <cell r="H601">
            <v>3.3378590936411776E-3</v>
          </cell>
          <cell r="I601">
            <v>4.4425104992660853E-3</v>
          </cell>
          <cell r="J601">
            <v>0.28891605929636349</v>
          </cell>
          <cell r="K601">
            <v>0.35870160571673693</v>
          </cell>
          <cell r="L601">
            <v>0.35612524466669476</v>
          </cell>
          <cell r="M601">
            <v>0.3711630482491306</v>
          </cell>
          <cell r="N601">
            <v>0.36448270057325671</v>
          </cell>
          <cell r="O601">
            <v>0.3690548572388912</v>
          </cell>
        </row>
        <row r="602">
          <cell r="A602" t="str">
            <v>ITOT-ELCSPECADV</v>
          </cell>
          <cell r="B602" t="str">
            <v>VAR_ncap</v>
          </cell>
          <cell r="C602" t="str">
            <v>-</v>
          </cell>
          <cell r="G602">
            <v>2.0211242639188101E-4</v>
          </cell>
          <cell r="H602">
            <v>1.3021467459127899E-4</v>
          </cell>
          <cell r="I602">
            <v>6.1006947090260002E-5</v>
          </cell>
          <cell r="J602">
            <v>1.9905565292839902E-2</v>
          </cell>
          <cell r="K602">
            <v>6.2841329393028096E-3</v>
          </cell>
          <cell r="L602">
            <v>1.23927264630845E-5</v>
          </cell>
          <cell r="M602">
            <v>1.25355447729524E-3</v>
          </cell>
          <cell r="N602">
            <v>2.67636990901569E-3</v>
          </cell>
          <cell r="O602">
            <v>1.7144252033382001E-2</v>
          </cell>
        </row>
        <row r="603">
          <cell r="A603" t="str">
            <v>ITOT-ELCSPECADV</v>
          </cell>
          <cell r="B603" t="str">
            <v>VAR_cap</v>
          </cell>
          <cell r="C603" t="str">
            <v>-</v>
          </cell>
          <cell r="G603">
            <v>2.0211242639188101E-4</v>
          </cell>
          <cell r="H603">
            <v>3.3168430926765533E-4</v>
          </cell>
          <cell r="I603">
            <v>3.9103276468861411E-4</v>
          </cell>
          <cell r="J603">
            <v>2.0293844981512744E-2</v>
          </cell>
          <cell r="K603">
            <v>2.6572686867490095E-2</v>
          </cell>
          <cell r="L603">
            <v>2.6382082302444206E-2</v>
          </cell>
          <cell r="M603">
            <v>2.7504296646727312E-2</v>
          </cell>
          <cell r="N603">
            <v>2.700414844262208E-2</v>
          </cell>
          <cell r="O603">
            <v>2.735830171034348E-2</v>
          </cell>
        </row>
        <row r="604">
          <cell r="A604" t="str">
            <v>RHES-SHELCBR</v>
          </cell>
          <cell r="B604" t="str">
            <v>VAR_fout</v>
          </cell>
          <cell r="C604" t="str">
            <v>RHES-SHAELCB</v>
          </cell>
          <cell r="D604">
            <v>4.280003329344809</v>
          </cell>
          <cell r="E604">
            <v>3.727439324684175</v>
          </cell>
          <cell r="F604">
            <v>3.6867138087817963</v>
          </cell>
          <cell r="G604">
            <v>2.6321671255415118</v>
          </cell>
          <cell r="H604">
            <v>1.2277841181342717</v>
          </cell>
          <cell r="I604">
            <v>0.74944207852287337</v>
          </cell>
          <cell r="J604">
            <v>0.48524565373155504</v>
          </cell>
          <cell r="K604">
            <v>1.8253391607413119</v>
          </cell>
          <cell r="L604">
            <v>1.3407884301126591</v>
          </cell>
          <cell r="M604">
            <v>0.74451711505846618</v>
          </cell>
          <cell r="N604">
            <v>0.60145403006225562</v>
          </cell>
          <cell r="O604">
            <v>0.23168498057094861</v>
          </cell>
        </row>
        <row r="605">
          <cell r="A605" t="str">
            <v>RHES-SHELCBR</v>
          </cell>
          <cell r="B605" t="str">
            <v>VAR_fin</v>
          </cell>
          <cell r="C605" t="str">
            <v>RHES_ELC</v>
          </cell>
          <cell r="D605">
            <v>4.5052666624682187</v>
          </cell>
          <cell r="E605">
            <v>3.9236203417728146</v>
          </cell>
          <cell r="F605">
            <v>3.8807513776650535</v>
          </cell>
          <cell r="G605">
            <v>2.7707022374121193</v>
          </cell>
          <cell r="H605">
            <v>1.2924043348781795</v>
          </cell>
          <cell r="I605">
            <v>0.78888639844513009</v>
          </cell>
          <cell r="J605">
            <v>0.51078489866479482</v>
          </cell>
          <cell r="K605">
            <v>1.9214096428855927</v>
          </cell>
          <cell r="L605">
            <v>1.4113562422238508</v>
          </cell>
          <cell r="M605">
            <v>0.78370222637733333</v>
          </cell>
          <cell r="N605">
            <v>0.63310950532869015</v>
          </cell>
          <cell r="O605">
            <v>0.24387892691678792</v>
          </cell>
        </row>
        <row r="606">
          <cell r="A606" t="str">
            <v>RHES-SHELCBR</v>
          </cell>
          <cell r="B606" t="str">
            <v>VAR_ncap</v>
          </cell>
          <cell r="C606" t="str">
            <v>-</v>
          </cell>
          <cell r="D606">
            <v>1.81297269388462E-7</v>
          </cell>
          <cell r="E606">
            <v>6.2001543110993802E-6</v>
          </cell>
          <cell r="F606">
            <v>8.5952039995704692E-6</v>
          </cell>
          <cell r="G606">
            <v>5.95604490883242E-6</v>
          </cell>
          <cell r="H606">
            <v>1.1025358835091301E-2</v>
          </cell>
          <cell r="I606">
            <v>5.6231942375633802E-2</v>
          </cell>
          <cell r="J606">
            <v>5.6304356790987597E-6</v>
          </cell>
          <cell r="K606">
            <v>0.10798896290587701</v>
          </cell>
          <cell r="L606">
            <v>7.7846973273199894E-5</v>
          </cell>
          <cell r="M606">
            <v>2.3788339767604602E-5</v>
          </cell>
          <cell r="N606">
            <v>3.7947128393967397E-2</v>
          </cell>
          <cell r="O606">
            <v>9.0931154765782008E-6</v>
          </cell>
        </row>
        <row r="607">
          <cell r="A607" t="str">
            <v>RHES-SHELCBR</v>
          </cell>
          <cell r="B607" t="str">
            <v>VAR_cap</v>
          </cell>
          <cell r="C607" t="str">
            <v>-</v>
          </cell>
          <cell r="D607">
            <v>0.34576948117360234</v>
          </cell>
          <cell r="E607">
            <v>0.34577451966785533</v>
          </cell>
          <cell r="F607">
            <v>0.34578006953092194</v>
          </cell>
          <cell r="G607">
            <v>0.34578135644084118</v>
          </cell>
          <cell r="H607">
            <v>0.10070591572740341</v>
          </cell>
          <cell r="I607">
            <v>6.726106524197667E-2</v>
          </cell>
          <cell r="J607">
            <v>6.7243385989198864E-2</v>
          </cell>
          <cell r="K607">
            <v>0.16422206401114731</v>
          </cell>
          <cell r="L607">
            <v>0.11670684117160472</v>
          </cell>
          <cell r="M607">
            <v>0.1080661774572071</v>
          </cell>
          <cell r="N607">
            <v>5.7141603548750815E-2</v>
          </cell>
          <cell r="O607">
            <v>3.7930411316195602E-2</v>
          </cell>
        </row>
        <row r="608">
          <cell r="A608" t="str">
            <v>RHSA-WHELCBR</v>
          </cell>
          <cell r="B608" t="str">
            <v>VAR_fout</v>
          </cell>
          <cell r="C608" t="str">
            <v>RHSA-WHAELCB</v>
          </cell>
          <cell r="D608">
            <v>6.6447225613347252</v>
          </cell>
          <cell r="E608">
            <v>6.9687367307653476</v>
          </cell>
          <cell r="F608">
            <v>5.9863344797314415</v>
          </cell>
          <cell r="G608">
            <v>4.5291647058394364</v>
          </cell>
          <cell r="H608">
            <v>2.1086112426162082</v>
          </cell>
          <cell r="I608">
            <v>1.3077328503597112</v>
          </cell>
          <cell r="J608">
            <v>0.86468740108346387</v>
          </cell>
          <cell r="K608">
            <v>1.8912803397786506</v>
          </cell>
          <cell r="L608">
            <v>1.5586773828308189</v>
          </cell>
          <cell r="M608">
            <v>1.3961883761461693</v>
          </cell>
          <cell r="N608">
            <v>0.72185229853880706</v>
          </cell>
          <cell r="O608">
            <v>0.42211666687140181</v>
          </cell>
        </row>
        <row r="609">
          <cell r="A609" t="str">
            <v>RHSA-WHELCBR</v>
          </cell>
          <cell r="B609" t="str">
            <v>VAR_fin</v>
          </cell>
          <cell r="C609" t="str">
            <v>RHSA_ELC</v>
          </cell>
          <cell r="D609">
            <v>8.4110412168794024</v>
          </cell>
          <cell r="E609">
            <v>8.7989100135926108</v>
          </cell>
          <cell r="F609">
            <v>7.5299804776496098</v>
          </cell>
          <cell r="G609">
            <v>5.6614558822992915</v>
          </cell>
          <cell r="H609">
            <v>2.6193928479704445</v>
          </cell>
          <cell r="I609">
            <v>1.6144850004440867</v>
          </cell>
          <cell r="J609">
            <v>1.0609661362987295</v>
          </cell>
          <cell r="K609">
            <v>2.306439438754452</v>
          </cell>
          <cell r="L609">
            <v>1.9008260766229494</v>
          </cell>
          <cell r="M609">
            <v>1.7026687513977692</v>
          </cell>
          <cell r="N609">
            <v>0.88030768114488689</v>
          </cell>
          <cell r="O609">
            <v>0.51477642301390492</v>
          </cell>
        </row>
        <row r="610">
          <cell r="A610" t="str">
            <v>RHSA-WHELCBR</v>
          </cell>
          <cell r="B610" t="str">
            <v>VAR_ncap</v>
          </cell>
          <cell r="C610" t="str">
            <v>-</v>
          </cell>
          <cell r="D610">
            <v>4.0994313180837398E-5</v>
          </cell>
          <cell r="E610">
            <v>3.5289070881889997E-2</v>
          </cell>
          <cell r="F610">
            <v>1.04716034100298E-5</v>
          </cell>
          <cell r="G610">
            <v>2.0692336257153501E-5</v>
          </cell>
          <cell r="H610">
            <v>6.6939387153100702E-2</v>
          </cell>
          <cell r="I610">
            <v>3.4967134057780999E-2</v>
          </cell>
          <cell r="J610">
            <v>6.6026274250036202E-6</v>
          </cell>
          <cell r="K610">
            <v>0.12957525331938999</v>
          </cell>
          <cell r="L610">
            <v>1.29273957801637E-4</v>
          </cell>
          <cell r="M610">
            <v>2.7532896916814301E-4</v>
          </cell>
          <cell r="N610">
            <v>4.0478230557827601E-2</v>
          </cell>
          <cell r="O610">
            <v>2.4814133945284499E-3</v>
          </cell>
        </row>
        <row r="611">
          <cell r="A611" t="str">
            <v>RHSA-WHELCBR</v>
          </cell>
          <cell r="B611" t="str">
            <v>VAR_cap</v>
          </cell>
          <cell r="C611" t="str">
            <v>-</v>
          </cell>
          <cell r="D611">
            <v>0.43760958308685782</v>
          </cell>
          <cell r="E611">
            <v>0.47289684588518754</v>
          </cell>
          <cell r="F611">
            <v>0.47289797086109608</v>
          </cell>
          <cell r="G611">
            <v>0.47290542904396926</v>
          </cell>
          <cell r="H611">
            <v>0.1985213334285334</v>
          </cell>
          <cell r="I611">
            <v>0.10191996918178688</v>
          </cell>
          <cell r="J611">
            <v>0.10183716813502797</v>
          </cell>
          <cell r="K611">
            <v>0.16453977402274553</v>
          </cell>
          <cell r="L611">
            <v>0.13507331499052408</v>
          </cell>
          <cell r="M611">
            <v>0.12996949950402079</v>
          </cell>
          <cell r="N611">
            <v>6.377862633668277E-2</v>
          </cell>
          <cell r="O611">
            <v>4.3221547288610662E-2</v>
          </cell>
        </row>
        <row r="612">
          <cell r="A612" t="str">
            <v>ITOT-SWHLTHDH</v>
          </cell>
          <cell r="B612" t="str">
            <v>VAR_fout</v>
          </cell>
          <cell r="C612" t="str">
            <v>ITOT-SWH</v>
          </cell>
          <cell r="D612">
            <v>6.5822972634881447</v>
          </cell>
          <cell r="E612">
            <v>7.067874672124919</v>
          </cell>
          <cell r="F612">
            <v>6.8712627952299759</v>
          </cell>
          <cell r="G612">
            <v>7.2970206628174328</v>
          </cell>
          <cell r="H612">
            <v>6.8047302136500338</v>
          </cell>
          <cell r="I612">
            <v>7.0254919350969187</v>
          </cell>
          <cell r="J612">
            <v>6.409792105397492</v>
          </cell>
          <cell r="K612">
            <v>7.5845469311497675</v>
          </cell>
          <cell r="L612">
            <v>7.5166682845670394</v>
          </cell>
          <cell r="M612">
            <v>7.1477637975169435</v>
          </cell>
          <cell r="N612">
            <v>6.3842341039851123</v>
          </cell>
          <cell r="O612">
            <v>5.9757896130255155</v>
          </cell>
        </row>
        <row r="613">
          <cell r="A613" t="str">
            <v>ITOT-SWHLTHDH</v>
          </cell>
          <cell r="B613" t="str">
            <v>VAR_fin</v>
          </cell>
          <cell r="C613" t="str">
            <v>ITOT_LTH_DH</v>
          </cell>
          <cell r="D613">
            <v>7.1200284219780059</v>
          </cell>
          <cell r="E613">
            <v>7.6289342334814352</v>
          </cell>
          <cell r="F613">
            <v>7.3930135101957442</v>
          </cell>
          <cell r="G613">
            <v>7.8095056383037402</v>
          </cell>
          <cell r="H613">
            <v>7.2442610808675392</v>
          </cell>
          <cell r="I613">
            <v>7.4400730420667607</v>
          </cell>
          <cell r="J613">
            <v>6.767533109437978</v>
          </cell>
          <cell r="K613">
            <v>7.9837336117365947</v>
          </cell>
          <cell r="L613">
            <v>7.9122824048074136</v>
          </cell>
          <cell r="M613">
            <v>7.5239618921230926</v>
          </cell>
          <cell r="N613">
            <v>6.720246425247475</v>
          </cell>
          <cell r="O613">
            <v>6.2903048558163324</v>
          </cell>
        </row>
        <row r="614">
          <cell r="A614" t="str">
            <v>ITOT-SWHLTHDH</v>
          </cell>
          <cell r="B614" t="str">
            <v>VAR_fin</v>
          </cell>
          <cell r="C614" t="str">
            <v>ITOTLTHDHC</v>
          </cell>
          <cell r="D614">
            <v>6.5822972634881447</v>
          </cell>
          <cell r="E614">
            <v>7.067874672124919</v>
          </cell>
          <cell r="F614">
            <v>6.8712627952299759</v>
          </cell>
          <cell r="G614">
            <v>7.2970206628174328</v>
          </cell>
          <cell r="H614">
            <v>6.8047302136500338</v>
          </cell>
          <cell r="I614">
            <v>7.0254919350969187</v>
          </cell>
          <cell r="J614">
            <v>6.409792105397492</v>
          </cell>
          <cell r="K614">
            <v>7.5845469311497675</v>
          </cell>
          <cell r="L614">
            <v>7.5166682845670394</v>
          </cell>
          <cell r="M614">
            <v>7.1477637975169435</v>
          </cell>
          <cell r="N614">
            <v>6.3842341039851123</v>
          </cell>
          <cell r="O614">
            <v>5.9757896130255155</v>
          </cell>
        </row>
        <row r="615">
          <cell r="A615" t="str">
            <v>ITOT-SWHLTHDH</v>
          </cell>
          <cell r="B615" t="str">
            <v>VAR_ncap</v>
          </cell>
          <cell r="C615" t="str">
            <v>-</v>
          </cell>
          <cell r="E615">
            <v>0.130270158900435</v>
          </cell>
          <cell r="F615">
            <v>0.194908513402204</v>
          </cell>
          <cell r="G615">
            <v>0.15930066816629601</v>
          </cell>
          <cell r="H615">
            <v>0.25900137395156397</v>
          </cell>
          <cell r="I615">
            <v>0.320941044055784</v>
          </cell>
          <cell r="J615">
            <v>0.27796775834703802</v>
          </cell>
          <cell r="K615">
            <v>0.35834896322411702</v>
          </cell>
          <cell r="L615">
            <v>0.30748644238373202</v>
          </cell>
          <cell r="M615">
            <v>0.27458161390170999</v>
          </cell>
          <cell r="N615">
            <v>0.33047195802403001</v>
          </cell>
          <cell r="O615">
            <v>0.18482138156386299</v>
          </cell>
        </row>
        <row r="616">
          <cell r="A616" t="str">
            <v>ITOT-SWHLTHDH</v>
          </cell>
          <cell r="B616" t="str">
            <v>VAR_cap</v>
          </cell>
          <cell r="C616" t="str">
            <v>-</v>
          </cell>
          <cell r="D616">
            <v>0.79547229253225304</v>
          </cell>
          <cell r="E616">
            <v>0.58344266134498413</v>
          </cell>
          <cell r="F616">
            <v>0.63861231769370397</v>
          </cell>
          <cell r="G616">
            <v>0.60734520205731013</v>
          </cell>
          <cell r="H616">
            <v>0.52417742671098899</v>
          </cell>
          <cell r="I616">
            <v>0.57342536983004</v>
          </cell>
          <cell r="J616">
            <v>0.65789256635263504</v>
          </cell>
          <cell r="K616">
            <v>0.69844396408678999</v>
          </cell>
          <cell r="L616">
            <v>0.69626469893602994</v>
          </cell>
          <cell r="M616">
            <v>0.600134283823621</v>
          </cell>
          <cell r="N616">
            <v>0.60920447917195109</v>
          </cell>
          <cell r="O616">
            <v>0.493238466437733</v>
          </cell>
        </row>
        <row r="617">
          <cell r="A617" t="str">
            <v>RHES-SHCONBR2</v>
          </cell>
          <cell r="B617" t="str">
            <v>VAR_fout</v>
          </cell>
          <cell r="C617" t="str">
            <v>RHES-SHCON</v>
          </cell>
          <cell r="D617">
            <v>0.41012720761724158</v>
          </cell>
          <cell r="E617">
            <v>0.82066288248906794</v>
          </cell>
          <cell r="F617">
            <v>0.8205104637529731</v>
          </cell>
          <cell r="G617">
            <v>0.82109674863334514</v>
          </cell>
          <cell r="H617">
            <v>2.57486239972686</v>
          </cell>
          <cell r="I617">
            <v>4.0746924479262416</v>
          </cell>
          <cell r="J617">
            <v>4.0746261779085158</v>
          </cell>
          <cell r="K617">
            <v>4.4343807757950024</v>
          </cell>
          <cell r="L617">
            <v>4.6680680206278904</v>
          </cell>
          <cell r="M617">
            <v>4.6680434955638663</v>
          </cell>
          <cell r="N617">
            <v>2.9915584528458217</v>
          </cell>
          <cell r="O617">
            <v>1.4147231130331652</v>
          </cell>
        </row>
        <row r="618">
          <cell r="A618" t="str">
            <v>RHES-SHCONBR2</v>
          </cell>
          <cell r="B618" t="str">
            <v>VAR_fin</v>
          </cell>
          <cell r="C618" t="str">
            <v>CON</v>
          </cell>
          <cell r="D618">
            <v>0.41012720761724158</v>
          </cell>
          <cell r="E618">
            <v>0.82066288248906794</v>
          </cell>
          <cell r="F618">
            <v>0.8205104637529731</v>
          </cell>
          <cell r="G618">
            <v>0.82109674863334514</v>
          </cell>
          <cell r="H618">
            <v>2.57486239972686</v>
          </cell>
          <cell r="I618">
            <v>4.0746924479262416</v>
          </cell>
          <cell r="J618">
            <v>4.0746261779085158</v>
          </cell>
          <cell r="K618">
            <v>4.4343807757950024</v>
          </cell>
          <cell r="L618">
            <v>4.6680680206278904</v>
          </cell>
          <cell r="M618">
            <v>4.6680434955638663</v>
          </cell>
          <cell r="N618">
            <v>2.9915584528458217</v>
          </cell>
          <cell r="O618">
            <v>1.4147231130331652</v>
          </cell>
        </row>
        <row r="619">
          <cell r="A619" t="str">
            <v>RHES-SHCONBR2</v>
          </cell>
          <cell r="B619" t="str">
            <v>VAR_ncap</v>
          </cell>
          <cell r="C619" t="str">
            <v>-</v>
          </cell>
          <cell r="D619">
            <v>3.3149547594445501E-2</v>
          </cell>
          <cell r="E619">
            <v>3.3149488551461999E-2</v>
          </cell>
          <cell r="F619">
            <v>5.0987281777833302E-6</v>
          </cell>
          <cell r="G619">
            <v>4.25834533811417E-5</v>
          </cell>
          <cell r="H619">
            <v>0.14168768865314599</v>
          </cell>
          <cell r="I619">
            <v>0.12116795341091199</v>
          </cell>
          <cell r="J619">
            <v>1.98853445254218E-7</v>
          </cell>
          <cell r="K619">
            <v>6.1662722794392603E-2</v>
          </cell>
          <cell r="L619">
            <v>5.2654894568289597E-2</v>
          </cell>
          <cell r="M619">
            <v>4.6522523238467596E-6</v>
          </cell>
          <cell r="N619">
            <v>7.6512256322586395E-5</v>
          </cell>
          <cell r="O619">
            <v>7.7911969868981103E-8</v>
          </cell>
        </row>
        <row r="620">
          <cell r="A620" t="str">
            <v>RHES-SHCONBR2</v>
          </cell>
          <cell r="B620" t="str">
            <v>VAR_cap</v>
          </cell>
          <cell r="C620" t="str">
            <v>-</v>
          </cell>
          <cell r="D620">
            <v>3.3149547594445501E-2</v>
          </cell>
          <cell r="E620">
            <v>6.6299036145907597E-2</v>
          </cell>
          <cell r="F620">
            <v>6.6304134874085305E-2</v>
          </cell>
          <cell r="G620">
            <v>6.6346718327466497E-2</v>
          </cell>
          <cell r="H620">
            <v>0.20803440698061201</v>
          </cell>
          <cell r="I620">
            <v>0.32920236039152501</v>
          </cell>
          <cell r="J620">
            <v>0.32920255924496999</v>
          </cell>
          <cell r="K620">
            <v>0.35826139759395498</v>
          </cell>
          <cell r="L620">
            <v>0.377206164227332</v>
          </cell>
          <cell r="M620">
            <v>0.37717811053250899</v>
          </cell>
          <cell r="N620">
            <v>0.241694090610268</v>
          </cell>
          <cell r="O620">
            <v>0.114399058636744</v>
          </cell>
        </row>
        <row r="621">
          <cell r="A621" t="str">
            <v>ITOT-SWHCONBR4</v>
          </cell>
          <cell r="B621" t="str">
            <v>VAR_fout</v>
          </cell>
          <cell r="C621" t="str">
            <v>ITOT-ELS</v>
          </cell>
          <cell r="H621">
            <v>0.57407913389365128</v>
          </cell>
          <cell r="I621">
            <v>0.57409668898671995</v>
          </cell>
          <cell r="J621">
            <v>0.57402930238497374</v>
          </cell>
          <cell r="K621">
            <v>0.40307881395466433</v>
          </cell>
          <cell r="L621">
            <v>0.40312471608683059</v>
          </cell>
          <cell r="M621">
            <v>0.40318246119184969</v>
          </cell>
          <cell r="N621">
            <v>0.40269087052123187</v>
          </cell>
          <cell r="O621">
            <v>0.39975982502704382</v>
          </cell>
        </row>
        <row r="622">
          <cell r="A622" t="str">
            <v>ITOT-SWHCONBR4</v>
          </cell>
          <cell r="B622" t="str">
            <v>VAR_fout</v>
          </cell>
          <cell r="C622" t="str">
            <v>ITOT-SWHC</v>
          </cell>
          <cell r="H622">
            <v>6.1693634766910197</v>
          </cell>
          <cell r="I622">
            <v>6.1695521331734078</v>
          </cell>
          <cell r="J622">
            <v>6.1688279604677847</v>
          </cell>
          <cell r="K622">
            <v>4.3317019661970679</v>
          </cell>
          <cell r="L622">
            <v>4.3321952552246081</v>
          </cell>
          <cell r="M622">
            <v>4.3328158152150857</v>
          </cell>
          <cell r="N622">
            <v>4.3275329171793766</v>
          </cell>
          <cell r="O622">
            <v>4.2960343241235366</v>
          </cell>
        </row>
        <row r="623">
          <cell r="A623" t="str">
            <v>ITOT-SWHCONBR4</v>
          </cell>
          <cell r="B623" t="str">
            <v>VAR_fin</v>
          </cell>
          <cell r="C623" t="str">
            <v>CON</v>
          </cell>
          <cell r="H623">
            <v>6.7434426105846699</v>
          </cell>
          <cell r="I623">
            <v>6.7436488221601234</v>
          </cell>
          <cell r="J623">
            <v>6.7428572628527546</v>
          </cell>
          <cell r="K623">
            <v>4.7347807801517297</v>
          </cell>
          <cell r="L623">
            <v>4.7353199713114389</v>
          </cell>
          <cell r="M623">
            <v>4.7359982764069368</v>
          </cell>
          <cell r="N623">
            <v>4.7302237877006119</v>
          </cell>
          <cell r="O623">
            <v>4.6957941491505775</v>
          </cell>
        </row>
        <row r="624">
          <cell r="A624" t="str">
            <v>ITOT-SWHCONBR4</v>
          </cell>
          <cell r="B624" t="str">
            <v>VAR_ncap</v>
          </cell>
          <cell r="C624" t="str">
            <v>-</v>
          </cell>
          <cell r="H624">
            <v>0.36674956018237997</v>
          </cell>
          <cell r="I624">
            <v>1.2437013724773799E-5</v>
          </cell>
          <cell r="J624">
            <v>1.16546998196627E-5</v>
          </cell>
          <cell r="K624">
            <v>0.25752833241249201</v>
          </cell>
          <cell r="L624">
            <v>3.4783853711982802E-5</v>
          </cell>
          <cell r="M624">
            <v>3.1808014657321802E-5</v>
          </cell>
          <cell r="N624">
            <v>0.21160563277995501</v>
          </cell>
          <cell r="O624">
            <v>4.37822674271163E-2</v>
          </cell>
        </row>
        <row r="625">
          <cell r="A625" t="str">
            <v>ITOT-SWHCONBR4</v>
          </cell>
          <cell r="B625" t="str">
            <v>VAR_cap</v>
          </cell>
          <cell r="C625" t="str">
            <v>-</v>
          </cell>
          <cell r="H625">
            <v>0.36674956018237997</v>
          </cell>
          <cell r="I625">
            <v>0.36676199719610503</v>
          </cell>
          <cell r="J625">
            <v>0.36677365189592398</v>
          </cell>
          <cell r="K625">
            <v>0.25755242412603602</v>
          </cell>
          <cell r="L625">
            <v>0.25757513776945301</v>
          </cell>
          <cell r="M625">
            <v>0.257594924280861</v>
          </cell>
          <cell r="N625">
            <v>0.25727511122161201</v>
          </cell>
          <cell r="O625">
            <v>0.25541970822172899</v>
          </cell>
        </row>
        <row r="626">
          <cell r="A626" t="str">
            <v>D-ITOT_NKEV_GAS_ELC_CHP</v>
          </cell>
          <cell r="B626" t="str">
            <v>VAR_fout</v>
          </cell>
          <cell r="C626" t="str">
            <v>ITOT_ELC</v>
          </cell>
          <cell r="D626">
            <v>0.65951855890902955</v>
          </cell>
          <cell r="E626">
            <v>8.187601002487857E-2</v>
          </cell>
          <cell r="F626">
            <v>5.2402075797585372E-2</v>
          </cell>
          <cell r="G626">
            <v>7.6694215147868353E-2</v>
          </cell>
          <cell r="H626">
            <v>7.3459259688844758E-2</v>
          </cell>
          <cell r="I626">
            <v>0.35229615380791696</v>
          </cell>
          <cell r="J626">
            <v>4.3463847621921507E-2</v>
          </cell>
          <cell r="K626">
            <v>0.52446766914380605</v>
          </cell>
          <cell r="L626">
            <v>0.64866266028275277</v>
          </cell>
          <cell r="M626">
            <v>0.56166237608894076</v>
          </cell>
          <cell r="N626">
            <v>0.6397303962850911</v>
          </cell>
          <cell r="O626">
            <v>0.62612502926728919</v>
          </cell>
        </row>
        <row r="627">
          <cell r="A627" t="str">
            <v>D-ITOT_NKEV_GAS_ELC_CHP</v>
          </cell>
          <cell r="B627" t="str">
            <v>VAR_fout</v>
          </cell>
          <cell r="C627" t="str">
            <v>ELC5</v>
          </cell>
          <cell r="D627">
            <v>1.0498283641879599E-2</v>
          </cell>
          <cell r="E627">
            <v>5.619508315914388E-3</v>
          </cell>
          <cell r="F627">
            <v>5.6195497031292022E-3</v>
          </cell>
          <cell r="G627">
            <v>2.8342974313746157E-3</v>
          </cell>
          <cell r="H627">
            <v>0.30937402180268836</v>
          </cell>
          <cell r="I627">
            <v>8.4867315018646149E-3</v>
          </cell>
          <cell r="J627">
            <v>7.7292430423861955E-2</v>
          </cell>
          <cell r="K627">
            <v>1.9894528192950466E-2</v>
          </cell>
          <cell r="L627">
            <v>2.1347178103498669E-2</v>
          </cell>
          <cell r="M627">
            <v>7.6160365663937468E-2</v>
          </cell>
          <cell r="N627">
            <v>3.0292252144153271E-2</v>
          </cell>
          <cell r="O627">
            <v>4.3898312723790363E-2</v>
          </cell>
        </row>
        <row r="628">
          <cell r="A628" t="str">
            <v>D-ITOT_NKEV_GAS_ELC_CHP</v>
          </cell>
          <cell r="B628" t="str">
            <v>VAR_fin</v>
          </cell>
          <cell r="C628" t="str">
            <v>ITOT_NKEV_GAS_ELC_CHP</v>
          </cell>
          <cell r="D628">
            <v>0.67001684255090865</v>
          </cell>
          <cell r="E628">
            <v>8.7495518340792902E-2</v>
          </cell>
          <cell r="F628">
            <v>5.7993203522707246E-2</v>
          </cell>
          <cell r="G628">
            <v>7.9500090601235515E-2</v>
          </cell>
          <cell r="H628">
            <v>0.38283328149153317</v>
          </cell>
          <cell r="I628">
            <v>0.36078288530978142</v>
          </cell>
          <cell r="J628">
            <v>0.12075627804578348</v>
          </cell>
          <cell r="K628">
            <v>0.54436219733675661</v>
          </cell>
          <cell r="L628">
            <v>0.67000983838625139</v>
          </cell>
          <cell r="M628">
            <v>0.63782274175287812</v>
          </cell>
          <cell r="N628">
            <v>0.67002264842924475</v>
          </cell>
          <cell r="O628">
            <v>0.67002334199108005</v>
          </cell>
        </row>
        <row r="629">
          <cell r="A629" t="str">
            <v>SCOM-SHELCBR</v>
          </cell>
          <cell r="B629" t="str">
            <v>VAR_fout</v>
          </cell>
          <cell r="C629" t="str">
            <v>SCOM-SHAELCB</v>
          </cell>
          <cell r="D629">
            <v>2.394062516192891</v>
          </cell>
          <cell r="E629">
            <v>1.8212279210302661E-3</v>
          </cell>
          <cell r="F629">
            <v>1.9474861159983512</v>
          </cell>
          <cell r="G629">
            <v>1.6843345438899462</v>
          </cell>
          <cell r="H629">
            <v>1.4146794295782583</v>
          </cell>
          <cell r="I629">
            <v>1.177373894899731</v>
          </cell>
          <cell r="J629">
            <v>0.88736711702779414</v>
          </cell>
          <cell r="K629">
            <v>0.66562616345650416</v>
          </cell>
          <cell r="L629">
            <v>1.5539795938020773</v>
          </cell>
          <cell r="M629">
            <v>1.5654197553624714</v>
          </cell>
          <cell r="N629">
            <v>0.6603438232423402</v>
          </cell>
          <cell r="O629">
            <v>0.66981105766615623</v>
          </cell>
        </row>
        <row r="630">
          <cell r="A630" t="str">
            <v>SCOM-SHELCBR</v>
          </cell>
          <cell r="B630" t="str">
            <v>VAR_fin</v>
          </cell>
          <cell r="C630" t="str">
            <v>SCOM_ELC</v>
          </cell>
          <cell r="D630">
            <v>2.6236301547319383</v>
          </cell>
          <cell r="E630">
            <v>1.990413028448379E-3</v>
          </cell>
          <cell r="F630">
            <v>2.1197127793179344</v>
          </cell>
          <cell r="G630">
            <v>1.8209022096107501</v>
          </cell>
          <cell r="H630">
            <v>1.5191188505538338</v>
          </cell>
          <cell r="I630">
            <v>1.2558654878930462</v>
          </cell>
          <cell r="J630">
            <v>0.94025654784402124</v>
          </cell>
          <cell r="K630">
            <v>0.70065911942789938</v>
          </cell>
          <cell r="L630">
            <v>1.6357679934758713</v>
          </cell>
          <cell r="M630">
            <v>1.6478102688026008</v>
          </cell>
          <cell r="N630">
            <v>0.69509876130772552</v>
          </cell>
          <cell r="O630">
            <v>0.70506427122753323</v>
          </cell>
        </row>
        <row r="631">
          <cell r="A631" t="str">
            <v>SCOM-SHELCBR</v>
          </cell>
          <cell r="B631" t="str">
            <v>VAR_ncap</v>
          </cell>
          <cell r="C631" t="str">
            <v>-</v>
          </cell>
          <cell r="D631">
            <v>8.3523213917886205E-6</v>
          </cell>
          <cell r="E631">
            <v>5.5697349061526696E-6</v>
          </cell>
          <cell r="F631">
            <v>0.150445563322359</v>
          </cell>
          <cell r="G631">
            <v>1.62543231059969E-2</v>
          </cell>
          <cell r="H631">
            <v>8.1537395508834304E-5</v>
          </cell>
          <cell r="I631">
            <v>0.10813077054822599</v>
          </cell>
          <cell r="J631">
            <v>3.4190607979416503E-5</v>
          </cell>
          <cell r="K631">
            <v>1.9420769658587501E-4</v>
          </cell>
          <cell r="L631">
            <v>0.16654495587479101</v>
          </cell>
          <cell r="M631">
            <v>1.55600560217752E-4</v>
          </cell>
          <cell r="N631">
            <v>5.5780397072731301E-5</v>
          </cell>
          <cell r="O631">
            <v>8.1217531097362697E-2</v>
          </cell>
        </row>
        <row r="632">
          <cell r="A632" t="str">
            <v>SCOM-SHELCBR</v>
          </cell>
          <cell r="B632" t="str">
            <v>VAR_cap</v>
          </cell>
          <cell r="C632" t="str">
            <v>-</v>
          </cell>
          <cell r="D632">
            <v>0.18499640067283379</v>
          </cell>
          <cell r="E632">
            <v>2.5114594787395417E-4</v>
          </cell>
          <cell r="F632">
            <v>0.15069443112483699</v>
          </cell>
          <cell r="G632">
            <v>0.16694190375856602</v>
          </cell>
          <cell r="H632">
            <v>0.16675368302569799</v>
          </cell>
          <cell r="I632">
            <v>0.15294098774635342</v>
          </cell>
          <cell r="J632">
            <v>0.1082289452917666</v>
          </cell>
          <cell r="K632">
            <v>8.0280750603161699E-2</v>
          </cell>
          <cell r="L632">
            <v>0.17905283057189905</v>
          </cell>
          <cell r="M632">
            <v>0.16687923779939651</v>
          </cell>
          <cell r="N632">
            <v>8.2904301592722399E-2</v>
          </cell>
          <cell r="O632">
            <v>8.1400873193989753E-2</v>
          </cell>
        </row>
        <row r="633">
          <cell r="A633" t="str">
            <v>RHES-SHCONBR3</v>
          </cell>
          <cell r="B633" t="str">
            <v>VAR_fout</v>
          </cell>
          <cell r="C633" t="str">
            <v>RHES-SHCON</v>
          </cell>
          <cell r="D633">
            <v>2.582532586910889E-3</v>
          </cell>
          <cell r="E633">
            <v>0.68031431037795465</v>
          </cell>
          <cell r="F633">
            <v>0.68013081645364248</v>
          </cell>
          <cell r="G633">
            <v>0.68018417720120627</v>
          </cell>
          <cell r="H633">
            <v>0.68021152300416454</v>
          </cell>
          <cell r="I633">
            <v>0.68025209861286218</v>
          </cell>
          <cell r="J633">
            <v>0.6802546045868364</v>
          </cell>
          <cell r="K633">
            <v>0.4582789003434285</v>
          </cell>
          <cell r="L633">
            <v>0.50604542530554242</v>
          </cell>
          <cell r="M633">
            <v>0.50603154884998225</v>
          </cell>
          <cell r="N633">
            <v>0.506053105911067</v>
          </cell>
          <cell r="O633">
            <v>0.50567244489037722</v>
          </cell>
        </row>
        <row r="634">
          <cell r="A634" t="str">
            <v>RHES-SHCONBR3</v>
          </cell>
          <cell r="B634" t="str">
            <v>VAR_fin</v>
          </cell>
          <cell r="C634" t="str">
            <v>CON</v>
          </cell>
          <cell r="D634">
            <v>2.582532586910889E-3</v>
          </cell>
          <cell r="E634">
            <v>0.68031431037795465</v>
          </cell>
          <cell r="F634">
            <v>0.68013081645364248</v>
          </cell>
          <cell r="G634">
            <v>0.68018417720120627</v>
          </cell>
          <cell r="H634">
            <v>0.68021152300416454</v>
          </cell>
          <cell r="I634">
            <v>0.68025209861286218</v>
          </cell>
          <cell r="J634">
            <v>0.6802546045868364</v>
          </cell>
          <cell r="K634">
            <v>0.4582789003434285</v>
          </cell>
          <cell r="L634">
            <v>0.50604542530554242</v>
          </cell>
          <cell r="M634">
            <v>0.50603154884998225</v>
          </cell>
          <cell r="N634">
            <v>0.506053105911067</v>
          </cell>
          <cell r="O634">
            <v>0.50567244489037722</v>
          </cell>
        </row>
        <row r="635">
          <cell r="A635" t="str">
            <v>RHES-SHCONBR3</v>
          </cell>
          <cell r="B635" t="str">
            <v>VAR_ncap</v>
          </cell>
          <cell r="C635" t="str">
            <v>-</v>
          </cell>
          <cell r="D635">
            <v>2.0665346896764399E-4</v>
          </cell>
          <cell r="E635">
            <v>5.4753873757247398E-2</v>
          </cell>
          <cell r="F635">
            <v>4.0811757942787301E-7</v>
          </cell>
          <cell r="G635">
            <v>3.1816884672562998E-7</v>
          </cell>
          <cell r="H635">
            <v>2.1353100439613899E-7</v>
          </cell>
          <cell r="I635">
            <v>1.95915898462032E-6</v>
          </cell>
          <cell r="J635">
            <v>1.0046751836958701E-7</v>
          </cell>
          <cell r="K635">
            <v>1.8950944467053199E-6</v>
          </cell>
          <cell r="L635">
            <v>4.0884360801296898E-2</v>
          </cell>
          <cell r="M635">
            <v>3.31449919334424E-7</v>
          </cell>
          <cell r="N635">
            <v>3.6898468134613202E-7</v>
          </cell>
          <cell r="O635">
            <v>7.3929626337412697E-8</v>
          </cell>
        </row>
        <row r="636">
          <cell r="A636" t="str">
            <v>RHES-SHCONBR3</v>
          </cell>
          <cell r="B636" t="str">
            <v>VAR_cap</v>
          </cell>
          <cell r="C636" t="str">
            <v>-</v>
          </cell>
          <cell r="D636">
            <v>2.0665346896764399E-4</v>
          </cell>
          <cell r="E636">
            <v>5.4960527226215E-2</v>
          </cell>
          <cell r="F636">
            <v>5.4960935343794398E-2</v>
          </cell>
          <cell r="G636">
            <v>5.4961253512641202E-2</v>
          </cell>
          <cell r="H636">
            <v>5.4961467043645601E-2</v>
          </cell>
          <cell r="I636">
            <v>5.49634262026302E-2</v>
          </cell>
          <cell r="J636">
            <v>5.4963526670148602E-2</v>
          </cell>
          <cell r="K636">
            <v>3.7026841259416902E-2</v>
          </cell>
          <cell r="L636">
            <v>4.08888857447385E-2</v>
          </cell>
          <cell r="M636">
            <v>4.0888860503170303E-2</v>
          </cell>
          <cell r="N636">
            <v>4.0888747071589598E-2</v>
          </cell>
          <cell r="O636">
            <v>4.0887130727489E-2</v>
          </cell>
        </row>
        <row r="637">
          <cell r="A637" t="str">
            <v>ITOT-SWHCONBR5</v>
          </cell>
          <cell r="B637" t="str">
            <v>VAR_fout</v>
          </cell>
          <cell r="C637" t="str">
            <v>ITOT-ELS</v>
          </cell>
          <cell r="H637">
            <v>1.4688850270251003E-3</v>
          </cell>
          <cell r="I637">
            <v>1.6368217678877925E-3</v>
          </cell>
          <cell r="J637">
            <v>1.6792844353316731E-3</v>
          </cell>
          <cell r="K637">
            <v>2.5783912846446041E-3</v>
          </cell>
          <cell r="L637">
            <v>2.4630538686516885E-3</v>
          </cell>
          <cell r="M637">
            <v>2.9035650690898921E-3</v>
          </cell>
          <cell r="N637">
            <v>2.7772575975559418E-3</v>
          </cell>
          <cell r="O637">
            <v>6.6518169103775854E-3</v>
          </cell>
        </row>
        <row r="638">
          <cell r="A638" t="str">
            <v>ITOT-SWHCONBR5</v>
          </cell>
          <cell r="B638" t="str">
            <v>VAR_fout</v>
          </cell>
          <cell r="C638" t="str">
            <v>ITOT-SWHC</v>
          </cell>
          <cell r="H638">
            <v>7.2046996175628483E-3</v>
          </cell>
          <cell r="I638">
            <v>8.0284085875689196E-3</v>
          </cell>
          <cell r="J638">
            <v>8.2366827262965892E-3</v>
          </cell>
          <cell r="K638">
            <v>1.2646690762468313E-2</v>
          </cell>
          <cell r="L638">
            <v>1.2080974983761112E-2</v>
          </cell>
          <cell r="M638">
            <v>1.4241628008972364E-2</v>
          </cell>
          <cell r="N638">
            <v>1.3622105462882441E-2</v>
          </cell>
          <cell r="O638">
            <v>3.2626340297957544E-2</v>
          </cell>
        </row>
        <row r="639">
          <cell r="A639" t="str">
            <v>ITOT-SWHCONBR5</v>
          </cell>
          <cell r="B639" t="str">
            <v>VAR_fin</v>
          </cell>
          <cell r="C639" t="str">
            <v>CON</v>
          </cell>
          <cell r="H639">
            <v>8.673584644587954E-3</v>
          </cell>
          <cell r="I639">
            <v>9.665230355456713E-3</v>
          </cell>
          <cell r="J639">
            <v>9.915967161628271E-3</v>
          </cell>
          <cell r="K639">
            <v>1.5225082047112905E-2</v>
          </cell>
          <cell r="L639">
            <v>1.4544028852412806E-2</v>
          </cell>
          <cell r="M639">
            <v>1.7145193078062251E-2</v>
          </cell>
          <cell r="N639">
            <v>1.6399363060438366E-2</v>
          </cell>
          <cell r="O639">
            <v>3.9278157208335121E-2</v>
          </cell>
        </row>
        <row r="640">
          <cell r="A640" t="str">
            <v>ITOT-SWHCONBR5</v>
          </cell>
          <cell r="B640" t="str">
            <v>VAR_ncap</v>
          </cell>
          <cell r="C640" t="str">
            <v>-</v>
          </cell>
          <cell r="H640">
            <v>4.7046441355567199E-4</v>
          </cell>
          <cell r="I640">
            <v>5.40541810147955E-5</v>
          </cell>
          <cell r="J640">
            <v>1.37440672767126E-5</v>
          </cell>
          <cell r="K640">
            <v>7.5934022141379599E-4</v>
          </cell>
          <cell r="L640">
            <v>1.0501496847118699E-5</v>
          </cell>
          <cell r="M640">
            <v>1.6176932736898701E-4</v>
          </cell>
          <cell r="N640">
            <v>5.8757272706534897E-4</v>
          </cell>
          <cell r="O640">
            <v>1.3865201124651501E-3</v>
          </cell>
        </row>
        <row r="641">
          <cell r="A641" t="str">
            <v>ITOT-SWHCONBR5</v>
          </cell>
          <cell r="B641" t="str">
            <v>VAR_cap</v>
          </cell>
          <cell r="C641" t="str">
            <v>-</v>
          </cell>
          <cell r="H641">
            <v>4.7046441355567199E-4</v>
          </cell>
          <cell r="I641">
            <v>5.2451859457046705E-4</v>
          </cell>
          <cell r="J641">
            <v>5.3826266184718E-4</v>
          </cell>
          <cell r="K641">
            <v>8.27138469705304E-4</v>
          </cell>
          <cell r="L641">
            <v>7.90070404794958E-4</v>
          </cell>
          <cell r="M641">
            <v>9.3161104562990203E-4</v>
          </cell>
          <cell r="N641">
            <v>8.9101023343810903E-4</v>
          </cell>
          <cell r="O641">
            <v>2.13586216689948E-3</v>
          </cell>
        </row>
        <row r="642">
          <cell r="A642" t="str">
            <v>RHES-SHSTG-ELC</v>
          </cell>
          <cell r="B642" t="str">
            <v>VAR_fout</v>
          </cell>
          <cell r="C642" t="str">
            <v>RHES-SHAELCB</v>
          </cell>
          <cell r="D642">
            <v>2.72883567788867E-7</v>
          </cell>
          <cell r="E642">
            <v>0.64214906189786991</v>
          </cell>
          <cell r="F642">
            <v>0.66695046779759437</v>
          </cell>
          <cell r="G642">
            <v>0.53318937361451568</v>
          </cell>
          <cell r="H642">
            <v>0.17953345840281906</v>
          </cell>
          <cell r="I642">
            <v>0.1099174156822979</v>
          </cell>
          <cell r="J642">
            <v>0.1037159317319187</v>
          </cell>
          <cell r="K642">
            <v>0.28619175405948227</v>
          </cell>
          <cell r="L642">
            <v>0.194927870758034</v>
          </cell>
          <cell r="M642">
            <v>0.15555418903684254</v>
          </cell>
          <cell r="N642">
            <v>8.8426831471798834E-2</v>
          </cell>
          <cell r="O642">
            <v>5.1335374442498964E-2</v>
          </cell>
        </row>
        <row r="643">
          <cell r="A643" t="str">
            <v>RHES-SHSTG-ELC</v>
          </cell>
          <cell r="B643" t="str">
            <v>VAR_fin</v>
          </cell>
          <cell r="C643" t="str">
            <v>RHES-SHAELCB</v>
          </cell>
          <cell r="D643">
            <v>1.7549748306055361E-6</v>
          </cell>
          <cell r="E643">
            <v>0.64217744593247539</v>
          </cell>
          <cell r="F643">
            <v>0.66697649202633269</v>
          </cell>
          <cell r="G643">
            <v>0.53321667760127622</v>
          </cell>
          <cell r="H643">
            <v>0.17954204468184057</v>
          </cell>
          <cell r="I643">
            <v>0.10992381680271762</v>
          </cell>
          <cell r="J643">
            <v>0.1037220525723713</v>
          </cell>
          <cell r="K643">
            <v>0.28620520361129415</v>
          </cell>
          <cell r="L643">
            <v>0.19493762712682208</v>
          </cell>
          <cell r="M643">
            <v>0.15556348002602552</v>
          </cell>
          <cell r="N643">
            <v>8.8432453221185522E-2</v>
          </cell>
          <cell r="O643">
            <v>5.1339671711653677E-2</v>
          </cell>
        </row>
        <row r="644">
          <cell r="A644" t="str">
            <v>RHES-SHSTG-ELC</v>
          </cell>
          <cell r="B644" t="str">
            <v>VAR_ncap</v>
          </cell>
          <cell r="C644" t="str">
            <v>-</v>
          </cell>
          <cell r="D644">
            <v>2.5142556983902602E-2</v>
          </cell>
          <cell r="E644">
            <v>3.5991297874864103E-2</v>
          </cell>
          <cell r="F644">
            <v>1.2551123532740001E-4</v>
          </cell>
          <cell r="G644">
            <v>1.1795843850093801E-4</v>
          </cell>
          <cell r="H644">
            <v>3.3306867346423902E-4</v>
          </cell>
          <cell r="I644">
            <v>1.1521721000052099E-2</v>
          </cell>
          <cell r="J644">
            <v>2.4503037656482102E-4</v>
          </cell>
          <cell r="K644">
            <v>1.74978762794024E-2</v>
          </cell>
          <cell r="L644">
            <v>1.7147571375765E-3</v>
          </cell>
          <cell r="M644">
            <v>9.6216293856332203E-4</v>
          </cell>
          <cell r="N644">
            <v>5.6238417447865598E-3</v>
          </cell>
          <cell r="O644">
            <v>8.1933983385966305E-4</v>
          </cell>
        </row>
        <row r="645">
          <cell r="A645" t="str">
            <v>RHES-SHSTG-ELC</v>
          </cell>
          <cell r="B645" t="str">
            <v>VAR_cap</v>
          </cell>
          <cell r="C645" t="str">
            <v>-</v>
          </cell>
          <cell r="D645">
            <v>2.5142556983902602E-2</v>
          </cell>
          <cell r="E645">
            <v>6.1019113279317784E-2</v>
          </cell>
          <cell r="F645">
            <v>6.1020091428372523E-2</v>
          </cell>
          <cell r="G645">
            <v>6.1020319374114215E-2</v>
          </cell>
          <cell r="H645">
            <v>1.7771713311173748E-2</v>
          </cell>
          <cell r="I645">
            <v>1.1869680892740523E-2</v>
          </cell>
          <cell r="J645">
            <v>1.1866561260977751E-2</v>
          </cell>
          <cell r="K645">
            <v>2.898044529028599E-2</v>
          </cell>
          <cell r="L645">
            <v>2.0595405640407873E-2</v>
          </cell>
          <cell r="M645">
            <v>1.9070583272455258E-2</v>
          </cell>
          <cell r="N645">
            <v>1.0083894607264719E-2</v>
          </cell>
          <cell r="O645">
            <v>6.6936828231526253E-3</v>
          </cell>
        </row>
        <row r="646">
          <cell r="A646" t="str">
            <v>RHES-SHCONBR4</v>
          </cell>
          <cell r="B646" t="str">
            <v>VAR_fout</v>
          </cell>
          <cell r="C646" t="str">
            <v>RHES-SHCON</v>
          </cell>
          <cell r="E646">
            <v>0.42667179985871578</v>
          </cell>
          <cell r="F646">
            <v>0.42654054189907192</v>
          </cell>
          <cell r="G646">
            <v>0.42657361611856603</v>
          </cell>
          <cell r="H646">
            <v>0.42659129928636397</v>
          </cell>
          <cell r="I646">
            <v>0.42660963740050073</v>
          </cell>
          <cell r="J646">
            <v>0.42661244250777464</v>
          </cell>
          <cell r="K646">
            <v>0.28794459738396905</v>
          </cell>
          <cell r="L646">
            <v>2.8939422514867564E-3</v>
          </cell>
          <cell r="M646">
            <v>2.8971701953114091E-3</v>
          </cell>
          <cell r="N646">
            <v>2.8999880098743965E-3</v>
          </cell>
          <cell r="O646">
            <v>2.8919892128138999E-3</v>
          </cell>
        </row>
        <row r="647">
          <cell r="A647" t="str">
            <v>RHES-SHCONBR4</v>
          </cell>
          <cell r="B647" t="str">
            <v>VAR_fin</v>
          </cell>
          <cell r="C647" t="str">
            <v>CON</v>
          </cell>
          <cell r="E647">
            <v>0.42667179985871578</v>
          </cell>
          <cell r="F647">
            <v>0.42654054189907192</v>
          </cell>
          <cell r="G647">
            <v>0.42657361611856603</v>
          </cell>
          <cell r="H647">
            <v>0.42659129928636397</v>
          </cell>
          <cell r="I647">
            <v>0.42660963740050073</v>
          </cell>
          <cell r="J647">
            <v>0.42661244250777464</v>
          </cell>
          <cell r="K647">
            <v>0.28794459738396905</v>
          </cell>
          <cell r="L647">
            <v>2.8939422514867564E-3</v>
          </cell>
          <cell r="M647">
            <v>2.8971701953114091E-3</v>
          </cell>
          <cell r="N647">
            <v>2.8999880098743965E-3</v>
          </cell>
          <cell r="O647">
            <v>2.8919892128138999E-3</v>
          </cell>
        </row>
        <row r="648">
          <cell r="A648" t="str">
            <v>RHES-SHCONBR4</v>
          </cell>
          <cell r="B648" t="str">
            <v>VAR_ncap</v>
          </cell>
          <cell r="C648" t="str">
            <v>-</v>
          </cell>
          <cell r="E648">
            <v>3.4469031234975502E-2</v>
          </cell>
          <cell r="F648">
            <v>2.0703773860395901E-7</v>
          </cell>
          <cell r="G648">
            <v>2.1952115625605201E-7</v>
          </cell>
          <cell r="H648">
            <v>1.96459926670102E-7</v>
          </cell>
          <cell r="I648">
            <v>5.7022133936029697E-7</v>
          </cell>
          <cell r="J648">
            <v>8.4268764509308102E-8</v>
          </cell>
          <cell r="K648">
            <v>1.64719232130592E-6</v>
          </cell>
          <cell r="L648">
            <v>2.2956914965276999E-4</v>
          </cell>
          <cell r="M648">
            <v>4.9042383327965402E-7</v>
          </cell>
          <cell r="N648">
            <v>4.6357172375523E-7</v>
          </cell>
          <cell r="O648">
            <v>7.67346685954346E-8</v>
          </cell>
        </row>
        <row r="649">
          <cell r="A649" t="str">
            <v>RHES-SHCONBR4</v>
          </cell>
          <cell r="B649" t="str">
            <v>VAR_cap</v>
          </cell>
          <cell r="C649" t="str">
            <v>-</v>
          </cell>
          <cell r="E649">
            <v>3.4469031234975502E-2</v>
          </cell>
          <cell r="F649">
            <v>3.4469238272714101E-2</v>
          </cell>
          <cell r="G649">
            <v>3.4469457793870298E-2</v>
          </cell>
          <cell r="H649">
            <v>3.4469654253797E-2</v>
          </cell>
          <cell r="I649">
            <v>3.4470224475136403E-2</v>
          </cell>
          <cell r="J649">
            <v>3.4470308743900897E-2</v>
          </cell>
          <cell r="K649">
            <v>2.32647928375945E-2</v>
          </cell>
          <cell r="L649">
            <v>2.32290763400997E-4</v>
          </cell>
          <cell r="M649">
            <v>2.32557715837895E-4</v>
          </cell>
          <cell r="N649">
            <v>2.32770356861604E-4</v>
          </cell>
          <cell r="O649">
            <v>2.3233134096421599E-4</v>
          </cell>
        </row>
        <row r="650">
          <cell r="A650" t="str">
            <v>ITOT-SWHCONBR6</v>
          </cell>
          <cell r="B650" t="str">
            <v>VAR_fout</v>
          </cell>
          <cell r="C650" t="str">
            <v>ITOT-SWHC</v>
          </cell>
          <cell r="I650">
            <v>2.9081342081016381E-3</v>
          </cell>
          <cell r="J650">
            <v>2.9972292638547017E-3</v>
          </cell>
          <cell r="K650">
            <v>6.2249494854361119E-3</v>
          </cell>
          <cell r="L650">
            <v>4.0055073488644488E-3</v>
          </cell>
          <cell r="M650">
            <v>5.8683946879721878E-3</v>
          </cell>
          <cell r="N650">
            <v>5.1827384530862925E-3</v>
          </cell>
          <cell r="O650">
            <v>1.18444991057623E-2</v>
          </cell>
        </row>
        <row r="651">
          <cell r="A651" t="str">
            <v>ITOT-SWHCONBR6</v>
          </cell>
          <cell r="B651" t="str">
            <v>VAR_fin</v>
          </cell>
          <cell r="C651" t="str">
            <v>CON</v>
          </cell>
          <cell r="I651">
            <v>2.9081342081016381E-3</v>
          </cell>
          <cell r="J651">
            <v>2.9972292638547017E-3</v>
          </cell>
          <cell r="K651">
            <v>6.2249494854361119E-3</v>
          </cell>
          <cell r="L651">
            <v>4.0055073488644488E-3</v>
          </cell>
          <cell r="M651">
            <v>5.8683946879721878E-3</v>
          </cell>
          <cell r="N651">
            <v>5.1827384530862925E-3</v>
          </cell>
          <cell r="O651">
            <v>1.18444991057623E-2</v>
          </cell>
        </row>
        <row r="652">
          <cell r="A652" t="str">
            <v>ITOT-SWHCONBR6</v>
          </cell>
          <cell r="B652" t="str">
            <v>VAR_ncap</v>
          </cell>
          <cell r="C652" t="str">
            <v>-</v>
          </cell>
          <cell r="I652">
            <v>1.5685661982540601E-4</v>
          </cell>
          <cell r="J652">
            <v>4.9592002437432697E-6</v>
          </cell>
          <cell r="K652">
            <v>1.7572241984907199E-4</v>
          </cell>
          <cell r="L652">
            <v>1.25682608132787E-5</v>
          </cell>
          <cell r="M652">
            <v>1.2975266314145301E-4</v>
          </cell>
          <cell r="N652">
            <v>1.1125778854834301E-4</v>
          </cell>
          <cell r="O652">
            <v>4.0220439631749599E-4</v>
          </cell>
        </row>
        <row r="653">
          <cell r="A653" t="str">
            <v>ITOT-SWHCONBR6</v>
          </cell>
          <cell r="B653" t="str">
            <v>VAR_cap</v>
          </cell>
          <cell r="C653" t="str">
            <v>-</v>
          </cell>
          <cell r="I653">
            <v>1.5685661982540601E-4</v>
          </cell>
          <cell r="J653">
            <v>1.6181582006915001E-4</v>
          </cell>
          <cell r="K653">
            <v>3.37538239918221E-4</v>
          </cell>
          <cell r="L653">
            <v>2.16694468826943E-4</v>
          </cell>
          <cell r="M653">
            <v>3.1804334380380401E-4</v>
          </cell>
          <cell r="N653">
            <v>2.8071869472520602E-4</v>
          </cell>
          <cell r="O653">
            <v>6.4321484800729299E-4</v>
          </cell>
        </row>
        <row r="654">
          <cell r="A654" t="str">
            <v>RHNM-SHNGAHP</v>
          </cell>
          <cell r="B654" t="str">
            <v>VAR_fout</v>
          </cell>
          <cell r="C654" t="str">
            <v>CO2_R</v>
          </cell>
          <cell r="F654">
            <v>0.35735526113879101</v>
          </cell>
          <cell r="G654">
            <v>0.35807791410689399</v>
          </cell>
          <cell r="H654">
            <v>5.1372390219212596</v>
          </cell>
          <cell r="I654">
            <v>4.6625202076661596</v>
          </cell>
          <cell r="J654">
            <v>4.4380918668433296</v>
          </cell>
          <cell r="K654">
            <v>0.17095022852580199</v>
          </cell>
          <cell r="L654">
            <v>0.23004653369233199</v>
          </cell>
          <cell r="M654">
            <v>0.36851023876275502</v>
          </cell>
          <cell r="N654">
            <v>0.36781722679309198</v>
          </cell>
          <cell r="O654">
            <v>0.36778872794956602</v>
          </cell>
        </row>
        <row r="655">
          <cell r="A655" t="str">
            <v>RHNM-SHNGAHP</v>
          </cell>
          <cell r="B655" t="str">
            <v>VAR_fout</v>
          </cell>
          <cell r="C655" t="str">
            <v>RHNM-SHANGAH</v>
          </cell>
          <cell r="F655">
            <v>1.2672172380808183E-2</v>
          </cell>
          <cell r="G655">
            <v>1.3205710307488308E-2</v>
          </cell>
          <cell r="H655">
            <v>0.19583446626118309</v>
          </cell>
          <cell r="I655">
            <v>0.18352473157834862</v>
          </cell>
          <cell r="J655">
            <v>0.1794122244043049</v>
          </cell>
          <cell r="K655">
            <v>7.092615864368366E-3</v>
          </cell>
          <cell r="L655">
            <v>9.5444838446818673E-3</v>
          </cell>
          <cell r="M655">
            <v>1.5289254586965347E-2</v>
          </cell>
          <cell r="N655">
            <v>1.5260501962692095E-2</v>
          </cell>
          <cell r="O655">
            <v>1.5259319563864974E-2</v>
          </cell>
        </row>
        <row r="656">
          <cell r="A656" t="str">
            <v>RHNM-SHNGAHP</v>
          </cell>
          <cell r="B656" t="str">
            <v>VAR_fin</v>
          </cell>
          <cell r="C656" t="str">
            <v>RNGA</v>
          </cell>
          <cell r="F656">
            <v>6.3360861904040913E-3</v>
          </cell>
          <cell r="G656">
            <v>6.3488991862924527E-3</v>
          </cell>
          <cell r="H656">
            <v>9.108579826101533E-2</v>
          </cell>
          <cell r="I656">
            <v>8.266879800826521E-2</v>
          </cell>
          <cell r="J656">
            <v>7.8689572107151301E-2</v>
          </cell>
          <cell r="K656">
            <v>3.0310324206702425E-3</v>
          </cell>
          <cell r="L656">
            <v>4.078839249864046E-3</v>
          </cell>
          <cell r="M656">
            <v>6.5338694816091253E-3</v>
          </cell>
          <cell r="N656">
            <v>6.5215820353385001E-3</v>
          </cell>
          <cell r="O656">
            <v>6.5210767366944301E-3</v>
          </cell>
        </row>
        <row r="657">
          <cell r="A657" t="str">
            <v>RHNM-SHNGAHP</v>
          </cell>
          <cell r="B657" t="str">
            <v>VAR_fin</v>
          </cell>
          <cell r="C657" t="str">
            <v>RHNMELCHPC</v>
          </cell>
          <cell r="F657">
            <v>1.2672172380808183E-2</v>
          </cell>
          <cell r="G657">
            <v>1.3205710307488308E-2</v>
          </cell>
          <cell r="H657">
            <v>0.19583446626118309</v>
          </cell>
          <cell r="I657">
            <v>0.18352473157834862</v>
          </cell>
          <cell r="J657">
            <v>0.1794122244043049</v>
          </cell>
          <cell r="K657">
            <v>7.092615864368366E-3</v>
          </cell>
          <cell r="L657">
            <v>9.5444838446818673E-3</v>
          </cell>
          <cell r="M657">
            <v>1.5289254586965347E-2</v>
          </cell>
          <cell r="N657">
            <v>1.5260501962692095E-2</v>
          </cell>
          <cell r="O657">
            <v>1.5259319563864974E-2</v>
          </cell>
        </row>
        <row r="658">
          <cell r="A658" t="str">
            <v>RHNM-SHNGAHP</v>
          </cell>
          <cell r="B658" t="str">
            <v>VAR_ncap</v>
          </cell>
          <cell r="C658" t="str">
            <v>-</v>
          </cell>
          <cell r="E658">
            <v>7.00308501100789E-6</v>
          </cell>
          <cell r="F658">
            <v>1.1092339506320499E-3</v>
          </cell>
          <cell r="G658">
            <v>6.9778316763197901E-6</v>
          </cell>
          <cell r="H658">
            <v>1.4227664887902201E-2</v>
          </cell>
          <cell r="I658">
            <v>2.1159492384736999E-5</v>
          </cell>
          <cell r="J658">
            <v>1.22174559715915E-5</v>
          </cell>
          <cell r="K658">
            <v>9.04901395767616E-4</v>
          </cell>
          <cell r="L658">
            <v>1.06274490365578E-4</v>
          </cell>
          <cell r="M658">
            <v>6.8000113747404502E-4</v>
          </cell>
          <cell r="N658">
            <v>6.5220179651169605E-4</v>
          </cell>
          <cell r="O658">
            <v>6.3408479158147499E-4</v>
          </cell>
        </row>
        <row r="659">
          <cell r="A659" t="str">
            <v>RHNM-SHNGAHP</v>
          </cell>
          <cell r="B659" t="str">
            <v>VAR_cap</v>
          </cell>
          <cell r="C659" t="str">
            <v>-</v>
          </cell>
          <cell r="E659">
            <v>7.00308501100789E-6</v>
          </cell>
          <cell r="F659">
            <v>1.1157810316407531E-3</v>
          </cell>
          <cell r="G659">
            <v>1.1220450609057255E-3</v>
          </cell>
          <cell r="H659">
            <v>1.5344971164770536E-2</v>
          </cell>
          <cell r="I659">
            <v>1.4483855174179622E-2</v>
          </cell>
          <cell r="J659">
            <v>1.4257694324822346E-2</v>
          </cell>
          <cell r="K659">
            <v>9.3424526636023486E-4</v>
          </cell>
          <cell r="L659">
            <v>1.0206808676099081E-3</v>
          </cell>
          <cell r="M659">
            <v>1.6877648957458371E-3</v>
          </cell>
          <cell r="N659">
            <v>1.5601546731750392E-3</v>
          </cell>
          <cell r="O659">
            <v>1.9624002772899996E-3</v>
          </cell>
        </row>
        <row r="660">
          <cell r="A660" t="str">
            <v>D-SCOM_KEV_WOD_ELC_CHP</v>
          </cell>
          <cell r="B660" t="str">
            <v>VAR_fout</v>
          </cell>
          <cell r="C660" t="str">
            <v>ELC5</v>
          </cell>
          <cell r="G660">
            <v>1.5563914507105803E-3</v>
          </cell>
          <cell r="H660">
            <v>1.9286363836712752E-3</v>
          </cell>
          <cell r="I660">
            <v>4.552077589645695E-3</v>
          </cell>
          <cell r="J660">
            <v>3.8450211874560001E-3</v>
          </cell>
          <cell r="K660">
            <v>5.5634344489532937E-3</v>
          </cell>
          <cell r="L660">
            <v>4.0788633790513141E-3</v>
          </cell>
          <cell r="M660">
            <v>2.8099755462862629E-3</v>
          </cell>
          <cell r="N660">
            <v>5.5409167986419459E-3</v>
          </cell>
          <cell r="O660">
            <v>5.5731589448888719E-3</v>
          </cell>
        </row>
        <row r="661">
          <cell r="A661" t="str">
            <v>D-SCOM_KEV_WOD_ELC_CHP</v>
          </cell>
          <cell r="B661" t="str">
            <v>VAR_fout</v>
          </cell>
          <cell r="C661" t="str">
            <v>SCOM_ELC</v>
          </cell>
          <cell r="G661">
            <v>6.7113019152842239E-4</v>
          </cell>
          <cell r="H661">
            <v>1.9271920306908521E-3</v>
          </cell>
          <cell r="I661">
            <v>4.5503887713662155E-3</v>
          </cell>
          <cell r="J661">
            <v>3.8403112777972963E-3</v>
          </cell>
          <cell r="K661">
            <v>5.5619935477993297E-3</v>
          </cell>
          <cell r="L661">
            <v>4.0801034795374782E-3</v>
          </cell>
          <cell r="M661">
            <v>2.8099968762622688E-3</v>
          </cell>
          <cell r="N661">
            <v>5.541295837750009E-3</v>
          </cell>
          <cell r="O661">
            <v>5.574231284666469E-3</v>
          </cell>
        </row>
        <row r="662">
          <cell r="A662" t="str">
            <v>D-SCOM_KEV_WOD_ELC_CHP</v>
          </cell>
          <cell r="B662" t="str">
            <v>VAR_fin</v>
          </cell>
          <cell r="C662" t="str">
            <v>SCOM_KEV_WOD_ELC_CHP</v>
          </cell>
          <cell r="G662">
            <v>2.1990996642316089E-3</v>
          </cell>
          <cell r="H662">
            <v>3.8274064363547338E-3</v>
          </cell>
          <cell r="I662">
            <v>9.0742565981943041E-3</v>
          </cell>
          <cell r="J662">
            <v>7.6853324652532929E-3</v>
          </cell>
          <cell r="K662">
            <v>1.1096880168741769E-2</v>
          </cell>
          <cell r="L662">
            <v>8.136402504409836E-3</v>
          </cell>
          <cell r="M662">
            <v>5.5924162724526189E-3</v>
          </cell>
          <cell r="N662">
            <v>1.1055358246034397E-2</v>
          </cell>
          <cell r="O662">
            <v>1.1123225591817103E-2</v>
          </cell>
        </row>
        <row r="663">
          <cell r="A663" t="str">
            <v>RHES-SHCONBR5</v>
          </cell>
          <cell r="B663" t="str">
            <v>VAR_fout</v>
          </cell>
          <cell r="C663" t="str">
            <v>RHES-SHCON</v>
          </cell>
          <cell r="E663">
            <v>1.7509103681652104E-3</v>
          </cell>
          <cell r="F663">
            <v>1.7502953656197264E-3</v>
          </cell>
          <cell r="G663">
            <v>1.7520465106659307E-3</v>
          </cell>
          <cell r="H663">
            <v>1.7533822332312227E-3</v>
          </cell>
          <cell r="I663">
            <v>1.7581850805799167E-3</v>
          </cell>
          <cell r="J663">
            <v>1.7579574987553292E-3</v>
          </cell>
          <cell r="K663">
            <v>1.2472077802421482E-3</v>
          </cell>
          <cell r="L663">
            <v>1.2262667923360554E-3</v>
          </cell>
          <cell r="M663">
            <v>1.2339424991581747E-3</v>
          </cell>
          <cell r="N663">
            <v>1.2390132260056855E-3</v>
          </cell>
          <cell r="O663">
            <v>1.232401925276244E-3</v>
          </cell>
        </row>
        <row r="664">
          <cell r="A664" t="str">
            <v>RHES-SHCONBR5</v>
          </cell>
          <cell r="B664" t="str">
            <v>VAR_fin</v>
          </cell>
          <cell r="C664" t="str">
            <v>CON</v>
          </cell>
          <cell r="E664">
            <v>1.7509103681652104E-3</v>
          </cell>
          <cell r="F664">
            <v>1.7502953656197264E-3</v>
          </cell>
          <cell r="G664">
            <v>1.7520465106659307E-3</v>
          </cell>
          <cell r="H664">
            <v>1.7533822332312227E-3</v>
          </cell>
          <cell r="I664">
            <v>1.7581850805799167E-3</v>
          </cell>
          <cell r="J664">
            <v>1.7579574987553292E-3</v>
          </cell>
          <cell r="K664">
            <v>1.2472077802421482E-3</v>
          </cell>
          <cell r="L664">
            <v>1.2262667923360554E-3</v>
          </cell>
          <cell r="M664">
            <v>1.2339424991581747E-3</v>
          </cell>
          <cell r="N664">
            <v>1.2390132260056855E-3</v>
          </cell>
          <cell r="O664">
            <v>1.232401925276244E-3</v>
          </cell>
        </row>
        <row r="665">
          <cell r="A665" t="str">
            <v>RHES-SHCONBR5</v>
          </cell>
          <cell r="B665" t="str">
            <v>VAR_ncap</v>
          </cell>
          <cell r="C665" t="str">
            <v>-</v>
          </cell>
          <cell r="E665">
            <v>1.3928881563211699E-4</v>
          </cell>
          <cell r="F665">
            <v>1.8585444667450001E-7</v>
          </cell>
          <cell r="G665">
            <v>2.2556986677306401E-7</v>
          </cell>
          <cell r="H665">
            <v>2.03369760960731E-7</v>
          </cell>
          <cell r="I665">
            <v>4.7588013468879502E-7</v>
          </cell>
          <cell r="J665">
            <v>8.6180043371377604E-8</v>
          </cell>
          <cell r="K665">
            <v>4.0428968913943198E-6</v>
          </cell>
          <cell r="L665">
            <v>9.2460488872351406E-5</v>
          </cell>
          <cell r="M665">
            <v>8.4491397825409902E-7</v>
          </cell>
          <cell r="N665">
            <v>6.4145381858741099E-7</v>
          </cell>
          <cell r="O665">
            <v>8.0914312123309004E-8</v>
          </cell>
        </row>
        <row r="666">
          <cell r="A666" t="str">
            <v>RHES-SHCONBR5</v>
          </cell>
          <cell r="B666" t="str">
            <v>VAR_cap</v>
          </cell>
          <cell r="C666" t="str">
            <v>-</v>
          </cell>
          <cell r="E666">
            <v>1.3928881563211699E-4</v>
          </cell>
          <cell r="F666">
            <v>1.3947467007879101E-4</v>
          </cell>
          <cell r="G666">
            <v>1.39700239945564E-4</v>
          </cell>
          <cell r="H666">
            <v>1.3990360970652499E-4</v>
          </cell>
          <cell r="I666">
            <v>1.40379489841214E-4</v>
          </cell>
          <cell r="J666">
            <v>1.40465669884585E-4</v>
          </cell>
          <cell r="K666">
            <v>9.9220596134673704E-5</v>
          </cell>
          <cell r="L666">
            <v>9.7490282510418694E-5</v>
          </cell>
          <cell r="M666">
            <v>9.8113729681020807E-5</v>
          </cell>
          <cell r="N666">
            <v>9.8513335961148099E-5</v>
          </cell>
          <cell r="O666">
            <v>9.8156847916082006E-5</v>
          </cell>
        </row>
        <row r="667">
          <cell r="A667" t="str">
            <v>RHNS-SHCONBR</v>
          </cell>
          <cell r="B667" t="str">
            <v>VAR_fout</v>
          </cell>
          <cell r="C667" t="str">
            <v>RHNS-SHCON</v>
          </cell>
          <cell r="F667">
            <v>3.8214269673711746E-4</v>
          </cell>
          <cell r="G667">
            <v>3.8687262521076463E-4</v>
          </cell>
          <cell r="H667">
            <v>5.7416211359030678E-4</v>
          </cell>
          <cell r="I667">
            <v>5.9694217504220864E-4</v>
          </cell>
          <cell r="J667">
            <v>6.0366728738425572E-4</v>
          </cell>
          <cell r="K667">
            <v>1.0852539539139025E-3</v>
          </cell>
          <cell r="L667">
            <v>1.2243112289716527E-3</v>
          </cell>
          <cell r="M667">
            <v>1.4829816700259915E-3</v>
          </cell>
          <cell r="N667">
            <v>4.613738815138186E-2</v>
          </cell>
          <cell r="O667">
            <v>1.9818895646851036</v>
          </cell>
        </row>
        <row r="668">
          <cell r="A668" t="str">
            <v>RHNS-SHCONBR</v>
          </cell>
          <cell r="B668" t="str">
            <v>VAR_fin</v>
          </cell>
          <cell r="C668" t="str">
            <v>CON</v>
          </cell>
          <cell r="F668">
            <v>3.8214269673711746E-4</v>
          </cell>
          <cell r="G668">
            <v>3.8687262521076463E-4</v>
          </cell>
          <cell r="H668">
            <v>5.7416211359030678E-4</v>
          </cell>
          <cell r="I668">
            <v>5.9694217504220864E-4</v>
          </cell>
          <cell r="J668">
            <v>6.0366728738425572E-4</v>
          </cell>
          <cell r="K668">
            <v>1.0852539539139025E-3</v>
          </cell>
          <cell r="L668">
            <v>1.2243112289716527E-3</v>
          </cell>
          <cell r="M668">
            <v>1.4829816700259915E-3</v>
          </cell>
          <cell r="N668">
            <v>4.613738815138186E-2</v>
          </cell>
          <cell r="O668">
            <v>1.9818895646851036</v>
          </cell>
        </row>
        <row r="669">
          <cell r="A669" t="str">
            <v>RHNS-SHCONBR</v>
          </cell>
          <cell r="B669" t="str">
            <v>VAR_ncap</v>
          </cell>
          <cell r="C669" t="str">
            <v>-</v>
          </cell>
          <cell r="E669">
            <v>1.56543006995667E-7</v>
          </cell>
          <cell r="F669">
            <v>3.2231921242057103E-5</v>
          </cell>
          <cell r="G669">
            <v>4.3588125424225498E-7</v>
          </cell>
          <cell r="H669">
            <v>1.60406767110497E-5</v>
          </cell>
          <cell r="I669">
            <v>8.2264560952501498E-7</v>
          </cell>
          <cell r="J669">
            <v>5.1239199414968695E-7</v>
          </cell>
          <cell r="K669">
            <v>3.6501842836516401E-5</v>
          </cell>
          <cell r="L669">
            <v>2.04252198304551E-5</v>
          </cell>
          <cell r="M669">
            <v>2.1603058689187499E-5</v>
          </cell>
          <cell r="N669">
            <v>4.9202773475790097E-3</v>
          </cell>
          <cell r="O669">
            <v>0.31386884711489799</v>
          </cell>
        </row>
        <row r="670">
          <cell r="A670" t="str">
            <v>RHNS-SHCONBR</v>
          </cell>
          <cell r="B670" t="str">
            <v>VAR_cap</v>
          </cell>
          <cell r="C670" t="str">
            <v>-</v>
          </cell>
          <cell r="E670">
            <v>1.56543006995667E-7</v>
          </cell>
          <cell r="F670">
            <v>3.2334073279874037E-5</v>
          </cell>
          <cell r="G670">
            <v>3.269705885900811E-5</v>
          </cell>
          <cell r="H670">
            <v>4.8640237353530509E-5</v>
          </cell>
          <cell r="I670">
            <v>4.9310935126609882E-5</v>
          </cell>
          <cell r="J670">
            <v>4.96422137053424E-5</v>
          </cell>
          <cell r="K670">
            <v>8.5956299096485468E-5</v>
          </cell>
          <cell r="L670">
            <v>1.0634932919346241E-4</v>
          </cell>
          <cell r="M670">
            <v>1.2778932669067875E-4</v>
          </cell>
          <cell r="N670">
            <v>5.0481425140953906E-3</v>
          </cell>
          <cell r="O670">
            <v>0.31891730010226255</v>
          </cell>
        </row>
        <row r="671">
          <cell r="A671" t="str">
            <v>D-RHEM_SOLELC</v>
          </cell>
          <cell r="B671" t="str">
            <v>VAR_fout</v>
          </cell>
          <cell r="C671" t="str">
            <v>ELC5</v>
          </cell>
          <cell r="D671">
            <v>0.32446745185703951</v>
          </cell>
          <cell r="E671">
            <v>0.66697697490065611</v>
          </cell>
          <cell r="F671">
            <v>1.5831934719858622</v>
          </cell>
          <cell r="G671">
            <v>3.8474159497752978</v>
          </cell>
          <cell r="H671">
            <v>9.0004751873520537</v>
          </cell>
          <cell r="I671">
            <v>9.4322334739800926</v>
          </cell>
          <cell r="J671">
            <v>9.5035619778976201</v>
          </cell>
          <cell r="K671">
            <v>9.7225789624909691</v>
          </cell>
          <cell r="L671">
            <v>10.149649942235621</v>
          </cell>
          <cell r="M671">
            <v>10.779180854615356</v>
          </cell>
          <cell r="N671">
            <v>11.701836685278131</v>
          </cell>
          <cell r="O671">
            <v>12.423739108666467</v>
          </cell>
        </row>
        <row r="672">
          <cell r="A672" t="str">
            <v>D-RHEM_SOLELC</v>
          </cell>
          <cell r="B672" t="str">
            <v>VAR_fout</v>
          </cell>
          <cell r="C672" t="str">
            <v>RHEM_ELC</v>
          </cell>
          <cell r="D672">
            <v>0.53801577392880873</v>
          </cell>
          <cell r="E672">
            <v>0.62063805419726525</v>
          </cell>
          <cell r="F672">
            <v>1.3449728182266243</v>
          </cell>
          <cell r="G672">
            <v>2.9320392362901262</v>
          </cell>
          <cell r="H672">
            <v>5.9667225640951846</v>
          </cell>
          <cell r="I672">
            <v>9.3910753916038807</v>
          </cell>
          <cell r="J672">
            <v>10.10012536201295</v>
          </cell>
          <cell r="K672">
            <v>11.212409427059322</v>
          </cell>
          <cell r="L672">
            <v>11.289271867577781</v>
          </cell>
          <cell r="M672">
            <v>11.80831806293973</v>
          </cell>
          <cell r="N672">
            <v>12.085552389067329</v>
          </cell>
          <cell r="O672">
            <v>12.587561650500845</v>
          </cell>
        </row>
        <row r="673">
          <cell r="A673" t="str">
            <v>D-RHEM_SOLELC</v>
          </cell>
          <cell r="B673" t="str">
            <v>VAR_fin</v>
          </cell>
          <cell r="C673" t="str">
            <v>RHEM_SOL_ELC</v>
          </cell>
          <cell r="D673">
            <v>0.86248322578584768</v>
          </cell>
          <cell r="E673">
            <v>1.287582754433851</v>
          </cell>
          <cell r="F673">
            <v>2.928166290212487</v>
          </cell>
          <cell r="G673">
            <v>6.7794551860654266</v>
          </cell>
          <cell r="H673">
            <v>14.967197751447252</v>
          </cell>
          <cell r="I673">
            <v>18.823308865583975</v>
          </cell>
          <cell r="J673">
            <v>19.603687339910568</v>
          </cell>
          <cell r="K673">
            <v>20.934988389550274</v>
          </cell>
          <cell r="L673">
            <v>21.438921809813401</v>
          </cell>
          <cell r="M673">
            <v>22.587498917555088</v>
          </cell>
          <cell r="N673">
            <v>23.787389074345452</v>
          </cell>
          <cell r="O673">
            <v>25.011300759167337</v>
          </cell>
        </row>
        <row r="674">
          <cell r="A674" t="str">
            <v>ITOT-SWHCONBR7</v>
          </cell>
          <cell r="B674" t="str">
            <v>VAR_fout</v>
          </cell>
          <cell r="C674" t="str">
            <v>ITOT-ELS</v>
          </cell>
          <cell r="I674">
            <v>5.0703086534536453E-3</v>
          </cell>
          <cell r="J674">
            <v>0.26314385308404464</v>
          </cell>
          <cell r="K674">
            <v>0.26314912637675553</v>
          </cell>
          <cell r="L674">
            <v>0.26138167452059474</v>
          </cell>
          <cell r="M674">
            <v>0.26445347033559025</v>
          </cell>
          <cell r="N674">
            <v>0.26178010052005929</v>
          </cell>
          <cell r="O674">
            <v>0.26093573864015046</v>
          </cell>
        </row>
        <row r="675">
          <cell r="A675" t="str">
            <v>ITOT-SWHCONBR7</v>
          </cell>
          <cell r="B675" t="str">
            <v>VAR_fout</v>
          </cell>
          <cell r="C675" t="str">
            <v>ITOT-SWHC</v>
          </cell>
          <cell r="I675">
            <v>8.8414851349766601E-4</v>
          </cell>
          <cell r="J675">
            <v>4.5886407010316925E-2</v>
          </cell>
          <cell r="K675">
            <v>4.5887326554713649E-2</v>
          </cell>
          <cell r="L675">
            <v>4.5579122451549471E-2</v>
          </cell>
          <cell r="M675">
            <v>4.6114774990521905E-2</v>
          </cell>
          <cell r="N675">
            <v>4.5648599041485556E-2</v>
          </cell>
          <cell r="O675">
            <v>4.5501361200162585E-2</v>
          </cell>
        </row>
        <row r="676">
          <cell r="A676" t="str">
            <v>ITOT-SWHCONBR7</v>
          </cell>
          <cell r="B676" t="str">
            <v>VAR_fin</v>
          </cell>
          <cell r="C676" t="str">
            <v>CON</v>
          </cell>
          <cell r="I676">
            <v>5.954457166951312E-3</v>
          </cell>
          <cell r="J676">
            <v>0.30903026009436158</v>
          </cell>
          <cell r="K676">
            <v>0.30903645293146909</v>
          </cell>
          <cell r="L676">
            <v>0.3069607969721444</v>
          </cell>
          <cell r="M676">
            <v>0.31056824532611194</v>
          </cell>
          <cell r="N676">
            <v>0.30742869956154467</v>
          </cell>
          <cell r="O676">
            <v>0.30643709984031281</v>
          </cell>
        </row>
        <row r="677">
          <cell r="A677" t="str">
            <v>ITOT-SWHCONBR7</v>
          </cell>
          <cell r="B677" t="str">
            <v>VAR_ncap</v>
          </cell>
          <cell r="C677" t="str">
            <v>-</v>
          </cell>
          <cell r="I677">
            <v>3.2180930472811698E-4</v>
          </cell>
          <cell r="J677">
            <v>1.6488469709543801E-2</v>
          </cell>
          <cell r="K677">
            <v>1.95837674966538E-6</v>
          </cell>
          <cell r="L677">
            <v>2.3416911910950499E-3</v>
          </cell>
          <cell r="M677">
            <v>1.4551789768414401E-2</v>
          </cell>
          <cell r="N677">
            <v>5.7268077564600597E-4</v>
          </cell>
          <cell r="O677">
            <v>1.5457025514305999E-3</v>
          </cell>
        </row>
        <row r="678">
          <cell r="A678" t="str">
            <v>ITOT-SWHCONBR7</v>
          </cell>
          <cell r="B678" t="str">
            <v>VAR_cap</v>
          </cell>
          <cell r="C678" t="str">
            <v>-</v>
          </cell>
          <cell r="I678">
            <v>3.2180930472811698E-4</v>
          </cell>
          <cell r="J678">
            <v>1.6810279014271901E-2</v>
          </cell>
          <cell r="K678">
            <v>1.6812237391021601E-2</v>
          </cell>
          <cell r="L678">
            <v>1.6696919729745401E-2</v>
          </cell>
          <cell r="M678">
            <v>1.6895439336259099E-2</v>
          </cell>
          <cell r="N678">
            <v>1.6724160440476199E-2</v>
          </cell>
          <cell r="O678">
            <v>1.6670173095491E-2</v>
          </cell>
        </row>
        <row r="679">
          <cell r="A679" t="str">
            <v>RHNS-SHSTG-ELCHP</v>
          </cell>
          <cell r="B679" t="str">
            <v>VAR_fout</v>
          </cell>
          <cell r="C679" t="str">
            <v>RHNS-SHAELCH</v>
          </cell>
          <cell r="E679">
            <v>2.0744591450471146E-2</v>
          </cell>
          <cell r="F679">
            <v>7.4948090705552112E-2</v>
          </cell>
          <cell r="G679">
            <v>0.16955254747971429</v>
          </cell>
          <cell r="H679">
            <v>0.22994787155317212</v>
          </cell>
          <cell r="I679">
            <v>0.32515555915654021</v>
          </cell>
          <cell r="J679">
            <v>0.42644186419519142</v>
          </cell>
          <cell r="K679">
            <v>0.51915214426493028</v>
          </cell>
          <cell r="L679">
            <v>0.50454085093285606</v>
          </cell>
          <cell r="M679">
            <v>0.50539226731554399</v>
          </cell>
          <cell r="N679">
            <v>0.49588217447188315</v>
          </cell>
          <cell r="O679">
            <v>0.48826866720649659</v>
          </cell>
        </row>
        <row r="680">
          <cell r="A680" t="str">
            <v>RHNS-SHSTG-ELCHP</v>
          </cell>
          <cell r="B680" t="str">
            <v>VAR_fin</v>
          </cell>
          <cell r="C680" t="str">
            <v>RHNS-SHAELCH</v>
          </cell>
          <cell r="E680">
            <v>2.0747149817723264E-2</v>
          </cell>
          <cell r="F680">
            <v>7.4969872280379005E-2</v>
          </cell>
          <cell r="G680">
            <v>0.16957999230007417</v>
          </cell>
          <cell r="H680">
            <v>0.22997755637846909</v>
          </cell>
          <cell r="I680">
            <v>0.32518998813225997</v>
          </cell>
          <cell r="J680">
            <v>0.42648001942122771</v>
          </cell>
          <cell r="K680">
            <v>0.51919592575186435</v>
          </cell>
          <cell r="L680">
            <v>0.50458389432850748</v>
          </cell>
          <cell r="M680">
            <v>0.50543568446411902</v>
          </cell>
          <cell r="N680">
            <v>0.49592574565079317</v>
          </cell>
          <cell r="O680">
            <v>0.48836076514328247</v>
          </cell>
        </row>
        <row r="681">
          <cell r="A681" t="str">
            <v>RHNS-SHSTG-ELCHP</v>
          </cell>
          <cell r="B681" t="str">
            <v>VAR_ncap</v>
          </cell>
          <cell r="C681" t="str">
            <v>-</v>
          </cell>
          <cell r="D681">
            <v>1.9219442705249501E-4</v>
          </cell>
          <cell r="E681">
            <v>2.97219662186598E-3</v>
          </cell>
          <cell r="F681">
            <v>6.4061294793812604E-3</v>
          </cell>
          <cell r="G681">
            <v>1.1216764650315099E-2</v>
          </cell>
          <cell r="H681">
            <v>6.3266250952464598E-3</v>
          </cell>
          <cell r="I681">
            <v>1.8638338043247701E-2</v>
          </cell>
          <cell r="J681">
            <v>1.9235627459758101E-2</v>
          </cell>
          <cell r="K681">
            <v>1.7661049697447501E-2</v>
          </cell>
          <cell r="L681">
            <v>1.8349699570031401E-2</v>
          </cell>
          <cell r="M681">
            <v>1.9610728254393601E-2</v>
          </cell>
          <cell r="N681">
            <v>2.05418608513597E-2</v>
          </cell>
          <cell r="O681">
            <v>1.5591758389596901E-2</v>
          </cell>
        </row>
        <row r="682">
          <cell r="A682" t="str">
            <v>RHNS-SHSTG-ELCHP</v>
          </cell>
          <cell r="B682" t="str">
            <v>VAR_cap</v>
          </cell>
          <cell r="C682" t="str">
            <v>-</v>
          </cell>
          <cell r="D682">
            <v>1.9219442705249501E-4</v>
          </cell>
          <cell r="E682">
            <v>3.1411509109061718E-3</v>
          </cell>
          <cell r="F682">
            <v>9.5162212981133535E-3</v>
          </cell>
          <cell r="G682">
            <v>2.0679721630551953E-2</v>
          </cell>
          <cell r="H682">
            <v>2.5276574543518966E-2</v>
          </cell>
          <cell r="I682">
            <v>3.5175838398880624E-2</v>
          </cell>
          <cell r="J682">
            <v>4.4044084130560636E-2</v>
          </cell>
          <cell r="K682">
            <v>5.5105798238748949E-2</v>
          </cell>
          <cell r="L682">
            <v>5.4908697523087545E-2</v>
          </cell>
          <cell r="M682">
            <v>5.4925608187807097E-2</v>
          </cell>
          <cell r="N682">
            <v>5.4920285400521449E-2</v>
          </cell>
          <cell r="O682">
            <v>5.4977274155704164E-2</v>
          </cell>
        </row>
        <row r="683">
          <cell r="A683" t="str">
            <v>RHNS-SHSOLBR</v>
          </cell>
          <cell r="B683" t="str">
            <v>VAR_fout</v>
          </cell>
          <cell r="C683" t="str">
            <v>RHNS-SHASOL</v>
          </cell>
          <cell r="E683">
            <v>1.3415898330102597E-2</v>
          </cell>
          <cell r="F683">
            <v>1.8299805305304607E-2</v>
          </cell>
          <cell r="G683">
            <v>1.0797939289430875E-2</v>
          </cell>
          <cell r="H683">
            <v>2.1731148840153761E-2</v>
          </cell>
          <cell r="I683">
            <v>2.2440234073504504E-2</v>
          </cell>
          <cell r="J683">
            <v>2.6738991049434491E-2</v>
          </cell>
          <cell r="K683">
            <v>3.5822321084521491E-2</v>
          </cell>
          <cell r="L683">
            <v>3.1857531188500508E-3</v>
          </cell>
          <cell r="M683">
            <v>2.2886628681140094E-3</v>
          </cell>
          <cell r="N683">
            <v>1.0130081695312195E-3</v>
          </cell>
          <cell r="O683">
            <v>4.1302806326899743E-3</v>
          </cell>
        </row>
        <row r="684">
          <cell r="A684" t="str">
            <v>RHNS-SHSOLBR</v>
          </cell>
          <cell r="B684" t="str">
            <v>VAR_fin</v>
          </cell>
          <cell r="C684" t="str">
            <v>SOL</v>
          </cell>
          <cell r="E684">
            <v>1.3415898330102597E-2</v>
          </cell>
          <cell r="F684">
            <v>1.8299805305304607E-2</v>
          </cell>
          <cell r="G684">
            <v>1.0797939289430875E-2</v>
          </cell>
          <cell r="H684">
            <v>2.1731148840153761E-2</v>
          </cell>
          <cell r="I684">
            <v>2.2440234073504504E-2</v>
          </cell>
          <cell r="J684">
            <v>2.6738991049434491E-2</v>
          </cell>
          <cell r="K684">
            <v>3.5822321084521491E-2</v>
          </cell>
          <cell r="L684">
            <v>3.1857531188500508E-3</v>
          </cell>
          <cell r="M684">
            <v>2.2886628681140094E-3</v>
          </cell>
          <cell r="N684">
            <v>1.0130081695312195E-3</v>
          </cell>
          <cell r="O684">
            <v>4.1302806326899743E-3</v>
          </cell>
        </row>
        <row r="685">
          <cell r="A685" t="str">
            <v>RHNS-SHSOLBR</v>
          </cell>
          <cell r="B685" t="str">
            <v>VAR_ncap</v>
          </cell>
          <cell r="C685" t="str">
            <v>-</v>
          </cell>
          <cell r="E685">
            <v>2.4680710400274701E-3</v>
          </cell>
          <cell r="F685">
            <v>3.7421053615966998E-4</v>
          </cell>
          <cell r="G685">
            <v>4.0662325529441E-5</v>
          </cell>
          <cell r="H685">
            <v>1.7631602977446999E-3</v>
          </cell>
          <cell r="I685">
            <v>1.5705979338343E-3</v>
          </cell>
          <cell r="J685">
            <v>7.1475795783540702E-4</v>
          </cell>
          <cell r="K685">
            <v>3.0613751065142599E-3</v>
          </cell>
          <cell r="L685">
            <v>1.4248688802827E-3</v>
          </cell>
          <cell r="M685">
            <v>8.6510195090892296E-4</v>
          </cell>
          <cell r="N685">
            <v>2.97373955674207E-3</v>
          </cell>
          <cell r="O685">
            <v>1.54280400163839E-3</v>
          </cell>
        </row>
        <row r="686">
          <cell r="A686" t="str">
            <v>RHNS-SHSOLBR</v>
          </cell>
          <cell r="B686" t="str">
            <v>VAR_cap</v>
          </cell>
          <cell r="C686" t="str">
            <v>-</v>
          </cell>
          <cell r="E686">
            <v>2.4680710400274701E-3</v>
          </cell>
          <cell r="F686">
            <v>2.84228157618714E-3</v>
          </cell>
          <cell r="G686">
            <v>2.8829439017165901E-3</v>
          </cell>
          <cell r="H686">
            <v>3.4425340518917402E-3</v>
          </cell>
          <cell r="I686">
            <v>3.4452677440918499E-3</v>
          </cell>
          <cell r="J686">
            <v>4.0485161894144098E-3</v>
          </cell>
          <cell r="K686">
            <v>5.3467309981839696E-3</v>
          </cell>
          <cell r="L686">
            <v>5.3476285600080201E-3</v>
          </cell>
          <cell r="M686">
            <v>5.3513459377058804E-3</v>
          </cell>
          <cell r="N686">
            <v>5.3542440926279897E-3</v>
          </cell>
          <cell r="O686">
            <v>5.3816455092893798E-3</v>
          </cell>
        </row>
        <row r="687">
          <cell r="A687" t="str">
            <v>RHES-SHPLTBR</v>
          </cell>
          <cell r="B687" t="str">
            <v>VAR_fout</v>
          </cell>
          <cell r="C687" t="str">
            <v>RHES-SHPLT</v>
          </cell>
          <cell r="D687">
            <v>1.295782760918226</v>
          </cell>
          <cell r="E687">
            <v>1.4869105052117075</v>
          </cell>
          <cell r="F687">
            <v>1.4869104725476685</v>
          </cell>
          <cell r="G687">
            <v>1.4869114102388343</v>
          </cell>
          <cell r="H687">
            <v>1.4869127658191081</v>
          </cell>
          <cell r="I687">
            <v>1.4869141381378295</v>
          </cell>
          <cell r="J687">
            <v>1.4869149824842891</v>
          </cell>
          <cell r="K687">
            <v>1.4869161786638696</v>
          </cell>
          <cell r="L687">
            <v>1.4869170445176239</v>
          </cell>
          <cell r="M687">
            <v>1.4869197732488446</v>
          </cell>
          <cell r="N687">
            <v>1.4869258321834531</v>
          </cell>
          <cell r="O687">
            <v>1.4869459953110093</v>
          </cell>
        </row>
        <row r="688">
          <cell r="A688" t="str">
            <v>RHES-SHPLTBR</v>
          </cell>
          <cell r="B688" t="str">
            <v>VAR_fin</v>
          </cell>
          <cell r="C688" t="str">
            <v>RPLT</v>
          </cell>
          <cell r="D688">
            <v>1.4397586232424726</v>
          </cell>
          <cell r="E688">
            <v>1.6521227835685639</v>
          </cell>
          <cell r="F688">
            <v>1.6521227472751863</v>
          </cell>
          <cell r="G688">
            <v>1.6521237891542608</v>
          </cell>
          <cell r="H688">
            <v>1.6521252953545642</v>
          </cell>
          <cell r="I688">
            <v>1.6521268201531458</v>
          </cell>
          <cell r="J688">
            <v>1.6521277583158758</v>
          </cell>
          <cell r="K688">
            <v>1.6521290874042989</v>
          </cell>
          <cell r="L688">
            <v>1.6521300494640281</v>
          </cell>
          <cell r="M688">
            <v>1.6521330813876069</v>
          </cell>
          <cell r="N688">
            <v>1.6521398135371699</v>
          </cell>
          <cell r="O688">
            <v>1.6521622170122341</v>
          </cell>
        </row>
        <row r="689">
          <cell r="A689" t="str">
            <v>RHES-SHPLTBR</v>
          </cell>
          <cell r="B689" t="str">
            <v>VAR_ncap</v>
          </cell>
          <cell r="C689" t="str">
            <v>-</v>
          </cell>
          <cell r="E689">
            <v>1.5767380695198799E-2</v>
          </cell>
          <cell r="F689">
            <v>3.9957145721187604E-6</v>
          </cell>
          <cell r="G689">
            <v>2.9661114445717001E-6</v>
          </cell>
          <cell r="H689">
            <v>8.5171417033303304E-2</v>
          </cell>
          <cell r="I689">
            <v>3.5205354092413897E-2</v>
          </cell>
          <cell r="J689">
            <v>8.3574279359604998E-6</v>
          </cell>
          <cell r="K689">
            <v>8.6255295051281794E-2</v>
          </cell>
          <cell r="L689">
            <v>2.8720877166811001E-2</v>
          </cell>
          <cell r="M689">
            <v>5.2951754796949704E-3</v>
          </cell>
          <cell r="N689">
            <v>8.0438133911156701E-2</v>
          </cell>
          <cell r="O689">
            <v>3.4659417462347401E-2</v>
          </cell>
        </row>
        <row r="690">
          <cell r="A690" t="str">
            <v>RHES-SHPLTBR</v>
          </cell>
          <cell r="B690" t="str">
            <v>VAR_cap</v>
          </cell>
          <cell r="C690" t="str">
            <v>-</v>
          </cell>
          <cell r="D690">
            <v>0.104681131456585</v>
          </cell>
          <cell r="E690">
            <v>0.12044839044182809</v>
          </cell>
          <cell r="F690">
            <v>0.12045135678013934</v>
          </cell>
          <cell r="G690">
            <v>0.12045280998504088</v>
          </cell>
          <cell r="H690">
            <v>0.1204011912585362</v>
          </cell>
          <cell r="I690">
            <v>0.12037871863969699</v>
          </cell>
          <cell r="J690">
            <v>0.12038389426856426</v>
          </cell>
          <cell r="K690">
            <v>0.12146719765369259</v>
          </cell>
          <cell r="L690">
            <v>0.12039092145700074</v>
          </cell>
          <cell r="M690">
            <v>0.12026937168311262</v>
          </cell>
          <cell r="N690">
            <v>0.12062435892196194</v>
          </cell>
          <cell r="O690">
            <v>0.12039051627776665</v>
          </cell>
        </row>
        <row r="691">
          <cell r="A691" t="str">
            <v>RHES-SHCONBR6</v>
          </cell>
          <cell r="B691" t="str">
            <v>VAR_fout</v>
          </cell>
          <cell r="C691" t="str">
            <v>RHES-SHCON</v>
          </cell>
          <cell r="E691">
            <v>5.6269771891464149E-4</v>
          </cell>
          <cell r="F691">
            <v>5.6301325333136067E-4</v>
          </cell>
          <cell r="G691">
            <v>5.6536757071381952E-4</v>
          </cell>
          <cell r="H691">
            <v>5.6595829343075927E-4</v>
          </cell>
          <cell r="I691">
            <v>5.6734057107338427E-4</v>
          </cell>
          <cell r="J691">
            <v>5.6713512157876016E-4</v>
          </cell>
          <cell r="K691">
            <v>5.8637204813319821E-4</v>
          </cell>
          <cell r="L691">
            <v>5.9681779198456953E-4</v>
          </cell>
          <cell r="M691">
            <v>6.2906902362297728E-4</v>
          </cell>
          <cell r="N691">
            <v>6.3994242084822617E-4</v>
          </cell>
          <cell r="O691">
            <v>6.3670968724375871E-4</v>
          </cell>
        </row>
        <row r="692">
          <cell r="A692" t="str">
            <v>RHES-SHCONBR6</v>
          </cell>
          <cell r="B692" t="str">
            <v>VAR_fin</v>
          </cell>
          <cell r="C692" t="str">
            <v>CON</v>
          </cell>
          <cell r="E692">
            <v>5.6269771891464149E-4</v>
          </cell>
          <cell r="F692">
            <v>5.6301325333136067E-4</v>
          </cell>
          <cell r="G692">
            <v>5.6536757071381952E-4</v>
          </cell>
          <cell r="H692">
            <v>5.6595829343075927E-4</v>
          </cell>
          <cell r="I692">
            <v>5.6734057107338427E-4</v>
          </cell>
          <cell r="J692">
            <v>5.6713512157876016E-4</v>
          </cell>
          <cell r="K692">
            <v>5.8637204813319821E-4</v>
          </cell>
          <cell r="L692">
            <v>5.9681779198456953E-4</v>
          </cell>
          <cell r="M692">
            <v>6.2906902362297728E-4</v>
          </cell>
          <cell r="N692">
            <v>6.3994242084822617E-4</v>
          </cell>
          <cell r="O692">
            <v>6.3670968724375871E-4</v>
          </cell>
        </row>
        <row r="693">
          <cell r="A693" t="str">
            <v>RHES-SHCONBR6</v>
          </cell>
          <cell r="B693" t="str">
            <v>VAR_ncap</v>
          </cell>
          <cell r="C693" t="str">
            <v>-</v>
          </cell>
          <cell r="E693">
            <v>4.32863931746631E-5</v>
          </cell>
          <cell r="F693">
            <v>1.9100660363494201E-7</v>
          </cell>
          <cell r="G693">
            <v>2.7866958890929599E-7</v>
          </cell>
          <cell r="H693">
            <v>1.4587693696277501E-7</v>
          </cell>
          <cell r="I693">
            <v>2.0361068634693999E-7</v>
          </cell>
          <cell r="J693">
            <v>8.7095138203295396E-8</v>
          </cell>
          <cell r="K693">
            <v>1.5680187578084402E-5</v>
          </cell>
          <cell r="L693">
            <v>3.0218226474541301E-5</v>
          </cell>
          <cell r="M693">
            <v>2.8708391671718498E-6</v>
          </cell>
          <cell r="N693">
            <v>1.0249458199737899E-6</v>
          </cell>
          <cell r="O693">
            <v>8.8387576122646196E-8</v>
          </cell>
        </row>
        <row r="694">
          <cell r="A694" t="str">
            <v>RHES-SHCONBR6</v>
          </cell>
          <cell r="B694" t="str">
            <v>VAR_cap</v>
          </cell>
          <cell r="C694" t="str">
            <v>-</v>
          </cell>
          <cell r="E694">
            <v>4.32863931746631E-5</v>
          </cell>
          <cell r="F694">
            <v>4.3477399778298103E-5</v>
          </cell>
          <cell r="G694">
            <v>4.3756069367207398E-5</v>
          </cell>
          <cell r="H694">
            <v>4.3901946304170202E-5</v>
          </cell>
          <cell r="I694">
            <v>4.4105556990517103E-5</v>
          </cell>
          <cell r="J694">
            <v>4.4192652128720402E-5</v>
          </cell>
          <cell r="K694">
            <v>4.5798824543665202E-5</v>
          </cell>
          <cell r="L694">
            <v>4.6596880507537602E-5</v>
          </cell>
          <cell r="M694">
            <v>4.9205835981310598E-5</v>
          </cell>
          <cell r="N694">
            <v>5.0078867621165902E-5</v>
          </cell>
          <cell r="O694">
            <v>4.9969681754097297E-5</v>
          </cell>
        </row>
        <row r="695">
          <cell r="A695" t="str">
            <v>RHSA-WHPLTBR</v>
          </cell>
          <cell r="B695" t="str">
            <v>VAR_fout</v>
          </cell>
          <cell r="C695" t="str">
            <v>RHSA-WHPLT</v>
          </cell>
          <cell r="D695">
            <v>0.16981961490729533</v>
          </cell>
          <cell r="E695">
            <v>0.19486430868899796</v>
          </cell>
          <cell r="F695">
            <v>0.12893201333600837</v>
          </cell>
          <cell r="G695">
            <v>0.13440818429205681</v>
          </cell>
          <cell r="H695">
            <v>0.1392206536895432</v>
          </cell>
          <cell r="I695">
            <v>0.14308606596953896</v>
          </cell>
          <cell r="J695">
            <v>0.1462605661030966</v>
          </cell>
          <cell r="K695">
            <v>0.14919701370076174</v>
          </cell>
          <cell r="L695">
            <v>0.15135322747867461</v>
          </cell>
          <cell r="M695">
            <v>0.1538270679350455</v>
          </cell>
          <cell r="N695">
            <v>0.15382581456653766</v>
          </cell>
          <cell r="O695">
            <v>0.15384236388307559</v>
          </cell>
        </row>
        <row r="696">
          <cell r="A696" t="str">
            <v>RHSA-WHPLTBR</v>
          </cell>
          <cell r="B696" t="str">
            <v>VAR_fin</v>
          </cell>
          <cell r="C696" t="str">
            <v>RPLT</v>
          </cell>
          <cell r="D696">
            <v>0.27171138385167265</v>
          </cell>
          <cell r="E696">
            <v>0.31178289390239661</v>
          </cell>
          <cell r="F696">
            <v>0.20629122133761352</v>
          </cell>
          <cell r="G696">
            <v>0.21505309486729071</v>
          </cell>
          <cell r="H696">
            <v>0.22275304590326914</v>
          </cell>
          <cell r="I696">
            <v>0.22893770555126228</v>
          </cell>
          <cell r="J696">
            <v>0.23401690576495479</v>
          </cell>
          <cell r="K696">
            <v>0.23871522192121902</v>
          </cell>
          <cell r="L696">
            <v>0.24216516396587925</v>
          </cell>
          <cell r="M696">
            <v>0.24612330869607271</v>
          </cell>
          <cell r="N696">
            <v>0.24612130330645998</v>
          </cell>
          <cell r="O696">
            <v>0.24614778221292086</v>
          </cell>
        </row>
        <row r="697">
          <cell r="A697" t="str">
            <v>RHSA-WHPLTBR</v>
          </cell>
          <cell r="B697" t="str">
            <v>VAR_ncap</v>
          </cell>
          <cell r="C697" t="str">
            <v>-</v>
          </cell>
          <cell r="E697">
            <v>1.9653457952371199E-3</v>
          </cell>
          <cell r="F697">
            <v>1.36439726072381E-6</v>
          </cell>
          <cell r="G697">
            <v>2.3886611645736902E-6</v>
          </cell>
          <cell r="H697">
            <v>5.6633985816152196E-3</v>
          </cell>
          <cell r="I697">
            <v>4.1614533190902801E-3</v>
          </cell>
          <cell r="J697">
            <v>2.26792330721186E-4</v>
          </cell>
          <cell r="K697">
            <v>5.98651897327287E-3</v>
          </cell>
          <cell r="L697">
            <v>3.57831850839728E-3</v>
          </cell>
          <cell r="M697">
            <v>8.24868804922444E-4</v>
          </cell>
          <cell r="N697">
            <v>6.2700945873114299E-3</v>
          </cell>
          <cell r="O697">
            <v>3.8816901583312302E-3</v>
          </cell>
        </row>
        <row r="698">
          <cell r="A698" t="str">
            <v>RHSA-WHPLTBR</v>
          </cell>
          <cell r="B698" t="str">
            <v>VAR_cap</v>
          </cell>
          <cell r="C698" t="str">
            <v>-</v>
          </cell>
          <cell r="D698">
            <v>1.12410901121583E-2</v>
          </cell>
          <cell r="E698">
            <v>1.320627275077744E-2</v>
          </cell>
          <cell r="F698">
            <v>1.3193811453700806E-2</v>
          </cell>
          <cell r="G698">
            <v>1.3190838522727752E-2</v>
          </cell>
          <cell r="H698">
            <v>9.5808410737876493E-3</v>
          </cell>
          <cell r="I698">
            <v>9.8257593578966115E-3</v>
          </cell>
          <cell r="J698">
            <v>1.0050142492720699E-2</v>
          </cell>
          <cell r="K698">
            <v>1.037253078245242E-2</v>
          </cell>
          <cell r="L698">
            <v>1.0398401633622311E-2</v>
          </cell>
          <cell r="M698">
            <v>1.0386838102608086E-2</v>
          </cell>
          <cell r="N698">
            <v>1.0595540803304009E-2</v>
          </cell>
          <cell r="O698">
            <v>1.0973886546263757E-2</v>
          </cell>
        </row>
        <row r="699">
          <cell r="A699" t="str">
            <v>ITOT-SWHCONBR8</v>
          </cell>
          <cell r="B699" t="str">
            <v>VAR_fout</v>
          </cell>
          <cell r="C699" t="str">
            <v>ITOT-ELS</v>
          </cell>
          <cell r="J699">
            <v>6.1084861671239295E-4</v>
          </cell>
          <cell r="K699">
            <v>1.0130237500349363E-3</v>
          </cell>
          <cell r="L699">
            <v>9.4757303322965465E-4</v>
          </cell>
          <cell r="M699">
            <v>1.2872186859057956E-3</v>
          </cell>
          <cell r="N699">
            <v>1.1067397062094035E-3</v>
          </cell>
          <cell r="O699">
            <v>2.5576182610168256E-3</v>
          </cell>
        </row>
        <row r="700">
          <cell r="A700" t="str">
            <v>ITOT-SWHCONBR8</v>
          </cell>
          <cell r="B700" t="str">
            <v>VAR_fout</v>
          </cell>
          <cell r="C700" t="str">
            <v>ITOT-SWHC</v>
          </cell>
          <cell r="J700">
            <v>2.3584991742287222E-3</v>
          </cell>
          <cell r="K700">
            <v>3.9113057025328395E-3</v>
          </cell>
          <cell r="L700">
            <v>3.6585991279174525E-3</v>
          </cell>
          <cell r="M700">
            <v>4.9699780349834188E-3</v>
          </cell>
          <cell r="N700">
            <v>4.2731449523933408E-3</v>
          </cell>
          <cell r="O700">
            <v>9.8750171344672202E-3</v>
          </cell>
        </row>
        <row r="701">
          <cell r="A701" t="str">
            <v>ITOT-SWHCONBR8</v>
          </cell>
          <cell r="B701" t="str">
            <v>VAR_fin</v>
          </cell>
          <cell r="C701" t="str">
            <v>CON</v>
          </cell>
          <cell r="J701">
            <v>2.9693477909411119E-3</v>
          </cell>
          <cell r="K701">
            <v>4.9243294525677739E-3</v>
          </cell>
          <cell r="L701">
            <v>4.6061721611471065E-3</v>
          </cell>
          <cell r="M701">
            <v>6.2571967208892108E-3</v>
          </cell>
          <cell r="N701">
            <v>5.3798846586027432E-3</v>
          </cell>
          <cell r="O701">
            <v>1.2432635395484037E-2</v>
          </cell>
        </row>
        <row r="702">
          <cell r="A702" t="str">
            <v>ITOT-SWHCONBR8</v>
          </cell>
          <cell r="B702" t="str">
            <v>VAR_ncap</v>
          </cell>
          <cell r="C702" t="str">
            <v>-</v>
          </cell>
          <cell r="J702">
            <v>1.6010472703235101E-4</v>
          </cell>
          <cell r="K702">
            <v>1.0648009007793601E-4</v>
          </cell>
          <cell r="L702">
            <v>3.9767297267133602E-6</v>
          </cell>
          <cell r="M702">
            <v>2.28745006423613E-4</v>
          </cell>
          <cell r="N702">
            <v>4.1129414811848003E-5</v>
          </cell>
          <cell r="O702">
            <v>4.0533488013634697E-4</v>
          </cell>
        </row>
        <row r="703">
          <cell r="A703" t="str">
            <v>ITOT-SWHCONBR8</v>
          </cell>
          <cell r="B703" t="str">
            <v>VAR_cap</v>
          </cell>
          <cell r="C703" t="str">
            <v>-</v>
          </cell>
          <cell r="J703">
            <v>1.6010472703235101E-4</v>
          </cell>
          <cell r="K703">
            <v>2.6658481711028698E-4</v>
          </cell>
          <cell r="L703">
            <v>2.4934840242255203E-4</v>
          </cell>
          <cell r="M703">
            <v>3.3920182622826302E-4</v>
          </cell>
          <cell r="N703">
            <v>2.9145043153962398E-4</v>
          </cell>
          <cell r="O703">
            <v>6.7520930137180898E-4</v>
          </cell>
        </row>
        <row r="704">
          <cell r="A704" t="str">
            <v>D-SCOM_KEV_HFC_ELC_CHP</v>
          </cell>
          <cell r="B704" t="str">
            <v>VAR_fout</v>
          </cell>
          <cell r="C704" t="str">
            <v>ELC5</v>
          </cell>
          <cell r="G704">
            <v>2.8464520929698382E-3</v>
          </cell>
          <cell r="H704">
            <v>1.0067524110984369E-2</v>
          </cell>
          <cell r="I704">
            <v>9.5500005773926314E-3</v>
          </cell>
          <cell r="J704">
            <v>7.5264648166189982E-3</v>
          </cell>
          <cell r="K704">
            <v>2.2876418472497627E-2</v>
          </cell>
          <cell r="L704">
            <v>2.7801940902207282E-2</v>
          </cell>
          <cell r="M704">
            <v>2.7410020188145309E-2</v>
          </cell>
          <cell r="N704">
            <v>9.0265157409367081E-2</v>
          </cell>
          <cell r="O704">
            <v>0.20018683266501527</v>
          </cell>
        </row>
        <row r="705">
          <cell r="A705" t="str">
            <v>D-SCOM_KEV_HFC_ELC_CHP</v>
          </cell>
          <cell r="B705" t="str">
            <v>VAR_fout</v>
          </cell>
          <cell r="C705" t="str">
            <v>SCOM_ELC</v>
          </cell>
          <cell r="G705">
            <v>2.8512482882615039E-3</v>
          </cell>
          <cell r="H705">
            <v>1.0070484918598467E-2</v>
          </cell>
          <cell r="I705">
            <v>9.5605305260320246E-3</v>
          </cell>
          <cell r="J705">
            <v>7.5501419238752452E-3</v>
          </cell>
          <cell r="K705">
            <v>2.3093000129461479E-2</v>
          </cell>
          <cell r="L705">
            <v>2.794333277987561E-2</v>
          </cell>
          <cell r="M705">
            <v>2.7495161855359568E-2</v>
          </cell>
          <cell r="N705">
            <v>9.0487659566176021E-2</v>
          </cell>
          <cell r="O705">
            <v>0.20073301338065211</v>
          </cell>
        </row>
        <row r="706">
          <cell r="A706" t="str">
            <v>D-SCOM_KEV_HFC_ELC_CHP</v>
          </cell>
          <cell r="B706" t="str">
            <v>VAR_fin</v>
          </cell>
          <cell r="C706" t="str">
            <v>SCOM_KEV_HFC_ELC_CHP</v>
          </cell>
          <cell r="G706">
            <v>5.6692784032239506E-3</v>
          </cell>
          <cell r="H706">
            <v>2.0109587051575444E-2</v>
          </cell>
          <cell r="I706">
            <v>1.9083021627599644E-2</v>
          </cell>
          <cell r="J706">
            <v>1.507660674049424E-2</v>
          </cell>
          <cell r="K706">
            <v>4.594067280266613E-2</v>
          </cell>
          <cell r="L706">
            <v>5.5716851704075553E-2</v>
          </cell>
          <cell r="M706">
            <v>5.4876760065497542E-2</v>
          </cell>
          <cell r="N706">
            <v>0.18072454392272269</v>
          </cell>
          <cell r="O706">
            <v>0.40089192926355688</v>
          </cell>
        </row>
        <row r="707">
          <cell r="A707" t="str">
            <v>D-EH2R</v>
          </cell>
          <cell r="B707" t="str">
            <v>VAR_fout</v>
          </cell>
          <cell r="C707" t="str">
            <v>EH2</v>
          </cell>
          <cell r="I707">
            <v>1.5957933567771414E-2</v>
          </cell>
          <cell r="J707">
            <v>2.325827036268124E-2</v>
          </cell>
          <cell r="K707">
            <v>8.5774803751388684E-2</v>
          </cell>
          <cell r="L707">
            <v>0.12993928676118205</v>
          </cell>
          <cell r="M707">
            <v>5.9714839797548838E-2</v>
          </cell>
          <cell r="N707">
            <v>2.8572890385947691E-2</v>
          </cell>
          <cell r="O707">
            <v>4.8497450437642392E-2</v>
          </cell>
        </row>
        <row r="708">
          <cell r="A708" t="str">
            <v>D-EH2R</v>
          </cell>
          <cell r="B708" t="str">
            <v>VAR_fin</v>
          </cell>
          <cell r="C708" t="str">
            <v>H2</v>
          </cell>
          <cell r="I708">
            <v>1.5957933567771414E-2</v>
          </cell>
          <cell r="J708">
            <v>2.325827036268124E-2</v>
          </cell>
          <cell r="K708">
            <v>8.5774803751388684E-2</v>
          </cell>
          <cell r="L708">
            <v>0.12993928676118205</v>
          </cell>
          <cell r="M708">
            <v>5.9714839797548838E-2</v>
          </cell>
          <cell r="N708">
            <v>2.8572890385947691E-2</v>
          </cell>
          <cell r="O708">
            <v>4.8497450437642392E-2</v>
          </cell>
        </row>
        <row r="709">
          <cell r="A709" t="str">
            <v>D-EH2R</v>
          </cell>
          <cell r="B709" t="str">
            <v>VAR_ncap</v>
          </cell>
          <cell r="C709" t="str">
            <v>-</v>
          </cell>
          <cell r="H709">
            <v>5.6582426963554897E-6</v>
          </cell>
          <cell r="I709">
            <v>1.51489715404479E-3</v>
          </cell>
          <cell r="J709">
            <v>1.79993994946468E-3</v>
          </cell>
          <cell r="K709">
            <v>3.60785147004684E-3</v>
          </cell>
          <cell r="L709">
            <v>3.9344434498722802E-3</v>
          </cell>
          <cell r="M709">
            <v>1.4960178513503101E-4</v>
          </cell>
          <cell r="N709">
            <v>1.73634918608815E-3</v>
          </cell>
          <cell r="O709">
            <v>1.7203036061741101E-3</v>
          </cell>
        </row>
        <row r="710">
          <cell r="A710" t="str">
            <v>D-EH2R</v>
          </cell>
          <cell r="B710" t="str">
            <v>VAR_cap</v>
          </cell>
          <cell r="C710" t="str">
            <v>-</v>
          </cell>
          <cell r="H710">
            <v>5.6582426963554897E-6</v>
          </cell>
          <cell r="I710">
            <v>1.51608536768473E-3</v>
          </cell>
          <cell r="J710">
            <v>1.79993994946468E-3</v>
          </cell>
          <cell r="K710">
            <v>5.40779141951153E-3</v>
          </cell>
          <cell r="L710">
            <v>5.30621274255172E-3</v>
          </cell>
          <cell r="M710">
            <v>3.13656092051543E-3</v>
          </cell>
          <cell r="N710">
            <v>1.76284694199456E-3</v>
          </cell>
          <cell r="O710">
            <v>3.4566527922622698E-3</v>
          </cell>
        </row>
        <row r="711">
          <cell r="A711" t="str">
            <v>SCOM-ELCSPECADV</v>
          </cell>
          <cell r="B711" t="str">
            <v>VAR_fout</v>
          </cell>
          <cell r="C711" t="str">
            <v>SCOM-ELS</v>
          </cell>
          <cell r="G711">
            <v>1.1033887791721912E-3</v>
          </cell>
          <cell r="H711">
            <v>2.4211034335659709E-3</v>
          </cell>
          <cell r="I711">
            <v>3.1982316566293374E-3</v>
          </cell>
          <cell r="J711">
            <v>3.5639032800054327E-3</v>
          </cell>
          <cell r="K711">
            <v>4.7921631596083295E-3</v>
          </cell>
          <cell r="L711">
            <v>3.7691318705794057E-3</v>
          </cell>
          <cell r="M711">
            <v>5.4393851640720595E-3</v>
          </cell>
          <cell r="N711">
            <v>4.8759044830554267E-3</v>
          </cell>
          <cell r="O711">
            <v>9.825693078857653E-3</v>
          </cell>
        </row>
        <row r="712">
          <cell r="A712" t="str">
            <v>SCOM-ELCSPECADV</v>
          </cell>
          <cell r="B712" t="str">
            <v>VAR_fin</v>
          </cell>
          <cell r="C712" t="str">
            <v>SCOM_ELC</v>
          </cell>
          <cell r="G712">
            <v>9.5005054280818688E-4</v>
          </cell>
          <cell r="H712">
            <v>2.0326666165453129E-3</v>
          </cell>
          <cell r="I712">
            <v>2.6197958354007567E-3</v>
          </cell>
          <cell r="J712">
            <v>2.8465453205786658E-3</v>
          </cell>
          <cell r="K712">
            <v>3.7344659870715939E-3</v>
          </cell>
          <cell r="L712">
            <v>2.9372319561458246E-3</v>
          </cell>
          <cell r="M712">
            <v>4.2388370782160912E-3</v>
          </cell>
          <cell r="N712">
            <v>3.7997244337708768E-3</v>
          </cell>
          <cell r="O712">
            <v>7.6570257272704579E-3</v>
          </cell>
        </row>
        <row r="713">
          <cell r="A713" t="str">
            <v>SCOM-ELCSPECADV</v>
          </cell>
          <cell r="B713" t="str">
            <v>VAR_ncap</v>
          </cell>
          <cell r="C713" t="str">
            <v>-</v>
          </cell>
          <cell r="G713">
            <v>1.14975454248146E-4</v>
          </cell>
          <cell r="H713">
            <v>1.4037348024565399E-4</v>
          </cell>
          <cell r="I713">
            <v>8.2559442768607701E-5</v>
          </cell>
          <cell r="J713">
            <v>3.9820575632671E-5</v>
          </cell>
          <cell r="K713">
            <v>1.35239217888251E-4</v>
          </cell>
          <cell r="L713">
            <v>6.3114627811144799E-6</v>
          </cell>
          <cell r="M713">
            <v>3.18040077600027E-4</v>
          </cell>
          <cell r="N713">
            <v>2.8483742137331899E-5</v>
          </cell>
          <cell r="O713">
            <v>5.5883630581443698E-4</v>
          </cell>
        </row>
        <row r="714">
          <cell r="A714" t="str">
            <v>SCOM-ELCSPECADV</v>
          </cell>
          <cell r="B714" t="str">
            <v>VAR_cap</v>
          </cell>
          <cell r="C714" t="str">
            <v>-</v>
          </cell>
          <cell r="G714">
            <v>1.14975454248146E-4</v>
          </cell>
          <cell r="H714">
            <v>2.5497200499075245E-4</v>
          </cell>
          <cell r="I714">
            <v>3.3650911781659543E-4</v>
          </cell>
          <cell r="J714">
            <v>3.7480521023779812E-4</v>
          </cell>
          <cell r="K714">
            <v>5.0534172262589887E-4</v>
          </cell>
          <cell r="L714">
            <v>3.9701863972928963E-4</v>
          </cell>
          <cell r="M714">
            <v>5.7450082020540937E-4</v>
          </cell>
          <cell r="N714">
            <v>5.1434898631736673E-4</v>
          </cell>
          <cell r="O714">
            <v>1.0400098389193829E-3</v>
          </cell>
        </row>
        <row r="715">
          <cell r="A715" t="str">
            <v>RHSA-WHLTHRD</v>
          </cell>
          <cell r="B715" t="str">
            <v>VAR_fout</v>
          </cell>
          <cell r="C715" t="str">
            <v>RHSA-WHLTHRD</v>
          </cell>
          <cell r="D715">
            <v>1.3170663612193789</v>
          </cell>
          <cell r="E715">
            <v>1.4634039078803627</v>
          </cell>
          <cell r="F715">
            <v>1.3904456216218815</v>
          </cell>
          <cell r="G715">
            <v>1.0157744254844696</v>
          </cell>
          <cell r="H715">
            <v>1.2259932170107175</v>
          </cell>
          <cell r="I715">
            <v>1.3136184289617661</v>
          </cell>
          <cell r="J715">
            <v>1.3043832283648307</v>
          </cell>
          <cell r="K715">
            <v>1.3587065199211736</v>
          </cell>
          <cell r="L715">
            <v>1.3354349245087851</v>
          </cell>
          <cell r="M715">
            <v>1.2550296488314026</v>
          </cell>
          <cell r="N715">
            <v>1.3745970822012621</v>
          </cell>
          <cell r="O715">
            <v>1.215412801575114</v>
          </cell>
        </row>
        <row r="716">
          <cell r="A716" t="str">
            <v>RHSA-WHLTHRD</v>
          </cell>
          <cell r="B716" t="str">
            <v>VAR_fin</v>
          </cell>
          <cell r="C716" t="str">
            <v>RHSA_LTH</v>
          </cell>
          <cell r="D716">
            <v>1.7104757937914019</v>
          </cell>
          <cell r="E716">
            <v>1.8956009169434747</v>
          </cell>
          <cell r="F716">
            <v>1.7941233827379102</v>
          </cell>
          <cell r="G716">
            <v>1.3022749044672697</v>
          </cell>
          <cell r="H716">
            <v>1.5617747987397679</v>
          </cell>
          <cell r="I716">
            <v>1.6628081379262882</v>
          </cell>
          <cell r="J716">
            <v>1.6511180105883945</v>
          </cell>
          <cell r="K716">
            <v>1.7198816707862949</v>
          </cell>
          <cell r="L716">
            <v>1.6904239550744125</v>
          </cell>
          <cell r="M716">
            <v>1.5886451251030431</v>
          </cell>
          <cell r="N716">
            <v>1.7399963065838742</v>
          </cell>
          <cell r="O716">
            <v>1.5384972171836884</v>
          </cell>
        </row>
        <row r="717">
          <cell r="A717" t="str">
            <v>RHSA-WHLTHRD</v>
          </cell>
          <cell r="B717" t="str">
            <v>VAR_ncap</v>
          </cell>
          <cell r="C717" t="str">
            <v>-</v>
          </cell>
          <cell r="E717">
            <v>0.10138920751881</v>
          </cell>
          <cell r="F717">
            <v>8.5601137359406998E-2</v>
          </cell>
          <cell r="G717">
            <v>3.4786727669890702E-2</v>
          </cell>
          <cell r="H717">
            <v>4.6617297013304297E-2</v>
          </cell>
          <cell r="I717">
            <v>5.5236399417923999E-2</v>
          </cell>
          <cell r="J717">
            <v>8.9986754766917601E-2</v>
          </cell>
          <cell r="K717">
            <v>7.8583065077303102E-2</v>
          </cell>
          <cell r="L717">
            <v>5.6344314165275099E-2</v>
          </cell>
          <cell r="M717">
            <v>5.9643506451602699E-2</v>
          </cell>
          <cell r="N717">
            <v>4.4824639189266102E-2</v>
          </cell>
          <cell r="O717">
            <v>4.9087297629523699E-2</v>
          </cell>
        </row>
        <row r="718">
          <cell r="A718" t="str">
            <v>RHSA-WHLTHRD</v>
          </cell>
          <cell r="B718" t="str">
            <v>VAR_cap</v>
          </cell>
          <cell r="C718" t="str">
            <v>-</v>
          </cell>
          <cell r="D718">
            <v>0.13737412127568699</v>
          </cell>
          <cell r="E718">
            <v>0.14630447797980059</v>
          </cell>
          <cell r="F718">
            <v>0.13995355109815802</v>
          </cell>
          <cell r="G718">
            <v>8.0012857540251003E-2</v>
          </cell>
          <cell r="H718">
            <v>9.9522829009880964E-2</v>
          </cell>
          <cell r="I718">
            <v>0.12057104200520602</v>
          </cell>
          <cell r="J718">
            <v>0.17562137751428797</v>
          </cell>
          <cell r="K718">
            <v>0.17959727392897695</v>
          </cell>
          <cell r="L718">
            <v>0.15492911376673402</v>
          </cell>
          <cell r="M718">
            <v>0.15358263931024196</v>
          </cell>
          <cell r="N718">
            <v>0.12593383293755589</v>
          </cell>
          <cell r="O718">
            <v>0.11185213238714398</v>
          </cell>
        </row>
        <row r="719">
          <cell r="A719" t="str">
            <v>RHES-SHCONBR7</v>
          </cell>
          <cell r="B719" t="str">
            <v>VAR_fout</v>
          </cell>
          <cell r="C719" t="str">
            <v>RHES-SHCON</v>
          </cell>
          <cell r="E719">
            <v>5.3806061993301197E-4</v>
          </cell>
          <cell r="F719">
            <v>5.3843411949699147E-4</v>
          </cell>
          <cell r="G719">
            <v>5.408336378488896E-4</v>
          </cell>
          <cell r="H719">
            <v>5.4138367302374187E-4</v>
          </cell>
          <cell r="I719">
            <v>5.4264143535383042E-4</v>
          </cell>
          <cell r="J719">
            <v>5.4243368193587641E-4</v>
          </cell>
          <cell r="K719">
            <v>5.7215746590954641E-4</v>
          </cell>
          <cell r="L719">
            <v>5.7507198415237962E-4</v>
          </cell>
          <cell r="M719">
            <v>6.1014378803104141E-4</v>
          </cell>
          <cell r="N719">
            <v>6.2137617145495406E-4</v>
          </cell>
          <cell r="O719">
            <v>6.1827642293358167E-4</v>
          </cell>
        </row>
        <row r="720">
          <cell r="A720" t="str">
            <v>RHES-SHCONBR7</v>
          </cell>
          <cell r="B720" t="str">
            <v>VAR_fin</v>
          </cell>
          <cell r="C720" t="str">
            <v>CON</v>
          </cell>
          <cell r="E720">
            <v>5.3806061993301197E-4</v>
          </cell>
          <cell r="F720">
            <v>5.3843411949699147E-4</v>
          </cell>
          <cell r="G720">
            <v>5.408336378488896E-4</v>
          </cell>
          <cell r="H720">
            <v>5.4138367302374187E-4</v>
          </cell>
          <cell r="I720">
            <v>5.4264143535383042E-4</v>
          </cell>
          <cell r="J720">
            <v>5.4243368193587641E-4</v>
          </cell>
          <cell r="K720">
            <v>5.7215746590954641E-4</v>
          </cell>
          <cell r="L720">
            <v>5.7507198415237962E-4</v>
          </cell>
          <cell r="M720">
            <v>6.1014378803104141E-4</v>
          </cell>
          <cell r="N720">
            <v>6.2137617145495406E-4</v>
          </cell>
          <cell r="O720">
            <v>6.1827642293358167E-4</v>
          </cell>
        </row>
        <row r="721">
          <cell r="A721" t="str">
            <v>RHES-SHCONBR7</v>
          </cell>
          <cell r="B721" t="str">
            <v>VAR_ncap</v>
          </cell>
          <cell r="C721" t="str">
            <v>-</v>
          </cell>
          <cell r="E721">
            <v>4.1295610585679101E-5</v>
          </cell>
          <cell r="F721">
            <v>1.9346091530204999E-7</v>
          </cell>
          <cell r="G721">
            <v>2.8253480257817E-7</v>
          </cell>
          <cell r="H721">
            <v>1.4270646049435501E-7</v>
          </cell>
          <cell r="I721">
            <v>1.93723834842347E-7</v>
          </cell>
          <cell r="J721">
            <v>8.6855103264479601E-8</v>
          </cell>
          <cell r="K721">
            <v>1.5881328785254501E-5</v>
          </cell>
          <cell r="L721">
            <v>2.8268114499382599E-5</v>
          </cell>
          <cell r="M721">
            <v>3.1024891544531298E-6</v>
          </cell>
          <cell r="N721">
            <v>1.0500297887340999E-6</v>
          </cell>
          <cell r="O721">
            <v>8.8859978846604206E-8</v>
          </cell>
        </row>
        <row r="722">
          <cell r="A722" t="str">
            <v>RHES-SHCONBR7</v>
          </cell>
          <cell r="B722" t="str">
            <v>VAR_cap</v>
          </cell>
          <cell r="C722" t="str">
            <v>-</v>
          </cell>
          <cell r="E722">
            <v>4.1295610585679101E-5</v>
          </cell>
          <cell r="F722">
            <v>4.1489071500981102E-5</v>
          </cell>
          <cell r="G722">
            <v>4.1771606303559303E-5</v>
          </cell>
          <cell r="H722">
            <v>4.1914312764053702E-5</v>
          </cell>
          <cell r="I722">
            <v>4.2108036598896003E-5</v>
          </cell>
          <cell r="J722">
            <v>4.2194891702160498E-5</v>
          </cell>
          <cell r="K722">
            <v>4.4649482731538803E-5</v>
          </cell>
          <cell r="L722">
            <v>4.4838185573005103E-5</v>
          </cell>
          <cell r="M722">
            <v>4.7675217837691401E-5</v>
          </cell>
          <cell r="N722">
            <v>4.8577490148189803E-5</v>
          </cell>
          <cell r="O722">
            <v>4.8477677309935402E-5</v>
          </cell>
        </row>
        <row r="723">
          <cell r="A723" t="str">
            <v>ITOT-SWHCONBR9</v>
          </cell>
          <cell r="B723" t="str">
            <v>VAR_fout</v>
          </cell>
          <cell r="C723" t="str">
            <v>ITOT-ELS</v>
          </cell>
          <cell r="J723">
            <v>1.0704197264920739E-4</v>
          </cell>
          <cell r="K723">
            <v>1.7932282158331602E-4</v>
          </cell>
          <cell r="L723">
            <v>1.6729051426658895E-4</v>
          </cell>
          <cell r="M723">
            <v>2.2725455605141339E-4</v>
          </cell>
          <cell r="N723">
            <v>1.9525679315138809E-4</v>
          </cell>
          <cell r="O723">
            <v>4.1545031945548094E-4</v>
          </cell>
        </row>
        <row r="724">
          <cell r="A724" t="str">
            <v>ITOT-SWHCONBR9</v>
          </cell>
          <cell r="B724" t="str">
            <v>VAR_fout</v>
          </cell>
          <cell r="C724" t="str">
            <v>ITOT-SWHC</v>
          </cell>
          <cell r="J724">
            <v>6.2127097107022092E-4</v>
          </cell>
          <cell r="K724">
            <v>1.0407885873443292E-3</v>
          </cell>
          <cell r="L724">
            <v>9.7095314741483401E-4</v>
          </cell>
          <cell r="M724">
            <v>1.3189840884274774E-3</v>
          </cell>
          <cell r="N724">
            <v>1.1332692633268528E-3</v>
          </cell>
          <cell r="O724">
            <v>2.4112711771988411E-3</v>
          </cell>
        </row>
        <row r="725">
          <cell r="A725" t="str">
            <v>ITOT-SWHCONBR9</v>
          </cell>
          <cell r="B725" t="str">
            <v>VAR_fin</v>
          </cell>
          <cell r="C725" t="str">
            <v>CON</v>
          </cell>
          <cell r="J725">
            <v>7.2831294371942872E-4</v>
          </cell>
          <cell r="K725">
            <v>1.2201114089276459E-3</v>
          </cell>
          <cell r="L725">
            <v>1.1382436616814242E-3</v>
          </cell>
          <cell r="M725">
            <v>1.5462386444788901E-3</v>
          </cell>
          <cell r="N725">
            <v>1.3285260564782407E-3</v>
          </cell>
          <cell r="O725">
            <v>2.8267214966543235E-3</v>
          </cell>
        </row>
        <row r="726">
          <cell r="A726" t="str">
            <v>ITOT-SWHCONBR9</v>
          </cell>
          <cell r="B726" t="str">
            <v>VAR_ncap</v>
          </cell>
          <cell r="C726" t="str">
            <v>-</v>
          </cell>
          <cell r="J726">
            <v>3.8154799435757699E-5</v>
          </cell>
          <cell r="K726">
            <v>2.6873817994413099E-5</v>
          </cell>
          <cell r="L726">
            <v>6.7869789653622697E-7</v>
          </cell>
          <cell r="M726">
            <v>5.53222605232395E-5</v>
          </cell>
          <cell r="N726">
            <v>1.0464614820039E-5</v>
          </cell>
          <cell r="O726">
            <v>8.6767188107018695E-5</v>
          </cell>
        </row>
        <row r="727">
          <cell r="A727" t="str">
            <v>ITOT-SWHCONBR9</v>
          </cell>
          <cell r="B727" t="str">
            <v>VAR_cap</v>
          </cell>
          <cell r="C727" t="str">
            <v>-</v>
          </cell>
          <cell r="J727">
            <v>3.8154799435757699E-5</v>
          </cell>
          <cell r="K727">
            <v>6.5028617430170794E-5</v>
          </cell>
          <cell r="L727">
            <v>6.0651978825796003E-5</v>
          </cell>
          <cell r="M727">
            <v>8.2874776414188793E-5</v>
          </cell>
          <cell r="N727">
            <v>7.1010359043543295E-5</v>
          </cell>
          <cell r="O727">
            <v>1.5255406345029699E-4</v>
          </cell>
        </row>
        <row r="728">
          <cell r="A728" t="str">
            <v>SCOM-SHPLTBR</v>
          </cell>
          <cell r="B728" t="str">
            <v>VAR_fout</v>
          </cell>
          <cell r="C728" t="str">
            <v>SCOM-SHPLT</v>
          </cell>
          <cell r="D728">
            <v>1.8770981180418789</v>
          </cell>
          <cell r="E728">
            <v>2.1601100586375086</v>
          </cell>
          <cell r="F728">
            <v>1.8085200266109711</v>
          </cell>
          <cell r="G728">
            <v>1.9577292365973631</v>
          </cell>
          <cell r="H728">
            <v>2.069793799890018</v>
          </cell>
          <cell r="I728">
            <v>2.195969854942152</v>
          </cell>
          <cell r="J728">
            <v>2.1578551861599484</v>
          </cell>
          <cell r="K728">
            <v>2.1846934637619411</v>
          </cell>
          <cell r="L728">
            <v>2.1499967838844714</v>
          </cell>
          <cell r="M728">
            <v>2.1660303605643185</v>
          </cell>
          <cell r="N728">
            <v>2.1665770553634975</v>
          </cell>
          <cell r="O728">
            <v>2.1679258612354002</v>
          </cell>
        </row>
        <row r="729">
          <cell r="A729" t="str">
            <v>SCOM-SHPLTBR</v>
          </cell>
          <cell r="B729" t="str">
            <v>VAR_fin</v>
          </cell>
          <cell r="C729" t="str">
            <v>SCOMPLTBRC</v>
          </cell>
          <cell r="D729">
            <v>1.8770981180418789</v>
          </cell>
          <cell r="E729">
            <v>2.1601100586375086</v>
          </cell>
          <cell r="F729">
            <v>1.8085200266109711</v>
          </cell>
          <cell r="G729">
            <v>1.9577292365973631</v>
          </cell>
          <cell r="H729">
            <v>2.069793799890018</v>
          </cell>
          <cell r="I729">
            <v>2.195969854942152</v>
          </cell>
          <cell r="J729">
            <v>2.1578551861599484</v>
          </cell>
          <cell r="K729">
            <v>2.1846934637619411</v>
          </cell>
          <cell r="L729">
            <v>2.1499967838844714</v>
          </cell>
          <cell r="M729">
            <v>2.1660303605643185</v>
          </cell>
          <cell r="N729">
            <v>2.1665770553634975</v>
          </cell>
          <cell r="O729">
            <v>2.1679258612354002</v>
          </cell>
        </row>
        <row r="730">
          <cell r="A730" t="str">
            <v>SCOM-SHPLTBR</v>
          </cell>
          <cell r="B730" t="str">
            <v>VAR_fin</v>
          </cell>
          <cell r="C730" t="str">
            <v>SPLT</v>
          </cell>
          <cell r="D730">
            <v>2.0856645756020882</v>
          </cell>
          <cell r="E730">
            <v>2.4001222873750088</v>
          </cell>
          <cell r="F730">
            <v>2.0094666962344134</v>
          </cell>
          <cell r="G730">
            <v>2.1752547073304038</v>
          </cell>
          <cell r="H730">
            <v>2.2997708887666866</v>
          </cell>
          <cell r="I730">
            <v>2.4399665054912796</v>
          </cell>
          <cell r="J730">
            <v>2.3976168735110543</v>
          </cell>
          <cell r="K730">
            <v>2.4274371819577114</v>
          </cell>
          <cell r="L730">
            <v>2.3888853154271912</v>
          </cell>
          <cell r="M730">
            <v>2.4067004006270194</v>
          </cell>
          <cell r="N730">
            <v>2.407307839292776</v>
          </cell>
          <cell r="O730">
            <v>2.4088065124837779</v>
          </cell>
        </row>
        <row r="731">
          <cell r="A731" t="str">
            <v>SCOM-SHPLTBR</v>
          </cell>
          <cell r="B731" t="str">
            <v>VAR_ncap</v>
          </cell>
          <cell r="C731" t="str">
            <v>-</v>
          </cell>
          <cell r="D731">
            <v>4.4646330361709401E-6</v>
          </cell>
          <cell r="E731">
            <v>2.3442764689894001E-2</v>
          </cell>
          <cell r="F731">
            <v>7.6762463961382905E-6</v>
          </cell>
          <cell r="G731">
            <v>9.0063755208080796E-6</v>
          </cell>
          <cell r="H731">
            <v>0.124176023617374</v>
          </cell>
          <cell r="I731">
            <v>5.64938128938983E-2</v>
          </cell>
          <cell r="J731">
            <v>3.5414506748542498E-5</v>
          </cell>
          <cell r="K731">
            <v>0.14633645966675399</v>
          </cell>
          <cell r="L731">
            <v>7.0593650258777105E-2</v>
          </cell>
          <cell r="M731">
            <v>7.8072372576323994E-5</v>
          </cell>
          <cell r="N731">
            <v>0.15834020653980699</v>
          </cell>
          <cell r="O731">
            <v>0.12772610325692901</v>
          </cell>
        </row>
        <row r="732">
          <cell r="A732" t="str">
            <v>SCOM-SHPLTBR</v>
          </cell>
          <cell r="B732" t="str">
            <v>VAR_cap</v>
          </cell>
          <cell r="C732" t="str">
            <v>-</v>
          </cell>
          <cell r="D732">
            <v>0.15051533275723017</v>
          </cell>
          <cell r="E732">
            <v>0.17395771461600029</v>
          </cell>
          <cell r="F732">
            <v>0.17395069838821539</v>
          </cell>
          <cell r="G732">
            <v>0.1739502406091479</v>
          </cell>
          <cell r="H732">
            <v>0.1752219670629073</v>
          </cell>
          <cell r="I732">
            <v>0.18067345280261707</v>
          </cell>
          <cell r="J732">
            <v>0.18069846455476068</v>
          </cell>
          <cell r="K732">
            <v>0.20284205630183388</v>
          </cell>
          <cell r="L732">
            <v>0.22560776290654105</v>
          </cell>
          <cell r="M732">
            <v>0.21699249244186869</v>
          </cell>
          <cell r="N732">
            <v>0.23251630016404717</v>
          </cell>
          <cell r="O732">
            <v>0.2861267101199752</v>
          </cell>
        </row>
        <row r="733">
          <cell r="A733" t="str">
            <v>ITOT-SWHELCHP</v>
          </cell>
          <cell r="B733" t="str">
            <v>VAR_fout</v>
          </cell>
          <cell r="C733" t="str">
            <v>ITOT-SWHAELCH</v>
          </cell>
          <cell r="D733">
            <v>1.1082052879031223</v>
          </cell>
          <cell r="E733">
            <v>1.4008681099447473</v>
          </cell>
          <cell r="F733">
            <v>3.5749949477233427</v>
          </cell>
          <cell r="G733">
            <v>5.9671490004075141</v>
          </cell>
          <cell r="H733">
            <v>7.3860704657650844</v>
          </cell>
          <cell r="I733">
            <v>9.3340249946370974</v>
          </cell>
          <cell r="J733">
            <v>11.275899105017807</v>
          </cell>
          <cell r="K733">
            <v>13.126839026487145</v>
          </cell>
          <cell r="L733">
            <v>13.126951371410195</v>
          </cell>
          <cell r="M733">
            <v>13.127085726361095</v>
          </cell>
          <cell r="N733">
            <v>13.127098303894227</v>
          </cell>
          <cell r="O733">
            <v>13.127127429686603</v>
          </cell>
        </row>
        <row r="734">
          <cell r="A734" t="str">
            <v>ITOT-SWHELCHP</v>
          </cell>
          <cell r="B734" t="str">
            <v>VAR_fin</v>
          </cell>
          <cell r="C734" t="str">
            <v>ITOT_ELC</v>
          </cell>
          <cell r="D734">
            <v>0.35969244277752394</v>
          </cell>
          <cell r="E734">
            <v>0.45108716933419635</v>
          </cell>
          <cell r="F734">
            <v>1.1376734938025725</v>
          </cell>
          <cell r="G734">
            <v>1.8625417008609857</v>
          </cell>
          <cell r="H734">
            <v>2.2620853805654182</v>
          </cell>
          <cell r="I734">
            <v>2.8059148972481571</v>
          </cell>
          <cell r="J734">
            <v>3.3282401395783299</v>
          </cell>
          <cell r="K734">
            <v>3.8056093375120335</v>
          </cell>
          <cell r="L734">
            <v>3.8056419074923165</v>
          </cell>
          <cell r="M734">
            <v>3.8056808584122352</v>
          </cell>
          <cell r="N734">
            <v>3.8056845047719849</v>
          </cell>
          <cell r="O734">
            <v>3.80569294864695</v>
          </cell>
        </row>
        <row r="735">
          <cell r="A735" t="str">
            <v>ITOT-SWHELCHP</v>
          </cell>
          <cell r="B735" t="str">
            <v>VAR_fin</v>
          </cell>
          <cell r="C735" t="str">
            <v>ITOTELCHPC</v>
          </cell>
          <cell r="D735">
            <v>1.1082052879031223</v>
          </cell>
          <cell r="E735">
            <v>1.4008681099447473</v>
          </cell>
          <cell r="F735">
            <v>3.5749949477233427</v>
          </cell>
          <cell r="G735">
            <v>5.9671490004075141</v>
          </cell>
          <cell r="H735">
            <v>7.3860704657650844</v>
          </cell>
          <cell r="I735">
            <v>9.3340249946370974</v>
          </cell>
          <cell r="J735">
            <v>11.275899105017807</v>
          </cell>
          <cell r="K735">
            <v>13.126839026487145</v>
          </cell>
          <cell r="L735">
            <v>13.126951371410195</v>
          </cell>
          <cell r="M735">
            <v>13.127085726361095</v>
          </cell>
          <cell r="N735">
            <v>13.127098303894227</v>
          </cell>
          <cell r="O735">
            <v>13.127127429686603</v>
          </cell>
        </row>
        <row r="736">
          <cell r="A736" t="str">
            <v>ITOT-SWHELCHP</v>
          </cell>
          <cell r="B736" t="str">
            <v>VAR_ncap</v>
          </cell>
          <cell r="C736" t="str">
            <v>-</v>
          </cell>
          <cell r="E736">
            <v>1.6463258424131402E-2</v>
          </cell>
          <cell r="F736">
            <v>0.118143929626912</v>
          </cell>
          <cell r="G736">
            <v>0.13227898558557</v>
          </cell>
          <cell r="H736">
            <v>0.131409426364652</v>
          </cell>
          <cell r="I736">
            <v>0.24999530133643399</v>
          </cell>
          <cell r="J736">
            <v>0.24269924587421099</v>
          </cell>
          <cell r="K736">
            <v>0.234551456799346</v>
          </cell>
          <cell r="L736">
            <v>0.241873386015546</v>
          </cell>
          <cell r="M736">
            <v>0.24397746541552201</v>
          </cell>
          <cell r="N736">
            <v>0.26616548382112798</v>
          </cell>
          <cell r="O736">
            <v>0.20472108336718001</v>
          </cell>
        </row>
        <row r="737">
          <cell r="A737" t="str">
            <v>ITOT-SWHELCHP</v>
          </cell>
          <cell r="B737" t="str">
            <v>VAR_cap</v>
          </cell>
          <cell r="C737" t="str">
            <v>-</v>
          </cell>
          <cell r="D737">
            <v>6.02631234918991E-2</v>
          </cell>
          <cell r="E737">
            <v>7.6725560271208956E-2</v>
          </cell>
          <cell r="F737">
            <v>0.19486715344118713</v>
          </cell>
          <cell r="G737">
            <v>0.32714266185190077</v>
          </cell>
          <cell r="H737">
            <v>0.40588082617048382</v>
          </cell>
          <cell r="I737">
            <v>0.51331487415713195</v>
          </cell>
          <cell r="J737">
            <v>0.62409586184418109</v>
          </cell>
          <cell r="K737">
            <v>0.72722904546982059</v>
          </cell>
          <cell r="L737">
            <v>0.725359371092133</v>
          </cell>
          <cell r="M737">
            <v>0.72038426423315371</v>
          </cell>
          <cell r="N737">
            <v>0.7168542200745962</v>
          </cell>
          <cell r="O737">
            <v>0.71483806933280813</v>
          </cell>
        </row>
        <row r="738">
          <cell r="A738" t="str">
            <v>RHES-SHCONBR8</v>
          </cell>
          <cell r="B738" t="str">
            <v>VAR_fout</v>
          </cell>
          <cell r="C738" t="str">
            <v>RHES-SHCON</v>
          </cell>
          <cell r="E738">
            <v>1.3861201287270475E-4</v>
          </cell>
          <cell r="F738">
            <v>1.4683593147098942E-4</v>
          </cell>
          <cell r="G738">
            <v>1.5001732805938937E-4</v>
          </cell>
          <cell r="H738">
            <v>1.5022969842840158E-4</v>
          </cell>
          <cell r="I738">
            <v>1.4999150875561672E-4</v>
          </cell>
          <cell r="J738">
            <v>1.49639104330889E-4</v>
          </cell>
          <cell r="K738">
            <v>2.2217748636759894E-4</v>
          </cell>
          <cell r="L738">
            <v>1.5730258106710484E-4</v>
          </cell>
          <cell r="M738">
            <v>2.2805524649504495E-4</v>
          </cell>
          <cell r="N738">
            <v>2.4174249111252782E-4</v>
          </cell>
          <cell r="O738">
            <v>2.4099853043473682E-4</v>
          </cell>
        </row>
        <row r="739">
          <cell r="A739" t="str">
            <v>RHES-SHCONBR8</v>
          </cell>
          <cell r="B739" t="str">
            <v>VAR_fin</v>
          </cell>
          <cell r="C739" t="str">
            <v>CON</v>
          </cell>
          <cell r="E739">
            <v>1.3861201287270475E-4</v>
          </cell>
          <cell r="F739">
            <v>1.4683593147098942E-4</v>
          </cell>
          <cell r="G739">
            <v>1.5001732805938937E-4</v>
          </cell>
          <cell r="H739">
            <v>1.5022969842840158E-4</v>
          </cell>
          <cell r="I739">
            <v>1.4999150875561672E-4</v>
          </cell>
          <cell r="J739">
            <v>1.49639104330889E-4</v>
          </cell>
          <cell r="K739">
            <v>2.2217748636759894E-4</v>
          </cell>
          <cell r="L739">
            <v>1.5730258106710484E-4</v>
          </cell>
          <cell r="M739">
            <v>2.2805524649504495E-4</v>
          </cell>
          <cell r="N739">
            <v>2.4174249111252782E-4</v>
          </cell>
          <cell r="O739">
            <v>2.4099853043473682E-4</v>
          </cell>
        </row>
        <row r="740">
          <cell r="A740" t="str">
            <v>RHES-SHCONBR8</v>
          </cell>
          <cell r="B740" t="str">
            <v>VAR_ncap</v>
          </cell>
          <cell r="C740" t="str">
            <v>-</v>
          </cell>
          <cell r="E740">
            <v>9.0141913620807398E-6</v>
          </cell>
          <cell r="F740">
            <v>7.8158724912035605E-7</v>
          </cell>
          <cell r="G740">
            <v>3.5169381851164499E-7</v>
          </cell>
          <cell r="H740">
            <v>1.16690375549631E-7</v>
          </cell>
          <cell r="I740">
            <v>7.7626994650621706E-8</v>
          </cell>
          <cell r="J740">
            <v>7.2922567407241994E-8</v>
          </cell>
          <cell r="K740">
            <v>8.8619020220025595E-6</v>
          </cell>
          <cell r="L740">
            <v>1.4145350011690999E-6</v>
          </cell>
          <cell r="M740">
            <v>6.2193035549447703E-6</v>
          </cell>
          <cell r="N740">
            <v>1.2148435042143199E-6</v>
          </cell>
          <cell r="O740">
            <v>1.16985638614857E-7</v>
          </cell>
        </row>
        <row r="741">
          <cell r="A741" t="str">
            <v>RHES-SHCONBR8</v>
          </cell>
          <cell r="B741" t="str">
            <v>VAR_cap</v>
          </cell>
          <cell r="C741" t="str">
            <v>-</v>
          </cell>
          <cell r="E741">
            <v>9.0141913620807398E-6</v>
          </cell>
          <cell r="F741">
            <v>9.7957786112010906E-6</v>
          </cell>
          <cell r="G741">
            <v>1.01474724297127E-5</v>
          </cell>
          <cell r="H741">
            <v>1.02641628052624E-5</v>
          </cell>
          <cell r="I741">
            <v>1.0341789799913E-5</v>
          </cell>
          <cell r="J741">
            <v>1.04147123673202E-5</v>
          </cell>
          <cell r="K741">
            <v>1.63457657644107E-5</v>
          </cell>
          <cell r="L741">
            <v>1.1038269199380999E-5</v>
          </cell>
          <cell r="M741">
            <v>1.6762980515723901E-5</v>
          </cell>
          <cell r="N741">
            <v>1.7869649564467099E-5</v>
          </cell>
          <cell r="O741">
            <v>1.7900492288352899E-5</v>
          </cell>
        </row>
        <row r="742">
          <cell r="A742" t="str">
            <v>RHEM-SHWODBR</v>
          </cell>
          <cell r="B742" t="str">
            <v>VAR_fout</v>
          </cell>
          <cell r="C742" t="str">
            <v>RHEM-SHWOD</v>
          </cell>
          <cell r="D742">
            <v>4.7439452589129001</v>
          </cell>
          <cell r="E742">
            <v>5.4387204561371991</v>
          </cell>
          <cell r="F742">
            <v>4.0665960218807502</v>
          </cell>
          <cell r="G742">
            <v>3.3192492961777522</v>
          </cell>
          <cell r="H742">
            <v>2.5051720833522397</v>
          </cell>
          <cell r="I742">
            <v>2.4779428279955162</v>
          </cell>
          <cell r="J742">
            <v>2.4510212858109992</v>
          </cell>
          <cell r="K742">
            <v>2.424384743623675</v>
          </cell>
          <cell r="L742">
            <v>1.0924562393560695</v>
          </cell>
          <cell r="M742">
            <v>0.93975834669144198</v>
          </cell>
          <cell r="N742">
            <v>0.92444111348911484</v>
          </cell>
          <cell r="O742">
            <v>0.74195430087899694</v>
          </cell>
        </row>
        <row r="743">
          <cell r="A743" t="str">
            <v>RHEM-SHWODBR</v>
          </cell>
          <cell r="B743" t="str">
            <v>VAR_fin</v>
          </cell>
          <cell r="C743" t="str">
            <v>RHEMWODBRC</v>
          </cell>
          <cell r="D743">
            <v>4.7439452589129001</v>
          </cell>
          <cell r="E743">
            <v>5.4387204561371991</v>
          </cell>
          <cell r="F743">
            <v>4.0665960218807502</v>
          </cell>
          <cell r="G743">
            <v>3.3192492961777522</v>
          </cell>
          <cell r="H743">
            <v>2.5051720833522397</v>
          </cell>
          <cell r="I743">
            <v>2.4779428279955162</v>
          </cell>
          <cell r="J743">
            <v>2.4510212858109992</v>
          </cell>
          <cell r="K743">
            <v>2.424384743623675</v>
          </cell>
          <cell r="L743">
            <v>1.0924562393560695</v>
          </cell>
          <cell r="M743">
            <v>0.93975834669144198</v>
          </cell>
          <cell r="N743">
            <v>0.92444111348911484</v>
          </cell>
          <cell r="O743">
            <v>0.74195430087899694</v>
          </cell>
        </row>
        <row r="744">
          <cell r="A744" t="str">
            <v>RHEM-SHWODBR</v>
          </cell>
          <cell r="B744" t="str">
            <v>VAR_fin</v>
          </cell>
          <cell r="C744" t="str">
            <v>RWOD</v>
          </cell>
          <cell r="D744">
            <v>6.5888128596012514</v>
          </cell>
          <cell r="E744">
            <v>7.5537784113016704</v>
          </cell>
          <cell r="F744">
            <v>5.6480500303899284</v>
          </cell>
          <cell r="G744">
            <v>4.6100684669135514</v>
          </cell>
          <cell r="H744">
            <v>3.4794056713225552</v>
          </cell>
          <cell r="I744">
            <v>3.441587261104885</v>
          </cell>
          <cell r="J744">
            <v>3.4041962302930555</v>
          </cell>
          <cell r="K744">
            <v>3.3672010328106592</v>
          </cell>
          <cell r="L744">
            <v>1.5173003324389853</v>
          </cell>
          <cell r="M744">
            <v>1.3052199259603359</v>
          </cell>
          <cell r="N744">
            <v>1.283945990957104</v>
          </cell>
          <cell r="O744">
            <v>1.0304920845541625</v>
          </cell>
        </row>
        <row r="745">
          <cell r="A745" t="str">
            <v>RHEM-SHWODBR</v>
          </cell>
          <cell r="B745" t="str">
            <v>VAR_ncap</v>
          </cell>
          <cell r="C745" t="str">
            <v>-</v>
          </cell>
          <cell r="D745">
            <v>1.53368657545411E-4</v>
          </cell>
          <cell r="E745">
            <v>4.8874910014855E-2</v>
          </cell>
          <cell r="F745">
            <v>3.07598670948663E-6</v>
          </cell>
          <cell r="G745">
            <v>7.9386303825902295E-6</v>
          </cell>
          <cell r="H745">
            <v>6.5418350187537402E-2</v>
          </cell>
          <cell r="I745">
            <v>0.109960337720847</v>
          </cell>
          <cell r="J745">
            <v>5.9267309343132304E-6</v>
          </cell>
          <cell r="K745">
            <v>6.2916276540166197E-2</v>
          </cell>
          <cell r="L745">
            <v>1.5930458666476E-5</v>
          </cell>
          <cell r="M745">
            <v>3.9174845194941401E-3</v>
          </cell>
          <cell r="N745">
            <v>5.1004932429543501E-2</v>
          </cell>
          <cell r="O745">
            <v>2.91975025079918E-5</v>
          </cell>
        </row>
        <row r="746">
          <cell r="A746" t="str">
            <v>RHEM-SHWODBR</v>
          </cell>
          <cell r="B746" t="str">
            <v>VAR_cap</v>
          </cell>
          <cell r="C746" t="str">
            <v>-</v>
          </cell>
          <cell r="D746">
            <v>0.33522514761253841</v>
          </cell>
          <cell r="E746">
            <v>0.3840998270146227</v>
          </cell>
          <cell r="F746">
            <v>0.38409025487310139</v>
          </cell>
          <cell r="G746">
            <v>0.38409073320002857</v>
          </cell>
          <cell r="H746">
            <v>0.17739607938569854</v>
          </cell>
          <cell r="I746">
            <v>0.17538327569800016</v>
          </cell>
          <cell r="J746">
            <v>0.17537220205935128</v>
          </cell>
          <cell r="K746">
            <v>0.17287851337996343</v>
          </cell>
          <cell r="L746">
            <v>7.98285670446061E-2</v>
          </cell>
          <cell r="M746">
            <v>6.6843566374282612E-2</v>
          </cell>
          <cell r="N746">
            <v>6.6069414094375778E-2</v>
          </cell>
          <cell r="O746">
            <v>5.494362122683278E-2</v>
          </cell>
        </row>
        <row r="747">
          <cell r="A747" t="str">
            <v>RHES-SHCONBR9</v>
          </cell>
          <cell r="B747" t="str">
            <v>VAR_fout</v>
          </cell>
          <cell r="C747" t="str">
            <v>RHES-SHCON</v>
          </cell>
          <cell r="E747">
            <v>3.4022729067376905E-5</v>
          </cell>
          <cell r="F747">
            <v>5.5041430491871368E-5</v>
          </cell>
          <cell r="G747">
            <v>5.7754914099738641E-5</v>
          </cell>
          <cell r="H747">
            <v>5.7167349481991425E-5</v>
          </cell>
          <cell r="I747">
            <v>5.6294540158524355E-5</v>
          </cell>
          <cell r="J747">
            <v>5.5549535352992473E-5</v>
          </cell>
          <cell r="K747">
            <v>7.2013690719092263E-5</v>
          </cell>
          <cell r="L747">
            <v>5.3881651451959727E-5</v>
          </cell>
          <cell r="M747">
            <v>8.1730590642143774E-5</v>
          </cell>
          <cell r="N747">
            <v>8.7006013001149148E-5</v>
          </cell>
          <cell r="O747">
            <v>9.1163923895849793E-5</v>
          </cell>
        </row>
        <row r="748">
          <cell r="A748" t="str">
            <v>RHES-SHCONBR9</v>
          </cell>
          <cell r="B748" t="str">
            <v>VAR_fin</v>
          </cell>
          <cell r="C748" t="str">
            <v>CON</v>
          </cell>
          <cell r="E748">
            <v>3.4022729067376905E-5</v>
          </cell>
          <cell r="F748">
            <v>5.5041430491871368E-5</v>
          </cell>
          <cell r="G748">
            <v>5.7754914099738641E-5</v>
          </cell>
          <cell r="H748">
            <v>5.7167349481991425E-5</v>
          </cell>
          <cell r="I748">
            <v>5.6294540158524355E-5</v>
          </cell>
          <cell r="J748">
            <v>5.5549535352992473E-5</v>
          </cell>
          <cell r="K748">
            <v>7.2013690719092263E-5</v>
          </cell>
          <cell r="L748">
            <v>5.3881651451959727E-5</v>
          </cell>
          <cell r="M748">
            <v>8.1730590642143774E-5</v>
          </cell>
          <cell r="N748">
            <v>8.7006013001149148E-5</v>
          </cell>
          <cell r="O748">
            <v>9.1163923895849793E-5</v>
          </cell>
        </row>
        <row r="749">
          <cell r="A749" t="str">
            <v>RHES-SHCONBR9</v>
          </cell>
          <cell r="B749" t="str">
            <v>VAR_ncap</v>
          </cell>
          <cell r="C749" t="str">
            <v>-</v>
          </cell>
          <cell r="E749">
            <v>5.5746899661852997E-7</v>
          </cell>
          <cell r="F749">
            <v>1.8033308525312299E-6</v>
          </cell>
          <cell r="G749">
            <v>3.15818345844425E-7</v>
          </cell>
          <cell r="H749">
            <v>5.2293472762013903E-8</v>
          </cell>
          <cell r="I749">
            <v>2.7446308940338899E-8</v>
          </cell>
          <cell r="J749">
            <v>3.9759006297875601E-8</v>
          </cell>
          <cell r="K749">
            <v>1.5792402956354799E-6</v>
          </cell>
          <cell r="L749">
            <v>1.87353355104744E-7</v>
          </cell>
          <cell r="M749">
            <v>3.0306098756677002E-6</v>
          </cell>
          <cell r="N749">
            <v>4.7619550285351897E-7</v>
          </cell>
          <cell r="O749">
            <v>3.99311282515084E-7</v>
          </cell>
        </row>
        <row r="750">
          <cell r="A750" t="str">
            <v>RHES-SHCONBR9</v>
          </cell>
          <cell r="B750" t="str">
            <v>VAR_cap</v>
          </cell>
          <cell r="C750" t="str">
            <v>-</v>
          </cell>
          <cell r="E750">
            <v>5.5746899661852997E-7</v>
          </cell>
          <cell r="F750">
            <v>2.3607998491497602E-6</v>
          </cell>
          <cell r="G750">
            <v>2.6766181949941902E-6</v>
          </cell>
          <cell r="H750">
            <v>2.7289116677562E-6</v>
          </cell>
          <cell r="I750">
            <v>2.7563579766965402E-6</v>
          </cell>
          <cell r="J750">
            <v>2.7961169829944101E-6</v>
          </cell>
          <cell r="K750">
            <v>4.19410338945204E-6</v>
          </cell>
          <cell r="L750">
            <v>2.6645957047655E-6</v>
          </cell>
          <cell r="M750">
            <v>4.91670231440815E-6</v>
          </cell>
          <cell r="N750">
            <v>5.3455699461347004E-6</v>
          </cell>
          <cell r="O750">
            <v>5.7124693180743998E-6</v>
          </cell>
        </row>
        <row r="751">
          <cell r="A751" t="str">
            <v>D-RHNS_LTH_CHPNGA</v>
          </cell>
          <cell r="B751" t="str">
            <v>VAR_fout</v>
          </cell>
          <cell r="C751" t="str">
            <v>RHSA_LTH</v>
          </cell>
          <cell r="D751">
            <v>9.755318737978601E-6</v>
          </cell>
          <cell r="E751">
            <v>3.5329736555455987E-3</v>
          </cell>
          <cell r="F751">
            <v>5.6512677876010299E-5</v>
          </cell>
          <cell r="G751">
            <v>5.6074915249778386E-4</v>
          </cell>
          <cell r="H751">
            <v>4.7671903632016481E-5</v>
          </cell>
          <cell r="I751">
            <v>1.7358777867394737E-4</v>
          </cell>
          <cell r="J751">
            <v>1.6357497684709226E-5</v>
          </cell>
          <cell r="K751">
            <v>1.7470154025059844E-5</v>
          </cell>
          <cell r="L751">
            <v>8.643408317836076E-4</v>
          </cell>
          <cell r="M751">
            <v>2.464347180707163E-4</v>
          </cell>
          <cell r="N751">
            <v>2.2761791290172263E-3</v>
          </cell>
          <cell r="O751">
            <v>1.663560720981857E-4</v>
          </cell>
        </row>
        <row r="752">
          <cell r="A752" t="str">
            <v>D-RHNS_LTH_CHPNGA</v>
          </cell>
          <cell r="B752" t="str">
            <v>VAR_fout</v>
          </cell>
          <cell r="C752" t="str">
            <v>LTH</v>
          </cell>
          <cell r="E752">
            <v>2.4364426553848489E-5</v>
          </cell>
          <cell r="F752">
            <v>2.9691653199994224E-5</v>
          </cell>
          <cell r="G752">
            <v>3.352344496158844E-5</v>
          </cell>
          <cell r="H752">
            <v>3.5855633449346838E-5</v>
          </cell>
          <cell r="I752">
            <v>3.4580203397469702E-5</v>
          </cell>
          <cell r="J752">
            <v>1.4248403076677582E-5</v>
          </cell>
          <cell r="K752">
            <v>1.3724446526008217E-5</v>
          </cell>
          <cell r="L752">
            <v>4.095797224006206E-5</v>
          </cell>
          <cell r="M752">
            <v>4.9378978045297475E-5</v>
          </cell>
          <cell r="N752">
            <v>4.8995416111378557E-5</v>
          </cell>
          <cell r="O752">
            <v>7.7744458585491541E-5</v>
          </cell>
        </row>
        <row r="753">
          <cell r="A753" t="str">
            <v>D-RHNS_LTH_CHPNGA</v>
          </cell>
          <cell r="B753" t="str">
            <v>VAR_fout</v>
          </cell>
          <cell r="C753" t="str">
            <v>RHNS_LTH_CHPNGA_ON</v>
          </cell>
          <cell r="D753">
            <v>1.2417686915365229E-5</v>
          </cell>
          <cell r="E753">
            <v>4.3363620244446883E-3</v>
          </cell>
          <cell r="F753">
            <v>9.2934199775578027E-3</v>
          </cell>
          <cell r="G753">
            <v>8.2487340425812707E-3</v>
          </cell>
          <cell r="H753">
            <v>9.035968281625199E-3</v>
          </cell>
          <cell r="I753">
            <v>5.3850941601663376E-3</v>
          </cell>
          <cell r="J753">
            <v>1.0197639145500474E-5</v>
          </cell>
          <cell r="K753">
            <v>6.2663280185678689E-6</v>
          </cell>
          <cell r="L753">
            <v>5.1813362795275868E-3</v>
          </cell>
          <cell r="M753">
            <v>8.108932060340298E-3</v>
          </cell>
          <cell r="N753">
            <v>5.3072604001776985E-3</v>
          </cell>
          <cell r="O753">
            <v>1.5446600515638622E-2</v>
          </cell>
        </row>
        <row r="754">
          <cell r="A754" t="str">
            <v>D-RHNS_LTH_CHPNGA</v>
          </cell>
          <cell r="B754" t="str">
            <v>VAR_fin</v>
          </cell>
          <cell r="C754" t="str">
            <v>RHNS_LTH_CHPNGA</v>
          </cell>
          <cell r="D754">
            <v>2.217300565334382E-5</v>
          </cell>
          <cell r="E754">
            <v>7.8937001065441346E-3</v>
          </cell>
          <cell r="F754">
            <v>9.3796243086338039E-3</v>
          </cell>
          <cell r="G754">
            <v>8.8430066400406512E-3</v>
          </cell>
          <cell r="H754">
            <v>9.1194958187065609E-3</v>
          </cell>
          <cell r="I754">
            <v>5.5932621422377544E-3</v>
          </cell>
          <cell r="J754">
            <v>4.0803539906887314E-5</v>
          </cell>
          <cell r="K754">
            <v>3.7460928569635921E-5</v>
          </cell>
          <cell r="L754">
            <v>6.0866350835512588E-3</v>
          </cell>
          <cell r="M754">
            <v>8.4047457564563194E-3</v>
          </cell>
          <cell r="N754">
            <v>7.6324349453063068E-3</v>
          </cell>
          <cell r="O754">
            <v>1.5690701046322288E-2</v>
          </cell>
        </row>
        <row r="755">
          <cell r="A755" t="str">
            <v>D-SLFO</v>
          </cell>
          <cell r="B755" t="str">
            <v>VAR_fout</v>
          </cell>
          <cell r="C755" t="str">
            <v>CO2</v>
          </cell>
          <cell r="D755">
            <v>2267.7912033932098</v>
          </cell>
          <cell r="E755">
            <v>1917.10179578306</v>
          </cell>
          <cell r="F755">
            <v>1421.14650759299</v>
          </cell>
          <cell r="G755">
            <v>1183.84724745722</v>
          </cell>
          <cell r="H755">
            <v>654.287672917892</v>
          </cell>
          <cell r="I755">
            <v>446.98079735812797</v>
          </cell>
          <cell r="J755">
            <v>236.530616007188</v>
          </cell>
          <cell r="K755">
            <v>1.14858267641788E-3</v>
          </cell>
          <cell r="L755">
            <v>4.5606776941552601E-3</v>
          </cell>
          <cell r="M755">
            <v>6.2137141471691497E-3</v>
          </cell>
          <cell r="N755">
            <v>6.17023845911831E-3</v>
          </cell>
          <cell r="O755">
            <v>7.7788023958315902E-3</v>
          </cell>
        </row>
        <row r="756">
          <cell r="A756" t="str">
            <v>D-SLFO</v>
          </cell>
          <cell r="B756" t="str">
            <v>VAR_fout</v>
          </cell>
          <cell r="C756" t="str">
            <v>SLFO</v>
          </cell>
          <cell r="D756">
            <v>30.256668214695765</v>
          </cell>
          <cell r="E756">
            <v>25.577801378722434</v>
          </cell>
          <cell r="F756">
            <v>18.960812120930751</v>
          </cell>
          <cell r="G756">
            <v>15.795182603870595</v>
          </cell>
          <cell r="H756">
            <v>8.731524149540336</v>
          </cell>
          <cell r="I756">
            <v>5.9647793550804815</v>
          </cell>
          <cell r="J756">
            <v>3.1573232631014565</v>
          </cell>
          <cell r="K756">
            <v>0.85505935585326975</v>
          </cell>
          <cell r="L756">
            <v>0.84191286857331538</v>
          </cell>
          <cell r="M756">
            <v>0.8480977492886691</v>
          </cell>
          <cell r="N756">
            <v>0.84840575331989188</v>
          </cell>
          <cell r="O756">
            <v>0.84894854713631629</v>
          </cell>
        </row>
        <row r="757">
          <cell r="A757" t="str">
            <v>D-SLFO</v>
          </cell>
          <cell r="B757" t="str">
            <v>VAR_fin</v>
          </cell>
          <cell r="C757" t="str">
            <v>LFO</v>
          </cell>
          <cell r="D757">
            <v>30.770572637628316</v>
          </cell>
          <cell r="E757">
            <v>26.012236035048272</v>
          </cell>
          <cell r="F757">
            <v>19.282856276702667</v>
          </cell>
          <cell r="G757">
            <v>16.063056274860561</v>
          </cell>
          <cell r="H757">
            <v>8.8777160504463097</v>
          </cell>
          <cell r="I757">
            <v>6.0648683494997</v>
          </cell>
          <cell r="J757">
            <v>3.2093706378180151</v>
          </cell>
          <cell r="K757">
            <v>1.558456820105671E-5</v>
          </cell>
          <cell r="L757">
            <v>6.188165120970507E-5</v>
          </cell>
          <cell r="M757">
            <v>8.4310911087776753E-5</v>
          </cell>
          <cell r="N757">
            <v>8.372101030011278E-5</v>
          </cell>
          <cell r="O757">
            <v>1.055468439054491E-4</v>
          </cell>
        </row>
        <row r="758">
          <cell r="A758" t="str">
            <v>D-SLFO</v>
          </cell>
          <cell r="B758" t="str">
            <v>VAR_fin</v>
          </cell>
          <cell r="C758" t="str">
            <v>BDS</v>
          </cell>
          <cell r="F758">
            <v>7.503948678514055E-6</v>
          </cell>
          <cell r="G758">
            <v>4.103465119364821E-4</v>
          </cell>
          <cell r="H758">
            <v>2.1171086340652989E-3</v>
          </cell>
          <cell r="I758">
            <v>1.2281358062012837E-3</v>
          </cell>
          <cell r="J758">
            <v>1.5863369025985344E-3</v>
          </cell>
          <cell r="K758">
            <v>0.86957417096163292</v>
          </cell>
          <cell r="L758">
            <v>0.85615631816823901</v>
          </cell>
          <cell r="M758">
            <v>0.86242381878287389</v>
          </cell>
          <cell r="N758">
            <v>0.86273818498879129</v>
          </cell>
          <cell r="O758">
            <v>0.86327016561600545</v>
          </cell>
        </row>
        <row r="759">
          <cell r="A759" t="str">
            <v>D-RCOA</v>
          </cell>
          <cell r="B759" t="str">
            <v>VAR_fout</v>
          </cell>
          <cell r="C759" t="str">
            <v>CO2</v>
          </cell>
          <cell r="D759">
            <v>9.2734687306682098</v>
          </cell>
          <cell r="E759">
            <v>9.2734095249760404</v>
          </cell>
          <cell r="F759">
            <v>0.72537559086567005</v>
          </cell>
          <cell r="G759">
            <v>0.35033544648981302</v>
          </cell>
          <cell r="H759">
            <v>0.13533324454592899</v>
          </cell>
        </row>
        <row r="760">
          <cell r="A760" t="str">
            <v>D-RCOA</v>
          </cell>
          <cell r="B760" t="str">
            <v>VAR_fout</v>
          </cell>
          <cell r="C760" t="str">
            <v>RCOA</v>
          </cell>
          <cell r="D760">
            <v>0.10003741888530976</v>
          </cell>
          <cell r="E760">
            <v>0.10003678020470393</v>
          </cell>
          <cell r="F760">
            <v>7.8249794052391505E-3</v>
          </cell>
          <cell r="G760">
            <v>3.7792389049602312E-3</v>
          </cell>
          <cell r="H760">
            <v>1.459905550657267E-3</v>
          </cell>
        </row>
        <row r="761">
          <cell r="A761" t="str">
            <v>D-RCOA</v>
          </cell>
          <cell r="B761" t="str">
            <v>VAR_fin</v>
          </cell>
          <cell r="C761" t="str">
            <v>COA</v>
          </cell>
          <cell r="D761">
            <v>0.10003741888530976</v>
          </cell>
          <cell r="E761">
            <v>0.10003678020470393</v>
          </cell>
          <cell r="F761">
            <v>7.8249794052391505E-3</v>
          </cell>
          <cell r="G761">
            <v>3.7792389049602312E-3</v>
          </cell>
          <cell r="H761">
            <v>1.459905550657267E-3</v>
          </cell>
        </row>
        <row r="762">
          <cell r="A762" t="str">
            <v>SCOM-ELCSPECDC</v>
          </cell>
          <cell r="B762" t="str">
            <v>VAR_fout</v>
          </cell>
          <cell r="C762" t="str">
            <v>SCOM-ELSDC</v>
          </cell>
          <cell r="F762">
            <v>10.166015736999416</v>
          </cell>
          <cell r="G762">
            <v>9.4002629187538513</v>
          </cell>
          <cell r="H762">
            <v>9.4002629187538513</v>
          </cell>
          <cell r="I762">
            <v>8.5871820412315873</v>
          </cell>
          <cell r="J762">
            <v>8.1145446338317555</v>
          </cell>
          <cell r="K762">
            <v>7.6419072264318952</v>
          </cell>
          <cell r="L762">
            <v>7.6419072264318952</v>
          </cell>
          <cell r="M762">
            <v>7.6419072264318952</v>
          </cell>
          <cell r="N762">
            <v>7.6419072264318952</v>
          </cell>
          <cell r="O762">
            <v>7.6419072264318952</v>
          </cell>
        </row>
        <row r="763">
          <cell r="A763" t="str">
            <v>SCOM-ELCSPECDC</v>
          </cell>
          <cell r="B763" t="str">
            <v>VAR_fin</v>
          </cell>
          <cell r="C763" t="str">
            <v>SCOM_ELC</v>
          </cell>
          <cell r="F763">
            <v>10.166015736999416</v>
          </cell>
          <cell r="G763">
            <v>9.4002629187538513</v>
          </cell>
          <cell r="H763">
            <v>9.4002629187538513</v>
          </cell>
          <cell r="I763">
            <v>8.5871820412315873</v>
          </cell>
          <cell r="J763">
            <v>8.1145446338317555</v>
          </cell>
          <cell r="K763">
            <v>7.6419072264318952</v>
          </cell>
          <cell r="L763">
            <v>7.6419072264318952</v>
          </cell>
          <cell r="M763">
            <v>7.6419072264318952</v>
          </cell>
          <cell r="N763">
            <v>7.6419072264318952</v>
          </cell>
          <cell r="O763">
            <v>7.6419072264318952</v>
          </cell>
        </row>
        <row r="764">
          <cell r="A764" t="str">
            <v>D-RHEM_KEV_WOD_ELC_CHP</v>
          </cell>
          <cell r="B764" t="str">
            <v>VAR_fout</v>
          </cell>
          <cell r="C764" t="str">
            <v>ELC5</v>
          </cell>
          <cell r="G764">
            <v>9.327359858760766E-4</v>
          </cell>
          <cell r="H764">
            <v>2.3811467606877014E-3</v>
          </cell>
          <cell r="I764">
            <v>3.0973481089632354E-2</v>
          </cell>
          <cell r="J764">
            <v>5.7219083820837298E-2</v>
          </cell>
          <cell r="K764">
            <v>9.9290328822588231E-2</v>
          </cell>
          <cell r="L764">
            <v>9.3312803962193963E-2</v>
          </cell>
          <cell r="M764">
            <v>6.5719531044779844E-2</v>
          </cell>
          <cell r="N764">
            <v>5.1090500757983805E-2</v>
          </cell>
          <cell r="O764">
            <v>1.7638812951891444E-2</v>
          </cell>
        </row>
        <row r="765">
          <cell r="A765" t="str">
            <v>D-RHEM_KEV_WOD_ELC_CHP</v>
          </cell>
          <cell r="B765" t="str">
            <v>VAR_fout</v>
          </cell>
          <cell r="C765" t="str">
            <v>RHEM_ELC</v>
          </cell>
          <cell r="G765">
            <v>9.3184483665896566E-4</v>
          </cell>
          <cell r="H765">
            <v>2.3785754031788891E-3</v>
          </cell>
          <cell r="I765">
            <v>3.0958771597673265E-2</v>
          </cell>
          <cell r="J765">
            <v>5.7164540806245417E-2</v>
          </cell>
          <cell r="K765">
            <v>9.9300390559467322E-2</v>
          </cell>
          <cell r="L765">
            <v>9.3369022235269425E-2</v>
          </cell>
          <cell r="M765">
            <v>6.5754194038148375E-2</v>
          </cell>
          <cell r="N765">
            <v>5.1090883173858556E-2</v>
          </cell>
          <cell r="O765">
            <v>1.7640920108950148E-2</v>
          </cell>
        </row>
        <row r="766">
          <cell r="A766" t="str">
            <v>D-RHEM_KEV_WOD_ELC_CHP</v>
          </cell>
          <cell r="B766" t="str">
            <v>VAR_fin</v>
          </cell>
          <cell r="C766" t="str">
            <v>RHEM_KEV_WOD_ELC_CHP</v>
          </cell>
          <cell r="G766">
            <v>1.8361588445276486E-3</v>
          </cell>
          <cell r="H766">
            <v>4.731300185859196E-3</v>
          </cell>
          <cell r="I766">
            <v>6.1903830709298231E-2</v>
          </cell>
          <cell r="J766">
            <v>0.11435639405812209</v>
          </cell>
          <cell r="K766">
            <v>0.19856225208204645</v>
          </cell>
          <cell r="L766">
            <v>0.18665340421945614</v>
          </cell>
          <cell r="M766">
            <v>0.13144530310492086</v>
          </cell>
          <cell r="N766">
            <v>0.10215296195383493</v>
          </cell>
          <cell r="O766">
            <v>3.5250961665125362E-2</v>
          </cell>
        </row>
        <row r="767">
          <cell r="A767" t="str">
            <v>RHES-SHSTG-SOL</v>
          </cell>
          <cell r="B767" t="str">
            <v>VAR_fout</v>
          </cell>
          <cell r="C767" t="str">
            <v>RHES-SHASOL</v>
          </cell>
          <cell r="D767">
            <v>2.8675357358674745E-5</v>
          </cell>
          <cell r="E767">
            <v>1.4129263083937325E-5</v>
          </cell>
          <cell r="F767">
            <v>6.2435920292253824E-2</v>
          </cell>
          <cell r="G767">
            <v>5.9953369271862629E-2</v>
          </cell>
          <cell r="H767">
            <v>6.2409114177746111E-2</v>
          </cell>
          <cell r="I767">
            <v>6.7322582694435737E-2</v>
          </cell>
          <cell r="J767">
            <v>0.11951496531203376</v>
          </cell>
          <cell r="K767">
            <v>0.26022958155771991</v>
          </cell>
          <cell r="L767">
            <v>0.19577459529956123</v>
          </cell>
          <cell r="M767">
            <v>7.8025961816619261E-3</v>
          </cell>
          <cell r="N767">
            <v>0.20332808482241202</v>
          </cell>
          <cell r="O767">
            <v>0.19824497993151574</v>
          </cell>
        </row>
        <row r="768">
          <cell r="A768" t="str">
            <v>RHES-SHSTG-SOL</v>
          </cell>
          <cell r="B768" t="str">
            <v>VAR_fin</v>
          </cell>
          <cell r="C768" t="str">
            <v>RHES-SHASOL</v>
          </cell>
          <cell r="D768">
            <v>2.3886152235204058E-7</v>
          </cell>
          <cell r="E768">
            <v>1.8113580577081976E-6</v>
          </cell>
          <cell r="F768">
            <v>6.2428126115966515E-2</v>
          </cell>
          <cell r="G768">
            <v>5.9945669568089541E-2</v>
          </cell>
          <cell r="H768">
            <v>6.2401559895243534E-2</v>
          </cell>
          <cell r="I768">
            <v>6.7316193928202997E-2</v>
          </cell>
          <cell r="J768">
            <v>0.11951250265650036</v>
          </cell>
          <cell r="K768">
            <v>0.26023721103614483</v>
          </cell>
          <cell r="L768">
            <v>0.19577908109521616</v>
          </cell>
          <cell r="M768">
            <v>7.8027938323381174E-3</v>
          </cell>
          <cell r="N768">
            <v>0.20333357897221244</v>
          </cell>
          <cell r="O768">
            <v>0.19824916823939512</v>
          </cell>
        </row>
        <row r="769">
          <cell r="A769" t="str">
            <v>RHES-SHSTG-SOL</v>
          </cell>
          <cell r="B769" t="str">
            <v>VAR_ncap</v>
          </cell>
          <cell r="C769" t="str">
            <v>-</v>
          </cell>
          <cell r="D769">
            <v>1.0841042261855499E-2</v>
          </cell>
          <cell r="E769">
            <v>3.2866162827275397E-4</v>
          </cell>
          <cell r="F769">
            <v>8.9689589953816301E-7</v>
          </cell>
          <cell r="G769">
            <v>1.3265443662020399E-6</v>
          </cell>
          <cell r="H769">
            <v>7.9485196296394302E-3</v>
          </cell>
          <cell r="I769">
            <v>2.6354234444011799E-3</v>
          </cell>
          <cell r="J769">
            <v>7.3876036720412399E-3</v>
          </cell>
          <cell r="K769">
            <v>2.9924260890326002E-2</v>
          </cell>
          <cell r="L769">
            <v>1.9182854722224699E-3</v>
          </cell>
          <cell r="M769">
            <v>5.5644092631599003E-3</v>
          </cell>
          <cell r="N769">
            <v>2.4023854936489699E-2</v>
          </cell>
          <cell r="O769">
            <v>5.4422009229783E-3</v>
          </cell>
        </row>
        <row r="770">
          <cell r="A770" t="str">
            <v>RHES-SHSTG-SOL</v>
          </cell>
          <cell r="B770" t="str">
            <v>VAR_cap</v>
          </cell>
          <cell r="C770" t="str">
            <v>-</v>
          </cell>
          <cell r="D770">
            <v>1.0841042261855499E-2</v>
          </cell>
          <cell r="E770">
            <v>1.1169703890128301E-2</v>
          </cell>
          <cell r="F770">
            <v>1.1170600786027799E-2</v>
          </cell>
          <cell r="G770">
            <v>1.1171927330394E-2</v>
          </cell>
          <cell r="H770">
            <v>1.0930587259158801E-2</v>
          </cell>
          <cell r="I770">
            <v>1.0585205592899801E-2</v>
          </cell>
          <cell r="J770">
            <v>1.7971546746081798E-2</v>
          </cell>
          <cell r="K770">
            <v>3.99472880067685E-2</v>
          </cell>
          <cell r="L770">
            <v>3.8656269879641499E-2</v>
          </cell>
          <cell r="M770">
            <v>3.74069556257084E-2</v>
          </cell>
          <cell r="N770">
            <v>3.6198669556249702E-2</v>
          </cell>
          <cell r="O770">
            <v>3.5030465122628002E-2</v>
          </cell>
        </row>
        <row r="771">
          <cell r="A771" t="str">
            <v>D-ITOT_LTH</v>
          </cell>
          <cell r="B771" t="str">
            <v>VAR_fout</v>
          </cell>
          <cell r="C771" t="str">
            <v>ITOT_LTH_DH</v>
          </cell>
          <cell r="D771">
            <v>7.1200284219780059</v>
          </cell>
          <cell r="E771">
            <v>7.6289342334814352</v>
          </cell>
          <cell r="F771">
            <v>7.3930135101957442</v>
          </cell>
          <cell r="G771">
            <v>7.8095056383037402</v>
          </cell>
          <cell r="H771">
            <v>7.2442610808675392</v>
          </cell>
          <cell r="I771">
            <v>7.4403285565527542</v>
          </cell>
          <cell r="J771">
            <v>6.7683739720768914</v>
          </cell>
          <cell r="K771">
            <v>8.8335109523221558</v>
          </cell>
          <cell r="L771">
            <v>8.7620610590815176</v>
          </cell>
          <cell r="M771">
            <v>8.373741499204792</v>
          </cell>
          <cell r="N771">
            <v>7.5700258509594329</v>
          </cell>
          <cell r="O771">
            <v>7.1400845578626999</v>
          </cell>
        </row>
        <row r="772">
          <cell r="A772" t="str">
            <v>D-ITOT_LTH</v>
          </cell>
          <cell r="B772" t="str">
            <v>VAR_fin</v>
          </cell>
          <cell r="C772" t="str">
            <v>LTH</v>
          </cell>
          <cell r="D772">
            <v>7.7403665888083211</v>
          </cell>
          <cell r="E772">
            <v>8.2914315645789944</v>
          </cell>
          <cell r="F772">
            <v>8.0318571608418061</v>
          </cell>
          <cell r="G772">
            <v>8.4787705127701791</v>
          </cell>
          <cell r="H772">
            <v>7.8599264170454415</v>
          </cell>
          <cell r="I772">
            <v>8.0673655430529365</v>
          </cell>
          <cell r="J772">
            <v>7.3339744160085534</v>
          </cell>
          <cell r="K772">
            <v>9.5654191244110116</v>
          </cell>
          <cell r="L772">
            <v>9.4880491886142462</v>
          </cell>
          <cell r="M772">
            <v>9.0675550765362711</v>
          </cell>
          <cell r="N772">
            <v>8.1972468747568357</v>
          </cell>
          <cell r="O772">
            <v>7.7316824248389526</v>
          </cell>
        </row>
        <row r="773">
          <cell r="A773" t="str">
            <v>D-ITOT_LTH</v>
          </cell>
          <cell r="B773" t="str">
            <v>VAR_ncap</v>
          </cell>
          <cell r="C773" t="str">
            <v>-</v>
          </cell>
          <cell r="D773">
            <v>0.79549076540918395</v>
          </cell>
          <cell r="E773">
            <v>2.1792171764453301E-7</v>
          </cell>
          <cell r="F773">
            <v>2.4339086796175602E-7</v>
          </cell>
          <cell r="G773">
            <v>2.72644316829052E-7</v>
          </cell>
          <cell r="H773">
            <v>7.8828860801509301E-6</v>
          </cell>
          <cell r="I773">
            <v>4.3662838548134302E-7</v>
          </cell>
          <cell r="J773">
            <v>5.5395541671239204E-7</v>
          </cell>
          <cell r="K773">
            <v>3.8485828493584001E-5</v>
          </cell>
          <cell r="L773">
            <v>8.57690656175801E-7</v>
          </cell>
          <cell r="M773">
            <v>1.60533706720199E-6</v>
          </cell>
          <cell r="N773">
            <v>2.4331545582125502E-6</v>
          </cell>
          <cell r="O773">
            <v>1.7236779733759099E-5</v>
          </cell>
        </row>
        <row r="774">
          <cell r="A774" t="str">
            <v>D-ITOT_LTH</v>
          </cell>
          <cell r="B774" t="str">
            <v>VAR_cap</v>
          </cell>
          <cell r="C774" t="str">
            <v>-</v>
          </cell>
          <cell r="D774">
            <v>0.79549076540918395</v>
          </cell>
          <cell r="E774">
            <v>0.79549098333090196</v>
          </cell>
          <cell r="F774">
            <v>0.79549122672176997</v>
          </cell>
          <cell r="G774">
            <v>0.79549149936608599</v>
          </cell>
          <cell r="H774">
            <v>0.79549938225216599</v>
          </cell>
          <cell r="I774">
            <v>0.79549981888055199</v>
          </cell>
          <cell r="J774">
            <v>0.79550037283596897</v>
          </cell>
          <cell r="K774">
            <v>0.79553885866446195</v>
          </cell>
          <cell r="L774">
            <v>0.795539716355118</v>
          </cell>
          <cell r="M774">
            <v>0.79554132169218505</v>
          </cell>
          <cell r="N774">
            <v>0.795543754846744</v>
          </cell>
          <cell r="O774">
            <v>0.79556099162647698</v>
          </cell>
        </row>
        <row r="775">
          <cell r="A775" t="str">
            <v>D-IH2</v>
          </cell>
          <cell r="B775" t="str">
            <v>VAR_fout</v>
          </cell>
          <cell r="C775" t="str">
            <v>IH2</v>
          </cell>
          <cell r="H775">
            <v>1.0077351904138754</v>
          </cell>
          <cell r="I775">
            <v>1.4980007308254584</v>
          </cell>
          <cell r="J775">
            <v>1.5009841906882628</v>
          </cell>
          <cell r="K775">
            <v>2.7745969659174965</v>
          </cell>
          <cell r="L775">
            <v>11.030489263705464</v>
          </cell>
          <cell r="M775">
            <v>12.346211347092257</v>
          </cell>
          <cell r="N775">
            <v>14.942469901578537</v>
          </cell>
          <cell r="O775">
            <v>15.936255871372635</v>
          </cell>
        </row>
        <row r="776">
          <cell r="A776" t="str">
            <v>D-IH2</v>
          </cell>
          <cell r="B776" t="str">
            <v>VAR_fin</v>
          </cell>
          <cell r="C776" t="str">
            <v>H2</v>
          </cell>
          <cell r="H776">
            <v>1.0154125081141974</v>
          </cell>
          <cell r="I776">
            <v>1.509413081644664</v>
          </cell>
          <cell r="J776">
            <v>1.5124192706623389</v>
          </cell>
          <cell r="K776">
            <v>2.7957349221984011</v>
          </cell>
          <cell r="L776">
            <v>11.114523810948644</v>
          </cell>
          <cell r="M776">
            <v>12.440269575691012</v>
          </cell>
          <cell r="N776">
            <v>15.056307435241342</v>
          </cell>
          <cell r="O776">
            <v>16.057664452160516</v>
          </cell>
        </row>
        <row r="777">
          <cell r="A777" t="str">
            <v>D-IH2</v>
          </cell>
          <cell r="B777" t="str">
            <v>VAR_ncap</v>
          </cell>
          <cell r="C777" t="str">
            <v>-</v>
          </cell>
          <cell r="G777">
            <v>3.4838037404198302E-6</v>
          </cell>
          <cell r="H777">
            <v>7.4686246180874702E-2</v>
          </cell>
          <cell r="I777">
            <v>2.59587977098579E-2</v>
          </cell>
          <cell r="J777">
            <v>3.5630284895718303E-2</v>
          </cell>
          <cell r="K777">
            <v>9.3334721565043993E-2</v>
          </cell>
          <cell r="L777">
            <v>0.250795154575011</v>
          </cell>
          <cell r="M777">
            <v>7.4374884898676205E-2</v>
          </cell>
          <cell r="N777">
            <v>7.9570426650104803E-2</v>
          </cell>
          <cell r="O777">
            <v>2.70149231042058E-2</v>
          </cell>
        </row>
        <row r="778">
          <cell r="A778" t="str">
            <v>D-IH2</v>
          </cell>
          <cell r="B778" t="str">
            <v>VAR_cap</v>
          </cell>
          <cell r="C778" t="str">
            <v>-</v>
          </cell>
          <cell r="G778">
            <v>3.4838037404198302E-6</v>
          </cell>
          <cell r="H778">
            <v>7.4689729984615205E-2</v>
          </cell>
          <cell r="I778">
            <v>0.10064852769447299</v>
          </cell>
          <cell r="J778">
            <v>0.13627881259019101</v>
          </cell>
          <cell r="K778">
            <v>0.229613534155235</v>
          </cell>
          <cell r="L778">
            <v>0.480408688730246</v>
          </cell>
          <cell r="M778">
            <v>0.55478357362892206</v>
          </cell>
          <cell r="N778">
            <v>0.634352895865547</v>
          </cell>
          <cell r="O778">
            <v>0.66136543957949301</v>
          </cell>
        </row>
        <row r="779">
          <cell r="A779" t="str">
            <v>D-RHNM_LTH_CHPWOD</v>
          </cell>
          <cell r="B779" t="str">
            <v>VAR_fout</v>
          </cell>
          <cell r="C779" t="str">
            <v>RHNM_LTH_CHPWOD_ON</v>
          </cell>
          <cell r="D779">
            <v>1.026451275464369E-5</v>
          </cell>
          <cell r="E779">
            <v>4.1684278945213085E-6</v>
          </cell>
          <cell r="F779">
            <v>6.7891699109015679E-6</v>
          </cell>
          <cell r="G779">
            <v>3.1402448847327718E-3</v>
          </cell>
          <cell r="H779">
            <v>8.5768942022145696E-3</v>
          </cell>
          <cell r="I779">
            <v>1.5502856308999663E-2</v>
          </cell>
          <cell r="J779">
            <v>1.3758718221982656E-2</v>
          </cell>
          <cell r="K779">
            <v>1.142173716697634E-2</v>
          </cell>
          <cell r="L779">
            <v>1.244079332273078E-2</v>
          </cell>
          <cell r="M779">
            <v>1.6215485459140144E-2</v>
          </cell>
          <cell r="N779">
            <v>7.7865198016468309E-3</v>
          </cell>
          <cell r="O779">
            <v>1.1575794819121446E-2</v>
          </cell>
        </row>
        <row r="780">
          <cell r="A780" t="str">
            <v>D-RHNM_LTH_CHPWOD</v>
          </cell>
          <cell r="B780" t="str">
            <v>VAR_fout</v>
          </cell>
          <cell r="C780" t="str">
            <v>RHSA_LTH</v>
          </cell>
          <cell r="D780">
            <v>1.1908485506931459E-5</v>
          </cell>
          <cell r="E780">
            <v>2.5854743087048701E-5</v>
          </cell>
          <cell r="F780">
            <v>1.8064452721522493E-5</v>
          </cell>
          <cell r="G780">
            <v>4.6925150801679005E-4</v>
          </cell>
          <cell r="H780">
            <v>6.8443529427032865E-4</v>
          </cell>
          <cell r="I780">
            <v>9.1167248631532632E-4</v>
          </cell>
          <cell r="J780">
            <v>1.3614649235871639E-3</v>
          </cell>
          <cell r="K780">
            <v>1.784099346710206E-5</v>
          </cell>
          <cell r="L780">
            <v>1.4488430096328514E-3</v>
          </cell>
          <cell r="M780">
            <v>9.0887984590299305E-5</v>
          </cell>
          <cell r="N780">
            <v>1.2486713795100944E-3</v>
          </cell>
          <cell r="O780">
            <v>4.82187803108485E-5</v>
          </cell>
        </row>
        <row r="781">
          <cell r="A781" t="str">
            <v>D-RHNM_LTH_CHPWOD</v>
          </cell>
          <cell r="B781" t="str">
            <v>VAR_fout</v>
          </cell>
          <cell r="C781" t="str">
            <v>LTH</v>
          </cell>
          <cell r="E781">
            <v>1.2738540552932235E-5</v>
          </cell>
          <cell r="F781">
            <v>1.3381706606995976E-5</v>
          </cell>
          <cell r="G781">
            <v>3.0220792254612265E-5</v>
          </cell>
          <cell r="H781">
            <v>3.6514102937832029E-5</v>
          </cell>
          <cell r="I781">
            <v>5.2053796886067277E-5</v>
          </cell>
          <cell r="J781">
            <v>6.2693021683773894E-5</v>
          </cell>
          <cell r="K781">
            <v>4.9642636181793331E-5</v>
          </cell>
          <cell r="L781">
            <v>5.8405021781302443E-5</v>
          </cell>
          <cell r="M781">
            <v>6.8001052977774553E-5</v>
          </cell>
          <cell r="N781">
            <v>5.321923097016497E-5</v>
          </cell>
          <cell r="O781">
            <v>6.7833206189952413E-5</v>
          </cell>
        </row>
        <row r="782">
          <cell r="A782" t="str">
            <v>D-RHNM_LTH_CHPWOD</v>
          </cell>
          <cell r="B782" t="str">
            <v>VAR_fin</v>
          </cell>
          <cell r="C782" t="str">
            <v>RHNM_LTH_CHPWOD</v>
          </cell>
          <cell r="D782">
            <v>2.2172998261575159E-5</v>
          </cell>
          <cell r="E782">
            <v>4.2761711534502229E-5</v>
          </cell>
          <cell r="F782">
            <v>3.8235329239420038E-5</v>
          </cell>
          <cell r="G782">
            <v>3.6397171850041728E-3</v>
          </cell>
          <cell r="H782">
            <v>9.2978435994227268E-3</v>
          </cell>
          <cell r="I782">
            <v>1.6466582592201056E-2</v>
          </cell>
          <cell r="J782">
            <v>1.5182876167253586E-2</v>
          </cell>
          <cell r="K782">
            <v>1.1489220796625239E-2</v>
          </cell>
          <cell r="L782">
            <v>1.3948041354144942E-2</v>
          </cell>
          <cell r="M782">
            <v>1.6374374496708241E-2</v>
          </cell>
          <cell r="N782">
            <v>9.0884104121270858E-3</v>
          </cell>
          <cell r="O782">
            <v>1.169184680562225E-2</v>
          </cell>
        </row>
        <row r="783">
          <cell r="A783" t="str">
            <v>RHNS-SHWODBR</v>
          </cell>
          <cell r="B783" t="str">
            <v>VAR_fout</v>
          </cell>
          <cell r="C783" t="str">
            <v>RHNS-SHWOD</v>
          </cell>
          <cell r="E783">
            <v>2.6595273402766118E-2</v>
          </cell>
          <cell r="F783">
            <v>9.4827819326404009E-2</v>
          </cell>
          <cell r="G783">
            <v>0.10445985516933251</v>
          </cell>
          <cell r="H783">
            <v>0.22633528516363949</v>
          </cell>
          <cell r="I783">
            <v>0.14952877004480822</v>
          </cell>
          <cell r="J783">
            <v>0.15836710369740956</v>
          </cell>
          <cell r="K783">
            <v>0.20828128419188371</v>
          </cell>
          <cell r="L783">
            <v>0.15637542566183393</v>
          </cell>
          <cell r="M783">
            <v>0.15548286119917731</v>
          </cell>
          <cell r="N783">
            <v>0.15413358458483203</v>
          </cell>
          <cell r="O783">
            <v>8.5871435421818687E-2</v>
          </cell>
        </row>
        <row r="784">
          <cell r="A784" t="str">
            <v>RHNS-SHWODBR</v>
          </cell>
          <cell r="B784" t="str">
            <v>VAR_fin</v>
          </cell>
          <cell r="C784" t="str">
            <v>RHNSWODBRC</v>
          </cell>
          <cell r="E784">
            <v>2.6595273402766118E-2</v>
          </cell>
          <cell r="F784">
            <v>9.4827819326404009E-2</v>
          </cell>
          <cell r="G784">
            <v>0.10445985516933251</v>
          </cell>
          <cell r="H784">
            <v>0.22633528516363949</v>
          </cell>
          <cell r="I784">
            <v>0.14952877004480822</v>
          </cell>
          <cell r="J784">
            <v>0.15836710369740956</v>
          </cell>
          <cell r="K784">
            <v>0.20828128419188371</v>
          </cell>
          <cell r="L784">
            <v>0.15637542566183393</v>
          </cell>
          <cell r="M784">
            <v>0.15548286119917731</v>
          </cell>
          <cell r="N784">
            <v>0.15413358458483203</v>
          </cell>
          <cell r="O784">
            <v>8.5871435421818687E-2</v>
          </cell>
        </row>
        <row r="785">
          <cell r="A785" t="str">
            <v>RHNS-SHWODBR</v>
          </cell>
          <cell r="B785" t="str">
            <v>VAR_fin</v>
          </cell>
          <cell r="C785" t="str">
            <v>RWOD</v>
          </cell>
          <cell r="E785">
            <v>3.6937879726064063E-2</v>
          </cell>
          <cell r="F785">
            <v>0.13170530462000546</v>
          </cell>
          <cell r="G785">
            <v>0.14508313217962868</v>
          </cell>
          <cell r="H785">
            <v>0.31435456272727741</v>
          </cell>
          <cell r="I785">
            <v>0.20767884728445599</v>
          </cell>
          <cell r="J785">
            <v>0.21995431069084673</v>
          </cell>
          <cell r="K785">
            <v>0.28927956137761612</v>
          </cell>
          <cell r="L785">
            <v>0.21718809119699145</v>
          </cell>
          <cell r="M785">
            <v>0.21594841833219089</v>
          </cell>
          <cell r="N785">
            <v>0.21407442303448912</v>
          </cell>
          <cell r="O785">
            <v>0.11926588253030378</v>
          </cell>
        </row>
        <row r="786">
          <cell r="A786" t="str">
            <v>RHNS-SHWODBR</v>
          </cell>
          <cell r="B786" t="str">
            <v>VAR_ncap</v>
          </cell>
          <cell r="C786" t="str">
            <v>-</v>
          </cell>
          <cell r="E786">
            <v>1.9779659546848298E-3</v>
          </cell>
          <cell r="F786">
            <v>5.9309850529981004E-3</v>
          </cell>
          <cell r="H786">
            <v>9.7104361233688007E-3</v>
          </cell>
          <cell r="J786">
            <v>1.52733357954212E-2</v>
          </cell>
          <cell r="L786">
            <v>7.3641375709820495E-5</v>
          </cell>
          <cell r="M786">
            <v>1.1335548380804601E-2</v>
          </cell>
          <cell r="N786">
            <v>7.2661656472907097E-6</v>
          </cell>
          <cell r="O786">
            <v>5.8362992521761597E-6</v>
          </cell>
        </row>
        <row r="787">
          <cell r="A787" t="str">
            <v>RHNS-SHWODBR</v>
          </cell>
          <cell r="B787" t="str">
            <v>VAR_cap</v>
          </cell>
          <cell r="C787" t="str">
            <v>-</v>
          </cell>
          <cell r="E787">
            <v>1.9779659546848298E-3</v>
          </cell>
          <cell r="F787">
            <v>7.9082921702317479E-3</v>
          </cell>
          <cell r="G787">
            <v>7.9072672997819223E-3</v>
          </cell>
          <cell r="H787">
            <v>1.6648656447886594E-2</v>
          </cell>
          <cell r="I787">
            <v>1.0954450468968585E-2</v>
          </cell>
          <cell r="J787">
            <v>1.590997752212904E-2</v>
          </cell>
          <cell r="K787">
            <v>1.5273119331246041E-2</v>
          </cell>
          <cell r="L787">
            <v>1.3301905121358943E-2</v>
          </cell>
          <cell r="M787">
            <v>1.1408742414800889E-2</v>
          </cell>
          <cell r="N787">
            <v>1.1384763546613859E-2</v>
          </cell>
          <cell r="O787">
            <v>1.1313929079295999E-2</v>
          </cell>
        </row>
        <row r="788">
          <cell r="A788" t="str">
            <v>D-RHNM_NKEV_GAS_ELC_CHP</v>
          </cell>
          <cell r="B788" t="str">
            <v>VAR_fout</v>
          </cell>
          <cell r="C788" t="str">
            <v>ELC5</v>
          </cell>
          <cell r="E788">
            <v>2.0814506220061513E-3</v>
          </cell>
          <cell r="F788">
            <v>8.366634823058626E-3</v>
          </cell>
          <cell r="G788">
            <v>7.5394864180350699E-3</v>
          </cell>
          <cell r="H788">
            <v>8.3661609076425818E-3</v>
          </cell>
          <cell r="I788">
            <v>5.0361274372489875E-3</v>
          </cell>
          <cell r="L788">
            <v>4.0661633328211398E-3</v>
          </cell>
          <cell r="M788">
            <v>7.5112339379756875E-3</v>
          </cell>
          <cell r="N788">
            <v>4.8103109718834148E-3</v>
          </cell>
          <cell r="O788">
            <v>1.0014405826534645E-2</v>
          </cell>
        </row>
        <row r="789">
          <cell r="A789" t="str">
            <v>D-RHNM_NKEV_GAS_ELC_CHP</v>
          </cell>
          <cell r="B789" t="str">
            <v>VAR_fout</v>
          </cell>
          <cell r="C789" t="str">
            <v>RHNM_ELC</v>
          </cell>
          <cell r="E789">
            <v>2.0773403822283358E-3</v>
          </cell>
          <cell r="F789">
            <v>8.3533862692441122E-3</v>
          </cell>
          <cell r="G789">
            <v>7.5305419732380153E-3</v>
          </cell>
          <cell r="H789">
            <v>8.3582264123766292E-3</v>
          </cell>
          <cell r="I789">
            <v>5.0336685882237612E-3</v>
          </cell>
          <cell r="L789">
            <v>4.0793628593321241E-3</v>
          </cell>
          <cell r="M789">
            <v>7.5335547759053118E-3</v>
          </cell>
          <cell r="N789">
            <v>4.8246563592605459E-3</v>
          </cell>
          <cell r="O789">
            <v>1.0035633480004674E-2</v>
          </cell>
        </row>
        <row r="790">
          <cell r="A790" t="str">
            <v>D-RHNM_NKEV_GAS_ELC_CHP</v>
          </cell>
          <cell r="B790" t="str">
            <v>VAR_fin</v>
          </cell>
          <cell r="C790" t="str">
            <v>RHNM_NKEV_GAS_ELC_CHP</v>
          </cell>
          <cell r="E790">
            <v>4.158791004234488E-3</v>
          </cell>
          <cell r="F790">
            <v>1.6691599114295349E-2</v>
          </cell>
          <cell r="G790">
            <v>1.5041606413265685E-2</v>
          </cell>
          <cell r="H790">
            <v>1.6695965342011815E-2</v>
          </cell>
          <cell r="I790">
            <v>1.0041374047465353E-2</v>
          </cell>
          <cell r="L790">
            <v>8.1455261921532605E-3</v>
          </cell>
          <cell r="M790">
            <v>1.5044788713880999E-2</v>
          </cell>
          <cell r="N790">
            <v>9.634967331143959E-3</v>
          </cell>
          <cell r="O790">
            <v>2.0050039306539334E-2</v>
          </cell>
        </row>
        <row r="791">
          <cell r="A791" t="str">
            <v>D-RLFO</v>
          </cell>
          <cell r="B791" t="str">
            <v>VAR_fout</v>
          </cell>
          <cell r="C791" t="str">
            <v>CO2</v>
          </cell>
          <cell r="D791">
            <v>4514.4896212429103</v>
          </cell>
          <cell r="E791">
            <v>3846.5309414855101</v>
          </cell>
          <cell r="F791">
            <v>3605.5646095942602</v>
          </cell>
          <cell r="G791">
            <v>2976.7361259343202</v>
          </cell>
          <cell r="H791">
            <v>995.90287174976504</v>
          </cell>
          <cell r="I791">
            <v>2.66869163500116</v>
          </cell>
          <cell r="J791">
            <v>2.4473680164971698</v>
          </cell>
          <cell r="K791">
            <v>1.1849383209839399E-3</v>
          </cell>
          <cell r="L791">
            <v>4.5661725774371201E-3</v>
          </cell>
          <cell r="M791">
            <v>6.1397791718907999E-3</v>
          </cell>
          <cell r="N791">
            <v>6.2544257923190204E-3</v>
          </cell>
          <cell r="O791">
            <v>7.7950717681096598E-3</v>
          </cell>
        </row>
        <row r="792">
          <cell r="A792" t="str">
            <v>D-RLFO</v>
          </cell>
          <cell r="B792" t="str">
            <v>VAR_fout</v>
          </cell>
          <cell r="C792" t="str">
            <v>RLFO</v>
          </cell>
          <cell r="D792">
            <v>60.23191836367242</v>
          </cell>
          <cell r="E792">
            <v>51.320073161915737</v>
          </cell>
          <cell r="F792">
            <v>48.105129396863511</v>
          </cell>
          <cell r="G792">
            <v>39.715752899324052</v>
          </cell>
          <cell r="H792">
            <v>13.289325723744</v>
          </cell>
          <cell r="I792">
            <v>3.6532465566278177E-2</v>
          </cell>
          <cell r="J792">
            <v>3.4024796129862936E-2</v>
          </cell>
          <cell r="K792">
            <v>3.3342199752871941E-2</v>
          </cell>
          <cell r="L792">
            <v>1.2532082050402002E-2</v>
          </cell>
          <cell r="M792">
            <v>1.2875139922416238E-2</v>
          </cell>
          <cell r="N792">
            <v>1.3317204128635242E-2</v>
          </cell>
          <cell r="O792">
            <v>1.2256117146872461E-2</v>
          </cell>
        </row>
        <row r="793">
          <cell r="A793" t="str">
            <v>D-RLFO</v>
          </cell>
          <cell r="B793" t="str">
            <v>VAR_fin</v>
          </cell>
          <cell r="C793" t="str">
            <v>LFO</v>
          </cell>
          <cell r="D793">
            <v>61.254947371002807</v>
          </cell>
          <cell r="E793">
            <v>52.191735976736929</v>
          </cell>
          <cell r="F793">
            <v>48.922179234657563</v>
          </cell>
          <cell r="G793">
            <v>40.389906729095244</v>
          </cell>
          <cell r="H793">
            <v>13.512929060376738</v>
          </cell>
          <cell r="I793">
            <v>3.6210198575320963E-2</v>
          </cell>
          <cell r="J793">
            <v>3.3207164402946666E-2</v>
          </cell>
          <cell r="K793">
            <v>1.6077860528954394E-5</v>
          </cell>
          <cell r="L793">
            <v>6.1956208649079013E-5</v>
          </cell>
          <cell r="M793">
            <v>8.3307722820770734E-5</v>
          </cell>
          <cell r="N793">
            <v>8.4863307901207816E-5</v>
          </cell>
          <cell r="O793">
            <v>1.0576759522536855E-4</v>
          </cell>
        </row>
        <row r="794">
          <cell r="A794" t="str">
            <v>D-RLFO</v>
          </cell>
          <cell r="B794" t="str">
            <v>VAR_fin</v>
          </cell>
          <cell r="C794" t="str">
            <v>BDS</v>
          </cell>
          <cell r="F794">
            <v>7.5377958832545576E-6</v>
          </cell>
          <cell r="G794">
            <v>4.1140520065399304E-4</v>
          </cell>
          <cell r="H794">
            <v>2.1134797785696152E-3</v>
          </cell>
          <cell r="I794">
            <v>9.4265594430220558E-4</v>
          </cell>
          <cell r="J794">
            <v>1.3954205427634887E-3</v>
          </cell>
          <cell r="K794">
            <v>3.3892345545401006E-2</v>
          </cell>
          <cell r="L794">
            <v>1.2682838485848976E-2</v>
          </cell>
          <cell r="M794">
            <v>1.3010371623973446E-2</v>
          </cell>
          <cell r="N794">
            <v>1.3458411205412359E-2</v>
          </cell>
          <cell r="O794">
            <v>1.2358477460330079E-2</v>
          </cell>
        </row>
        <row r="795">
          <cell r="A795" t="str">
            <v>D-SCOM_LTH_CHPBIO</v>
          </cell>
          <cell r="B795" t="str">
            <v>VAR_fout</v>
          </cell>
          <cell r="C795" t="str">
            <v>SCOM_LTH_CHPBIO_ON</v>
          </cell>
          <cell r="D795">
            <v>1.4243361692161902</v>
          </cell>
          <cell r="E795">
            <v>1.5428259477463526</v>
          </cell>
          <cell r="F795">
            <v>1.3955344303083044</v>
          </cell>
          <cell r="G795">
            <v>1.166794295421258</v>
          </cell>
          <cell r="H795">
            <v>0.95180573051626738</v>
          </cell>
          <cell r="I795">
            <v>0.76850065331934614</v>
          </cell>
          <cell r="J795">
            <v>0.72071895146574383</v>
          </cell>
          <cell r="K795">
            <v>0.68324459432303897</v>
          </cell>
          <cell r="L795">
            <v>0.62430118303167625</v>
          </cell>
          <cell r="M795">
            <v>0.53133359993964313</v>
          </cell>
          <cell r="N795">
            <v>0.58495485314098905</v>
          </cell>
          <cell r="O795">
            <v>0.62730306450181073</v>
          </cell>
        </row>
        <row r="796">
          <cell r="A796" t="str">
            <v>D-SCOM_LTH_CHPBIO</v>
          </cell>
          <cell r="B796" t="str">
            <v>VAR_fout</v>
          </cell>
          <cell r="C796" t="str">
            <v>LTH</v>
          </cell>
          <cell r="E796">
            <v>3.5595985780475681E-2</v>
          </cell>
          <cell r="F796">
            <v>9.0182328981413484E-2</v>
          </cell>
          <cell r="G796">
            <v>0.16595544841188806</v>
          </cell>
          <cell r="H796">
            <v>0.2177272592153798</v>
          </cell>
          <cell r="I796">
            <v>0.24065766235520816</v>
          </cell>
          <cell r="J796">
            <v>0.30006386544286051</v>
          </cell>
          <cell r="K796">
            <v>0.35441135588685607</v>
          </cell>
          <cell r="L796">
            <v>0.41345188169964414</v>
          </cell>
          <cell r="M796">
            <v>0.50644151820286742</v>
          </cell>
          <cell r="N796">
            <v>0.61051955370745437</v>
          </cell>
          <cell r="O796">
            <v>0.98343742960660163</v>
          </cell>
        </row>
        <row r="797">
          <cell r="A797" t="str">
            <v>D-SCOM_LTH_CHPBIO</v>
          </cell>
          <cell r="B797" t="str">
            <v>VAR_fin</v>
          </cell>
          <cell r="C797" t="str">
            <v>SCOM_LTH_CHPBIO</v>
          </cell>
          <cell r="D797">
            <v>1.4243361692161902</v>
          </cell>
          <cell r="E797">
            <v>1.5784219335268292</v>
          </cell>
          <cell r="F797">
            <v>1.4857167592897187</v>
          </cell>
          <cell r="G797">
            <v>1.3327497438331468</v>
          </cell>
          <cell r="H797">
            <v>1.1695329897316464</v>
          </cell>
          <cell r="I797">
            <v>1.0091583156745541</v>
          </cell>
          <cell r="J797">
            <v>1.0207828169086033</v>
          </cell>
          <cell r="K797">
            <v>1.0376559502098959</v>
          </cell>
          <cell r="L797">
            <v>1.0377530647313205</v>
          </cell>
          <cell r="M797">
            <v>1.0377751181425114</v>
          </cell>
          <cell r="N797">
            <v>1.1954744068484431</v>
          </cell>
          <cell r="O797">
            <v>1.6107404941084125</v>
          </cell>
        </row>
        <row r="798">
          <cell r="A798" t="str">
            <v>D-SCOM_LTH_CHPHFC</v>
          </cell>
          <cell r="B798" t="str">
            <v>VAR_fout</v>
          </cell>
          <cell r="C798" t="str">
            <v>SCOM_LTH_CHPHFC_ON</v>
          </cell>
          <cell r="G798">
            <v>2.9961945297446598E-3</v>
          </cell>
          <cell r="H798">
            <v>1.0317166539694949E-2</v>
          </cell>
          <cell r="I798">
            <v>9.6369138996896583E-3</v>
          </cell>
          <cell r="J798">
            <v>7.5961650206890045E-3</v>
          </cell>
          <cell r="K798">
            <v>2.5002269124702107E-2</v>
          </cell>
          <cell r="L798">
            <v>2.958335844225897E-2</v>
          </cell>
          <cell r="M798">
            <v>2.973330092606611E-2</v>
          </cell>
          <cell r="N798">
            <v>9.9664800673835652E-2</v>
          </cell>
          <cell r="O798">
            <v>0.21996874563418103</v>
          </cell>
        </row>
        <row r="799">
          <cell r="A799" t="str">
            <v>D-SCOM_LTH_CHPHFC</v>
          </cell>
          <cell r="B799" t="str">
            <v>VAR_fout</v>
          </cell>
          <cell r="C799" t="str">
            <v>LTH</v>
          </cell>
          <cell r="G799">
            <v>3.2253712224238697E-5</v>
          </cell>
          <cell r="H799">
            <v>4.0080401168252598E-5</v>
          </cell>
          <cell r="I799">
            <v>4.2303668981714884E-5</v>
          </cell>
          <cell r="J799">
            <v>5.0224395046247402E-5</v>
          </cell>
          <cell r="K799">
            <v>7.5527368458517885E-5</v>
          </cell>
          <cell r="L799">
            <v>9.5224599244227219E-5</v>
          </cell>
          <cell r="M799">
            <v>1.0607089585289685E-4</v>
          </cell>
          <cell r="N799">
            <v>3.1718306973831209E-4</v>
          </cell>
          <cell r="O799">
            <v>9.8386560250118046E-4</v>
          </cell>
        </row>
        <row r="800">
          <cell r="A800" t="str">
            <v>D-SCOM_LTH_CHPHFC</v>
          </cell>
          <cell r="B800" t="str">
            <v>VAR_fin</v>
          </cell>
          <cell r="C800" t="str">
            <v>SCOM_LTH_CHPHFC</v>
          </cell>
          <cell r="G800">
            <v>3.0284482419688989E-3</v>
          </cell>
          <cell r="H800">
            <v>1.0357246940863211E-2</v>
          </cell>
          <cell r="I800">
            <v>9.6792175686713743E-3</v>
          </cell>
          <cell r="J800">
            <v>7.6463894157352474E-3</v>
          </cell>
          <cell r="K800">
            <v>2.5077796493160606E-2</v>
          </cell>
          <cell r="L800">
            <v>2.9678583041503205E-2</v>
          </cell>
          <cell r="M800">
            <v>2.9839371821919005E-2</v>
          </cell>
          <cell r="N800">
            <v>9.9981983743573921E-2</v>
          </cell>
          <cell r="O800">
            <v>0.22095261123668239</v>
          </cell>
        </row>
        <row r="801">
          <cell r="A801" t="str">
            <v>D-SCOM_NKEV_GAS_ELC_CHP</v>
          </cell>
          <cell r="B801" t="str">
            <v>VAR_fout</v>
          </cell>
          <cell r="C801" t="str">
            <v>ELC5</v>
          </cell>
          <cell r="D801">
            <v>0.28894367451719827</v>
          </cell>
          <cell r="E801">
            <v>0.31382482494846858</v>
          </cell>
          <cell r="F801">
            <v>0.4006175255694272</v>
          </cell>
          <cell r="G801">
            <v>0.34349907700916882</v>
          </cell>
          <cell r="H801">
            <v>0.3097959654223279</v>
          </cell>
          <cell r="I801">
            <v>0.16261853857775066</v>
          </cell>
          <cell r="L801">
            <v>6.6427996054539348E-3</v>
          </cell>
          <cell r="M801">
            <v>7.9102751082610681E-3</v>
          </cell>
          <cell r="N801">
            <v>1.2970057410035178E-2</v>
          </cell>
          <cell r="O801">
            <v>2.3926654046450096E-2</v>
          </cell>
        </row>
        <row r="802">
          <cell r="A802" t="str">
            <v>D-SCOM_NKEV_GAS_ELC_CHP</v>
          </cell>
          <cell r="B802" t="str">
            <v>VAR_fout</v>
          </cell>
          <cell r="C802" t="str">
            <v>SCOM_ELC</v>
          </cell>
          <cell r="D802">
            <v>0.30550916819216856</v>
          </cell>
          <cell r="E802">
            <v>0.31213035938877226</v>
          </cell>
          <cell r="F802">
            <v>0.39992762847233032</v>
          </cell>
          <cell r="G802">
            <v>0.34400938459076702</v>
          </cell>
          <cell r="H802">
            <v>0.30900340282502065</v>
          </cell>
          <cell r="I802">
            <v>0.16212188324077517</v>
          </cell>
          <cell r="L802">
            <v>6.6516212091715264E-3</v>
          </cell>
          <cell r="M802">
            <v>7.9236790120954907E-3</v>
          </cell>
          <cell r="N802">
            <v>1.2985312996562724E-2</v>
          </cell>
          <cell r="O802">
            <v>2.3958667490016648E-2</v>
          </cell>
        </row>
        <row r="803">
          <cell r="A803" t="str">
            <v>D-SCOM_NKEV_GAS_ELC_CHP</v>
          </cell>
          <cell r="B803" t="str">
            <v>VAR_fin</v>
          </cell>
          <cell r="C803" t="str">
            <v>SCOM_NKEV_GAS_ELC_CHP</v>
          </cell>
          <cell r="D803">
            <v>0.5944528427093666</v>
          </cell>
          <cell r="E803">
            <v>0.62595518433724096</v>
          </cell>
          <cell r="F803">
            <v>0.8005167320637504</v>
          </cell>
          <cell r="G803">
            <v>0.68748003962192794</v>
          </cell>
          <cell r="H803">
            <v>0.61877094626934137</v>
          </cell>
          <cell r="I803">
            <v>0.32471199984051841</v>
          </cell>
          <cell r="L803">
            <v>1.3294420814625459E-2</v>
          </cell>
          <cell r="M803">
            <v>1.5833954120356559E-2</v>
          </cell>
          <cell r="N803">
            <v>2.59553704065979E-2</v>
          </cell>
          <cell r="O803">
            <v>4.7885321536466754E-2</v>
          </cell>
        </row>
        <row r="804">
          <cell r="A804" t="str">
            <v>RHEM-SHLTHDH</v>
          </cell>
          <cell r="B804" t="str">
            <v>VAR_fout</v>
          </cell>
          <cell r="C804" t="str">
            <v>RHEM-SHLTHD</v>
          </cell>
          <cell r="D804">
            <v>2.3422775684695045</v>
          </cell>
          <cell r="E804">
            <v>3.7887498931539927</v>
          </cell>
          <cell r="F804">
            <v>3.7792496908243201</v>
          </cell>
          <cell r="G804">
            <v>3.2097053316502531</v>
          </cell>
          <cell r="H804">
            <v>2.9287181854169133</v>
          </cell>
          <cell r="I804">
            <v>3.5774947671577615</v>
          </cell>
          <cell r="J804">
            <v>3.4902877001647323</v>
          </cell>
          <cell r="K804">
            <v>3.4612947518992914</v>
          </cell>
          <cell r="L804">
            <v>3.3250794649855036</v>
          </cell>
          <cell r="M804">
            <v>3.1808634657243506</v>
          </cell>
          <cell r="N804">
            <v>3.2843432942263147</v>
          </cell>
          <cell r="O804">
            <v>2.2707477137324501</v>
          </cell>
        </row>
        <row r="805">
          <cell r="A805" t="str">
            <v>RHEM-SHLTHDH</v>
          </cell>
          <cell r="B805" t="str">
            <v>VAR_fin</v>
          </cell>
          <cell r="C805" t="str">
            <v>RHEMLTHDHC</v>
          </cell>
          <cell r="D805">
            <v>2.3422775684695045</v>
          </cell>
          <cell r="E805">
            <v>3.7887498931539927</v>
          </cell>
          <cell r="F805">
            <v>3.7792496908243201</v>
          </cell>
          <cell r="G805">
            <v>3.2097053316502531</v>
          </cell>
          <cell r="H805">
            <v>2.9287181854169133</v>
          </cell>
          <cell r="I805">
            <v>3.5774947671577615</v>
          </cell>
          <cell r="J805">
            <v>3.4902877001647323</v>
          </cell>
          <cell r="K805">
            <v>3.4612947518992914</v>
          </cell>
          <cell r="L805">
            <v>3.3250794649855036</v>
          </cell>
          <cell r="M805">
            <v>3.1808634657243506</v>
          </cell>
          <cell r="N805">
            <v>3.2843432942263147</v>
          </cell>
          <cell r="O805">
            <v>2.2707477137324501</v>
          </cell>
        </row>
        <row r="806">
          <cell r="A806" t="str">
            <v>RHEM-SHLTHDH</v>
          </cell>
          <cell r="B806" t="str">
            <v>VAR_fin</v>
          </cell>
          <cell r="C806" t="str">
            <v>RHEM_LTH_DH</v>
          </cell>
          <cell r="D806">
            <v>2.3659369378479811</v>
          </cell>
          <cell r="E806">
            <v>3.827020094094943</v>
          </cell>
          <cell r="F806">
            <v>3.8174239301255719</v>
          </cell>
          <cell r="G806">
            <v>3.2421265976265188</v>
          </cell>
          <cell r="H806">
            <v>2.9583011973908238</v>
          </cell>
          <cell r="I806">
            <v>3.6136310779371317</v>
          </cell>
          <cell r="J806">
            <v>3.5255431314795254</v>
          </cell>
          <cell r="K806">
            <v>3.4962573251508022</v>
          </cell>
          <cell r="L806">
            <v>3.3586661262479809</v>
          </cell>
          <cell r="M806">
            <v>3.2129933997215647</v>
          </cell>
          <cell r="N806">
            <v>3.3175184790164791</v>
          </cell>
          <cell r="O806">
            <v>2.293684559325706</v>
          </cell>
        </row>
        <row r="807">
          <cell r="A807" t="str">
            <v>RHEM-SHLTHDH</v>
          </cell>
          <cell r="B807" t="str">
            <v>VAR_ncap</v>
          </cell>
          <cell r="C807" t="str">
            <v>-</v>
          </cell>
          <cell r="D807">
            <v>1.1497848554098601E-7</v>
          </cell>
          <cell r="E807">
            <v>4.0922621271985899E-7</v>
          </cell>
          <cell r="F807">
            <v>2.6853785533867802E-7</v>
          </cell>
          <cell r="G807">
            <v>2.97090529650617E-7</v>
          </cell>
          <cell r="H807">
            <v>3.9937407882931501E-7</v>
          </cell>
          <cell r="I807">
            <v>4.7966932440490498E-7</v>
          </cell>
          <cell r="J807">
            <v>6.1303566787855601E-7</v>
          </cell>
          <cell r="K807">
            <v>8.1356565886464898E-7</v>
          </cell>
          <cell r="L807">
            <v>9.76194393238333E-7</v>
          </cell>
          <cell r="M807">
            <v>1.61786628882403E-6</v>
          </cell>
          <cell r="N807">
            <v>2.38958361044455E-6</v>
          </cell>
          <cell r="O807">
            <v>7.8388142602002105E-6</v>
          </cell>
        </row>
        <row r="808">
          <cell r="A808" t="str">
            <v>RHEM-SHLTHDH</v>
          </cell>
          <cell r="B808" t="str">
            <v>VAR_cap</v>
          </cell>
          <cell r="C808" t="str">
            <v>-</v>
          </cell>
          <cell r="D808">
            <v>0.31562558209017355</v>
          </cell>
          <cell r="E808">
            <v>0.31562599131638625</v>
          </cell>
          <cell r="F808">
            <v>0.31562625985424159</v>
          </cell>
          <cell r="G808">
            <v>0.31562655694477121</v>
          </cell>
          <cell r="H808">
            <v>0.31562695631885007</v>
          </cell>
          <cell r="I808">
            <v>0.31562743598817444</v>
          </cell>
          <cell r="J808">
            <v>0.31562804902384234</v>
          </cell>
          <cell r="K808">
            <v>0.31562886258950124</v>
          </cell>
          <cell r="L808">
            <v>0.31562983878389445</v>
          </cell>
          <cell r="M808">
            <v>0.31563145665018327</v>
          </cell>
          <cell r="N808">
            <v>0.3156338462337937</v>
          </cell>
          <cell r="O808">
            <v>0.3156416850480539</v>
          </cell>
        </row>
        <row r="809">
          <cell r="A809" t="str">
            <v>D-ITOT_SOLELC</v>
          </cell>
          <cell r="B809" t="str">
            <v>VAR_fout</v>
          </cell>
          <cell r="C809" t="str">
            <v>ITOT_ELC</v>
          </cell>
          <cell r="D809">
            <v>3.5099547327820471</v>
          </cell>
          <cell r="E809">
            <v>4.843561564657282</v>
          </cell>
          <cell r="F809">
            <v>8.4480504514905146</v>
          </cell>
          <cell r="G809">
            <v>9.9227608948613693</v>
          </cell>
          <cell r="H809">
            <v>17.314792412524962</v>
          </cell>
          <cell r="I809">
            <v>20.275762123141025</v>
          </cell>
          <cell r="J809">
            <v>21.223428778968</v>
          </cell>
          <cell r="K809">
            <v>22.558103283809732</v>
          </cell>
          <cell r="L809">
            <v>23.371519965209554</v>
          </cell>
          <cell r="M809">
            <v>24.326358321438178</v>
          </cell>
          <cell r="N809">
            <v>25.264689739370557</v>
          </cell>
          <cell r="O809">
            <v>26.212856805428014</v>
          </cell>
        </row>
        <row r="810">
          <cell r="A810" t="str">
            <v>D-ITOT_SOLELC</v>
          </cell>
          <cell r="B810" t="str">
            <v>VAR_fout</v>
          </cell>
          <cell r="C810" t="str">
            <v>ELC5</v>
          </cell>
          <cell r="D810">
            <v>7.9992669254843503E-3</v>
          </cell>
          <cell r="E810">
            <v>5.0931205777325151E-3</v>
          </cell>
          <cell r="F810">
            <v>6.0270471926923488E-3</v>
          </cell>
          <cell r="G810">
            <v>2.2133837922911695E-3</v>
          </cell>
          <cell r="H810">
            <v>2.4428288173174808</v>
          </cell>
          <cell r="I810">
            <v>0.44180182594899292</v>
          </cell>
          <cell r="J810">
            <v>0.46876517921778427</v>
          </cell>
          <cell r="K810">
            <v>0.27874663325555937</v>
          </cell>
          <cell r="L810">
            <v>0.26983544697716239</v>
          </cell>
          <cell r="M810">
            <v>0.4973436609300883</v>
          </cell>
          <cell r="N810">
            <v>0.72961706434871032</v>
          </cell>
          <cell r="O810">
            <v>0.90060505798440593</v>
          </cell>
        </row>
        <row r="811">
          <cell r="A811" t="str">
            <v>D-ITOT_SOLELC</v>
          </cell>
          <cell r="B811" t="str">
            <v>VAR_fin</v>
          </cell>
          <cell r="C811" t="str">
            <v>ITOT_SOL_ELC</v>
          </cell>
          <cell r="D811">
            <v>3.517953999707534</v>
          </cell>
          <cell r="E811">
            <v>4.8486224180395263</v>
          </cell>
          <cell r="F811">
            <v>8.4540774986832048</v>
          </cell>
          <cell r="G811">
            <v>9.9249742786536643</v>
          </cell>
          <cell r="H811">
            <v>19.757621229842453</v>
          </cell>
          <cell r="I811">
            <v>20.717563949090039</v>
          </cell>
          <cell r="J811">
            <v>21.692193958185783</v>
          </cell>
          <cell r="K811">
            <v>22.836849917065301</v>
          </cell>
          <cell r="L811">
            <v>23.641355412186712</v>
          </cell>
          <cell r="M811">
            <v>24.823701982368259</v>
          </cell>
          <cell r="N811">
            <v>25.994306803719269</v>
          </cell>
          <cell r="O811">
            <v>27.113461863412418</v>
          </cell>
        </row>
        <row r="812">
          <cell r="A812" t="str">
            <v>D-SWOD</v>
          </cell>
          <cell r="B812" t="str">
            <v>VAR_fout</v>
          </cell>
          <cell r="C812" t="str">
            <v>SWOD</v>
          </cell>
          <cell r="D812">
            <v>8.5744064569769716</v>
          </cell>
          <cell r="E812">
            <v>8.4065412009288245</v>
          </cell>
          <cell r="F812">
            <v>8.5215536579743958</v>
          </cell>
          <cell r="G812">
            <v>8.4173361788224845</v>
          </cell>
          <cell r="H812">
            <v>10.491555932915423</v>
          </cell>
          <cell r="I812">
            <v>13.444740854282271</v>
          </cell>
          <cell r="J812">
            <v>23.01381572993267</v>
          </cell>
          <cell r="K812">
            <v>8.8092243666673724</v>
          </cell>
          <cell r="L812">
            <v>3.1973641875784535</v>
          </cell>
          <cell r="M812">
            <v>2.1669395499368251</v>
          </cell>
          <cell r="N812">
            <v>0.55144457590301688</v>
          </cell>
          <cell r="O812">
            <v>0.55673038042029599</v>
          </cell>
        </row>
        <row r="813">
          <cell r="A813" t="str">
            <v>D-SWOD</v>
          </cell>
          <cell r="B813" t="str">
            <v>VAR_fin</v>
          </cell>
          <cell r="C813" t="str">
            <v>WOD</v>
          </cell>
          <cell r="D813">
            <v>8.5744064569769716</v>
          </cell>
          <cell r="E813">
            <v>8.4065412009288245</v>
          </cell>
          <cell r="F813">
            <v>8.5215536579743958</v>
          </cell>
          <cell r="G813">
            <v>8.4173361788224845</v>
          </cell>
          <cell r="H813">
            <v>10.491555932915423</v>
          </cell>
          <cell r="I813">
            <v>13.444740854282271</v>
          </cell>
          <cell r="J813">
            <v>23.01381572993267</v>
          </cell>
          <cell r="K813">
            <v>8.8092243666673724</v>
          </cell>
          <cell r="L813">
            <v>3.1973641875784535</v>
          </cell>
          <cell r="M813">
            <v>2.1669395499368251</v>
          </cell>
          <cell r="N813">
            <v>0.55144457590301688</v>
          </cell>
          <cell r="O813">
            <v>0.55673038042029599</v>
          </cell>
        </row>
        <row r="814">
          <cell r="A814" t="str">
            <v>ITOT-PROCESSCO2CCS</v>
          </cell>
          <cell r="B814" t="str">
            <v>VAR_fout</v>
          </cell>
          <cell r="C814" t="str">
            <v>CO2_O</v>
          </cell>
          <cell r="I814">
            <v>0.31026759013546745</v>
          </cell>
          <cell r="J814">
            <v>1.0210474901030213</v>
          </cell>
          <cell r="K814">
            <v>1031.8724849967509</v>
          </cell>
          <cell r="L814">
            <v>1031.8740801899824</v>
          </cell>
          <cell r="M814">
            <v>1031.8752371706219</v>
          </cell>
          <cell r="N814">
            <v>1031.8750169359453</v>
          </cell>
          <cell r="O814">
            <v>1031.8753524848742</v>
          </cell>
        </row>
        <row r="815">
          <cell r="A815" t="str">
            <v>ITOT-PROCESSCO2CCS</v>
          </cell>
          <cell r="B815" t="str">
            <v>VAR_fout</v>
          </cell>
          <cell r="C815" t="str">
            <v>CO2</v>
          </cell>
          <cell r="I815">
            <v>-0.31026759013546701</v>
          </cell>
          <cell r="J815">
            <v>-1.02104749010302</v>
          </cell>
          <cell r="K815">
            <v>-1031.87248499675</v>
          </cell>
          <cell r="L815">
            <v>-1031.8740801899801</v>
          </cell>
          <cell r="M815">
            <v>-1031.87523717062</v>
          </cell>
          <cell r="N815">
            <v>-1031.87501693594</v>
          </cell>
          <cell r="O815">
            <v>-1031.8753524848701</v>
          </cell>
        </row>
        <row r="816">
          <cell r="A816" t="str">
            <v>ITOT-PROCESSCO2CCS</v>
          </cell>
          <cell r="B816" t="str">
            <v>VAR_fin</v>
          </cell>
          <cell r="C816" t="str">
            <v>ITOT_ELC</v>
          </cell>
          <cell r="I816">
            <v>6.5703724969863727E-4</v>
          </cell>
          <cell r="J816">
            <v>2.1622182143358117E-3</v>
          </cell>
          <cell r="K816">
            <v>2.1851417329342979</v>
          </cell>
          <cell r="L816">
            <v>2.1851451109905526</v>
          </cell>
          <cell r="M816">
            <v>2.1851475610671969</v>
          </cell>
          <cell r="N816">
            <v>2.1851470946878835</v>
          </cell>
          <cell r="O816">
            <v>2.1851478052620865</v>
          </cell>
        </row>
        <row r="817">
          <cell r="A817" t="str">
            <v>ITOT-PROCESSCO2CCS</v>
          </cell>
          <cell r="B817" t="str">
            <v>VAR_fin</v>
          </cell>
          <cell r="C817" t="str">
            <v>ITOT_LTH_DH</v>
          </cell>
          <cell r="I817">
            <v>2.5551448599391431E-4</v>
          </cell>
          <cell r="J817">
            <v>8.408626389083719E-4</v>
          </cell>
          <cell r="K817">
            <v>0.84977734058555943</v>
          </cell>
          <cell r="L817">
            <v>0.84977865427410393</v>
          </cell>
          <cell r="M817">
            <v>0.84977960708168809</v>
          </cell>
          <cell r="N817">
            <v>0.84977942571195453</v>
          </cell>
          <cell r="O817">
            <v>0.84977970204636688</v>
          </cell>
        </row>
        <row r="818">
          <cell r="A818" t="str">
            <v>ITOT-PROCESSCO2CCS</v>
          </cell>
          <cell r="B818" t="str">
            <v>VAR_ncap</v>
          </cell>
          <cell r="C818" t="str">
            <v>-</v>
          </cell>
          <cell r="I818">
            <v>0.85543789180617302</v>
          </cell>
          <cell r="J818">
            <v>2.0639444438426899</v>
          </cell>
          <cell r="K818">
            <v>3054.6722875994601</v>
          </cell>
          <cell r="L818">
            <v>1.3831433016205499E-2</v>
          </cell>
          <cell r="M818">
            <v>2.3186450281838401E-2</v>
          </cell>
          <cell r="N818">
            <v>3.8536014051054397E-2</v>
          </cell>
          <cell r="O818">
            <v>0.13566037341249601</v>
          </cell>
        </row>
        <row r="819">
          <cell r="A819" t="str">
            <v>ITOT-PROCESSCO2CCS</v>
          </cell>
          <cell r="B819" t="str">
            <v>VAR_cap</v>
          </cell>
          <cell r="C819" t="str">
            <v>-</v>
          </cell>
          <cell r="I819">
            <v>0.85543789180617302</v>
          </cell>
          <cell r="J819">
            <v>2.91938233564886</v>
          </cell>
          <cell r="K819">
            <v>3057.5916699351101</v>
          </cell>
          <cell r="L819">
            <v>3057.6055013681298</v>
          </cell>
          <cell r="M819">
            <v>3057.6286878184101</v>
          </cell>
          <cell r="N819">
            <v>3056.4886755003899</v>
          </cell>
          <cell r="O819">
            <v>3054.8835018702298</v>
          </cell>
        </row>
        <row r="820">
          <cell r="A820" t="str">
            <v>D-RSH2R</v>
          </cell>
          <cell r="B820" t="str">
            <v>VAR_fout</v>
          </cell>
          <cell r="C820" t="str">
            <v>RSH2</v>
          </cell>
          <cell r="G820">
            <v>3.6906682685423479E-3</v>
          </cell>
          <cell r="H820">
            <v>7.5510875422890008E-3</v>
          </cell>
          <cell r="I820">
            <v>8.625468760503166E-2</v>
          </cell>
          <cell r="J820">
            <v>8.4450799766170228E-3</v>
          </cell>
          <cell r="K820">
            <v>6.8288613111329138E-2</v>
          </cell>
          <cell r="L820">
            <v>1.6636044888886103E-2</v>
          </cell>
          <cell r="M820">
            <v>2.1905499467267452E-2</v>
          </cell>
          <cell r="N820">
            <v>5.6982527295772127E-2</v>
          </cell>
          <cell r="O820">
            <v>4.3911081001617135E-2</v>
          </cell>
        </row>
        <row r="821">
          <cell r="A821" t="str">
            <v>D-RSH2R</v>
          </cell>
          <cell r="B821" t="str">
            <v>VAR_fin</v>
          </cell>
          <cell r="C821" t="str">
            <v>H2</v>
          </cell>
          <cell r="G821">
            <v>3.6906682685423479E-3</v>
          </cell>
          <cell r="H821">
            <v>7.5510875422890008E-3</v>
          </cell>
          <cell r="I821">
            <v>8.625468760503166E-2</v>
          </cell>
          <cell r="J821">
            <v>8.4450799766170228E-3</v>
          </cell>
          <cell r="K821">
            <v>6.8288613111329138E-2</v>
          </cell>
          <cell r="L821">
            <v>1.6636044888886103E-2</v>
          </cell>
          <cell r="M821">
            <v>2.1905499467267452E-2</v>
          </cell>
          <cell r="N821">
            <v>5.6982527295772127E-2</v>
          </cell>
          <cell r="O821">
            <v>4.3911081001617135E-2</v>
          </cell>
        </row>
        <row r="822">
          <cell r="A822" t="str">
            <v>D-RSH2R</v>
          </cell>
          <cell r="B822" t="str">
            <v>VAR_ncap</v>
          </cell>
          <cell r="C822" t="str">
            <v>-</v>
          </cell>
          <cell r="G822">
            <v>2.5684671726201701E-4</v>
          </cell>
          <cell r="H822">
            <v>4.5732241870277202E-4</v>
          </cell>
          <cell r="I822">
            <v>5.3319657575315801E-3</v>
          </cell>
          <cell r="J822">
            <v>6.9326168976137999E-4</v>
          </cell>
          <cell r="K822">
            <v>2.0855288010424699E-3</v>
          </cell>
          <cell r="L822">
            <v>1.12109944845373E-5</v>
          </cell>
          <cell r="M822">
            <v>1.05189964728968E-3</v>
          </cell>
          <cell r="N822">
            <v>2.0284737955706999E-3</v>
          </cell>
          <cell r="O822">
            <v>1.11283527926448E-4</v>
          </cell>
        </row>
        <row r="823">
          <cell r="A823" t="str">
            <v>D-RSH2R</v>
          </cell>
          <cell r="B823" t="str">
            <v>VAR_cap</v>
          </cell>
          <cell r="C823" t="str">
            <v>-</v>
          </cell>
          <cell r="G823">
            <v>2.5684671726201701E-4</v>
          </cell>
          <cell r="H823">
            <v>6.5231585507892704E-4</v>
          </cell>
          <cell r="I823">
            <v>5.4280020650766501E-3</v>
          </cell>
          <cell r="J823">
            <v>6.9326168976137999E-4</v>
          </cell>
          <cell r="K823">
            <v>2.77879049080385E-3</v>
          </cell>
          <cell r="L823">
            <v>7.5081763612028902E-4</v>
          </cell>
          <cell r="M823">
            <v>1.0604108338956001E-3</v>
          </cell>
          <cell r="N823">
            <v>2.2147882841762898E-3</v>
          </cell>
          <cell r="O823">
            <v>2.13975732349715E-3</v>
          </cell>
        </row>
        <row r="824">
          <cell r="A824" t="str">
            <v>SCOM-SHLTHCHPBIO</v>
          </cell>
          <cell r="B824" t="str">
            <v>VAR_fout</v>
          </cell>
          <cell r="C824" t="str">
            <v>SCOM-SHLTHC-BIO</v>
          </cell>
          <cell r="D824">
            <v>1.4100928075240287</v>
          </cell>
          <cell r="E824">
            <v>1.5273976882688907</v>
          </cell>
          <cell r="F824">
            <v>1.3815790860052211</v>
          </cell>
          <cell r="G824">
            <v>1.1551263524670459</v>
          </cell>
          <cell r="H824">
            <v>0.9422876732111044</v>
          </cell>
          <cell r="I824">
            <v>0.7608156467861521</v>
          </cell>
          <cell r="J824">
            <v>0.7135117619510859</v>
          </cell>
          <cell r="K824">
            <v>0.6764121483798089</v>
          </cell>
          <cell r="L824">
            <v>0.61805817120135975</v>
          </cell>
          <cell r="M824">
            <v>0.5260202639402467</v>
          </cell>
          <cell r="N824">
            <v>0.57910530460957965</v>
          </cell>
          <cell r="O824">
            <v>0.6210300338567919</v>
          </cell>
        </row>
        <row r="825">
          <cell r="A825" t="str">
            <v>SCOM-SHLTHCHPBIO</v>
          </cell>
          <cell r="B825" t="str">
            <v>VAR_fin</v>
          </cell>
          <cell r="C825" t="str">
            <v>SCOM_LTH_CHPBIO_ON</v>
          </cell>
          <cell r="D825">
            <v>1.4243361692161902</v>
          </cell>
          <cell r="E825">
            <v>1.5428259477463526</v>
          </cell>
          <cell r="F825">
            <v>1.3955344303083044</v>
          </cell>
          <cell r="G825">
            <v>1.166794295421258</v>
          </cell>
          <cell r="H825">
            <v>0.95180573051626738</v>
          </cell>
          <cell r="I825">
            <v>0.76850065331934614</v>
          </cell>
          <cell r="J825">
            <v>0.72071895146574383</v>
          </cell>
          <cell r="K825">
            <v>0.68324459432303897</v>
          </cell>
          <cell r="L825">
            <v>0.62430118303167625</v>
          </cell>
          <cell r="M825">
            <v>0.53133359993964313</v>
          </cell>
          <cell r="N825">
            <v>0.58495485314098905</v>
          </cell>
          <cell r="O825">
            <v>0.62730306450181073</v>
          </cell>
        </row>
        <row r="826">
          <cell r="A826" t="str">
            <v>SCOM-SHLTHCHPBIO</v>
          </cell>
          <cell r="B826" t="str">
            <v>VAR_fin</v>
          </cell>
          <cell r="C826" t="str">
            <v>SCOMLTHCHPC</v>
          </cell>
          <cell r="D826">
            <v>1.4100928075240287</v>
          </cell>
          <cell r="E826">
            <v>1.5273976882688907</v>
          </cell>
          <cell r="F826">
            <v>1.3815790860052211</v>
          </cell>
          <cell r="G826">
            <v>1.1551263524670459</v>
          </cell>
          <cell r="H826">
            <v>0.9422876732111044</v>
          </cell>
          <cell r="I826">
            <v>0.7608156467861521</v>
          </cell>
          <cell r="J826">
            <v>0.7135117619510859</v>
          </cell>
          <cell r="K826">
            <v>0.6764121483798089</v>
          </cell>
          <cell r="L826">
            <v>0.61805817120135975</v>
          </cell>
          <cell r="M826">
            <v>0.5260202639402467</v>
          </cell>
          <cell r="N826">
            <v>0.57910530460957965</v>
          </cell>
          <cell r="O826">
            <v>0.6210300338567919</v>
          </cell>
        </row>
        <row r="827">
          <cell r="A827" t="str">
            <v>SCOM-SHLTHCHPBIO</v>
          </cell>
          <cell r="B827" t="str">
            <v>VAR_ncap</v>
          </cell>
          <cell r="C827" t="str">
            <v>-</v>
          </cell>
          <cell r="D827">
            <v>3.8165419990711598E-7</v>
          </cell>
          <cell r="E827">
            <v>6.8416289102566002E-2</v>
          </cell>
          <cell r="F827">
            <v>5.9446922456763002E-2</v>
          </cell>
          <cell r="G827">
            <v>4.6564622169996198E-2</v>
          </cell>
          <cell r="H827">
            <v>4.9665018674588099E-2</v>
          </cell>
          <cell r="I827">
            <v>5.2627687654363098E-2</v>
          </cell>
          <cell r="J827">
            <v>4.2045091137221199E-2</v>
          </cell>
          <cell r="K827">
            <v>4.4030351811229898E-2</v>
          </cell>
          <cell r="L827">
            <v>4.25249943375249E-2</v>
          </cell>
          <cell r="M827">
            <v>3.51776954672917E-2</v>
          </cell>
          <cell r="N827">
            <v>4.1577884320409299E-2</v>
          </cell>
          <cell r="O827">
            <v>4.0855790352999098E-2</v>
          </cell>
        </row>
        <row r="828">
          <cell r="A828" t="str">
            <v>SCOM-SHLTHCHPBIO</v>
          </cell>
          <cell r="B828" t="str">
            <v>VAR_cap</v>
          </cell>
          <cell r="C828" t="str">
            <v>-</v>
          </cell>
          <cell r="D828">
            <v>0.10914006923323891</v>
          </cell>
          <cell r="E828">
            <v>0.1210500036902494</v>
          </cell>
          <cell r="F828">
            <v>0.11444906473460799</v>
          </cell>
          <cell r="G828">
            <v>0.10225016962973096</v>
          </cell>
          <cell r="H828">
            <v>8.9981390297459413E-2</v>
          </cell>
          <cell r="I828">
            <v>7.76923365467483E-2</v>
          </cell>
          <cell r="J828">
            <v>7.0804599330023713E-2</v>
          </cell>
          <cell r="K828">
            <v>6.7639899327065295E-2</v>
          </cell>
          <cell r="L828">
            <v>6.7014773605817188E-2</v>
          </cell>
          <cell r="M828">
            <v>5.7250290813041602E-2</v>
          </cell>
          <cell r="N828">
            <v>6.2882556624913294E-2</v>
          </cell>
          <cell r="O828">
            <v>6.5663750961775208E-2</v>
          </cell>
        </row>
        <row r="829">
          <cell r="A829" t="str">
            <v>D-RSH2</v>
          </cell>
          <cell r="B829" t="str">
            <v>VAR_fout</v>
          </cell>
          <cell r="C829" t="str">
            <v>RSH2</v>
          </cell>
          <cell r="G829">
            <v>3.2721454116179985E-3</v>
          </cell>
          <cell r="H829">
            <v>1.0286769886236479E-2</v>
          </cell>
          <cell r="I829">
            <v>2.7364160196015511E-2</v>
          </cell>
          <cell r="J829">
            <v>1.8047488008845716E-2</v>
          </cell>
          <cell r="K829">
            <v>0.62559316031736301</v>
          </cell>
          <cell r="L829">
            <v>1.3623992975111852</v>
          </cell>
          <cell r="M829">
            <v>1.4096007241532447</v>
          </cell>
          <cell r="N829">
            <v>1.6355513715501862</v>
          </cell>
          <cell r="O829">
            <v>1.2135873706110845</v>
          </cell>
        </row>
        <row r="830">
          <cell r="A830" t="str">
            <v>D-RSH2</v>
          </cell>
          <cell r="B830" t="str">
            <v>VAR_fin</v>
          </cell>
          <cell r="C830" t="str">
            <v>H2</v>
          </cell>
          <cell r="G830">
            <v>3.297073885016179E-3</v>
          </cell>
          <cell r="H830">
            <v>1.0365138490685349E-2</v>
          </cell>
          <cell r="I830">
            <v>2.7572630986185127E-2</v>
          </cell>
          <cell r="J830">
            <v>1.8184980775253691E-2</v>
          </cell>
          <cell r="K830">
            <v>0.63035917175428857</v>
          </cell>
          <cell r="L830">
            <v>1.3727785839955569</v>
          </cell>
          <cell r="M830">
            <v>1.4203396094207965</v>
          </cell>
          <cell r="N830">
            <v>1.6480116365226063</v>
          </cell>
          <cell r="O830">
            <v>1.2228329500945723</v>
          </cell>
        </row>
        <row r="831">
          <cell r="A831" t="str">
            <v>D-RSH2</v>
          </cell>
          <cell r="B831" t="str">
            <v>VAR_ncap</v>
          </cell>
          <cell r="C831" t="str">
            <v>-</v>
          </cell>
          <cell r="G831">
            <v>3.21572870883311E-4</v>
          </cell>
          <cell r="H831">
            <v>7.0074806566546705E-4</v>
          </cell>
          <cell r="I831">
            <v>9.6947346555466599E-4</v>
          </cell>
          <cell r="J831">
            <v>1.58317249041778E-5</v>
          </cell>
          <cell r="K831">
            <v>2.60647397280451E-2</v>
          </cell>
          <cell r="L831">
            <v>3.1436430221635801E-2</v>
          </cell>
          <cell r="M831">
            <v>1.2730779807414499E-2</v>
          </cell>
          <cell r="N831">
            <v>1.55437192465042E-3</v>
          </cell>
          <cell r="O831">
            <v>6.7171498596022702E-5</v>
          </cell>
        </row>
        <row r="832">
          <cell r="A832" t="str">
            <v>D-RSH2</v>
          </cell>
          <cell r="B832" t="str">
            <v>VAR_cap</v>
          </cell>
          <cell r="C832" t="str">
            <v>-</v>
          </cell>
          <cell r="G832">
            <v>3.21572870883311E-4</v>
          </cell>
          <cell r="H832">
            <v>1.0223209365487801E-3</v>
          </cell>
          <cell r="I832">
            <v>1.9917944021034398E-3</v>
          </cell>
          <cell r="J832">
            <v>2.0076261270076199E-3</v>
          </cell>
          <cell r="K832">
            <v>2.8072365855052701E-2</v>
          </cell>
          <cell r="L832">
            <v>5.9508796076688603E-2</v>
          </cell>
          <cell r="M832">
            <v>7.2239575884103097E-2</v>
          </cell>
          <cell r="N832">
            <v>7.3692004806240205E-2</v>
          </cell>
          <cell r="O832">
            <v>7.3539546436466194E-2</v>
          </cell>
        </row>
        <row r="833">
          <cell r="A833" t="str">
            <v>RHES-SHNGABR</v>
          </cell>
          <cell r="B833" t="str">
            <v>VAR_fout</v>
          </cell>
          <cell r="C833" t="str">
            <v>CO2_R</v>
          </cell>
          <cell r="D833">
            <v>1043.1366217585301</v>
          </cell>
          <cell r="E833">
            <v>1206.76694138013</v>
          </cell>
          <cell r="F833">
            <v>1111.04560114675</v>
          </cell>
          <cell r="G833">
            <v>1111.0438844911</v>
          </cell>
          <cell r="H833">
            <v>944.23959100569903</v>
          </cell>
          <cell r="I833">
            <v>637.16777034795496</v>
          </cell>
          <cell r="J833">
            <v>493.11318827413402</v>
          </cell>
          <cell r="K833">
            <v>202.08634045791999</v>
          </cell>
          <cell r="L833">
            <v>126.000637666823</v>
          </cell>
          <cell r="M833">
            <v>109.80667974269601</v>
          </cell>
          <cell r="N833">
            <v>109.806306742153</v>
          </cell>
          <cell r="O833">
            <v>101.481497292231</v>
          </cell>
        </row>
        <row r="834">
          <cell r="A834" t="str">
            <v>RHES-SHNGABR</v>
          </cell>
          <cell r="B834" t="str">
            <v>VAR_fout</v>
          </cell>
          <cell r="C834" t="str">
            <v>RHES-SHNGA</v>
          </cell>
          <cell r="D834">
            <v>17.570563664372475</v>
          </cell>
          <cell r="E834">
            <v>20.326748126083732</v>
          </cell>
          <cell r="F834">
            <v>18.714420586691702</v>
          </cell>
          <cell r="G834">
            <v>18.714391671392693</v>
          </cell>
          <cell r="H834">
            <v>15.904744883961243</v>
          </cell>
          <cell r="I834">
            <v>10.732435848059508</v>
          </cell>
          <cell r="J834">
            <v>8.3059845542628867</v>
          </cell>
          <cell r="K834">
            <v>3.4039365857273696</v>
          </cell>
          <cell r="L834">
            <v>2.1223511663737851</v>
          </cell>
          <cell r="M834">
            <v>1.8495805985028582</v>
          </cell>
          <cell r="N834">
            <v>1.8495743156922935</v>
          </cell>
          <cell r="O834">
            <v>1.7093514614826089</v>
          </cell>
        </row>
        <row r="835">
          <cell r="A835" t="str">
            <v>RHES-SHNGABR</v>
          </cell>
          <cell r="B835" t="str">
            <v>VAR_fin</v>
          </cell>
          <cell r="C835" t="str">
            <v>RNGA</v>
          </cell>
          <cell r="D835">
            <v>18.49533017302366</v>
          </cell>
          <cell r="E835">
            <v>21.396576974824981</v>
          </cell>
          <cell r="F835">
            <v>19.699390091254422</v>
          </cell>
          <cell r="G835">
            <v>19.699359654097581</v>
          </cell>
          <cell r="H835">
            <v>16.741836719959188</v>
          </cell>
          <cell r="I835">
            <v>11.297300892694235</v>
          </cell>
          <cell r="J835">
            <v>8.7431416360662126</v>
          </cell>
          <cell r="K835">
            <v>3.5830911428709129</v>
          </cell>
          <cell r="L835">
            <v>2.2340538593408272</v>
          </cell>
          <cell r="M835">
            <v>1.9469269457924814</v>
          </cell>
          <cell r="N835">
            <v>1.9469203323076765</v>
          </cell>
          <cell r="O835">
            <v>1.7993173278764296</v>
          </cell>
        </row>
        <row r="836">
          <cell r="A836" t="str">
            <v>RHES-SHNGABR</v>
          </cell>
          <cell r="B836" t="str">
            <v>VAR_ncap</v>
          </cell>
          <cell r="C836" t="str">
            <v>-</v>
          </cell>
          <cell r="E836">
            <v>0.220282331533556</v>
          </cell>
          <cell r="F836">
            <v>1.8151495565506E-6</v>
          </cell>
          <cell r="G836">
            <v>2.9264365343719502E-6</v>
          </cell>
          <cell r="H836">
            <v>0.80558941313452104</v>
          </cell>
          <cell r="I836">
            <v>6.3109059259083805E-2</v>
          </cell>
          <cell r="J836">
            <v>5.1188546578804996E-6</v>
          </cell>
          <cell r="K836">
            <v>0.21245469102625</v>
          </cell>
          <cell r="L836">
            <v>4.5889051679336404E-6</v>
          </cell>
          <cell r="M836">
            <v>9.9414658722032501E-6</v>
          </cell>
          <cell r="N836">
            <v>0.1159830744387</v>
          </cell>
          <cell r="O836">
            <v>2.3703696679256502E-2</v>
          </cell>
        </row>
        <row r="837">
          <cell r="A837" t="str">
            <v>RHES-SHNGABR</v>
          </cell>
          <cell r="B837" t="str">
            <v>VAR_cap</v>
          </cell>
          <cell r="C837" t="str">
            <v>-</v>
          </cell>
          <cell r="D837">
            <v>1.4219190615860799</v>
          </cell>
          <cell r="E837">
            <v>1.6422011755484716</v>
          </cell>
          <cell r="F837">
            <v>1.6421934279970074</v>
          </cell>
          <cell r="G837">
            <v>1.6421893569641506</v>
          </cell>
          <cell r="H837">
            <v>1.2871998006002199</v>
          </cell>
          <cell r="I837">
            <v>0.86869850235528889</v>
          </cell>
          <cell r="J837">
            <v>0.71559088425922601</v>
          </cell>
          <cell r="K837">
            <v>0.27556507249612849</v>
          </cell>
          <cell r="L837">
            <v>0.22213067118022775</v>
          </cell>
          <cell r="M837">
            <v>0.2124506516535169</v>
          </cell>
          <cell r="N837">
            <v>0.15361826017154245</v>
          </cell>
          <cell r="O837">
            <v>0.13969080022984831</v>
          </cell>
        </row>
        <row r="838">
          <cell r="A838" t="str">
            <v>SCOM-SHLTHCHPHFC</v>
          </cell>
          <cell r="B838" t="str">
            <v>VAR_fout</v>
          </cell>
          <cell r="C838" t="str">
            <v>SCOM-SHLTHC-HFC</v>
          </cell>
          <cell r="G838">
            <v>2.9662325844472103E-3</v>
          </cell>
          <cell r="H838">
            <v>1.0213994874297999E-2</v>
          </cell>
          <cell r="I838">
            <v>9.5405447606927724E-3</v>
          </cell>
          <cell r="J838">
            <v>7.5202033704821107E-3</v>
          </cell>
          <cell r="K838">
            <v>2.4752246433455062E-2</v>
          </cell>
          <cell r="L838">
            <v>2.9287524857836388E-2</v>
          </cell>
          <cell r="M838">
            <v>2.9435967916805476E-2</v>
          </cell>
          <cell r="N838">
            <v>9.8668152667097275E-2</v>
          </cell>
          <cell r="O838">
            <v>0.21776905817783918</v>
          </cell>
        </row>
        <row r="839">
          <cell r="A839" t="str">
            <v>SCOM-SHLTHCHPHFC</v>
          </cell>
          <cell r="B839" t="str">
            <v>VAR_fin</v>
          </cell>
          <cell r="C839" t="str">
            <v>SCOM_LTH_CHPHFC_ON</v>
          </cell>
          <cell r="G839">
            <v>2.9961945297446598E-3</v>
          </cell>
          <cell r="H839">
            <v>1.0317166539694949E-2</v>
          </cell>
          <cell r="I839">
            <v>9.6369138996896583E-3</v>
          </cell>
          <cell r="J839">
            <v>7.5961650206890045E-3</v>
          </cell>
          <cell r="K839">
            <v>2.5002269124702107E-2</v>
          </cell>
          <cell r="L839">
            <v>2.958335844225897E-2</v>
          </cell>
          <cell r="M839">
            <v>2.973330092606611E-2</v>
          </cell>
          <cell r="N839">
            <v>9.9664800673835652E-2</v>
          </cell>
          <cell r="O839">
            <v>0.21996874563418103</v>
          </cell>
        </row>
        <row r="840">
          <cell r="A840" t="str">
            <v>SCOM-SHLTHCHPHFC</v>
          </cell>
          <cell r="B840" t="str">
            <v>VAR_fin</v>
          </cell>
          <cell r="C840" t="str">
            <v>SCOMLTHCHPC</v>
          </cell>
          <cell r="G840">
            <v>2.9662325844472103E-3</v>
          </cell>
          <cell r="H840">
            <v>1.0213994874297999E-2</v>
          </cell>
          <cell r="I840">
            <v>9.5405447606927724E-3</v>
          </cell>
          <cell r="J840">
            <v>7.5202033704821107E-3</v>
          </cell>
          <cell r="K840">
            <v>2.4752246433455062E-2</v>
          </cell>
          <cell r="L840">
            <v>2.9287524857836388E-2</v>
          </cell>
          <cell r="M840">
            <v>2.9435967916805476E-2</v>
          </cell>
          <cell r="N840">
            <v>9.8668152667097275E-2</v>
          </cell>
          <cell r="O840">
            <v>0.21776905817783918</v>
          </cell>
        </row>
        <row r="841">
          <cell r="A841" t="str">
            <v>SCOM-SHLTHCHPHFC</v>
          </cell>
          <cell r="B841" t="str">
            <v>VAR_ncap</v>
          </cell>
          <cell r="C841" t="str">
            <v>-</v>
          </cell>
          <cell r="G841">
            <v>2.4997238640158201E-4</v>
          </cell>
          <cell r="H841">
            <v>7.0220394990156505E-4</v>
          </cell>
          <cell r="I841">
            <v>5.8385192786927396E-4</v>
          </cell>
          <cell r="J841">
            <v>3.85826602967805E-4</v>
          </cell>
          <cell r="K841">
            <v>1.71527770549987E-3</v>
          </cell>
          <cell r="L841">
            <v>1.6146376781697501E-3</v>
          </cell>
          <cell r="M841">
            <v>1.75838157925344E-3</v>
          </cell>
          <cell r="N841">
            <v>6.5235704837201397E-3</v>
          </cell>
          <cell r="O841">
            <v>1.3541971692748501E-2</v>
          </cell>
        </row>
        <row r="842">
          <cell r="A842" t="str">
            <v>SCOM-SHLTHCHPHFC</v>
          </cell>
          <cell r="B842" t="str">
            <v>VAR_cap</v>
          </cell>
          <cell r="C842" t="str">
            <v>-</v>
          </cell>
          <cell r="G842">
            <v>2.4997238640158201E-4</v>
          </cell>
          <cell r="H842">
            <v>8.1797261584952105E-4</v>
          </cell>
          <cell r="I842">
            <v>7.5677553522891002E-4</v>
          </cell>
          <cell r="J842">
            <v>5.9703074665405013E-4</v>
          </cell>
          <cell r="K842">
            <v>2.0037969176953888E-3</v>
          </cell>
          <cell r="L842">
            <v>2.2704471714816202E-3</v>
          </cell>
          <cell r="M842">
            <v>2.55055885885783E-3</v>
          </cell>
          <cell r="N842">
            <v>7.62679989221237E-3</v>
          </cell>
          <cell r="O842">
            <v>1.6836929030302452E-2</v>
          </cell>
        </row>
        <row r="843">
          <cell r="A843" t="str">
            <v>RHSA-WHNGABR</v>
          </cell>
          <cell r="B843" t="str">
            <v>VAR_fout</v>
          </cell>
          <cell r="C843" t="str">
            <v>RHSA-WHNGA</v>
          </cell>
          <cell r="D843">
            <v>6.3804768603498863</v>
          </cell>
          <cell r="E843">
            <v>5.163389311134817</v>
          </cell>
          <cell r="F843">
            <v>9.2625704111937228</v>
          </cell>
          <cell r="G843">
            <v>9.3945624746314849</v>
          </cell>
          <cell r="H843">
            <v>6.8960785533486515</v>
          </cell>
          <cell r="I843">
            <v>2.897257232377294</v>
          </cell>
          <cell r="J843">
            <v>1.8232025598474511</v>
          </cell>
          <cell r="K843">
            <v>1.1031660445610507</v>
          </cell>
          <cell r="L843">
            <v>0.89821623798322436</v>
          </cell>
          <cell r="M843">
            <v>0.85106495208277799</v>
          </cell>
          <cell r="N843">
            <v>0.85106605601056029</v>
          </cell>
          <cell r="O843">
            <v>0.76194815694139884</v>
          </cell>
        </row>
        <row r="844">
          <cell r="A844" t="str">
            <v>RHSA-WHNGABR</v>
          </cell>
          <cell r="B844" t="str">
            <v>VAR_fout</v>
          </cell>
          <cell r="C844" t="str">
            <v>CO2_R</v>
          </cell>
          <cell r="D844">
            <v>479.81185989831101</v>
          </cell>
          <cell r="E844">
            <v>386.22699887003199</v>
          </cell>
          <cell r="F844">
            <v>687.38022525174495</v>
          </cell>
          <cell r="G844">
            <v>688.12119944053995</v>
          </cell>
          <cell r="H844">
            <v>498.63952616520999</v>
          </cell>
          <cell r="I844">
            <v>206.84216190642999</v>
          </cell>
          <cell r="J844">
            <v>129.34418160427199</v>
          </cell>
          <cell r="K844">
            <v>77.773206141553999</v>
          </cell>
          <cell r="L844">
            <v>63.324244777817398</v>
          </cell>
          <cell r="M844">
            <v>60.000079121835903</v>
          </cell>
          <cell r="N844">
            <v>60.000156948744497</v>
          </cell>
          <cell r="O844">
            <v>53.717345064368601</v>
          </cell>
        </row>
        <row r="845">
          <cell r="A845" t="str">
            <v>RHSA-WHNGABR</v>
          </cell>
          <cell r="B845" t="str">
            <v>VAR_fin</v>
          </cell>
          <cell r="C845" t="str">
            <v>RNGA</v>
          </cell>
          <cell r="D845">
            <v>8.5073024804665103</v>
          </cell>
          <cell r="E845">
            <v>6.8479964338658119</v>
          </cell>
          <cell r="F845">
            <v>12.187592646307536</v>
          </cell>
          <cell r="G845">
            <v>12.200730486534395</v>
          </cell>
          <cell r="H845">
            <v>8.8411263504469826</v>
          </cell>
          <cell r="I845">
            <v>3.6674142181991103</v>
          </cell>
          <cell r="J845">
            <v>2.2933365532672361</v>
          </cell>
          <cell r="K845">
            <v>1.378957555701313</v>
          </cell>
          <cell r="L845">
            <v>1.1227702974790308</v>
          </cell>
          <cell r="M845">
            <v>1.0638311901034725</v>
          </cell>
          <cell r="N845">
            <v>1.0638325700132012</v>
          </cell>
          <cell r="O845">
            <v>0.95243519617674788</v>
          </cell>
        </row>
        <row r="846">
          <cell r="A846" t="str">
            <v>RHSA-WHNGABR</v>
          </cell>
          <cell r="B846" t="str">
            <v>VAR_ncap</v>
          </cell>
          <cell r="C846" t="str">
            <v>-</v>
          </cell>
          <cell r="E846">
            <v>5.1094730169534299E-6</v>
          </cell>
          <cell r="F846">
            <v>0.20879185300265099</v>
          </cell>
          <cell r="G846">
            <v>4.85658933414979E-3</v>
          </cell>
          <cell r="H846">
            <v>0.14467491741007299</v>
          </cell>
          <cell r="I846">
            <v>8.9281156528481492E-3</v>
          </cell>
          <cell r="J846">
            <v>9.2231423261359604E-3</v>
          </cell>
          <cell r="K846">
            <v>5.7432289351895198E-2</v>
          </cell>
          <cell r="L846">
            <v>6.3029782632666901E-6</v>
          </cell>
          <cell r="M846">
            <v>1.26698198962074E-5</v>
          </cell>
          <cell r="N846">
            <v>5.05087095727417E-2</v>
          </cell>
          <cell r="O846">
            <v>1.97767090604065E-3</v>
          </cell>
        </row>
        <row r="847">
          <cell r="A847" t="str">
            <v>RHSA-WHNGABR</v>
          </cell>
          <cell r="B847" t="str">
            <v>VAR_cap</v>
          </cell>
          <cell r="C847" t="str">
            <v>-</v>
          </cell>
          <cell r="D847">
            <v>0.43610075802020798</v>
          </cell>
          <cell r="E847">
            <v>0.43610504621558499</v>
          </cell>
          <cell r="F847">
            <v>0.64489343824676737</v>
          </cell>
          <cell r="G847">
            <v>0.64974519208678438</v>
          </cell>
          <cell r="H847">
            <v>0.47141536110799975</v>
          </cell>
          <cell r="I847">
            <v>0.20137422458855217</v>
          </cell>
          <cell r="J847">
            <v>0.16281253812329288</v>
          </cell>
          <cell r="K847">
            <v>7.5580453546409146E-2</v>
          </cell>
          <cell r="L847">
            <v>6.6803218489506308E-2</v>
          </cell>
          <cell r="M847">
            <v>5.7442428844759842E-2</v>
          </cell>
          <cell r="N847">
            <v>6.0691097316423186E-2</v>
          </cell>
          <cell r="O847">
            <v>5.2493617642601652E-2</v>
          </cell>
        </row>
        <row r="848">
          <cell r="A848" t="str">
            <v>ITOT-SWHWSTBR</v>
          </cell>
          <cell r="B848" t="str">
            <v>VAR_fout</v>
          </cell>
          <cell r="C848" t="str">
            <v>ITOT-SWH</v>
          </cell>
          <cell r="D848">
            <v>4.1173935395824302</v>
          </cell>
          <cell r="E848">
            <v>4.2663421420246266</v>
          </cell>
          <cell r="F848">
            <v>2.9611874271057284</v>
          </cell>
          <cell r="G848">
            <v>2.928104924300281</v>
          </cell>
          <cell r="H848">
            <v>2.8950155295702777</v>
          </cell>
          <cell r="I848">
            <v>2.8802623000033236</v>
          </cell>
          <cell r="J848">
            <v>2.9084206385649143</v>
          </cell>
          <cell r="K848">
            <v>8.2492792193084811E-3</v>
          </cell>
          <cell r="L848">
            <v>4.1391535356856317E-3</v>
          </cell>
          <cell r="M848">
            <v>1.9203461467420888E-3</v>
          </cell>
          <cell r="N848">
            <v>1.2780279328129694E-3</v>
          </cell>
          <cell r="O848">
            <v>7.1150884779350501E-4</v>
          </cell>
        </row>
        <row r="849">
          <cell r="A849" t="str">
            <v>ITOT-SWHWSTBR</v>
          </cell>
          <cell r="B849" t="str">
            <v>VAR_fout</v>
          </cell>
          <cell r="C849" t="str">
            <v>CO2_I</v>
          </cell>
          <cell r="D849">
            <v>723.66310695691197</v>
          </cell>
          <cell r="E849">
            <v>749.84195223462996</v>
          </cell>
          <cell r="F849">
            <v>520.451123551916</v>
          </cell>
          <cell r="G849">
            <v>514.63662305883702</v>
          </cell>
          <cell r="H849">
            <v>508.82091125780602</v>
          </cell>
          <cell r="I849">
            <v>506.22791939452401</v>
          </cell>
          <cell r="J849">
            <v>503.54745384108998</v>
          </cell>
          <cell r="K849">
            <v>1.40722998447027</v>
          </cell>
          <cell r="L849">
            <v>0.70609089726401997</v>
          </cell>
          <cell r="M849">
            <v>0.327588460326592</v>
          </cell>
          <cell r="N849">
            <v>0.21801652971515401</v>
          </cell>
          <cell r="O849">
            <v>0.121375038741245</v>
          </cell>
        </row>
        <row r="850">
          <cell r="A850" t="str">
            <v>ITOT-SWHWSTBR</v>
          </cell>
          <cell r="B850" t="str">
            <v>VAR_fin</v>
          </cell>
          <cell r="C850" t="str">
            <v>IWST</v>
          </cell>
          <cell r="D850">
            <v>7.7980938249667293</v>
          </cell>
          <cell r="E850">
            <v>8.0801934508042166</v>
          </cell>
          <cell r="F850">
            <v>5.60830952103358</v>
          </cell>
          <cell r="G850">
            <v>5.5456532657202269</v>
          </cell>
          <cell r="H850">
            <v>5.4829839575194645</v>
          </cell>
          <cell r="I850">
            <v>5.4550422348547833</v>
          </cell>
          <cell r="J850">
            <v>5.4261579077703601</v>
          </cell>
          <cell r="K850">
            <v>1.5164116211964125E-2</v>
          </cell>
          <cell r="L850">
            <v>7.6087381170691732E-3</v>
          </cell>
          <cell r="M850">
            <v>3.5300480638641354E-3</v>
          </cell>
          <cell r="N850">
            <v>2.3493160529650154E-3</v>
          </cell>
          <cell r="O850">
            <v>1.3079206760910004E-3</v>
          </cell>
        </row>
        <row r="851">
          <cell r="A851" t="str">
            <v>ITOT-SWHWSTBR</v>
          </cell>
          <cell r="B851" t="str">
            <v>VAR_ncap</v>
          </cell>
          <cell r="C851" t="str">
            <v>-</v>
          </cell>
          <cell r="E851">
            <v>4.1152555659971298E-5</v>
          </cell>
          <cell r="F851">
            <v>4.1396007876124803E-5</v>
          </cell>
          <cell r="G851">
            <v>4.5690222976612703E-5</v>
          </cell>
          <cell r="H851">
            <v>0.17088631531118201</v>
          </cell>
          <cell r="I851">
            <v>2.75493241042108E-2</v>
          </cell>
          <cell r="J851">
            <v>1.16615623411792E-4</v>
          </cell>
          <cell r="K851">
            <v>1.5552813434625799E-4</v>
          </cell>
          <cell r="L851">
            <v>1.63266380664426E-4</v>
          </cell>
          <cell r="M851">
            <v>4.4586054523021497E-5</v>
          </cell>
          <cell r="N851">
            <v>6.42233564008768E-5</v>
          </cell>
          <cell r="O851">
            <v>2.3877013651555999E-5</v>
          </cell>
        </row>
        <row r="852">
          <cell r="A852" t="str">
            <v>ITOT-SWHWSTBR</v>
          </cell>
          <cell r="B852" t="str">
            <v>VAR_cap</v>
          </cell>
          <cell r="C852" t="str">
            <v>-</v>
          </cell>
          <cell r="D852">
            <v>0.35954682816669398</v>
          </cell>
          <cell r="E852">
            <v>0.29402032493846514</v>
          </cell>
          <cell r="F852">
            <v>0.28204495577821681</v>
          </cell>
          <cell r="G852">
            <v>0.25551058338268168</v>
          </cell>
          <cell r="H852">
            <v>0.23711338902422568</v>
          </cell>
          <cell r="I852">
            <v>0.19844122485858554</v>
          </cell>
          <cell r="J852">
            <v>0.19833597760377464</v>
          </cell>
          <cell r="K852">
            <v>7.7475128272820257E-4</v>
          </cell>
          <cell r="L852">
            <v>3.8774935255714987E-4</v>
          </cell>
          <cell r="M852">
            <v>1.7965233009843901E-4</v>
          </cell>
          <cell r="N852">
            <v>1.18499505033111E-4</v>
          </cell>
          <cell r="O852">
            <v>6.4770061981713102E-5</v>
          </cell>
        </row>
        <row r="853">
          <cell r="A853" t="str">
            <v>SCOM-SHSTG-ELC</v>
          </cell>
          <cell r="B853" t="str">
            <v>VAR_fout</v>
          </cell>
          <cell r="C853" t="str">
            <v>SCOM-SHAELCB</v>
          </cell>
          <cell r="D853">
            <v>1.7046016383122939E-5</v>
          </cell>
          <cell r="E853">
            <v>3.9974199055475666E-4</v>
          </cell>
          <cell r="F853">
            <v>9.0689381126515284E-2</v>
          </cell>
          <cell r="G853">
            <v>6.4890820613953168E-2</v>
          </cell>
          <cell r="H853">
            <v>1.3421568449472778</v>
          </cell>
          <cell r="I853">
            <v>0.23265226118244586</v>
          </cell>
          <cell r="J853">
            <v>0.20350279660162224</v>
          </cell>
          <cell r="K853">
            <v>0.19487187216861432</v>
          </cell>
          <cell r="L853">
            <v>0.42341185479121035</v>
          </cell>
          <cell r="M853">
            <v>0.2254896981602601</v>
          </cell>
          <cell r="N853">
            <v>0.12574228764206338</v>
          </cell>
          <cell r="O853">
            <v>0.23674228735958414</v>
          </cell>
        </row>
        <row r="854">
          <cell r="A854" t="str">
            <v>SCOM-SHSTG-ELC</v>
          </cell>
          <cell r="B854" t="str">
            <v>VAR_fin</v>
          </cell>
          <cell r="C854" t="str">
            <v>SCOM-SHAELCB</v>
          </cell>
          <cell r="D854">
            <v>2.4151510669634539E-5</v>
          </cell>
          <cell r="E854">
            <v>5.2600287536442995E-4</v>
          </cell>
          <cell r="F854">
            <v>0.11703417966864731</v>
          </cell>
          <cell r="G854">
            <v>8.1131436784517882E-2</v>
          </cell>
          <cell r="H854">
            <v>1.6268738589687151</v>
          </cell>
          <cell r="I854">
            <v>0.27372311796102439</v>
          </cell>
          <cell r="J854">
            <v>0.23258457319551387</v>
          </cell>
          <cell r="K854">
            <v>0.216532140804886</v>
          </cell>
          <cell r="L854">
            <v>0.47047395400160241</v>
          </cell>
          <cell r="M854">
            <v>0.25055952837255907</v>
          </cell>
          <cell r="N854">
            <v>0.13972154182988655</v>
          </cell>
          <cell r="O854">
            <v>0.26305498736161587</v>
          </cell>
        </row>
        <row r="855">
          <cell r="A855" t="str">
            <v>SCOM-SHSTG-ELC</v>
          </cell>
          <cell r="B855" t="str">
            <v>VAR_ncap</v>
          </cell>
          <cell r="C855" t="str">
            <v>-</v>
          </cell>
          <cell r="D855">
            <v>5.78613171460878E-3</v>
          </cell>
          <cell r="E855">
            <v>2.9594840648553002E-5</v>
          </cell>
          <cell r="F855">
            <v>3.5410983935169699E-2</v>
          </cell>
          <cell r="G855">
            <v>3.8804071760769701E-3</v>
          </cell>
          <cell r="H855">
            <v>3.3960853165533199E-4</v>
          </cell>
          <cell r="I855">
            <v>2.5319438483989199E-2</v>
          </cell>
          <cell r="J855">
            <v>2.9047135479743703E-4</v>
          </cell>
          <cell r="K855">
            <v>1.3798549348085301E-3</v>
          </cell>
          <cell r="L855">
            <v>3.8239257064712803E-2</v>
          </cell>
          <cell r="M855">
            <v>8.2906276371928495E-4</v>
          </cell>
          <cell r="N855">
            <v>6.4960841334187698E-4</v>
          </cell>
          <cell r="O855">
            <v>1.8393743725875801E-2</v>
          </cell>
        </row>
        <row r="856">
          <cell r="A856" t="str">
            <v>SCOM-SHSTG-ELC</v>
          </cell>
          <cell r="B856" t="str">
            <v>VAR_cap</v>
          </cell>
          <cell r="C856" t="str">
            <v>-</v>
          </cell>
          <cell r="D856">
            <v>5.78613171460878E-3</v>
          </cell>
          <cell r="E856">
            <v>5.9169343400990344E-5</v>
          </cell>
          <cell r="F856">
            <v>3.5457588519544204E-2</v>
          </cell>
          <cell r="G856">
            <v>3.92805231017508E-2</v>
          </cell>
          <cell r="H856">
            <v>3.9236236505305902E-2</v>
          </cell>
          <cell r="I856">
            <v>3.5986190141887073E-2</v>
          </cell>
          <cell r="J856">
            <v>2.546570983060922E-2</v>
          </cell>
          <cell r="K856">
            <v>1.8889664048687301E-2</v>
          </cell>
          <cell r="L856">
            <v>4.2130153262256671E-2</v>
          </cell>
          <cell r="M856">
            <v>3.9265778639046116E-2</v>
          </cell>
          <cell r="N856">
            <v>1.9506970141387914E-2</v>
          </cell>
          <cell r="O856">
            <v>1.9153222325936574E-2</v>
          </cell>
        </row>
        <row r="857">
          <cell r="A857" t="str">
            <v>SCOM-SHNGABR</v>
          </cell>
          <cell r="B857" t="str">
            <v>VAR_fout</v>
          </cell>
          <cell r="C857" t="str">
            <v>CO2_S</v>
          </cell>
          <cell r="D857">
            <v>1440.9476145178401</v>
          </cell>
          <cell r="E857">
            <v>1508.68896202521</v>
          </cell>
          <cell r="F857">
            <v>1246.71907007138</v>
          </cell>
          <cell r="G857">
            <v>1280.4165534062899</v>
          </cell>
          <cell r="H857">
            <v>1290.9847629421999</v>
          </cell>
          <cell r="I857">
            <v>993.92821333954396</v>
          </cell>
          <cell r="J857">
            <v>343.40558023210099</v>
          </cell>
          <cell r="K857">
            <v>232.394574875541</v>
          </cell>
          <cell r="L857">
            <v>261.59917358914498</v>
          </cell>
          <cell r="M857">
            <v>255.30568795411099</v>
          </cell>
          <cell r="N857">
            <v>248.082667177356</v>
          </cell>
          <cell r="O857">
            <v>249.83744845529301</v>
          </cell>
        </row>
        <row r="858">
          <cell r="A858" t="str">
            <v>SCOM-SHNGABR</v>
          </cell>
          <cell r="B858" t="str">
            <v>VAR_fout</v>
          </cell>
          <cell r="C858" t="str">
            <v>SCOM-SHNGA</v>
          </cell>
          <cell r="D858">
            <v>24.189742283855463</v>
          </cell>
          <cell r="E858">
            <v>25.326942360842715</v>
          </cell>
          <cell r="F858">
            <v>20.929152941820025</v>
          </cell>
          <cell r="G858">
            <v>21.494845566085782</v>
          </cell>
          <cell r="H858">
            <v>21.672258167695819</v>
          </cell>
          <cell r="I858">
            <v>16.685455520450326</v>
          </cell>
          <cell r="J858">
            <v>5.7648816660361026</v>
          </cell>
          <cell r="K858">
            <v>3.9012971864952379</v>
          </cell>
          <cell r="L858">
            <v>4.3915660271302865</v>
          </cell>
          <cell r="M858">
            <v>4.2859148611581244</v>
          </cell>
          <cell r="N858">
            <v>4.1646592309462598</v>
          </cell>
          <cell r="O858">
            <v>4.1941174197451767</v>
          </cell>
        </row>
        <row r="859">
          <cell r="A859" t="str">
            <v>SCOM-SHNGABR</v>
          </cell>
          <cell r="B859" t="str">
            <v>VAR_fin</v>
          </cell>
          <cell r="C859" t="str">
            <v>SNGA</v>
          </cell>
          <cell r="D859">
            <v>25.548716569465288</v>
          </cell>
          <cell r="E859">
            <v>26.749804291227086</v>
          </cell>
          <cell r="F859">
            <v>22.104948050911027</v>
          </cell>
          <cell r="G859">
            <v>22.702421159686082</v>
          </cell>
          <cell r="H859">
            <v>22.889800761386596</v>
          </cell>
          <cell r="I859">
            <v>17.62284066204866</v>
          </cell>
          <cell r="J859">
            <v>6.0887514225549815</v>
          </cell>
          <cell r="K859">
            <v>4.1204711857365446</v>
          </cell>
          <cell r="L859">
            <v>4.638283219665694</v>
          </cell>
          <cell r="M859">
            <v>4.5266965949310469</v>
          </cell>
          <cell r="N859">
            <v>4.3986288506623419</v>
          </cell>
          <cell r="O859">
            <v>4.4297419938881673</v>
          </cell>
        </row>
        <row r="860">
          <cell r="A860" t="str">
            <v>SCOM-SHNGABR</v>
          </cell>
          <cell r="B860" t="str">
            <v>VAR_ncap</v>
          </cell>
          <cell r="C860" t="str">
            <v>-</v>
          </cell>
          <cell r="D860">
            <v>5.8657812976522798E-7</v>
          </cell>
          <cell r="E860">
            <v>6.7457500071141803E-6</v>
          </cell>
          <cell r="F860">
            <v>7.7696207574776503E-6</v>
          </cell>
          <cell r="G860">
            <v>9.3198810126178297E-5</v>
          </cell>
          <cell r="H860">
            <v>0.99552503833134598</v>
          </cell>
          <cell r="I860">
            <v>0.56484120045830499</v>
          </cell>
          <cell r="J860">
            <v>1.6621655240248E-4</v>
          </cell>
          <cell r="K860">
            <v>0.66026479795719395</v>
          </cell>
          <cell r="L860">
            <v>0.72868766046080902</v>
          </cell>
          <cell r="M860">
            <v>0.53696878942034898</v>
          </cell>
          <cell r="N860">
            <v>0.70494969873616897</v>
          </cell>
          <cell r="O860">
            <v>0.32558615760294402</v>
          </cell>
        </row>
        <row r="861">
          <cell r="A861" t="str">
            <v>SCOM-SHNGABR</v>
          </cell>
          <cell r="B861" t="str">
            <v>VAR_cap</v>
          </cell>
          <cell r="C861" t="str">
            <v>-</v>
          </cell>
          <cell r="D861">
            <v>2.7746820844533495</v>
          </cell>
          <cell r="E861">
            <v>2.7745478423754002</v>
          </cell>
          <cell r="F861">
            <v>2.7744627776610864</v>
          </cell>
          <cell r="G861">
            <v>2.7745001382832011</v>
          </cell>
          <cell r="H861">
            <v>1.7151124596658798</v>
          </cell>
          <cell r="I861">
            <v>1.5604277627022893</v>
          </cell>
          <cell r="J861">
            <v>0.89285256373368804</v>
          </cell>
          <cell r="K861">
            <v>0.66027366494557205</v>
          </cell>
          <cell r="L861">
            <v>0.72869763395449394</v>
          </cell>
          <cell r="M861">
            <v>0.72382873016457006</v>
          </cell>
          <cell r="N861">
            <v>0.70499240250361006</v>
          </cell>
          <cell r="O861">
            <v>0.71094734630781486</v>
          </cell>
        </row>
        <row r="862">
          <cell r="A862" t="str">
            <v>RHEM-SHELCHP</v>
          </cell>
          <cell r="B862" t="str">
            <v>VAR_fout</v>
          </cell>
          <cell r="C862" t="str">
            <v>RHEM-SHAELCH</v>
          </cell>
          <cell r="D862">
            <v>9.9025488417559497</v>
          </cell>
          <cell r="E862">
            <v>11.655222988411881</v>
          </cell>
          <cell r="F862">
            <v>12.103913799896997</v>
          </cell>
          <cell r="G862">
            <v>17.686023883289185</v>
          </cell>
          <cell r="H862">
            <v>24.823149969618395</v>
          </cell>
          <cell r="I862">
            <v>31.681332768793734</v>
          </cell>
          <cell r="J862">
            <v>33.294384198951164</v>
          </cell>
          <cell r="K862">
            <v>33.365135509372571</v>
          </cell>
          <cell r="L862">
            <v>33.365157630344676</v>
          </cell>
          <cell r="M862">
            <v>33.365174612786916</v>
          </cell>
          <cell r="N862">
            <v>33.365178560494009</v>
          </cell>
          <cell r="O862">
            <v>33.36520158644673</v>
          </cell>
        </row>
        <row r="863">
          <cell r="A863" t="str">
            <v>RHEM-SHELCHP</v>
          </cell>
          <cell r="B863" t="str">
            <v>VAR_fin</v>
          </cell>
          <cell r="C863" t="str">
            <v>RHEMELCHPC</v>
          </cell>
          <cell r="D863">
            <v>9.9025488417559497</v>
          </cell>
          <cell r="E863">
            <v>11.655222988411881</v>
          </cell>
          <cell r="F863">
            <v>12.103913799896997</v>
          </cell>
          <cell r="G863">
            <v>17.686023883289185</v>
          </cell>
          <cell r="H863">
            <v>24.823149969618395</v>
          </cell>
          <cell r="I863">
            <v>31.681332768793734</v>
          </cell>
          <cell r="J863">
            <v>33.294384198951164</v>
          </cell>
          <cell r="K863">
            <v>33.365135509372571</v>
          </cell>
          <cell r="L863">
            <v>33.365157630344676</v>
          </cell>
          <cell r="M863">
            <v>33.365174612786916</v>
          </cell>
          <cell r="N863">
            <v>33.365178560494009</v>
          </cell>
          <cell r="O863">
            <v>33.36520158644673</v>
          </cell>
        </row>
        <row r="864">
          <cell r="A864" t="str">
            <v>RHEM-SHELCHP</v>
          </cell>
          <cell r="B864" t="str">
            <v>VAR_fin</v>
          </cell>
          <cell r="C864" t="str">
            <v>RHEM_ELC</v>
          </cell>
          <cell r="D864">
            <v>3.0945464905211852</v>
          </cell>
          <cell r="E864">
            <v>3.5825480275568311</v>
          </cell>
          <cell r="F864">
            <v>3.6311741399690951</v>
          </cell>
          <cell r="G864">
            <v>5.1017376586411123</v>
          </cell>
          <cell r="H864">
            <v>6.9273906891958239</v>
          </cell>
          <cell r="I864">
            <v>8.5625223699442454</v>
          </cell>
          <cell r="J864">
            <v>8.7616800523555671</v>
          </cell>
          <cell r="K864">
            <v>8.5551629511211615</v>
          </cell>
          <cell r="L864">
            <v>8.5551686231653008</v>
          </cell>
          <cell r="M864">
            <v>8.5551729776376657</v>
          </cell>
          <cell r="N864">
            <v>8.5551739898702461</v>
          </cell>
          <cell r="O864">
            <v>8.5551798939607018</v>
          </cell>
        </row>
        <row r="865">
          <cell r="A865" t="str">
            <v>RHEM-SHELCHP</v>
          </cell>
          <cell r="B865" t="str">
            <v>VAR_ncap</v>
          </cell>
          <cell r="C865" t="str">
            <v>-</v>
          </cell>
          <cell r="D865">
            <v>2.1849786072121901E-6</v>
          </cell>
          <cell r="E865">
            <v>0.123761463165467</v>
          </cell>
          <cell r="F865">
            <v>3.1803916677297699E-2</v>
          </cell>
          <cell r="G865">
            <v>0.39414232368559998</v>
          </cell>
          <cell r="H865">
            <v>1.0824335850968501</v>
          </cell>
          <cell r="I865">
            <v>0.832942141489456</v>
          </cell>
          <cell r="J865">
            <v>0.43992245314866901</v>
          </cell>
          <cell r="K865">
            <v>1.09269959198475</v>
          </cell>
          <cell r="L865">
            <v>0.75391899667567397</v>
          </cell>
          <cell r="M865">
            <v>0.50963707456401397</v>
          </cell>
          <cell r="N865">
            <v>1.13813071145793</v>
          </cell>
          <cell r="O865">
            <v>0.70863395798171902</v>
          </cell>
        </row>
        <row r="866">
          <cell r="A866" t="str">
            <v>RHEM-SHELCHP</v>
          </cell>
          <cell r="B866" t="str">
            <v>VAR_cap</v>
          </cell>
          <cell r="C866" t="str">
            <v>-</v>
          </cell>
          <cell r="D866">
            <v>0.69925413537060632</v>
          </cell>
          <cell r="E866">
            <v>0.82301533775118763</v>
          </cell>
          <cell r="F866">
            <v>0.85481778810055131</v>
          </cell>
          <cell r="G866">
            <v>1.2489585034773514</v>
          </cell>
          <cell r="H866">
            <v>1.7531244985406651</v>
          </cell>
          <cell r="I866">
            <v>2.2412093368929655</v>
          </cell>
          <cell r="J866">
            <v>2.3552962735458114</v>
          </cell>
          <cell r="K866">
            <v>2.3655606449891362</v>
          </cell>
          <cell r="L866">
            <v>2.3562338044653641</v>
          </cell>
          <cell r="M866">
            <v>2.3562513835181247</v>
          </cell>
          <cell r="N866">
            <v>2.3562185595310221</v>
          </cell>
          <cell r="O866">
            <v>2.3563969629692876</v>
          </cell>
        </row>
        <row r="867">
          <cell r="A867" t="str">
            <v>RHNM-SHSTG-ELC</v>
          </cell>
          <cell r="B867" t="str">
            <v>VAR_fout</v>
          </cell>
          <cell r="C867" t="str">
            <v>RHNM-SHAELCB</v>
          </cell>
          <cell r="E867">
            <v>1.1864461940832259E-7</v>
          </cell>
          <cell r="F867">
            <v>6.0941230456751563E-3</v>
          </cell>
          <cell r="G867">
            <v>1.8021692547660773E-3</v>
          </cell>
          <cell r="H867">
            <v>3.2954483987061097E-4</v>
          </cell>
          <cell r="I867">
            <v>2.4155102822047151E-4</v>
          </cell>
          <cell r="J867">
            <v>3.5735744724270737E-4</v>
          </cell>
          <cell r="K867">
            <v>1.9946879248715227E-4</v>
          </cell>
          <cell r="L867">
            <v>1.112295860204122E-3</v>
          </cell>
          <cell r="M867">
            <v>0.10976915709103921</v>
          </cell>
          <cell r="N867">
            <v>4.1633200093771177E-4</v>
          </cell>
          <cell r="O867">
            <v>7.6730322036401663E-4</v>
          </cell>
        </row>
        <row r="868">
          <cell r="A868" t="str">
            <v>RHNM-SHSTG-ELC</v>
          </cell>
          <cell r="B868" t="str">
            <v>VAR_fin</v>
          </cell>
          <cell r="C868" t="str">
            <v>RHNM-SHAELCB</v>
          </cell>
          <cell r="E868">
            <v>4.1045624337396268E-7</v>
          </cell>
          <cell r="F868">
            <v>6.0949572250392188E-3</v>
          </cell>
          <cell r="G868">
            <v>1.8026903107391634E-3</v>
          </cell>
          <cell r="H868">
            <v>3.298985326520972E-4</v>
          </cell>
          <cell r="I868">
            <v>2.4187359203742823E-4</v>
          </cell>
          <cell r="J868">
            <v>3.5768999164582287E-4</v>
          </cell>
          <cell r="K868">
            <v>1.9980207274306427E-4</v>
          </cell>
          <cell r="L868">
            <v>1.1127067156430281E-3</v>
          </cell>
          <cell r="M868">
            <v>0.10977452407213277</v>
          </cell>
          <cell r="N868">
            <v>4.1668389062021516E-4</v>
          </cell>
          <cell r="O868">
            <v>7.67726656325149E-4</v>
          </cell>
        </row>
        <row r="869">
          <cell r="A869" t="str">
            <v>RHNM-SHSTG-ELC</v>
          </cell>
          <cell r="B869" t="str">
            <v>VAR_ncap</v>
          </cell>
          <cell r="C869" t="str">
            <v>-</v>
          </cell>
          <cell r="D869">
            <v>5.6726317860233196E-4</v>
          </cell>
          <cell r="E869">
            <v>2.3693475439073501E-3</v>
          </cell>
          <cell r="F869">
            <v>9.5164029292402406E-5</v>
          </cell>
          <cell r="G869">
            <v>7.5442315784822594E-5</v>
          </cell>
          <cell r="H869">
            <v>7.0307316261143104E-5</v>
          </cell>
          <cell r="I869">
            <v>5.8734995936972497E-5</v>
          </cell>
          <cell r="J869">
            <v>7.0587911164186006E-5</v>
          </cell>
          <cell r="K869">
            <v>5.75612165192468E-5</v>
          </cell>
          <cell r="L869">
            <v>2.1960666824982799E-4</v>
          </cell>
          <cell r="M869">
            <v>1.2617830115351799E-2</v>
          </cell>
          <cell r="N869">
            <v>7.2807318167753302E-5</v>
          </cell>
          <cell r="O869">
            <v>2.14544030568579E-4</v>
          </cell>
        </row>
        <row r="870">
          <cell r="A870" t="str">
            <v>RHNM-SHSTG-ELC</v>
          </cell>
          <cell r="B870" t="str">
            <v>VAR_cap</v>
          </cell>
          <cell r="C870" t="str">
            <v>-</v>
          </cell>
          <cell r="D870">
            <v>5.6726317860233196E-4</v>
          </cell>
          <cell r="E870">
            <v>2.9038574603363946E-3</v>
          </cell>
          <cell r="F870">
            <v>1.2402955158154099E-3</v>
          </cell>
          <cell r="G870">
            <v>5.1189583519435991E-4</v>
          </cell>
          <cell r="H870">
            <v>1.5351588417929002E-4</v>
          </cell>
          <cell r="I870">
            <v>8.7762222306274996E-5</v>
          </cell>
          <cell r="J870">
            <v>1.047842627461335E-4</v>
          </cell>
          <cell r="K870">
            <v>8.2675008560207993E-5</v>
          </cell>
          <cell r="L870">
            <v>2.6217722947987536E-4</v>
          </cell>
          <cell r="M870">
            <v>1.2768231224463989E-2</v>
          </cell>
          <cell r="N870">
            <v>1.3844497785770078E-4</v>
          </cell>
          <cell r="O870">
            <v>2.7225782279540096E-4</v>
          </cell>
        </row>
        <row r="871">
          <cell r="A871" t="str">
            <v>D-RWOD</v>
          </cell>
          <cell r="B871" t="str">
            <v>VAR_fout</v>
          </cell>
          <cell r="C871" t="str">
            <v>RWOD</v>
          </cell>
          <cell r="D871">
            <v>13.723114751751089</v>
          </cell>
          <cell r="E871">
            <v>15.890054789657279</v>
          </cell>
          <cell r="F871">
            <v>13.509782472338992</v>
          </cell>
          <cell r="G871">
            <v>11.345606980259904</v>
          </cell>
          <cell r="H871">
            <v>9.0971657144973666</v>
          </cell>
          <cell r="I871">
            <v>8.3229856167244183</v>
          </cell>
          <cell r="J871">
            <v>8.4753918161853878</v>
          </cell>
          <cell r="K871">
            <v>10.631350691636353</v>
          </cell>
          <cell r="L871">
            <v>7.3767705219710571</v>
          </cell>
          <cell r="M871">
            <v>6.783380625741227</v>
          </cell>
          <cell r="N871">
            <v>5.0480414949853758</v>
          </cell>
          <cell r="O871">
            <v>3.7892334083391113</v>
          </cell>
        </row>
        <row r="872">
          <cell r="A872" t="str">
            <v>D-RWOD</v>
          </cell>
          <cell r="B872" t="str">
            <v>VAR_fin</v>
          </cell>
          <cell r="C872" t="str">
            <v>WOD</v>
          </cell>
          <cell r="D872">
            <v>13.723114751751089</v>
          </cell>
          <cell r="E872">
            <v>15.890054789657279</v>
          </cell>
          <cell r="F872">
            <v>13.509782472338992</v>
          </cell>
          <cell r="G872">
            <v>11.345606980259904</v>
          </cell>
          <cell r="H872">
            <v>9.0971657144973666</v>
          </cell>
          <cell r="I872">
            <v>8.3229856167244183</v>
          </cell>
          <cell r="J872">
            <v>8.4753918161853878</v>
          </cell>
          <cell r="K872">
            <v>10.631350691636353</v>
          </cell>
          <cell r="L872">
            <v>7.3767705219710571</v>
          </cell>
          <cell r="M872">
            <v>6.783380625741227</v>
          </cell>
          <cell r="N872">
            <v>5.0480414949853758</v>
          </cell>
          <cell r="O872">
            <v>3.7892334083391113</v>
          </cell>
        </row>
        <row r="873">
          <cell r="A873" t="str">
            <v>RHNS-SHLTHCHPWOD</v>
          </cell>
          <cell r="B873" t="str">
            <v>VAR_fout</v>
          </cell>
          <cell r="C873" t="str">
            <v>RHNS-SHLTHC-WOD</v>
          </cell>
          <cell r="G873">
            <v>2.2456434351294735E-3</v>
          </cell>
          <cell r="H873">
            <v>4.6986440793657042E-3</v>
          </cell>
          <cell r="I873">
            <v>1.3082414206303955E-2</v>
          </cell>
          <cell r="J873">
            <v>1.1045691655915766E-2</v>
          </cell>
          <cell r="K873">
            <v>1.840834639705494E-2</v>
          </cell>
          <cell r="L873">
            <v>7.6523844469998841E-3</v>
          </cell>
          <cell r="M873">
            <v>5.8649555308270644E-3</v>
          </cell>
          <cell r="N873">
            <v>4.467703762010538E-3</v>
          </cell>
          <cell r="O873">
            <v>7.628598409693192E-3</v>
          </cell>
        </row>
        <row r="874">
          <cell r="A874" t="str">
            <v>RHNS-SHLTHCHPWOD</v>
          </cell>
          <cell r="B874" t="str">
            <v>VAR_fin</v>
          </cell>
          <cell r="C874" t="str">
            <v>RHNS_LTH_CHPWOD_ON</v>
          </cell>
          <cell r="G874">
            <v>2.2683267021509825E-3</v>
          </cell>
          <cell r="H874">
            <v>4.7461051306724282E-3</v>
          </cell>
          <cell r="I874">
            <v>1.3214559804347428E-2</v>
          </cell>
          <cell r="J874">
            <v>1.1157264298904811E-2</v>
          </cell>
          <cell r="K874">
            <v>1.8594289289954494E-2</v>
          </cell>
          <cell r="L874">
            <v>7.72968125959584E-3</v>
          </cell>
          <cell r="M874">
            <v>5.9241975058859191E-3</v>
          </cell>
          <cell r="N874">
            <v>4.5128320828389315E-3</v>
          </cell>
          <cell r="O874">
            <v>7.7056549592860535E-3</v>
          </cell>
        </row>
        <row r="875">
          <cell r="A875" t="str">
            <v>RHNS-SHLTHCHPWOD</v>
          </cell>
          <cell r="B875" t="str">
            <v>VAR_fin</v>
          </cell>
          <cell r="C875" t="str">
            <v>RHNSLTHCHPC</v>
          </cell>
          <cell r="G875">
            <v>2.2456434351294735E-3</v>
          </cell>
          <cell r="H875">
            <v>4.6986440793657042E-3</v>
          </cell>
          <cell r="I875">
            <v>1.3082414206303955E-2</v>
          </cell>
          <cell r="J875">
            <v>1.1045691655915766E-2</v>
          </cell>
          <cell r="K875">
            <v>1.840834639705494E-2</v>
          </cell>
          <cell r="L875">
            <v>7.6523844469998841E-3</v>
          </cell>
          <cell r="M875">
            <v>5.8649555308270644E-3</v>
          </cell>
          <cell r="N875">
            <v>4.467703762010538E-3</v>
          </cell>
          <cell r="O875">
            <v>7.628598409693192E-3</v>
          </cell>
        </row>
        <row r="876">
          <cell r="A876" t="str">
            <v>RHNS-SHLTHCHPWOD</v>
          </cell>
          <cell r="B876" t="str">
            <v>VAR_ncap</v>
          </cell>
          <cell r="C876" t="str">
            <v>-</v>
          </cell>
          <cell r="G876">
            <v>2.7683877847315899E-4</v>
          </cell>
          <cell r="H876">
            <v>4.46665456703162E-4</v>
          </cell>
          <cell r="I876">
            <v>1.13661836650465E-3</v>
          </cell>
          <cell r="J876">
            <v>7.3602370877540201E-4</v>
          </cell>
          <cell r="K876">
            <v>1.3316363965930301E-3</v>
          </cell>
          <cell r="L876">
            <v>5.9487908700566296E-4</v>
          </cell>
          <cell r="M876">
            <v>4.6167918062219298E-4</v>
          </cell>
          <cell r="N876">
            <v>3.5704762668067999E-4</v>
          </cell>
          <cell r="O876">
            <v>7.33201708499093E-4</v>
          </cell>
        </row>
        <row r="877">
          <cell r="A877" t="str">
            <v>RHNS-SHLTHCHPWOD</v>
          </cell>
          <cell r="B877" t="str">
            <v>VAR_cap</v>
          </cell>
          <cell r="C877" t="str">
            <v>-</v>
          </cell>
          <cell r="G877">
            <v>2.7683877847315899E-4</v>
          </cell>
          <cell r="H877">
            <v>5.5682941898981507E-4</v>
          </cell>
          <cell r="I877">
            <v>1.3483797348027308E-3</v>
          </cell>
          <cell r="J877">
            <v>1.1284355580718102E-3</v>
          </cell>
          <cell r="K877">
            <v>1.7690258079269302E-3</v>
          </cell>
          <cell r="L877">
            <v>9.3980167264101026E-4</v>
          </cell>
          <cell r="M877">
            <v>7.2410097115644984E-4</v>
          </cell>
          <cell r="N877">
            <v>5.569722154636559E-4</v>
          </cell>
          <cell r="O877">
            <v>9.5338655168985013E-4</v>
          </cell>
        </row>
        <row r="878">
          <cell r="A878" t="str">
            <v>RHNM-SHELCBR</v>
          </cell>
          <cell r="B878" t="str">
            <v>VAR_fout</v>
          </cell>
          <cell r="C878" t="str">
            <v>RHNM-SHAELCB</v>
          </cell>
          <cell r="E878">
            <v>0.1544140347930589</v>
          </cell>
          <cell r="F878">
            <v>3.6810892977998354E-2</v>
          </cell>
          <cell r="G878">
            <v>1.5717748162131229E-2</v>
          </cell>
          <cell r="H878">
            <v>4.5847019909620581E-3</v>
          </cell>
          <cell r="I878">
            <v>2.675658135090889E-3</v>
          </cell>
          <cell r="J878">
            <v>3.060615555499547E-3</v>
          </cell>
          <cell r="K878">
            <v>2.4666767137087671E-3</v>
          </cell>
          <cell r="L878">
            <v>7.8412027278092419E-3</v>
          </cell>
          <cell r="M878">
            <v>0.68809764081176572</v>
          </cell>
          <cell r="N878">
            <v>4.0193866306283471E-3</v>
          </cell>
          <cell r="O878">
            <v>8.010239201750877E-3</v>
          </cell>
        </row>
        <row r="879">
          <cell r="A879" t="str">
            <v>RHNM-SHELCBR</v>
          </cell>
          <cell r="B879" t="str">
            <v>VAR_fin</v>
          </cell>
          <cell r="C879" t="str">
            <v>RHNM_ELC</v>
          </cell>
          <cell r="E879">
            <v>0.16254108925585145</v>
          </cell>
          <cell r="F879">
            <v>3.8748308397892992E-2</v>
          </cell>
          <cell r="G879">
            <v>1.6544998065401308E-2</v>
          </cell>
          <cell r="H879">
            <v>4.8260020957495335E-3</v>
          </cell>
          <cell r="I879">
            <v>2.8164822474640917E-3</v>
          </cell>
          <cell r="J879">
            <v>3.2217005847363653E-3</v>
          </cell>
          <cell r="K879">
            <v>2.5965018039039666E-3</v>
          </cell>
          <cell r="L879">
            <v>8.2538976082202498E-3</v>
          </cell>
          <cell r="M879">
            <v>0.72431330611764755</v>
          </cell>
          <cell r="N879">
            <v>4.2309332953982554E-3</v>
          </cell>
          <cell r="O879">
            <v>8.4318307386851404E-3</v>
          </cell>
        </row>
        <row r="880">
          <cell r="A880" t="str">
            <v>RHNM-SHELCBR</v>
          </cell>
          <cell r="B880" t="str">
            <v>VAR_ncap</v>
          </cell>
          <cell r="C880" t="str">
            <v>-</v>
          </cell>
          <cell r="E880">
            <v>1.23445186689712E-2</v>
          </cell>
          <cell r="H880">
            <v>3.7525139819053502E-4</v>
          </cell>
          <cell r="J880">
            <v>3.5204618246484701E-4</v>
          </cell>
          <cell r="L880">
            <v>8.2160625472582898E-4</v>
          </cell>
          <cell r="M880">
            <v>5.3445233589252503E-2</v>
          </cell>
          <cell r="N880">
            <v>1.11799319343974E-5</v>
          </cell>
          <cell r="O880">
            <v>5.9729464871003898E-4</v>
          </cell>
        </row>
        <row r="881">
          <cell r="A881" t="str">
            <v>RHNM-SHELCBR</v>
          </cell>
          <cell r="B881" t="str">
            <v>VAR_cap</v>
          </cell>
          <cell r="C881" t="str">
            <v>-</v>
          </cell>
          <cell r="E881">
            <v>1.23445186689712E-2</v>
          </cell>
          <cell r="F881">
            <v>5.2708416379973399E-3</v>
          </cell>
          <cell r="G881">
            <v>2.1751413525701001E-3</v>
          </cell>
          <cell r="H881">
            <v>6.5212184017259065E-4</v>
          </cell>
          <cell r="I881">
            <v>3.7256971877515658E-4</v>
          </cell>
          <cell r="J881">
            <v>4.4501220470721001E-4</v>
          </cell>
          <cell r="K881">
            <v>3.5094927333561448E-4</v>
          </cell>
          <cell r="L881">
            <v>1.1139324750138201E-3</v>
          </cell>
          <cell r="M881">
            <v>5.4264661525376769E-2</v>
          </cell>
          <cell r="N881">
            <v>5.8807068997819567E-4</v>
          </cell>
          <cell r="O881">
            <v>1.1567749783307976E-3</v>
          </cell>
        </row>
        <row r="882">
          <cell r="A882" t="str">
            <v>RHNS-SHSTG-NGAHP</v>
          </cell>
          <cell r="B882" t="str">
            <v>VAR_fout</v>
          </cell>
          <cell r="C882" t="str">
            <v>RHNS-SHANGAH</v>
          </cell>
          <cell r="F882">
            <v>4.9454032806966412E-4</v>
          </cell>
          <cell r="G882">
            <v>4.4566675716971191E-4</v>
          </cell>
          <cell r="H882">
            <v>1.0339587619233551E-2</v>
          </cell>
          <cell r="I882">
            <v>1.0398605113953751E-2</v>
          </cell>
          <cell r="J882">
            <v>1.0091582463036926E-2</v>
          </cell>
          <cell r="K882">
            <v>5.748272699253493E-4</v>
          </cell>
          <cell r="L882">
            <v>5.457764958062308E-4</v>
          </cell>
          <cell r="M882">
            <v>4.1271039034779976E-4</v>
          </cell>
          <cell r="N882">
            <v>5.0824022388191515E-4</v>
          </cell>
          <cell r="O882">
            <v>2.7883809883426066E-4</v>
          </cell>
        </row>
        <row r="883">
          <cell r="A883" t="str">
            <v>RHNS-SHSTG-NGAHP</v>
          </cell>
          <cell r="B883" t="str">
            <v>VAR_fin</v>
          </cell>
          <cell r="C883" t="str">
            <v>RHNS-SHANGAH</v>
          </cell>
          <cell r="F883">
            <v>4.9578341968576918E-4</v>
          </cell>
          <cell r="G883">
            <v>4.4690606240734888E-4</v>
          </cell>
          <cell r="H883">
            <v>1.0341904051096888E-2</v>
          </cell>
          <cell r="I883">
            <v>1.040088842003495E-2</v>
          </cell>
          <cell r="J883">
            <v>1.0093853907707536E-2</v>
          </cell>
          <cell r="K883">
            <v>5.7609124055163225E-4</v>
          </cell>
          <cell r="L883">
            <v>5.4702325271873081E-4</v>
          </cell>
          <cell r="M883">
            <v>4.1397176253532965E-4</v>
          </cell>
          <cell r="N883">
            <v>5.0949479897163688E-4</v>
          </cell>
          <cell r="O883">
            <v>2.8010802278143201E-4</v>
          </cell>
        </row>
        <row r="884">
          <cell r="A884" t="str">
            <v>RHNS-SHSTG-NGAHP</v>
          </cell>
          <cell r="B884" t="str">
            <v>VAR_ncap</v>
          </cell>
          <cell r="C884" t="str">
            <v>-</v>
          </cell>
          <cell r="D884">
            <v>4.4984501566087798E-5</v>
          </cell>
          <cell r="E884">
            <v>8.5475514746233301E-7</v>
          </cell>
          <cell r="F884">
            <v>1.2272411376616099E-4</v>
          </cell>
          <cell r="G884">
            <v>5.0591896918826099E-5</v>
          </cell>
          <cell r="H884">
            <v>2.4974328231826201E-3</v>
          </cell>
          <cell r="I884">
            <v>1.41848028994886E-4</v>
          </cell>
          <cell r="J884">
            <v>1.48510029280433E-4</v>
          </cell>
          <cell r="K884">
            <v>1.11046527553661E-4</v>
          </cell>
          <cell r="L884">
            <v>1.04600285763273E-4</v>
          </cell>
          <cell r="M884">
            <v>1.2873713963487701E-4</v>
          </cell>
          <cell r="N884">
            <v>1.10309152327819E-4</v>
          </cell>
          <cell r="O884">
            <v>1.4069596461857101E-4</v>
          </cell>
        </row>
        <row r="885">
          <cell r="A885" t="str">
            <v>RHNS-SHSTG-NGAHP</v>
          </cell>
          <cell r="B885" t="str">
            <v>VAR_cap</v>
          </cell>
          <cell r="C885" t="str">
            <v>-</v>
          </cell>
          <cell r="D885">
            <v>4.4984501566087798E-5</v>
          </cell>
          <cell r="E885">
            <v>1.0249645164611001E-6</v>
          </cell>
          <cell r="F885">
            <v>1.2324880985202529E-4</v>
          </cell>
          <cell r="G885">
            <v>1.236067426741188E-4</v>
          </cell>
          <cell r="H885">
            <v>2.5910002161634521E-3</v>
          </cell>
          <cell r="I885">
            <v>2.5129627942453141E-3</v>
          </cell>
          <cell r="J885">
            <v>2.488894409085615E-3</v>
          </cell>
          <cell r="K885">
            <v>1.8140101423539699E-4</v>
          </cell>
          <cell r="L885">
            <v>1.6799060808068701E-4</v>
          </cell>
          <cell r="M885">
            <v>1.97737629699695E-4</v>
          </cell>
          <cell r="N885">
            <v>1.79573591283667E-4</v>
          </cell>
          <cell r="O885">
            <v>2.1550434463452899E-4</v>
          </cell>
        </row>
        <row r="886">
          <cell r="A886" t="str">
            <v>RHNS-SHLTHDH</v>
          </cell>
          <cell r="B886" t="str">
            <v>VAR_fout</v>
          </cell>
          <cell r="C886" t="str">
            <v>RHNS-SHLTHD</v>
          </cell>
          <cell r="E886">
            <v>5.3935080612390468E-2</v>
          </cell>
          <cell r="F886">
            <v>7.0813139831079966E-2</v>
          </cell>
          <cell r="G886">
            <v>0.11240504944850742</v>
          </cell>
          <cell r="H886">
            <v>0.17510057123943887</v>
          </cell>
          <cell r="I886">
            <v>0.24922023396949222</v>
          </cell>
          <cell r="J886">
            <v>0.34074103988964188</v>
          </cell>
          <cell r="K886">
            <v>0.45179797534851257</v>
          </cell>
          <cell r="L886">
            <v>0.47484811502618224</v>
          </cell>
          <cell r="M886">
            <v>0.49907686478816904</v>
          </cell>
          <cell r="N886">
            <v>0.52454512359014571</v>
          </cell>
          <cell r="O886">
            <v>0.55133158566931328</v>
          </cell>
        </row>
        <row r="887">
          <cell r="A887" t="str">
            <v>RHNS-SHLTHDH</v>
          </cell>
          <cell r="B887" t="str">
            <v>VAR_fin</v>
          </cell>
          <cell r="C887" t="str">
            <v>RHNS_LTH_DH</v>
          </cell>
          <cell r="E887">
            <v>5.4479879406454997E-2</v>
          </cell>
          <cell r="F887">
            <v>7.1528424071797922E-2</v>
          </cell>
          <cell r="G887">
            <v>0.11354045398839129</v>
          </cell>
          <cell r="H887">
            <v>0.17686926387822091</v>
          </cell>
          <cell r="I887">
            <v>0.25173761007019407</v>
          </cell>
          <cell r="J887">
            <v>0.34418286857539537</v>
          </cell>
          <cell r="K887">
            <v>0.45636159126112441</v>
          </cell>
          <cell r="L887">
            <v>0.47964456063250721</v>
          </cell>
          <cell r="M887">
            <v>0.50411804524057424</v>
          </cell>
          <cell r="N887">
            <v>0.52984355918196524</v>
          </cell>
          <cell r="O887">
            <v>0.55690059158516525</v>
          </cell>
        </row>
        <row r="888">
          <cell r="A888" t="str">
            <v>RHNS-SHLTHDH</v>
          </cell>
          <cell r="B888" t="str">
            <v>VAR_fin</v>
          </cell>
          <cell r="C888" t="str">
            <v>RHNSLTHDHC</v>
          </cell>
          <cell r="E888">
            <v>5.3935080612390468E-2</v>
          </cell>
          <cell r="F888">
            <v>7.0813139831079966E-2</v>
          </cell>
          <cell r="G888">
            <v>0.11240504944850742</v>
          </cell>
          <cell r="H888">
            <v>0.17510057123943887</v>
          </cell>
          <cell r="I888">
            <v>0.24922023396949222</v>
          </cell>
          <cell r="J888">
            <v>0.34074103988964188</v>
          </cell>
          <cell r="K888">
            <v>0.45179797534851257</v>
          </cell>
          <cell r="L888">
            <v>0.47484811502618224</v>
          </cell>
          <cell r="M888">
            <v>0.49907686478816904</v>
          </cell>
          <cell r="N888">
            <v>0.52454512359014571</v>
          </cell>
          <cell r="O888">
            <v>0.55133158566931328</v>
          </cell>
        </row>
        <row r="889">
          <cell r="A889" t="str">
            <v>RHNS-SHLTHDH</v>
          </cell>
          <cell r="B889" t="str">
            <v>VAR_ncap</v>
          </cell>
          <cell r="C889" t="str">
            <v>-</v>
          </cell>
          <cell r="E889">
            <v>4.61070441735507E-3</v>
          </cell>
          <cell r="F889">
            <v>9.3825279407391501E-4</v>
          </cell>
          <cell r="G889">
            <v>2.7167024320201199E-3</v>
          </cell>
          <cell r="H889">
            <v>5.6466058035772497E-3</v>
          </cell>
          <cell r="I889">
            <v>5.6917943275440102E-3</v>
          </cell>
          <cell r="J889">
            <v>6.3490244078807604E-3</v>
          </cell>
          <cell r="K889">
            <v>9.1390979505419096E-3</v>
          </cell>
          <cell r="L889">
            <v>8.6165816756582102E-6</v>
          </cell>
          <cell r="M889">
            <v>1.5482811704981201E-3</v>
          </cell>
          <cell r="N889">
            <v>1.86070868695092E-3</v>
          </cell>
          <cell r="O889">
            <v>2.1492498921605501E-3</v>
          </cell>
        </row>
        <row r="890">
          <cell r="A890" t="str">
            <v>RHNS-SHLTHDH</v>
          </cell>
          <cell r="B890" t="str">
            <v>VAR_cap</v>
          </cell>
          <cell r="C890" t="str">
            <v>-</v>
          </cell>
          <cell r="E890">
            <v>4.61070441735507E-3</v>
          </cell>
          <cell r="F890">
            <v>5.54895721142899E-3</v>
          </cell>
          <cell r="G890">
            <v>8.2656596434491098E-3</v>
          </cell>
          <cell r="H890">
            <v>1.39122654470264E-2</v>
          </cell>
          <cell r="I890">
            <v>1.9604059774570401E-2</v>
          </cell>
          <cell r="J890">
            <v>2.5953084182451101E-2</v>
          </cell>
          <cell r="K890">
            <v>3.5092182132992998E-2</v>
          </cell>
          <cell r="L890">
            <v>3.5100798714668702E-2</v>
          </cell>
          <cell r="M890">
            <v>3.6649079885166802E-2</v>
          </cell>
          <cell r="N890">
            <v>3.8509788572117697E-2</v>
          </cell>
          <cell r="O890">
            <v>4.0659038464278298E-2</v>
          </cell>
        </row>
        <row r="891">
          <cell r="A891" t="str">
            <v>ITOT-SWHNGAHP</v>
          </cell>
          <cell r="B891" t="str">
            <v>VAR_fout</v>
          </cell>
          <cell r="C891" t="str">
            <v>ITOT-SWHANGAH</v>
          </cell>
          <cell r="F891">
            <v>2.7615882668532814E-2</v>
          </cell>
          <cell r="G891">
            <v>1.2332462245619664E-2</v>
          </cell>
          <cell r="H891">
            <v>1.811721380074259E-2</v>
          </cell>
          <cell r="I891">
            <v>3.5755890607819078E-2</v>
          </cell>
          <cell r="J891">
            <v>2.7080341717877054E-2</v>
          </cell>
          <cell r="K891">
            <v>4.4301799826343732E-2</v>
          </cell>
          <cell r="L891">
            <v>4.4193130068425117E-2</v>
          </cell>
          <cell r="M891">
            <v>4.4061483715926948E-2</v>
          </cell>
          <cell r="N891">
            <v>4.4050421106078798E-2</v>
          </cell>
          <cell r="O891">
            <v>4.4022750454229403E-2</v>
          </cell>
        </row>
        <row r="892">
          <cell r="A892" t="str">
            <v>ITOT-SWHNGAHP</v>
          </cell>
          <cell r="B892" t="str">
            <v>VAR_fout</v>
          </cell>
          <cell r="C892" t="str">
            <v>CO2_I</v>
          </cell>
          <cell r="F892">
            <v>0.82609309072063997</v>
          </cell>
          <cell r="G892">
            <v>0.36184016341606601</v>
          </cell>
          <cell r="H892">
            <v>0.52157264929008695</v>
          </cell>
          <cell r="I892">
            <v>1.0103712707839201</v>
          </cell>
          <cell r="J892">
            <v>0.75135549451039496</v>
          </cell>
          <cell r="K892">
            <v>1.2072946288339601</v>
          </cell>
          <cell r="L892">
            <v>1.20433320479327</v>
          </cell>
          <cell r="M892">
            <v>1.2007456319429599</v>
          </cell>
          <cell r="N892">
            <v>1.2004441581991701</v>
          </cell>
          <cell r="O892">
            <v>1.19969008885018</v>
          </cell>
        </row>
        <row r="893">
          <cell r="A893" t="str">
            <v>ITOT-SWHNGAHP</v>
          </cell>
          <cell r="B893" t="str">
            <v>VAR_fin</v>
          </cell>
          <cell r="C893" t="str">
            <v>ITOTELCHPC</v>
          </cell>
          <cell r="F893">
            <v>2.7615882668532814E-2</v>
          </cell>
          <cell r="G893">
            <v>1.2332462245619664E-2</v>
          </cell>
          <cell r="H893">
            <v>1.811721380074259E-2</v>
          </cell>
          <cell r="I893">
            <v>3.5755890607819078E-2</v>
          </cell>
          <cell r="J893">
            <v>2.7080341717877054E-2</v>
          </cell>
          <cell r="K893">
            <v>4.4301799826343732E-2</v>
          </cell>
          <cell r="L893">
            <v>4.4193130068425117E-2</v>
          </cell>
          <cell r="M893">
            <v>4.4061483715926948E-2</v>
          </cell>
          <cell r="N893">
            <v>4.4050421106078798E-2</v>
          </cell>
          <cell r="O893">
            <v>4.4022750454229403E-2</v>
          </cell>
        </row>
        <row r="894">
          <cell r="A894" t="str">
            <v>ITOT-SWHNGAHP</v>
          </cell>
          <cell r="B894" t="str">
            <v>VAR_fin</v>
          </cell>
          <cell r="C894" t="str">
            <v>INGA</v>
          </cell>
          <cell r="F894">
            <v>1.4647040615614197E-2</v>
          </cell>
          <cell r="G894">
            <v>6.4156057343274196E-3</v>
          </cell>
          <cell r="H894">
            <v>9.2477420086894812E-3</v>
          </cell>
          <cell r="I894">
            <v>1.7914384233757536E-2</v>
          </cell>
          <cell r="J894">
            <v>1.3321905931035397E-2</v>
          </cell>
          <cell r="K894">
            <v>2.140593313535397E-2</v>
          </cell>
          <cell r="L894">
            <v>2.135342561690191E-2</v>
          </cell>
          <cell r="M894">
            <v>2.1289816169201468E-2</v>
          </cell>
          <cell r="N894">
            <v>2.128447089005614E-2</v>
          </cell>
          <cell r="O894">
            <v>2.1271100866137923E-2</v>
          </cell>
        </row>
        <row r="895">
          <cell r="A895" t="str">
            <v>ITOT-SWHNGAHP</v>
          </cell>
          <cell r="B895" t="str">
            <v>VAR_ncap</v>
          </cell>
          <cell r="C895" t="str">
            <v>-</v>
          </cell>
          <cell r="E895">
            <v>9.6378357247372604E-4</v>
          </cell>
          <cell r="F895">
            <v>8.6906320878346805E-4</v>
          </cell>
          <cell r="G895">
            <v>4.75694026041971E-6</v>
          </cell>
          <cell r="H895">
            <v>7.0901777130876202E-4</v>
          </cell>
          <cell r="I895">
            <v>1.8121073743649599E-3</v>
          </cell>
          <cell r="J895">
            <v>2.5701071637966101E-5</v>
          </cell>
          <cell r="K895">
            <v>2.3216865913006099E-3</v>
          </cell>
          <cell r="L895">
            <v>8.7565825014224597E-4</v>
          </cell>
          <cell r="M895">
            <v>9.8206130113682706E-4</v>
          </cell>
          <cell r="N895">
            <v>2.0312097264542101E-3</v>
          </cell>
          <cell r="O895">
            <v>1.5077127113635601E-3</v>
          </cell>
        </row>
        <row r="896">
          <cell r="A896" t="str">
            <v>ITOT-SWHNGAHP</v>
          </cell>
          <cell r="B896" t="str">
            <v>VAR_cap</v>
          </cell>
          <cell r="C896" t="str">
            <v>-</v>
          </cell>
          <cell r="E896">
            <v>9.6378357247372604E-4</v>
          </cell>
          <cell r="F896">
            <v>1.8303934778659641E-3</v>
          </cell>
          <cell r="G896">
            <v>1.3196972486971808E-3</v>
          </cell>
          <cell r="H896">
            <v>1.8031265008417092E-3</v>
          </cell>
          <cell r="I896">
            <v>2.6997939046311862E-3</v>
          </cell>
          <cell r="J896">
            <v>2.5348427396256336E-3</v>
          </cell>
          <cell r="K896">
            <v>4.1441082800650385E-3</v>
          </cell>
          <cell r="L896">
            <v>3.4813255531477068E-3</v>
          </cell>
          <cell r="M896">
            <v>4.1598345683463937E-3</v>
          </cell>
          <cell r="N896">
            <v>3.9951145229526683E-3</v>
          </cell>
          <cell r="O896">
            <v>4.4986787654294324E-3</v>
          </cell>
        </row>
        <row r="897">
          <cell r="A897" t="str">
            <v>RHSA-WHLFOBR</v>
          </cell>
          <cell r="B897" t="str">
            <v>VAR_fout</v>
          </cell>
          <cell r="C897" t="str">
            <v>CO2_R</v>
          </cell>
          <cell r="D897">
            <v>726.71500085031198</v>
          </cell>
          <cell r="E897">
            <v>610.68912616564398</v>
          </cell>
          <cell r="F897">
            <v>182.08838354203399</v>
          </cell>
          <cell r="G897">
            <v>60.566052290837298</v>
          </cell>
          <cell r="H897">
            <v>17.421574987995299</v>
          </cell>
          <cell r="I897">
            <v>0.15818367420232399</v>
          </cell>
          <cell r="J897">
            <v>0.14342876248810699</v>
          </cell>
          <cell r="K897">
            <v>9.9786853370589707E-2</v>
          </cell>
          <cell r="L897">
            <v>9.5035208653428599E-2</v>
          </cell>
          <cell r="M897">
            <v>0.122085857774948</v>
          </cell>
          <cell r="N897">
            <v>0.155267691610321</v>
          </cell>
          <cell r="O897">
            <v>0.15874195057101501</v>
          </cell>
        </row>
        <row r="898">
          <cell r="A898" t="str">
            <v>RHSA-WHLFOBR</v>
          </cell>
          <cell r="B898" t="str">
            <v>VAR_fout</v>
          </cell>
          <cell r="C898" t="str">
            <v>RHSA-WHLFO</v>
          </cell>
          <cell r="D898">
            <v>6.984483839018151</v>
          </cell>
          <cell r="E898">
            <v>5.9211434383428267</v>
          </cell>
          <cell r="F898">
            <v>1.7886621800332656</v>
          </cell>
          <cell r="G898">
            <v>0.6077834849402759</v>
          </cell>
          <cell r="H898">
            <v>0.1766731690112876</v>
          </cell>
          <cell r="I898">
            <v>1.6209176248966146E-3</v>
          </cell>
          <cell r="J898">
            <v>1.4697231569973681E-3</v>
          </cell>
          <cell r="K898">
            <v>1.0225218890445144E-3</v>
          </cell>
          <cell r="L898">
            <v>9.7383149979839059E-4</v>
          </cell>
          <cell r="M898">
            <v>1.2510211285453017E-3</v>
          </cell>
          <cell r="N898">
            <v>1.5910373758689887E-3</v>
          </cell>
          <cell r="O898">
            <v>1.6266383164290205E-3</v>
          </cell>
        </row>
        <row r="899">
          <cell r="A899" t="str">
            <v>RHSA-WHLFOBR</v>
          </cell>
          <cell r="B899" t="str">
            <v>VAR_fin</v>
          </cell>
          <cell r="C899" t="str">
            <v>RLFO</v>
          </cell>
          <cell r="D899">
            <v>9.8604477727315079</v>
          </cell>
          <cell r="E899">
            <v>8.2861482519083385</v>
          </cell>
          <cell r="F899">
            <v>2.4706700616286841</v>
          </cell>
          <cell r="G899">
            <v>0.82179175428544493</v>
          </cell>
          <cell r="H899">
            <v>0.23638500662137454</v>
          </cell>
          <cell r="I899">
            <v>2.1463185102079309E-3</v>
          </cell>
          <cell r="J899">
            <v>1.9461161802999624E-3</v>
          </cell>
          <cell r="K899">
            <v>1.3539600185968749E-3</v>
          </cell>
          <cell r="L899">
            <v>1.2894872273192482E-3</v>
          </cell>
          <cell r="M899">
            <v>1.6565245288323999E-3</v>
          </cell>
          <cell r="N899">
            <v>2.1067529390816978E-3</v>
          </cell>
          <cell r="O899">
            <v>2.153893494857736E-3</v>
          </cell>
        </row>
        <row r="900">
          <cell r="A900" t="str">
            <v>RHSA-WHLFOBR</v>
          </cell>
          <cell r="B900" t="str">
            <v>VAR_ncap</v>
          </cell>
          <cell r="C900" t="str">
            <v>-</v>
          </cell>
          <cell r="E900">
            <v>2.01917308642208E-6</v>
          </cell>
          <cell r="F900">
            <v>1.45875814425419E-6</v>
          </cell>
          <cell r="G900">
            <v>1.47281723222595E-6</v>
          </cell>
          <cell r="H900">
            <v>3.79995578318706E-5</v>
          </cell>
          <cell r="I900">
            <v>1.27882090116841E-4</v>
          </cell>
          <cell r="J900">
            <v>3.2892478588376901E-6</v>
          </cell>
          <cell r="L900">
            <v>8.7617069397071299E-5</v>
          </cell>
          <cell r="M900">
            <v>5.1831261030276203E-5</v>
          </cell>
          <cell r="N900">
            <v>6.5787270478230103E-5</v>
          </cell>
          <cell r="O900">
            <v>6.8544250139581397E-5</v>
          </cell>
        </row>
        <row r="901">
          <cell r="A901" t="str">
            <v>RHSA-WHLFOBR</v>
          </cell>
          <cell r="B901" t="str">
            <v>VAR_cap</v>
          </cell>
          <cell r="C901" t="str">
            <v>-</v>
          </cell>
          <cell r="D901">
            <v>0.47738433216181703</v>
          </cell>
          <cell r="E901">
            <v>0.47737526286017573</v>
          </cell>
          <cell r="F901">
            <v>0.14805218913412771</v>
          </cell>
          <cell r="G901">
            <v>4.9902412416405917E-2</v>
          </cell>
          <cell r="H901">
            <v>1.2978861134527966E-2</v>
          </cell>
          <cell r="I901">
            <v>1.653497874165094E-4</v>
          </cell>
          <cell r="J901">
            <v>1.6098280158398183E-4</v>
          </cell>
          <cell r="K901">
            <v>1.1475740548721069E-4</v>
          </cell>
          <cell r="L901">
            <v>1.0545665598470528E-4</v>
          </cell>
          <cell r="M901">
            <v>1.3846072415103726E-4</v>
          </cell>
          <cell r="N901">
            <v>1.7403197596056744E-4</v>
          </cell>
          <cell r="O901">
            <v>1.819132487326317E-4</v>
          </cell>
        </row>
        <row r="902">
          <cell r="A902" t="str">
            <v>D-IWST</v>
          </cell>
          <cell r="B902" t="str">
            <v>VAR_fout</v>
          </cell>
          <cell r="C902" t="str">
            <v>CO2</v>
          </cell>
          <cell r="D902">
            <v>1068.1755542917499</v>
          </cell>
          <cell r="E902">
            <v>1114.5306185597999</v>
          </cell>
          <cell r="F902">
            <v>1024.64420411729</v>
          </cell>
          <cell r="G902">
            <v>1013.2006673961901</v>
          </cell>
          <cell r="H902">
            <v>1001.75759008643</v>
          </cell>
          <cell r="I902">
            <v>996.71893901078704</v>
          </cell>
          <cell r="J902">
            <v>991.647345367203</v>
          </cell>
          <cell r="K902">
            <v>1086.8573985764201</v>
          </cell>
          <cell r="L902">
            <v>986.58953755499203</v>
          </cell>
          <cell r="M902">
            <v>986.60767140030896</v>
          </cell>
          <cell r="N902">
            <v>986.58853585616998</v>
          </cell>
          <cell r="O902">
            <v>986.58934708186302</v>
          </cell>
        </row>
        <row r="903">
          <cell r="A903" t="str">
            <v>D-IWST</v>
          </cell>
          <cell r="B903" t="str">
            <v>VAR_fout</v>
          </cell>
          <cell r="C903" t="str">
            <v>IWST</v>
          </cell>
          <cell r="D903">
            <v>11.510512438488703</v>
          </cell>
          <cell r="E903">
            <v>12.010028217239261</v>
          </cell>
          <cell r="F903">
            <v>11.041424613332879</v>
          </cell>
          <cell r="G903">
            <v>10.91811064004521</v>
          </cell>
          <cell r="H903">
            <v>10.794801617310624</v>
          </cell>
          <cell r="I903">
            <v>10.74050580830589</v>
          </cell>
          <cell r="J903">
            <v>10.685855014732791</v>
          </cell>
          <cell r="K903">
            <v>11.711825415694204</v>
          </cell>
          <cell r="L903">
            <v>10.631352775377065</v>
          </cell>
          <cell r="M903">
            <v>10.631548183192985</v>
          </cell>
          <cell r="N903">
            <v>10.631341981208724</v>
          </cell>
          <cell r="O903">
            <v>10.631350722864886</v>
          </cell>
        </row>
        <row r="904">
          <cell r="A904" t="str">
            <v>D-IWST</v>
          </cell>
          <cell r="B904" t="str">
            <v>VAR_fin</v>
          </cell>
          <cell r="C904" t="str">
            <v>WSTNREN</v>
          </cell>
          <cell r="D904">
            <v>11.510512438488703</v>
          </cell>
          <cell r="E904">
            <v>12.010028217239261</v>
          </cell>
          <cell r="F904">
            <v>11.041424613332879</v>
          </cell>
          <cell r="G904">
            <v>10.91811064004521</v>
          </cell>
          <cell r="H904">
            <v>10.794801617310624</v>
          </cell>
          <cell r="I904">
            <v>10.74050580830589</v>
          </cell>
          <cell r="J904">
            <v>10.685855014732791</v>
          </cell>
          <cell r="K904">
            <v>11.711825415694204</v>
          </cell>
          <cell r="L904">
            <v>10.631352775377065</v>
          </cell>
          <cell r="M904">
            <v>10.631548183192985</v>
          </cell>
          <cell r="N904">
            <v>10.631341981208724</v>
          </cell>
          <cell r="O904">
            <v>10.631350722864886</v>
          </cell>
        </row>
        <row r="905">
          <cell r="A905" t="str">
            <v>RHES-SHLFOBR</v>
          </cell>
          <cell r="B905" t="str">
            <v>VAR_fout</v>
          </cell>
          <cell r="C905" t="str">
            <v>CO2_R</v>
          </cell>
          <cell r="D905">
            <v>1783.6647457967499</v>
          </cell>
          <cell r="E905">
            <v>1640.9714187704101</v>
          </cell>
          <cell r="F905">
            <v>1765.0603044808499</v>
          </cell>
          <cell r="G905">
            <v>1666.7793752282701</v>
          </cell>
          <cell r="H905">
            <v>461.94316597436801</v>
          </cell>
          <cell r="I905">
            <v>1.71229751175981</v>
          </cell>
          <cell r="J905">
            <v>1.70310612151173</v>
          </cell>
          <cell r="K905">
            <v>1.7014413429570401</v>
          </cell>
          <cell r="L905">
            <v>0.39959615032634399</v>
          </cell>
          <cell r="M905">
            <v>0.39862965216095703</v>
          </cell>
          <cell r="N905">
            <v>0.39832317597636702</v>
          </cell>
          <cell r="O905">
            <v>0.39244640327021502</v>
          </cell>
        </row>
        <row r="906">
          <cell r="A906" t="str">
            <v>RHES-SHLFOBR</v>
          </cell>
          <cell r="B906" t="str">
            <v>VAR_fout</v>
          </cell>
          <cell r="C906" t="str">
            <v>RHES-SHLFO</v>
          </cell>
          <cell r="D906">
            <v>21.680682968470215</v>
          </cell>
          <cell r="E906">
            <v>19.946226539780614</v>
          </cell>
          <cell r="F906">
            <v>21.454543502000416</v>
          </cell>
          <cell r="G906">
            <v>20.259925693921232</v>
          </cell>
          <cell r="H906">
            <v>5.6149808166264874</v>
          </cell>
          <cell r="I906">
            <v>2.0813204716664299E-2</v>
          </cell>
          <cell r="J906">
            <v>2.070148214184889E-2</v>
          </cell>
          <cell r="K906">
            <v>2.0681246536395428E-2</v>
          </cell>
          <cell r="L906">
            <v>4.8571445228496133E-3</v>
          </cell>
          <cell r="M906">
            <v>4.8453966086954908E-3</v>
          </cell>
          <cell r="N906">
            <v>4.8416713497805852E-3</v>
          </cell>
          <cell r="O906">
            <v>4.7702383934360142E-3</v>
          </cell>
        </row>
        <row r="907">
          <cell r="A907" t="str">
            <v>RHES-SHLFOBR</v>
          </cell>
          <cell r="B907" t="str">
            <v>VAR_fin</v>
          </cell>
          <cell r="C907" t="str">
            <v>RLFO</v>
          </cell>
          <cell r="D907">
            <v>24.201692615966724</v>
          </cell>
          <cell r="E907">
            <v>22.265555207196947</v>
          </cell>
          <cell r="F907">
            <v>23.949257862698133</v>
          </cell>
          <cell r="G907">
            <v>22.615731007167859</v>
          </cell>
          <cell r="H907">
            <v>6.2678855627458407</v>
          </cell>
          <cell r="I907">
            <v>2.323334479999737E-2</v>
          </cell>
          <cell r="J907">
            <v>2.3108631228110375E-2</v>
          </cell>
          <cell r="K907">
            <v>2.3086042645278634E-2</v>
          </cell>
          <cell r="L907">
            <v>5.4219287696925895E-3</v>
          </cell>
          <cell r="M907">
            <v>5.4088148190089193E-3</v>
          </cell>
          <cell r="N907">
            <v>5.4046563904527429E-3</v>
          </cell>
          <cell r="O907">
            <v>5.324917276393685E-3</v>
          </cell>
        </row>
        <row r="908">
          <cell r="A908" t="str">
            <v>RHES-SHLFOBR</v>
          </cell>
          <cell r="B908" t="str">
            <v>VAR_ncap</v>
          </cell>
          <cell r="C908" t="str">
            <v>-</v>
          </cell>
          <cell r="E908">
            <v>1.4839482445701E-6</v>
          </cell>
          <cell r="F908">
            <v>1.1307974947720001E-6</v>
          </cell>
          <cell r="G908">
            <v>1.24481512281187E-6</v>
          </cell>
          <cell r="H908">
            <v>2.6517486001737401E-4</v>
          </cell>
          <cell r="I908">
            <v>1.5087730773312999E-3</v>
          </cell>
          <cell r="J908">
            <v>6.9855965545721399E-6</v>
          </cell>
          <cell r="K908">
            <v>2.8346250264789201E-4</v>
          </cell>
          <cell r="L908">
            <v>9.7613101906738604E-6</v>
          </cell>
          <cell r="M908">
            <v>2.5725361600701101E-4</v>
          </cell>
          <cell r="N908">
            <v>2.1158319126024901E-4</v>
          </cell>
          <cell r="O908">
            <v>1.30760250232893E-4</v>
          </cell>
        </row>
        <row r="909">
          <cell r="A909" t="str">
            <v>RHES-SHLFOBR</v>
          </cell>
          <cell r="B909" t="str">
            <v>VAR_cap</v>
          </cell>
          <cell r="C909" t="str">
            <v>-</v>
          </cell>
          <cell r="D909">
            <v>1.7515307393373001</v>
          </cell>
          <cell r="E909">
            <v>1.7515306645140307</v>
          </cell>
          <cell r="F909">
            <v>1.7515289696725047</v>
          </cell>
          <cell r="G909">
            <v>1.7515234158902777</v>
          </cell>
          <cell r="H909">
            <v>0.45449570538334172</v>
          </cell>
          <cell r="I909">
            <v>1.7736308687063454E-3</v>
          </cell>
          <cell r="J909">
            <v>1.7762484482107409E-3</v>
          </cell>
          <cell r="K909">
            <v>1.795369915281367E-3</v>
          </cell>
          <cell r="L909">
            <v>5.2666830005742356E-4</v>
          </cell>
          <cell r="M909">
            <v>5.4743253652528117E-4</v>
          </cell>
          <cell r="N909">
            <v>5.2202062410853991E-4</v>
          </cell>
          <cell r="O909">
            <v>5.9648180808173428E-4</v>
          </cell>
        </row>
        <row r="910">
          <cell r="A910" t="str">
            <v>ITOT-SWHSTG</v>
          </cell>
          <cell r="B910" t="str">
            <v>VAR_fout</v>
          </cell>
          <cell r="C910" t="str">
            <v>ITOT-SWH</v>
          </cell>
          <cell r="D910">
            <v>2.2958207470490355E-5</v>
          </cell>
          <cell r="E910">
            <v>1.2396122432714262E-3</v>
          </cell>
          <cell r="F910">
            <v>9.0911947907233673E-3</v>
          </cell>
          <cell r="G910">
            <v>3.9064827232258943E-3</v>
          </cell>
          <cell r="H910">
            <v>1.6650924151559911E-2</v>
          </cell>
          <cell r="I910">
            <v>0.17785985877447066</v>
          </cell>
          <cell r="J910">
            <v>0.98697635444398657</v>
          </cell>
          <cell r="K910">
            <v>1.6672941787605837</v>
          </cell>
          <cell r="L910">
            <v>4.3042387315158495</v>
          </cell>
          <cell r="M910">
            <v>1.7759134795962159</v>
          </cell>
          <cell r="N910">
            <v>2.6082555661911271</v>
          </cell>
          <cell r="O910">
            <v>2.9766409567851571</v>
          </cell>
        </row>
        <row r="911">
          <cell r="A911" t="str">
            <v>ITOT-SWHSTG</v>
          </cell>
          <cell r="B911" t="str">
            <v>VAR_fout</v>
          </cell>
          <cell r="C911" t="str">
            <v>AUX_ITOT-STG_OUT</v>
          </cell>
          <cell r="D911">
            <v>2.2958207470490331E-5</v>
          </cell>
          <cell r="E911">
            <v>1.2385998500351254E-3</v>
          </cell>
          <cell r="F911">
            <v>9.0795988790005056E-3</v>
          </cell>
          <cell r="G911">
            <v>3.9064827232259004E-3</v>
          </cell>
          <cell r="H911">
            <v>1.6632423124724877E-2</v>
          </cell>
          <cell r="I911">
            <v>0.17785985877447102</v>
          </cell>
          <cell r="J911">
            <v>0.98601251034784942</v>
          </cell>
          <cell r="K911">
            <v>1.6672941787605837</v>
          </cell>
          <cell r="L911">
            <v>4.3042387315158495</v>
          </cell>
          <cell r="M911">
            <v>1.7759134795962159</v>
          </cell>
          <cell r="N911">
            <v>2.6082555661911275</v>
          </cell>
          <cell r="O911">
            <v>2.9766409567851584</v>
          </cell>
        </row>
        <row r="912">
          <cell r="A912" t="str">
            <v>ITOT-SWHSTG</v>
          </cell>
          <cell r="B912" t="str">
            <v>VAR_fin</v>
          </cell>
          <cell r="C912" t="str">
            <v>AUX_ITOT-STG_IN</v>
          </cell>
          <cell r="D912">
            <v>2.8343515722314798E-5</v>
          </cell>
          <cell r="E912">
            <v>1.508044092680659E-3</v>
          </cell>
          <cell r="F912">
            <v>1.0822850949026352E-2</v>
          </cell>
          <cell r="G912">
            <v>4.4902101788598459E-3</v>
          </cell>
          <cell r="H912">
            <v>1.850102682681886E-2</v>
          </cell>
          <cell r="I912">
            <v>0.19124715965067049</v>
          </cell>
          <cell r="J912">
            <v>1.0281003691837034</v>
          </cell>
          <cell r="K912">
            <v>1.6841355318827864</v>
          </cell>
          <cell r="L912">
            <v>4.3477158944340788</v>
          </cell>
          <cell r="M912">
            <v>1.7938520022196762</v>
          </cell>
          <cell r="N912">
            <v>2.6346015804223053</v>
          </cell>
          <cell r="O912">
            <v>3.0067080381128783</v>
          </cell>
        </row>
        <row r="913">
          <cell r="A913" t="str">
            <v>ITOT-SWHSTG</v>
          </cell>
          <cell r="B913" t="str">
            <v>VAR_fin</v>
          </cell>
          <cell r="C913" t="str">
            <v>ITOT-SWH</v>
          </cell>
          <cell r="D913">
            <v>2.8343515722314798E-5</v>
          </cell>
          <cell r="E913">
            <v>1.508044092680659E-3</v>
          </cell>
          <cell r="F913">
            <v>1.0822850949026352E-2</v>
          </cell>
          <cell r="G913">
            <v>4.4902101788598459E-3</v>
          </cell>
          <cell r="H913">
            <v>1.850102682681886E-2</v>
          </cell>
          <cell r="I913">
            <v>0.19124715965067049</v>
          </cell>
          <cell r="J913">
            <v>1.0281003691837034</v>
          </cell>
          <cell r="K913">
            <v>1.6841355318827864</v>
          </cell>
          <cell r="L913">
            <v>4.3477158944340788</v>
          </cell>
          <cell r="M913">
            <v>1.7938520022196762</v>
          </cell>
          <cell r="N913">
            <v>2.6346015804223053</v>
          </cell>
          <cell r="O913">
            <v>3.0067080381128783</v>
          </cell>
        </row>
        <row r="914">
          <cell r="A914" t="str">
            <v>ITOT-SWHSTG</v>
          </cell>
          <cell r="B914" t="str">
            <v>VAR_ncap</v>
          </cell>
          <cell r="C914" t="str">
            <v>-</v>
          </cell>
          <cell r="D914">
            <v>3.2032110721990099E-3</v>
          </cell>
          <cell r="E914">
            <v>2.4004434073440501E-5</v>
          </cell>
          <cell r="F914">
            <v>3.1348986892253098E-5</v>
          </cell>
          <cell r="G914">
            <v>1.8791505725124E-5</v>
          </cell>
          <cell r="H914">
            <v>6.2098024589985297E-3</v>
          </cell>
          <cell r="I914">
            <v>6.8824762443863E-2</v>
          </cell>
          <cell r="J914">
            <v>9.8929432956964797E-2</v>
          </cell>
          <cell r="K914">
            <v>0.37971152244865802</v>
          </cell>
          <cell r="L914">
            <v>0.24330624577465201</v>
          </cell>
          <cell r="M914">
            <v>1.6261243855456599E-3</v>
          </cell>
          <cell r="N914">
            <v>0.50819067031497001</v>
          </cell>
          <cell r="O914">
            <v>0.19675712497675099</v>
          </cell>
        </row>
        <row r="915">
          <cell r="A915" t="str">
            <v>ITOT-SWHSTG</v>
          </cell>
          <cell r="B915" t="str">
            <v>VAR_cap</v>
          </cell>
          <cell r="C915" t="str">
            <v>-</v>
          </cell>
          <cell r="D915">
            <v>3.2032110721990099E-3</v>
          </cell>
          <cell r="E915">
            <v>3.2247461514951911E-3</v>
          </cell>
          <cell r="F915">
            <v>3.2494941245171769E-3</v>
          </cell>
          <cell r="G915">
            <v>3.2544785136614943E-3</v>
          </cell>
          <cell r="H915">
            <v>7.067220322929081E-3</v>
          </cell>
          <cell r="I915">
            <v>7.5038625487714339E-2</v>
          </cell>
          <cell r="J915">
            <v>0.17393851585198369</v>
          </cell>
          <cell r="K915">
            <v>0.5473855137580107</v>
          </cell>
          <cell r="L915">
            <v>0.71926359280081864</v>
          </cell>
          <cell r="M915">
            <v>0.62440452035755867</v>
          </cell>
          <cell r="N915">
            <v>0.74299906199781118</v>
          </cell>
          <cell r="O915">
            <v>0.70644839618195832</v>
          </cell>
        </row>
        <row r="916">
          <cell r="A916" t="str">
            <v>SCOM-SHLFOBR</v>
          </cell>
          <cell r="B916" t="str">
            <v>VAR_fout</v>
          </cell>
          <cell r="C916" t="str">
            <v>CO2_S</v>
          </cell>
          <cell r="D916">
            <v>2229.9164474230802</v>
          </cell>
          <cell r="E916">
            <v>1885.0839616118401</v>
          </cell>
          <cell r="F916">
            <v>1397.4118533126</v>
          </cell>
          <cell r="G916">
            <v>1164.1049579052601</v>
          </cell>
          <cell r="H916">
            <v>643.51332982112297</v>
          </cell>
          <cell r="I916">
            <v>439.60423846943098</v>
          </cell>
          <cell r="J916">
            <v>232.69472449057699</v>
          </cell>
          <cell r="K916">
            <v>63.017874526386002</v>
          </cell>
          <cell r="L916">
            <v>62.048978413853398</v>
          </cell>
          <cell r="M916">
            <v>62.504804122574903</v>
          </cell>
          <cell r="N916">
            <v>62.527504019676101</v>
          </cell>
          <cell r="O916">
            <v>62.567507923946501</v>
          </cell>
        </row>
        <row r="917">
          <cell r="A917" t="str">
            <v>SCOM-SHLFOBR</v>
          </cell>
          <cell r="B917" t="str">
            <v>VAR_fout</v>
          </cell>
          <cell r="C917" t="str">
            <v>SCOM-SHLFO</v>
          </cell>
          <cell r="D917">
            <v>24.843097676282081</v>
          </cell>
          <cell r="E917">
            <v>21.042967927136683</v>
          </cell>
          <cell r="F917">
            <v>15.645384734564832</v>
          </cell>
          <cell r="G917">
            <v>13.097490525486755</v>
          </cell>
          <cell r="H917">
            <v>7.2764502303130936</v>
          </cell>
          <cell r="I917">
            <v>4.9955027098798999</v>
          </cell>
          <cell r="J917">
            <v>2.64425823284747</v>
          </cell>
          <cell r="K917">
            <v>0.7161122105271126</v>
          </cell>
          <cell r="L917">
            <v>0.70510202743015105</v>
          </cell>
          <cell r="M917">
            <v>0.71028186502925861</v>
          </cell>
          <cell r="N917">
            <v>0.71053981840540903</v>
          </cell>
          <cell r="O917">
            <v>0.71099440822666427</v>
          </cell>
        </row>
        <row r="918">
          <cell r="A918" t="str">
            <v>SCOM-SHLFOBR</v>
          </cell>
          <cell r="B918" t="str">
            <v>VAR_fin</v>
          </cell>
          <cell r="C918" t="str">
            <v>SLFO</v>
          </cell>
          <cell r="D918">
            <v>30.256668214695765</v>
          </cell>
          <cell r="E918">
            <v>25.577801378722434</v>
          </cell>
          <cell r="F918">
            <v>18.960812120930751</v>
          </cell>
          <cell r="G918">
            <v>15.795182603870595</v>
          </cell>
          <cell r="H918">
            <v>8.731524149540336</v>
          </cell>
          <cell r="I918">
            <v>5.9647793550804815</v>
          </cell>
          <cell r="J918">
            <v>3.1573232631014565</v>
          </cell>
          <cell r="K918">
            <v>0.85505935585326975</v>
          </cell>
          <cell r="L918">
            <v>0.84191286857331538</v>
          </cell>
          <cell r="M918">
            <v>0.8480977492886691</v>
          </cell>
          <cell r="N918">
            <v>0.84840575331989188</v>
          </cell>
          <cell r="O918">
            <v>0.84894854713631629</v>
          </cell>
        </row>
        <row r="919">
          <cell r="A919" t="str">
            <v>SCOM-SHLFOBR</v>
          </cell>
          <cell r="B919" t="str">
            <v>VAR_ncap</v>
          </cell>
          <cell r="C919" t="str">
            <v>-</v>
          </cell>
          <cell r="D919">
            <v>5.0539509590880498E-6</v>
          </cell>
          <cell r="E919">
            <v>5.8257159872037297E-6</v>
          </cell>
          <cell r="F919">
            <v>5.6404083712357202E-6</v>
          </cell>
          <cell r="G919">
            <v>8.3421950501798403E-6</v>
          </cell>
          <cell r="H919">
            <v>7.0249988052296097E-2</v>
          </cell>
          <cell r="I919">
            <v>0.317912389496248</v>
          </cell>
          <cell r="J919">
            <v>1.18427582400045E-5</v>
          </cell>
          <cell r="K919">
            <v>3.9756314744731097E-2</v>
          </cell>
          <cell r="L919">
            <v>9.4246158857375306E-2</v>
          </cell>
          <cell r="M919">
            <v>7.1012971998834506E-5</v>
          </cell>
          <cell r="N919">
            <v>4.5942726036746699E-2</v>
          </cell>
          <cell r="O919">
            <v>6.7385410596100107E-2</v>
          </cell>
        </row>
        <row r="920">
          <cell r="A920" t="str">
            <v>SCOM-SHLFOBR</v>
          </cell>
          <cell r="B920" t="str">
            <v>VAR_cap</v>
          </cell>
          <cell r="C920" t="str">
            <v>-</v>
          </cell>
          <cell r="D920">
            <v>1.928578711176079</v>
          </cell>
          <cell r="E920">
            <v>1.9283708782593829</v>
          </cell>
          <cell r="F920">
            <v>1.9282664034443178</v>
          </cell>
          <cell r="G920">
            <v>1.9281540025679087</v>
          </cell>
          <cell r="H920">
            <v>0.57028981939439571</v>
          </cell>
          <cell r="I920">
            <v>0.38816424564541863</v>
          </cell>
          <cell r="J920">
            <v>0.28159280740572601</v>
          </cell>
          <cell r="K920">
            <v>0.11546563364325799</v>
          </cell>
          <cell r="L920">
            <v>0.11536264765248741</v>
          </cell>
          <cell r="M920">
            <v>0.11534808711824951</v>
          </cell>
          <cell r="N920">
            <v>0.11333672034996621</v>
          </cell>
          <cell r="O920">
            <v>0.11332574831382441</v>
          </cell>
        </row>
        <row r="921">
          <cell r="A921" t="str">
            <v>RHNM-SHPLTBR</v>
          </cell>
          <cell r="B921" t="str">
            <v>VAR_fout</v>
          </cell>
          <cell r="C921" t="str">
            <v>RHNM-SHPLT</v>
          </cell>
          <cell r="E921">
            <v>7.3566192132041797E-2</v>
          </cell>
          <cell r="F921">
            <v>7.6548698716645561E-2</v>
          </cell>
          <cell r="G921">
            <v>0.20611259355172537</v>
          </cell>
          <cell r="H921">
            <v>0.32377695630479475</v>
          </cell>
          <cell r="I921">
            <v>0.41953612097924797</v>
          </cell>
          <cell r="J921">
            <v>0.49763412361821058</v>
          </cell>
          <cell r="K921">
            <v>0.56987244180622676</v>
          </cell>
          <cell r="L921">
            <v>0.62300840317969153</v>
          </cell>
          <cell r="M921">
            <v>0.68356814639416452</v>
          </cell>
          <cell r="N921">
            <v>0.68357157055844864</v>
          </cell>
          <cell r="O921">
            <v>0.68358520923528354</v>
          </cell>
        </row>
        <row r="922">
          <cell r="A922" t="str">
            <v>RHNM-SHPLTBR</v>
          </cell>
          <cell r="B922" t="str">
            <v>VAR_fin</v>
          </cell>
          <cell r="C922" t="str">
            <v>RPLT</v>
          </cell>
          <cell r="E922">
            <v>8.1740213480046481E-2</v>
          </cell>
          <cell r="F922">
            <v>8.505410968516175E-2</v>
          </cell>
          <cell r="G922">
            <v>0.22901399283525026</v>
          </cell>
          <cell r="H922">
            <v>0.3597521736719943</v>
          </cell>
          <cell r="I922">
            <v>0.46615124553249765</v>
          </cell>
          <cell r="J922">
            <v>0.55292680402023353</v>
          </cell>
          <cell r="K922">
            <v>0.63319160200691815</v>
          </cell>
          <cell r="L922">
            <v>0.69223155908854561</v>
          </cell>
          <cell r="M922">
            <v>0.7595201626601823</v>
          </cell>
          <cell r="N922">
            <v>0.7595239672871662</v>
          </cell>
          <cell r="O922">
            <v>0.75953912137253765</v>
          </cell>
        </row>
        <row r="923">
          <cell r="A923" t="str">
            <v>RHNM-SHPLTBR</v>
          </cell>
          <cell r="B923" t="str">
            <v>VAR_fin</v>
          </cell>
          <cell r="C923" t="str">
            <v>RHNMPLTBRC</v>
          </cell>
          <cell r="E923">
            <v>7.3566192132041797E-2</v>
          </cell>
          <cell r="F923">
            <v>7.6548698716645561E-2</v>
          </cell>
          <cell r="G923">
            <v>0.20611259355172537</v>
          </cell>
          <cell r="H923">
            <v>0.32377695630479475</v>
          </cell>
          <cell r="I923">
            <v>0.41953612097924797</v>
          </cell>
          <cell r="J923">
            <v>0.49763412361821058</v>
          </cell>
          <cell r="K923">
            <v>0.56987244180622676</v>
          </cell>
          <cell r="L923">
            <v>0.62300840317969153</v>
          </cell>
          <cell r="M923">
            <v>0.68356814639416452</v>
          </cell>
          <cell r="N923">
            <v>0.68357157055844864</v>
          </cell>
          <cell r="O923">
            <v>0.68358520923528354</v>
          </cell>
        </row>
        <row r="924">
          <cell r="A924" t="str">
            <v>RHNM-SHPLTBR</v>
          </cell>
          <cell r="B924" t="str">
            <v>VAR_ncap</v>
          </cell>
          <cell r="C924" t="str">
            <v>-</v>
          </cell>
          <cell r="E924">
            <v>5.9926194302642498E-3</v>
          </cell>
          <cell r="F924">
            <v>1.33867288548583E-4</v>
          </cell>
          <cell r="G924">
            <v>1.0391132492843101E-2</v>
          </cell>
          <cell r="H924">
            <v>1.18754965163776E-2</v>
          </cell>
          <cell r="I924">
            <v>1.25022864042925E-2</v>
          </cell>
          <cell r="J924">
            <v>1.447852694976E-2</v>
          </cell>
          <cell r="K924">
            <v>1.7654399279958599E-2</v>
          </cell>
          <cell r="L924">
            <v>1.658412650807E-2</v>
          </cell>
          <cell r="M924">
            <v>1.9266444654704801E-2</v>
          </cell>
          <cell r="N924">
            <v>1.98963887080085E-2</v>
          </cell>
          <cell r="O924">
            <v>1.6244884259814799E-2</v>
          </cell>
        </row>
        <row r="925">
          <cell r="A925" t="str">
            <v>RHNM-SHPLTBR</v>
          </cell>
          <cell r="B925" t="str">
            <v>VAR_cap</v>
          </cell>
          <cell r="C925" t="str">
            <v>-</v>
          </cell>
          <cell r="E925">
            <v>5.9926194302642498E-3</v>
          </cell>
          <cell r="F925">
            <v>6.1257050189648587E-3</v>
          </cell>
          <cell r="G925">
            <v>1.6514617481785652E-2</v>
          </cell>
          <cell r="H925">
            <v>2.5466197561994221E-2</v>
          </cell>
          <cell r="I925">
            <v>3.2817357922243086E-2</v>
          </cell>
          <cell r="J925">
            <v>3.8854549569806072E-2</v>
          </cell>
          <cell r="K925">
            <v>4.463229807313486E-2</v>
          </cell>
          <cell r="L925">
            <v>4.8716594892260282E-2</v>
          </cell>
          <cell r="M925">
            <v>5.3502059496544248E-2</v>
          </cell>
          <cell r="N925">
            <v>5.3612257450964214E-2</v>
          </cell>
          <cell r="O925">
            <v>5.5404419335817127E-2</v>
          </cell>
        </row>
        <row r="926">
          <cell r="A926" t="str">
            <v>D-RHES_NKEV_GAS_ELC_CHP</v>
          </cell>
          <cell r="B926" t="str">
            <v>VAR_fout</v>
          </cell>
          <cell r="C926" t="str">
            <v>RHES_ELC</v>
          </cell>
          <cell r="D926">
            <v>9.4661999351902011E-3</v>
          </cell>
          <cell r="E926">
            <v>6.6380372651996299E-3</v>
          </cell>
          <cell r="F926">
            <v>6.6943862780627248E-3</v>
          </cell>
          <cell r="G926">
            <v>3.7817168163141422E-3</v>
          </cell>
          <cell r="H926">
            <v>2.6459895015371474E-3</v>
          </cell>
          <cell r="I926">
            <v>1.1106190990555198E-3</v>
          </cell>
          <cell r="L926">
            <v>3.5191010491600868E-3</v>
          </cell>
          <cell r="M926">
            <v>5.512575784647325E-3</v>
          </cell>
          <cell r="N926">
            <v>1.5405401459956782E-2</v>
          </cell>
          <cell r="O926">
            <v>1.7557759371393946E-2</v>
          </cell>
        </row>
        <row r="927">
          <cell r="A927" t="str">
            <v>D-RHES_NKEV_GAS_ELC_CHP</v>
          </cell>
          <cell r="B927" t="str">
            <v>VAR_fout</v>
          </cell>
          <cell r="C927" t="str">
            <v>ELC5</v>
          </cell>
          <cell r="D927">
            <v>9.4150073047313213E-3</v>
          </cell>
          <cell r="E927">
            <v>6.651443891221573E-3</v>
          </cell>
          <cell r="F927">
            <v>6.7023218984759428E-3</v>
          </cell>
          <cell r="G927">
            <v>3.7844714355035301E-3</v>
          </cell>
          <cell r="H927">
            <v>2.6478636781166586E-3</v>
          </cell>
          <cell r="I927">
            <v>1.1112659779833609E-3</v>
          </cell>
          <cell r="L927">
            <v>3.5048236476446257E-3</v>
          </cell>
          <cell r="M927">
            <v>5.4914415307720336E-3</v>
          </cell>
          <cell r="N927">
            <v>1.5375453034360182E-2</v>
          </cell>
          <cell r="O927">
            <v>1.752818375650721E-2</v>
          </cell>
        </row>
        <row r="928">
          <cell r="A928" t="str">
            <v>D-RHES_NKEV_GAS_ELC_CHP</v>
          </cell>
          <cell r="B928" t="str">
            <v>VAR_fin</v>
          </cell>
          <cell r="C928" t="str">
            <v>RHES_NKEV_GAS_ELC_CHP</v>
          </cell>
          <cell r="D928">
            <v>1.8881207239921535E-2</v>
          </cell>
          <cell r="E928">
            <v>1.3289481156421198E-2</v>
          </cell>
          <cell r="F928">
            <v>1.3368286198531282E-2</v>
          </cell>
          <cell r="G928">
            <v>7.5377662738102778E-3</v>
          </cell>
          <cell r="H928">
            <v>5.2654312016464167E-3</v>
          </cell>
          <cell r="I928">
            <v>2.193463099031488E-3</v>
          </cell>
          <cell r="L928">
            <v>7.0239246968047146E-3</v>
          </cell>
          <cell r="M928">
            <v>1.1004017315419357E-2</v>
          </cell>
          <cell r="N928">
            <v>3.0780854494316955E-2</v>
          </cell>
          <cell r="O928">
            <v>3.5085943127901149E-2</v>
          </cell>
        </row>
        <row r="929">
          <cell r="A929" t="str">
            <v>SCOM-SHSTG-SOL</v>
          </cell>
          <cell r="B929" t="str">
            <v>VAR_fout</v>
          </cell>
          <cell r="C929" t="str">
            <v>SCOM-SHASOL</v>
          </cell>
          <cell r="D929">
            <v>6.6818040505369562E-5</v>
          </cell>
          <cell r="E929">
            <v>6.6792951004740784E-5</v>
          </cell>
          <cell r="F929">
            <v>3.7563772441196505E-2</v>
          </cell>
          <cell r="G929">
            <v>1.8135522298798338E-2</v>
          </cell>
          <cell r="H929">
            <v>2.6509568027104269</v>
          </cell>
          <cell r="I929">
            <v>8.0906426100234334</v>
          </cell>
          <cell r="J929">
            <v>14.625061473916022</v>
          </cell>
          <cell r="K929">
            <v>11.287466547786687</v>
          </cell>
          <cell r="L929">
            <v>0.51381485174234143</v>
          </cell>
          <cell r="M929">
            <v>0.26811759195818646</v>
          </cell>
          <cell r="N929">
            <v>0.27438681492061145</v>
          </cell>
          <cell r="O929">
            <v>0.3350948605031317</v>
          </cell>
        </row>
        <row r="930">
          <cell r="A930" t="str">
            <v>SCOM-SHSTG-SOL</v>
          </cell>
          <cell r="B930" t="str">
            <v>VAR_fin</v>
          </cell>
          <cell r="C930" t="str">
            <v>SCOM-SHASOL</v>
          </cell>
          <cell r="D930">
            <v>5.8750343650916925E-5</v>
          </cell>
          <cell r="E930">
            <v>5.8562419862502431E-5</v>
          </cell>
          <cell r="F930">
            <v>4.8447734645758245E-2</v>
          </cell>
          <cell r="G930">
            <v>2.265009924858882E-2</v>
          </cell>
          <cell r="H930">
            <v>3.2132905587825435</v>
          </cell>
          <cell r="I930">
            <v>9.5184302953245989</v>
          </cell>
          <cell r="J930">
            <v>16.71439262007183</v>
          </cell>
          <cell r="K930">
            <v>12.541671566809073</v>
          </cell>
          <cell r="L930">
            <v>0.57095871782905139</v>
          </cell>
          <cell r="M930">
            <v>0.29795835437816426</v>
          </cell>
          <cell r="N930">
            <v>0.30492840507987207</v>
          </cell>
          <cell r="O930">
            <v>0.37238720252384422</v>
          </cell>
        </row>
        <row r="931">
          <cell r="A931" t="str">
            <v>SCOM-SHSTG-SOL</v>
          </cell>
          <cell r="B931" t="str">
            <v>VAR_ncap</v>
          </cell>
          <cell r="C931" t="str">
            <v>-</v>
          </cell>
          <cell r="D931">
            <v>2.2441642816591899E-2</v>
          </cell>
          <cell r="E931">
            <v>1.0750298023361499E-3</v>
          </cell>
          <cell r="F931">
            <v>4.9704252219259999E-6</v>
          </cell>
          <cell r="G931">
            <v>8.1695015613933692E-6</v>
          </cell>
          <cell r="H931">
            <v>0.117810237799125</v>
          </cell>
          <cell r="I931">
            <v>7.9827448635627296E-2</v>
          </cell>
          <cell r="J931">
            <v>3.3522559655434103E-2</v>
          </cell>
          <cell r="K931">
            <v>0.117810318607873</v>
          </cell>
          <cell r="L931">
            <v>7.2003241655031996E-2</v>
          </cell>
          <cell r="M931">
            <v>4.1346989790248097E-2</v>
          </cell>
          <cell r="N931">
            <v>0.119769658187794</v>
          </cell>
          <cell r="O931">
            <v>7.0044602246558202E-2</v>
          </cell>
        </row>
        <row r="932">
          <cell r="A932" t="str">
            <v>SCOM-SHSTG-SOL</v>
          </cell>
          <cell r="B932" t="str">
            <v>VAR_cap</v>
          </cell>
          <cell r="C932" t="str">
            <v>-</v>
          </cell>
          <cell r="D932">
            <v>2.2441642816591899E-2</v>
          </cell>
          <cell r="E932">
            <v>2.3516672618928001E-2</v>
          </cell>
          <cell r="F932">
            <v>2.3521643044149901E-2</v>
          </cell>
          <cell r="G932">
            <v>2.35298125457113E-2</v>
          </cell>
          <cell r="H932">
            <v>0.124194055144737</v>
          </cell>
          <cell r="I932">
            <v>0.19764534548837501</v>
          </cell>
          <cell r="J932">
            <v>0.23116024609018601</v>
          </cell>
          <cell r="K932">
            <v>0.23116032689893401</v>
          </cell>
          <cell r="L932">
            <v>0.23116034702350999</v>
          </cell>
          <cell r="M932">
            <v>0.231160550053153</v>
          </cell>
          <cell r="N932">
            <v>0.23116066649109099</v>
          </cell>
          <cell r="O932">
            <v>0.23116125022460099</v>
          </cell>
        </row>
        <row r="933">
          <cell r="A933" t="str">
            <v>RHNM-SHELCBRA</v>
          </cell>
          <cell r="B933" t="str">
            <v>VAR_fout</v>
          </cell>
          <cell r="C933" t="str">
            <v>RHNM-SHELCB</v>
          </cell>
          <cell r="E933">
            <v>0.15441373875622708</v>
          </cell>
          <cell r="F933">
            <v>3.6810058798634304E-2</v>
          </cell>
          <cell r="G933">
            <v>1.5717227106158149E-2</v>
          </cell>
          <cell r="H933">
            <v>4.5843373152976768E-3</v>
          </cell>
          <cell r="I933">
            <v>2.6753229484562462E-3</v>
          </cell>
          <cell r="J933">
            <v>3.0602733722406073E-3</v>
          </cell>
          <cell r="K933">
            <v>2.466343761228213E-3</v>
          </cell>
          <cell r="L933">
            <v>7.8407918723703268E-3</v>
          </cell>
          <cell r="M933">
            <v>0.68809227383067195</v>
          </cell>
          <cell r="N933">
            <v>4.0190291326833577E-3</v>
          </cell>
          <cell r="O933">
            <v>8.0098221710105857E-3</v>
          </cell>
        </row>
        <row r="934">
          <cell r="A934" t="str">
            <v>RHNM-SHELCBRA</v>
          </cell>
          <cell r="B934" t="str">
            <v>VAR_fin</v>
          </cell>
          <cell r="C934" t="str">
            <v>RHNM-SHAELCB</v>
          </cell>
          <cell r="E934">
            <v>0.15441373875622708</v>
          </cell>
          <cell r="F934">
            <v>3.6810058798634304E-2</v>
          </cell>
          <cell r="G934">
            <v>1.5717227106158149E-2</v>
          </cell>
          <cell r="H934">
            <v>4.5843373152976768E-3</v>
          </cell>
          <cell r="I934">
            <v>2.6753229484562462E-3</v>
          </cell>
          <cell r="J934">
            <v>3.0602733722406073E-3</v>
          </cell>
          <cell r="K934">
            <v>2.466343761228213E-3</v>
          </cell>
          <cell r="L934">
            <v>7.8407918723703268E-3</v>
          </cell>
          <cell r="M934">
            <v>0.68809227383067195</v>
          </cell>
          <cell r="N934">
            <v>4.0190291326833577E-3</v>
          </cell>
          <cell r="O934">
            <v>8.0098221710105857E-3</v>
          </cell>
        </row>
        <row r="935">
          <cell r="A935" t="str">
            <v>RHNM-SHELCBRA</v>
          </cell>
          <cell r="B935" t="str">
            <v>VAR_ncap</v>
          </cell>
          <cell r="C935" t="str">
            <v>-</v>
          </cell>
          <cell r="E935">
            <v>1.23445186689712E-2</v>
          </cell>
          <cell r="H935">
            <v>4.46041538306919E-4</v>
          </cell>
          <cell r="J935">
            <v>3.9055904636047298E-4</v>
          </cell>
          <cell r="L935">
            <v>9.9079330668509292E-4</v>
          </cell>
          <cell r="M935">
            <v>5.3370027985119903E-2</v>
          </cell>
          <cell r="N935">
            <v>2.1216190475034299E-4</v>
          </cell>
          <cell r="O935">
            <v>8.6603255964917605E-4</v>
          </cell>
        </row>
        <row r="936">
          <cell r="A936" t="str">
            <v>RHNM-SHELCBRA</v>
          </cell>
          <cell r="B936" t="str">
            <v>VAR_cap</v>
          </cell>
          <cell r="C936" t="str">
            <v>-</v>
          </cell>
          <cell r="E936">
            <v>1.23445186689712E-2</v>
          </cell>
          <cell r="F936">
            <v>5.2708348329229002E-3</v>
          </cell>
          <cell r="G936">
            <v>2.1751378364394999E-3</v>
          </cell>
          <cell r="H936">
            <v>6.5212193338184954E-4</v>
          </cell>
          <cell r="I936">
            <v>3.7257044853450161E-4</v>
          </cell>
          <cell r="J936">
            <v>4.4501272011512102E-4</v>
          </cell>
          <cell r="K936">
            <v>3.5094949379222459E-4</v>
          </cell>
          <cell r="L936">
            <v>1.1139327614830361E-3</v>
          </cell>
          <cell r="M936">
            <v>5.4264663235806088E-2</v>
          </cell>
          <cell r="N936">
            <v>5.880700154672E-4</v>
          </cell>
          <cell r="O936">
            <v>1.1567750928190984E-3</v>
          </cell>
        </row>
        <row r="937">
          <cell r="A937" t="str">
            <v>RHNM-SHSTG-SOL</v>
          </cell>
          <cell r="B937" t="str">
            <v>VAR_fout</v>
          </cell>
          <cell r="C937" t="str">
            <v>RHNM-SHASOL</v>
          </cell>
          <cell r="E937">
            <v>1.4550059278042971E-5</v>
          </cell>
          <cell r="F937">
            <v>4.0975773115817255E-3</v>
          </cell>
          <cell r="G937">
            <v>4.925302755582282E-3</v>
          </cell>
          <cell r="H937">
            <v>6.1972863053321127E-3</v>
          </cell>
          <cell r="I937">
            <v>6.3896544803913533E-3</v>
          </cell>
          <cell r="J937">
            <v>7.9310361771498545E-3</v>
          </cell>
          <cell r="K937">
            <v>3.694939177905884E-3</v>
          </cell>
          <cell r="L937">
            <v>1.2110411802540256E-3</v>
          </cell>
          <cell r="M937">
            <v>1.9187963649221671E-3</v>
          </cell>
          <cell r="N937">
            <v>4.3991473221102176E-4</v>
          </cell>
          <cell r="O937">
            <v>1.5137329901096736E-3</v>
          </cell>
        </row>
        <row r="938">
          <cell r="A938" t="str">
            <v>RHNM-SHSTG-SOL</v>
          </cell>
          <cell r="B938" t="str">
            <v>VAR_fin</v>
          </cell>
          <cell r="C938" t="str">
            <v>RHNM-SHASOL</v>
          </cell>
          <cell r="E938">
            <v>2.2143303664513758E-6</v>
          </cell>
          <cell r="F938">
            <v>4.0857688286861388E-3</v>
          </cell>
          <cell r="G938">
            <v>4.9135310619711449E-3</v>
          </cell>
          <cell r="H938">
            <v>6.1856009225772944E-3</v>
          </cell>
          <cell r="I938">
            <v>6.3779524174456554E-3</v>
          </cell>
          <cell r="J938">
            <v>7.9194559754764103E-3</v>
          </cell>
          <cell r="K938">
            <v>3.6831080574365425E-3</v>
          </cell>
          <cell r="L938">
            <v>1.1990538022932911E-3</v>
          </cell>
          <cell r="M938">
            <v>1.9068322849907888E-3</v>
          </cell>
          <cell r="N938">
            <v>4.2792630661201098E-4</v>
          </cell>
          <cell r="O938">
            <v>1.5018492992858099E-3</v>
          </cell>
        </row>
        <row r="939">
          <cell r="A939" t="str">
            <v>RHNM-SHSTG-SOL</v>
          </cell>
          <cell r="B939" t="str">
            <v>VAR_ncap</v>
          </cell>
          <cell r="C939" t="str">
            <v>-</v>
          </cell>
          <cell r="D939">
            <v>1.6798061249812999E-5</v>
          </cell>
          <cell r="E939">
            <v>7.5045154098568904E-4</v>
          </cell>
          <cell r="F939">
            <v>6.3582860228158199E-5</v>
          </cell>
          <cell r="G939">
            <v>7.6073242453637098E-5</v>
          </cell>
          <cell r="H939">
            <v>5.9457286649858797E-4</v>
          </cell>
          <cell r="I939">
            <v>4.0982082881367999E-4</v>
          </cell>
          <cell r="J939">
            <v>3.3546833148461201E-4</v>
          </cell>
          <cell r="K939">
            <v>3.9911870095999602E-5</v>
          </cell>
          <cell r="L939">
            <v>6.22152094609058E-6</v>
          </cell>
          <cell r="M939">
            <v>4.04555504802234E-4</v>
          </cell>
          <cell r="N939">
            <v>1.18393859767019E-5</v>
          </cell>
          <cell r="O939">
            <v>2.9219289439678199E-4</v>
          </cell>
        </row>
        <row r="940">
          <cell r="A940" t="str">
            <v>RHNM-SHSTG-SOL</v>
          </cell>
          <cell r="B940" t="str">
            <v>VAR_cap</v>
          </cell>
          <cell r="C940" t="str">
            <v>-</v>
          </cell>
          <cell r="D940">
            <v>1.6798061249812999E-5</v>
          </cell>
          <cell r="E940">
            <v>7.6724960223550204E-4</v>
          </cell>
          <cell r="F940">
            <v>8.3083246246366002E-4</v>
          </cell>
          <cell r="G940">
            <v>9.0690570491729701E-4</v>
          </cell>
          <cell r="H940">
            <v>1.1230744796102499E-3</v>
          </cell>
          <cell r="I940">
            <v>1.07934644825442E-3</v>
          </cell>
          <cell r="J940">
            <v>1.3398620267968801E-3</v>
          </cell>
          <cell r="K940">
            <v>7.8520103039429203E-4</v>
          </cell>
          <cell r="L940">
            <v>4.0012434375217198E-4</v>
          </cell>
          <cell r="M940">
            <v>4.5068889584432502E-4</v>
          </cell>
          <cell r="N940">
            <v>4.2771337160270198E-4</v>
          </cell>
          <cell r="O940">
            <v>7.0858778517571795E-4</v>
          </cell>
        </row>
        <row r="941">
          <cell r="A941" t="str">
            <v>RHNS-SHELCHP</v>
          </cell>
          <cell r="B941" t="str">
            <v>VAR_fout</v>
          </cell>
          <cell r="C941" t="str">
            <v>RHNS-SHAELCH</v>
          </cell>
          <cell r="E941">
            <v>0.24305309222853949</v>
          </cell>
          <cell r="F941">
            <v>0.73706626576474432</v>
          </cell>
          <cell r="G941">
            <v>1.6039405406285641</v>
          </cell>
          <cell r="H941">
            <v>1.9636851589504691</v>
          </cell>
          <cell r="I941">
            <v>2.7348093674924856</v>
          </cell>
          <cell r="J941">
            <v>3.4184079170949335</v>
          </cell>
          <cell r="K941">
            <v>4.269743868701628</v>
          </cell>
          <cell r="L941">
            <v>4.2697793170494069</v>
          </cell>
          <cell r="M941">
            <v>4.269818727515351</v>
          </cell>
          <cell r="N941">
            <v>4.2698499869072659</v>
          </cell>
          <cell r="O941">
            <v>4.2708982493050662</v>
          </cell>
        </row>
        <row r="942">
          <cell r="A942" t="str">
            <v>RHNS-SHELCHP</v>
          </cell>
          <cell r="B942" t="str">
            <v>VAR_fin</v>
          </cell>
          <cell r="C942" t="str">
            <v>RHNS_ELC</v>
          </cell>
          <cell r="E942">
            <v>7.4708942283362542E-2</v>
          </cell>
          <cell r="F942">
            <v>0.22111987972942324</v>
          </cell>
          <cell r="G942">
            <v>0.46267515595054781</v>
          </cell>
          <cell r="H942">
            <v>0.54800516063733928</v>
          </cell>
          <cell r="I942">
            <v>0.73913766688986071</v>
          </cell>
          <cell r="J942">
            <v>0.89958103081445706</v>
          </cell>
          <cell r="K942">
            <v>1.094806120179904</v>
          </cell>
          <cell r="L942">
            <v>1.0948152094998476</v>
          </cell>
          <cell r="M942">
            <v>1.094825314747526</v>
          </cell>
          <cell r="N942">
            <v>1.094833329976221</v>
          </cell>
          <cell r="O942">
            <v>1.095102115206428</v>
          </cell>
        </row>
        <row r="943">
          <cell r="A943" t="str">
            <v>RHNS-SHELCHP</v>
          </cell>
          <cell r="B943" t="str">
            <v>VAR_fin</v>
          </cell>
          <cell r="C943" t="str">
            <v>RHNSELCHPC</v>
          </cell>
          <cell r="E943">
            <v>0.24305309222853949</v>
          </cell>
          <cell r="F943">
            <v>0.73706626576474432</v>
          </cell>
          <cell r="G943">
            <v>1.6039405406285641</v>
          </cell>
          <cell r="H943">
            <v>1.9636851589504691</v>
          </cell>
          <cell r="I943">
            <v>2.7348093674924856</v>
          </cell>
          <cell r="J943">
            <v>3.4184079170949335</v>
          </cell>
          <cell r="K943">
            <v>4.269743868701628</v>
          </cell>
          <cell r="L943">
            <v>4.2697793170494069</v>
          </cell>
          <cell r="M943">
            <v>4.269818727515351</v>
          </cell>
          <cell r="N943">
            <v>4.2698499869072659</v>
          </cell>
          <cell r="O943">
            <v>4.2708982493050662</v>
          </cell>
        </row>
        <row r="944">
          <cell r="A944" t="str">
            <v>RHNS-SHELCHP</v>
          </cell>
          <cell r="B944" t="str">
            <v>VAR_ncap</v>
          </cell>
          <cell r="C944" t="str">
            <v>-</v>
          </cell>
          <cell r="E944">
            <v>1.78049114239195E-2</v>
          </cell>
          <cell r="F944">
            <v>3.6120257321326697E-2</v>
          </cell>
          <cell r="G944">
            <v>6.3261223372901396E-2</v>
          </cell>
          <cell r="H944">
            <v>3.4733438414609297E-2</v>
          </cell>
          <cell r="I944">
            <v>0.10578873908166</v>
          </cell>
          <cell r="J944">
            <v>0.109062333066848</v>
          </cell>
          <cell r="K944">
            <v>9.7418061438176703E-2</v>
          </cell>
          <cell r="L944">
            <v>0.102866919487033</v>
          </cell>
          <cell r="M944">
            <v>0.110962119504008</v>
          </cell>
          <cell r="N944">
            <v>0.112744403770764</v>
          </cell>
          <cell r="O944">
            <v>8.7833949642161305E-2</v>
          </cell>
        </row>
        <row r="945">
          <cell r="A945" t="str">
            <v>RHNS-SHELCHP</v>
          </cell>
          <cell r="B945" t="str">
            <v>VAR_cap</v>
          </cell>
          <cell r="C945" t="str">
            <v>-</v>
          </cell>
          <cell r="E945">
            <v>1.78049114239195E-2</v>
          </cell>
          <cell r="F945">
            <v>5.3924793407216974E-2</v>
          </cell>
          <cell r="G945">
            <v>0.11718463132777072</v>
          </cell>
          <cell r="H945">
            <v>0.14323346637550796</v>
          </cell>
          <cell r="I945">
            <v>0.19932930686506908</v>
          </cell>
          <cell r="J945">
            <v>0.24958271135701932</v>
          </cell>
          <cell r="K945">
            <v>0.31226575117016592</v>
          </cell>
          <cell r="L945">
            <v>0.31114886625083815</v>
          </cell>
          <cell r="M945">
            <v>0.31124467280700852</v>
          </cell>
          <cell r="N945">
            <v>0.31121451631089242</v>
          </cell>
          <cell r="O945">
            <v>0.31153743628575142</v>
          </cell>
        </row>
        <row r="946">
          <cell r="A946" t="str">
            <v>SCOM-SHBIOBR</v>
          </cell>
          <cell r="B946" t="str">
            <v>VAR_fout</v>
          </cell>
          <cell r="C946" t="str">
            <v>SCOM-SHBIO</v>
          </cell>
          <cell r="D946">
            <v>1.2230937952266778</v>
          </cell>
          <cell r="E946">
            <v>1.340793958224606</v>
          </cell>
          <cell r="F946">
            <v>1.2502693700762697</v>
          </cell>
          <cell r="G946">
            <v>1.2124735912485494</v>
          </cell>
          <cell r="H946">
            <v>1.3998527358825452</v>
          </cell>
          <cell r="I946">
            <v>3.1415422922058736</v>
          </cell>
          <cell r="J946">
            <v>3.1463085640468673</v>
          </cell>
          <cell r="K946">
            <v>3.1464285252203807</v>
          </cell>
          <cell r="L946">
            <v>3.1450851312017645</v>
          </cell>
          <cell r="M946">
            <v>3.1468750383892496</v>
          </cell>
          <cell r="N946">
            <v>3.6311318974614806</v>
          </cell>
          <cell r="O946">
            <v>2.59062748837639</v>
          </cell>
        </row>
        <row r="947">
          <cell r="A947" t="str">
            <v>SCOM-SHBIOBR</v>
          </cell>
          <cell r="B947" t="str">
            <v>VAR_fin</v>
          </cell>
          <cell r="C947" t="str">
            <v>SBIO</v>
          </cell>
          <cell r="D947">
            <v>1.4023088686387044</v>
          </cell>
          <cell r="E947">
            <v>1.5372551687968441</v>
          </cell>
          <cell r="F947">
            <v>1.4334663724790992</v>
          </cell>
          <cell r="G947">
            <v>1.3901325283748562</v>
          </cell>
          <cell r="H947">
            <v>1.6049675944537307</v>
          </cell>
          <cell r="I947">
            <v>3.6018600002360435</v>
          </cell>
          <cell r="J947">
            <v>3.6073246549493998</v>
          </cell>
          <cell r="K947">
            <v>3.6074621935569637</v>
          </cell>
          <cell r="L947">
            <v>3.6059219573512555</v>
          </cell>
          <cell r="M947">
            <v>3.607974132526083</v>
          </cell>
          <cell r="N947">
            <v>4.1631872247895894</v>
          </cell>
          <cell r="O947">
            <v>2.9702218394592901</v>
          </cell>
        </row>
        <row r="948">
          <cell r="A948" t="str">
            <v>SCOM-SHBIOBR</v>
          </cell>
          <cell r="B948" t="str">
            <v>VAR_ncap</v>
          </cell>
          <cell r="C948" t="str">
            <v>-</v>
          </cell>
          <cell r="D948">
            <v>9.5871747933003492E-6</v>
          </cell>
          <cell r="E948">
            <v>4.2556391764358398E-5</v>
          </cell>
          <cell r="F948">
            <v>6.5211297171145098E-6</v>
          </cell>
          <cell r="G948">
            <v>7.0553570140363999E-6</v>
          </cell>
          <cell r="H948">
            <v>0.117766428915797</v>
          </cell>
          <cell r="I948">
            <v>0.16444876073596501</v>
          </cell>
          <cell r="J948">
            <v>2.6956453595463799E-5</v>
          </cell>
          <cell r="K948">
            <v>0.110032016388142</v>
          </cell>
          <cell r="L948">
            <v>0.160373514072948</v>
          </cell>
          <cell r="M948">
            <v>6.4302381272163894E-2</v>
          </cell>
          <cell r="N948">
            <v>0.1640154330677</v>
          </cell>
          <cell r="O948">
            <v>3.2628014857285503E-2</v>
          </cell>
        </row>
        <row r="949">
          <cell r="A949" t="str">
            <v>SCOM-SHBIOBR</v>
          </cell>
          <cell r="B949" t="str">
            <v>VAR_cap</v>
          </cell>
          <cell r="C949" t="str">
            <v>-</v>
          </cell>
          <cell r="D949">
            <v>0.1053505126434693</v>
          </cell>
          <cell r="E949">
            <v>0.10539193562012633</v>
          </cell>
          <cell r="F949">
            <v>0.10537192678666106</v>
          </cell>
          <cell r="G949">
            <v>0.10536085518957962</v>
          </cell>
          <cell r="H949">
            <v>0.14509702190532603</v>
          </cell>
          <cell r="I949">
            <v>0.28221651996566255</v>
          </cell>
          <cell r="J949">
            <v>0.28223089565258191</v>
          </cell>
          <cell r="K949">
            <v>0.27449442311717309</v>
          </cell>
          <cell r="L949">
            <v>0.29568306428321839</v>
          </cell>
          <cell r="M949">
            <v>0.33469307056619241</v>
          </cell>
          <cell r="N949">
            <v>0.35731814802162348</v>
          </cell>
          <cell r="O949">
            <v>0.2609292836562041</v>
          </cell>
        </row>
        <row r="950">
          <cell r="A950" t="str">
            <v>RHES-SHDEM</v>
          </cell>
          <cell r="B950" t="str">
            <v>VAR_fout</v>
          </cell>
          <cell r="C950" t="str">
            <v>RHES-SHD</v>
          </cell>
          <cell r="D950">
            <v>62.024837503894084</v>
          </cell>
          <cell r="E950">
            <v>67.866381410603879</v>
          </cell>
          <cell r="F950">
            <v>67.456507908702321</v>
          </cell>
          <cell r="G950">
            <v>65.34780028529029</v>
          </cell>
          <cell r="H950">
            <v>63.380042938307113</v>
          </cell>
          <cell r="I950">
            <v>61.449396495974291</v>
          </cell>
          <cell r="J950">
            <v>58.734506295310204</v>
          </cell>
          <cell r="K950">
            <v>56.922019181367041</v>
          </cell>
          <cell r="L950">
            <v>53.95611854754641</v>
          </cell>
          <cell r="M950">
            <v>51.589362118406228</v>
          </cell>
          <cell r="N950">
            <v>51.60538614764009</v>
          </cell>
          <cell r="O950">
            <v>45.506498024766202</v>
          </cell>
        </row>
        <row r="951">
          <cell r="A951" t="str">
            <v>RHES-SHDEM</v>
          </cell>
          <cell r="B951" t="str">
            <v>VAR_fin</v>
          </cell>
          <cell r="C951" t="str">
            <v>RHES-SHPLT</v>
          </cell>
          <cell r="D951">
            <v>1.2882607060702338</v>
          </cell>
          <cell r="E951">
            <v>1.4866866702978914</v>
          </cell>
          <cell r="F951">
            <v>1.4748991135099485</v>
          </cell>
          <cell r="G951">
            <v>1.4763666718419921</v>
          </cell>
          <cell r="H951">
            <v>1.4824888538566052</v>
          </cell>
          <cell r="I951">
            <v>1.4838903542517612</v>
          </cell>
          <cell r="J951">
            <v>1.4801766714506308</v>
          </cell>
          <cell r="K951">
            <v>1.4849142121158521</v>
          </cell>
          <cell r="L951">
            <v>1.4842662632812453</v>
          </cell>
          <cell r="M951">
            <v>1.4830478321708722</v>
          </cell>
          <cell r="N951">
            <v>1.4816730371647602</v>
          </cell>
          <cell r="O951">
            <v>1.4548682374934332</v>
          </cell>
        </row>
        <row r="952">
          <cell r="A952" t="str">
            <v>RHES-SHDEM</v>
          </cell>
          <cell r="B952" t="str">
            <v>VAR_fin</v>
          </cell>
          <cell r="C952" t="str">
            <v>RHES-SHLTHC-NGA</v>
          </cell>
          <cell r="D952">
            <v>5.0242031219255294E-2</v>
          </cell>
          <cell r="E952">
            <v>1.2504390138107263E-3</v>
          </cell>
          <cell r="F952">
            <v>2.4040057232300828E-2</v>
          </cell>
          <cell r="G952">
            <v>2.3778727448752004E-2</v>
          </cell>
          <cell r="H952">
            <v>1.5099304247117485E-2</v>
          </cell>
          <cell r="I952">
            <v>7.4255557472173326E-3</v>
          </cell>
          <cell r="L952">
            <v>1.1642939707660038E-2</v>
          </cell>
          <cell r="M952">
            <v>1.6850049394418982E-2</v>
          </cell>
          <cell r="N952">
            <v>5.8518142979349347E-2</v>
          </cell>
          <cell r="O952">
            <v>7.2402642650461549E-2</v>
          </cell>
        </row>
        <row r="953">
          <cell r="A953" t="str">
            <v>RHES-SHDEM</v>
          </cell>
          <cell r="B953" t="str">
            <v>VAR_fin</v>
          </cell>
          <cell r="C953" t="str">
            <v>RHES-SHSOL</v>
          </cell>
          <cell r="D953">
            <v>0.37244107852033076</v>
          </cell>
          <cell r="E953">
            <v>0.43555092606747103</v>
          </cell>
          <cell r="F953">
            <v>0.43534869411952204</v>
          </cell>
          <cell r="G953">
            <v>0.38303236895868226</v>
          </cell>
          <cell r="H953">
            <v>0.41091216781573114</v>
          </cell>
          <cell r="I953">
            <v>0.40253330413123362</v>
          </cell>
          <cell r="J953">
            <v>0.58587564159341765</v>
          </cell>
          <cell r="K953">
            <v>1.1312196043742022</v>
          </cell>
          <cell r="L953">
            <v>0.90214148615808587</v>
          </cell>
          <cell r="M953">
            <v>1.8830900430219531E-2</v>
          </cell>
          <cell r="N953">
            <v>0.87614840119637816</v>
          </cell>
          <cell r="O953">
            <v>0.84018434084150395</v>
          </cell>
        </row>
        <row r="954">
          <cell r="A954" t="str">
            <v>RHES-SHDEM</v>
          </cell>
          <cell r="B954" t="str">
            <v>VAR_fin</v>
          </cell>
          <cell r="C954" t="str">
            <v>RHES-SHLTHC-WOD</v>
          </cell>
          <cell r="F954">
            <v>5.2383172408257432E-3</v>
          </cell>
          <cell r="G954">
            <v>1.4707596679078531E-2</v>
          </cell>
          <cell r="H954">
            <v>1.0274661359857296E-2</v>
          </cell>
          <cell r="I954">
            <v>1.4636376986391628E-2</v>
          </cell>
          <cell r="J954">
            <v>3.466651267258155E-2</v>
          </cell>
          <cell r="K954">
            <v>2.9681836208705219E-2</v>
          </cell>
          <cell r="L954">
            <v>2.0610343535330162E-2</v>
          </cell>
          <cell r="M954">
            <v>1.3792213434998975E-2</v>
          </cell>
          <cell r="N954">
            <v>2.2641756246865243E-2</v>
          </cell>
          <cell r="O954">
            <v>3.8352434890934803E-2</v>
          </cell>
        </row>
        <row r="955">
          <cell r="A955" t="str">
            <v>RHES-SHDEM</v>
          </cell>
          <cell r="B955" t="str">
            <v>VAR_fin</v>
          </cell>
          <cell r="C955" t="str">
            <v>RHES-SHNGA</v>
          </cell>
          <cell r="D955">
            <v>17.544235867657626</v>
          </cell>
          <cell r="E955">
            <v>20.326486196387602</v>
          </cell>
          <cell r="F955">
            <v>18.699558842726944</v>
          </cell>
          <cell r="G955">
            <v>18.692855581868173</v>
          </cell>
          <cell r="H955">
            <v>15.897142057654611</v>
          </cell>
          <cell r="I955">
            <v>10.727642283467439</v>
          </cell>
          <cell r="J955">
            <v>8.2785234875148763</v>
          </cell>
          <cell r="K955">
            <v>3.4015526466201056</v>
          </cell>
          <cell r="L955">
            <v>2.1201400467537606</v>
          </cell>
          <cell r="M955">
            <v>1.8464617228896327</v>
          </cell>
          <cell r="N955">
            <v>1.8445860916618109</v>
          </cell>
          <cell r="O955">
            <v>1.6796033322608714</v>
          </cell>
        </row>
        <row r="956">
          <cell r="A956" t="str">
            <v>RHES-SHDEM</v>
          </cell>
          <cell r="B956" t="str">
            <v>VAR_fin</v>
          </cell>
          <cell r="C956" t="str">
            <v>RHES-SHNGAH</v>
          </cell>
          <cell r="E956">
            <v>3.0489352119085597E-5</v>
          </cell>
          <cell r="F956">
            <v>2.0957794479697818E-2</v>
          </cell>
          <cell r="G956">
            <v>2.0325031898553551E-2</v>
          </cell>
          <cell r="H956">
            <v>3.9076963391926216</v>
          </cell>
          <cell r="I956">
            <v>3.8970145591852545</v>
          </cell>
          <cell r="J956">
            <v>3.8798451293104153</v>
          </cell>
          <cell r="K956">
            <v>1.2771086794196742E-2</v>
          </cell>
          <cell r="L956">
            <v>1.2085128318142992E-2</v>
          </cell>
          <cell r="M956">
            <v>1.2081455346575542E-2</v>
          </cell>
          <cell r="N956">
            <v>1.489265092986531E-2</v>
          </cell>
          <cell r="O956">
            <v>3.5522479894542658E-2</v>
          </cell>
        </row>
        <row r="957">
          <cell r="A957" t="str">
            <v>RHES-SHDEM</v>
          </cell>
          <cell r="B957" t="str">
            <v>VAR_fin</v>
          </cell>
          <cell r="C957" t="str">
            <v>RHES-SHCOA</v>
          </cell>
          <cell r="D957">
            <v>8.8205710139810989E-2</v>
          </cell>
          <cell r="E957">
            <v>7.194773522293664E-2</v>
          </cell>
          <cell r="F957">
            <v>1.7887717649675824E-2</v>
          </cell>
          <cell r="G957">
            <v>1.5196912622420745E-2</v>
          </cell>
          <cell r="H957">
            <v>8.0545876864390933E-3</v>
          </cell>
          <cell r="I957">
            <v>1.1335500870781159E-3</v>
          </cell>
          <cell r="L957">
            <v>1.2140354897116675E-3</v>
          </cell>
          <cell r="M957">
            <v>7.0822668905098462E-4</v>
          </cell>
          <cell r="O957">
            <v>8.9582786459488882E-3</v>
          </cell>
        </row>
        <row r="958">
          <cell r="A958" t="str">
            <v>RHES-SHDEM</v>
          </cell>
          <cell r="B958" t="str">
            <v>VAR_fin</v>
          </cell>
          <cell r="C958" t="str">
            <v>RHES-SHLFO</v>
          </cell>
          <cell r="D958">
            <v>21.645173096468916</v>
          </cell>
          <cell r="E958">
            <v>19.945937380381846</v>
          </cell>
          <cell r="F958">
            <v>21.439598730963791</v>
          </cell>
          <cell r="G958">
            <v>20.238225203873331</v>
          </cell>
          <cell r="H958">
            <v>5.6083410270376062</v>
          </cell>
          <cell r="I958">
            <v>2.2819378935141868E-2</v>
          </cell>
          <cell r="J958">
            <v>3.9750376408599901E-2</v>
          </cell>
          <cell r="K958">
            <v>2.1974863862994968E-2</v>
          </cell>
          <cell r="L958">
            <v>6.7813728964375751E-3</v>
          </cell>
          <cell r="M958">
            <v>7.2313539757599583E-3</v>
          </cell>
          <cell r="N958">
            <v>9.9658180518452672E-3</v>
          </cell>
          <cell r="O958">
            <v>3.185108890760676E-2</v>
          </cell>
        </row>
        <row r="959">
          <cell r="A959" t="str">
            <v>RHES-SHDEM</v>
          </cell>
          <cell r="B959" t="str">
            <v>VAR_fin</v>
          </cell>
          <cell r="C959" t="str">
            <v>RHES-SHCON</v>
          </cell>
          <cell r="D959">
            <v>0.97623374382524708</v>
          </cell>
          <cell r="E959">
            <v>3.0583150372234527</v>
          </cell>
          <cell r="F959">
            <v>3.0581495726071486</v>
          </cell>
          <cell r="G959">
            <v>3.0598412680751972</v>
          </cell>
          <cell r="H959">
            <v>8.0385107623238881</v>
          </cell>
          <cell r="I959">
            <v>11.599300008723317</v>
          </cell>
          <cell r="J959">
            <v>11.599091310495517</v>
          </cell>
          <cell r="K959">
            <v>11.598857210851492</v>
          </cell>
          <cell r="L959">
            <v>11.596518552282651</v>
          </cell>
          <cell r="M959">
            <v>11.597059896202234</v>
          </cell>
          <cell r="N959">
            <v>11.5372583804016</v>
          </cell>
          <cell r="O959">
            <v>6.6172849236920399</v>
          </cell>
        </row>
        <row r="960">
          <cell r="A960" t="str">
            <v>RHES-SHDEM</v>
          </cell>
          <cell r="B960" t="str">
            <v>VAR_fin</v>
          </cell>
          <cell r="C960" t="str">
            <v>RHES-SHWOD</v>
          </cell>
          <cell r="D960">
            <v>4.3684764325336856</v>
          </cell>
          <cell r="E960">
            <v>5.0340424835828808</v>
          </cell>
          <cell r="F960">
            <v>4.9323701583566377</v>
          </cell>
          <cell r="G960">
            <v>4.1736897904804557</v>
          </cell>
          <cell r="H960">
            <v>3.3238839207847044</v>
          </cell>
          <cell r="I960">
            <v>2.7430557013402681</v>
          </cell>
          <cell r="J960">
            <v>2.7319808082244892</v>
          </cell>
          <cell r="K960">
            <v>3.9744455851715679</v>
          </cell>
          <cell r="L960">
            <v>3.18679848326336</v>
          </cell>
          <cell r="M960">
            <v>3.0744108227663403</v>
          </cell>
          <cell r="N960">
            <v>2.0173016970588762</v>
          </cell>
          <cell r="O960">
            <v>1.5635777009062439</v>
          </cell>
        </row>
        <row r="961">
          <cell r="A961" t="str">
            <v>RHES-SHDEM</v>
          </cell>
          <cell r="B961" t="str">
            <v>VAR_fin</v>
          </cell>
          <cell r="C961" t="str">
            <v>RHES-SHLTHD</v>
          </cell>
          <cell r="D961">
            <v>2.2818623922781605</v>
          </cell>
          <cell r="E961">
            <v>3.5035774729235523</v>
          </cell>
          <cell r="F961">
            <v>3.4113972289865258</v>
          </cell>
          <cell r="G961">
            <v>1.7270270596085433</v>
          </cell>
          <cell r="H961">
            <v>3.0777262755348462</v>
          </cell>
          <cell r="I961">
            <v>2.7736084456731205</v>
          </cell>
          <cell r="J961">
            <v>2.6082343349094885</v>
          </cell>
          <cell r="K961">
            <v>2.5225553509770147</v>
          </cell>
          <cell r="L961">
            <v>2.3568039273002417</v>
          </cell>
          <cell r="M961">
            <v>1.8599527523191841</v>
          </cell>
          <cell r="N961">
            <v>2.2265198049750694</v>
          </cell>
          <cell r="O961">
            <v>2.0622233168780832</v>
          </cell>
        </row>
        <row r="962">
          <cell r="A962" t="str">
            <v>RHES-SHDEM</v>
          </cell>
          <cell r="B962" t="str">
            <v>VAR_fin</v>
          </cell>
          <cell r="C962" t="str">
            <v>RHES-SHELCB</v>
          </cell>
          <cell r="D962">
            <v>4.2614931636023394</v>
          </cell>
          <cell r="E962">
            <v>3.7271665914320664</v>
          </cell>
          <cell r="F962">
            <v>3.6731498953806558</v>
          </cell>
          <cell r="G962">
            <v>2.6166353173623706</v>
          </cell>
          <cell r="H962">
            <v>1.2234636750205252</v>
          </cell>
          <cell r="I962">
            <v>0.74712549608366041</v>
          </cell>
          <cell r="J962">
            <v>0.48930884165860955</v>
          </cell>
          <cell r="K962">
            <v>1.8230786035937037</v>
          </cell>
          <cell r="L962">
            <v>1.338022282597424</v>
          </cell>
          <cell r="M962">
            <v>0.74068707474331807</v>
          </cell>
          <cell r="N962">
            <v>0.59687758182393602</v>
          </cell>
          <cell r="O962">
            <v>0.22391019769344278</v>
          </cell>
        </row>
        <row r="963">
          <cell r="A963" t="str">
            <v>RHES-SHDEM</v>
          </cell>
          <cell r="B963" t="str">
            <v>VAR_fin</v>
          </cell>
          <cell r="C963" t="str">
            <v>RHES-SHELCH</v>
          </cell>
          <cell r="D963">
            <v>9.1342399397055711</v>
          </cell>
          <cell r="E963">
            <v>10.275674338368935</v>
          </cell>
          <cell r="F963">
            <v>10.26140078765363</v>
          </cell>
          <cell r="G963">
            <v>12.897973754683385</v>
          </cell>
          <cell r="H963">
            <v>20.372619067976149</v>
          </cell>
          <cell r="I963">
            <v>27.027905467552355</v>
          </cell>
          <cell r="J963">
            <v>26.993901766405909</v>
          </cell>
          <cell r="K963">
            <v>30.919308599132172</v>
          </cell>
          <cell r="L963">
            <v>30.918750322318409</v>
          </cell>
          <cell r="M963">
            <v>30.916614612872127</v>
          </cell>
          <cell r="N963">
            <v>30.915756697175674</v>
          </cell>
          <cell r="O963">
            <v>30.870365696975639</v>
          </cell>
        </row>
        <row r="964">
          <cell r="A964" t="str">
            <v>RHES-SHDEM</v>
          </cell>
          <cell r="B964" t="str">
            <v>VAR_fin</v>
          </cell>
          <cell r="C964" t="str">
            <v>RHES-SHNST</v>
          </cell>
          <cell r="D964">
            <v>1.4350395121023773E-2</v>
          </cell>
          <cell r="E964">
            <v>2.5434134597512534E-4</v>
          </cell>
          <cell r="F964">
            <v>3.1035729845596133E-3</v>
          </cell>
          <cell r="G964">
            <v>8.7645211682947696E-3</v>
          </cell>
          <cell r="H964">
            <v>4.4497632221863464E-3</v>
          </cell>
          <cell r="I964">
            <v>1.8986015985186608E-3</v>
          </cell>
          <cell r="J964">
            <v>1.3717066481437092E-2</v>
          </cell>
          <cell r="K964">
            <v>2.2252372822327872E-3</v>
          </cell>
          <cell r="L964">
            <v>9.3596714791470555E-4</v>
          </cell>
          <cell r="M964">
            <v>2.2258136393338221E-3</v>
          </cell>
          <cell r="N964">
            <v>3.8386964082586681E-3</v>
          </cell>
          <cell r="O964">
            <v>7.9859742608418115E-3</v>
          </cell>
        </row>
        <row r="965">
          <cell r="A965" t="str">
            <v>D-RHEM_LTH_CHPNGA</v>
          </cell>
          <cell r="B965" t="str">
            <v>VAR_fout</v>
          </cell>
          <cell r="C965" t="str">
            <v>RHSA_LTH</v>
          </cell>
          <cell r="D965">
            <v>3.6942210099623562E-3</v>
          </cell>
          <cell r="E965">
            <v>3.9286235485176138E-2</v>
          </cell>
          <cell r="F965">
            <v>3.6688217626469001E-3</v>
          </cell>
          <cell r="G965">
            <v>5.2900820812416425E-4</v>
          </cell>
          <cell r="H965">
            <v>8.0862622693901273E-4</v>
          </cell>
          <cell r="I965">
            <v>6.8099692215214816E-4</v>
          </cell>
          <cell r="J965">
            <v>2.1266899956648513E-5</v>
          </cell>
          <cell r="K965">
            <v>1.4614127283310198E-5</v>
          </cell>
          <cell r="L965">
            <v>3.5647022288733582E-4</v>
          </cell>
          <cell r="M965">
            <v>3.6223909755062566E-4</v>
          </cell>
          <cell r="N965">
            <v>2.5097290666072607E-4</v>
          </cell>
          <cell r="O965">
            <v>2.076883863014029E-3</v>
          </cell>
        </row>
        <row r="966">
          <cell r="A966" t="str">
            <v>D-RHEM_LTH_CHPNGA</v>
          </cell>
          <cell r="B966" t="str">
            <v>VAR_fout</v>
          </cell>
          <cell r="C966" t="str">
            <v>RHEM_LTH_CHPNGA_ON</v>
          </cell>
          <cell r="D966">
            <v>4.6953578731343981E-2</v>
          </cell>
          <cell r="E966">
            <v>3.0608138325757955E-2</v>
          </cell>
          <cell r="F966">
            <v>0.2696256908127338</v>
          </cell>
          <cell r="G966">
            <v>0.26701620812048532</v>
          </cell>
          <cell r="H966">
            <v>0.25943806296030586</v>
          </cell>
          <cell r="I966">
            <v>0.11238981620195285</v>
          </cell>
          <cell r="J966">
            <v>5.2910608426170339E-6</v>
          </cell>
          <cell r="K966">
            <v>9.1237210895641893E-6</v>
          </cell>
          <cell r="L966">
            <v>2.6389638282952762E-2</v>
          </cell>
          <cell r="M966">
            <v>0.16616390302618608</v>
          </cell>
          <cell r="N966">
            <v>0.24217896559288563</v>
          </cell>
          <cell r="O966">
            <v>0.41415767111776247</v>
          </cell>
        </row>
        <row r="967">
          <cell r="A967" t="str">
            <v>D-RHEM_LTH_CHPNGA</v>
          </cell>
          <cell r="B967" t="str">
            <v>VAR_fout</v>
          </cell>
          <cell r="C967" t="str">
            <v>LTH</v>
          </cell>
          <cell r="E967">
            <v>2.7612312022809279E-5</v>
          </cell>
          <cell r="F967">
            <v>1.0936863298458383E-4</v>
          </cell>
          <cell r="G967">
            <v>2.5510630908065376E-4</v>
          </cell>
          <cell r="H967">
            <v>3.302508943938928E-4</v>
          </cell>
          <cell r="I967">
            <v>1.6053759244536459E-4</v>
          </cell>
          <cell r="J967">
            <v>1.424896624325212E-5</v>
          </cell>
          <cell r="K967">
            <v>1.3724806847646037E-5</v>
          </cell>
          <cell r="L967">
            <v>7.9204395798749958E-5</v>
          </cell>
          <cell r="M967">
            <v>2.3720596153784852E-4</v>
          </cell>
          <cell r="N967">
            <v>2.4327554467545273E-4</v>
          </cell>
          <cell r="O967">
            <v>8.1184403634931553E-4</v>
          </cell>
        </row>
        <row r="968">
          <cell r="A968" t="str">
            <v>D-RHEM_LTH_CHPNGA</v>
          </cell>
          <cell r="B968" t="str">
            <v>VAR_fin</v>
          </cell>
          <cell r="C968" t="str">
            <v>RHEM_LTH_CHPNGA</v>
          </cell>
          <cell r="D968">
            <v>5.0647799741306315E-2</v>
          </cell>
          <cell r="E968">
            <v>6.9921986122956831E-2</v>
          </cell>
          <cell r="F968">
            <v>0.2734038812083649</v>
          </cell>
          <cell r="G968">
            <v>0.26780032263769027</v>
          </cell>
          <cell r="H968">
            <v>0.26057694008163879</v>
          </cell>
          <cell r="I968">
            <v>0.11323135071655037</v>
          </cell>
          <cell r="J968">
            <v>4.080692704251765E-5</v>
          </cell>
          <cell r="K968">
            <v>3.7462655220520379E-5</v>
          </cell>
          <cell r="L968">
            <v>2.6825312901638823E-2</v>
          </cell>
          <cell r="M968">
            <v>0.16676334808527452</v>
          </cell>
          <cell r="N968">
            <v>0.24267321404422182</v>
          </cell>
          <cell r="O968">
            <v>0.41704639901712581</v>
          </cell>
        </row>
        <row r="969">
          <cell r="A969" t="str">
            <v>RHEM-SHLTHCHPNGA</v>
          </cell>
          <cell r="B969" t="str">
            <v>VAR_fout</v>
          </cell>
          <cell r="C969" t="str">
            <v>RHEM-SHLTHC-NGA</v>
          </cell>
          <cell r="D969">
            <v>4.5943060920950234E-2</v>
          </cell>
          <cell r="E969">
            <v>1.0402152629182945E-3</v>
          </cell>
          <cell r="F969">
            <v>0.26692943390460627</v>
          </cell>
          <cell r="G969">
            <v>0.26382317690178275</v>
          </cell>
          <cell r="H969">
            <v>0.2564698923655605</v>
          </cell>
          <cell r="I969">
            <v>0.1112659180399333</v>
          </cell>
          <cell r="L969">
            <v>2.5702518859314398E-2</v>
          </cell>
          <cell r="M969">
            <v>0.16408203447813352</v>
          </cell>
          <cell r="N969">
            <v>0.23886567210383139</v>
          </cell>
          <cell r="O969">
            <v>0.41001609440658482</v>
          </cell>
        </row>
        <row r="970">
          <cell r="A970" t="str">
            <v>RHEM-SHLTHCHPNGA</v>
          </cell>
          <cell r="B970" t="str">
            <v>VAR_fin</v>
          </cell>
          <cell r="C970" t="str">
            <v>RHEM_LTH_CHPNGA_ON</v>
          </cell>
          <cell r="D970">
            <v>4.6407132243384101E-2</v>
          </cell>
          <cell r="E970">
            <v>1.0507224877962581E-3</v>
          </cell>
          <cell r="F970">
            <v>0.2696256908127338</v>
          </cell>
          <cell r="G970">
            <v>0.26648805747654819</v>
          </cell>
          <cell r="H970">
            <v>0.25906049733894976</v>
          </cell>
          <cell r="I970">
            <v>0.11238981620195281</v>
          </cell>
          <cell r="L970">
            <v>2.5962140261933726E-2</v>
          </cell>
          <cell r="M970">
            <v>0.16573942876579101</v>
          </cell>
          <cell r="N970">
            <v>0.24127845667053674</v>
          </cell>
          <cell r="O970">
            <v>0.41415767111776247</v>
          </cell>
        </row>
        <row r="971">
          <cell r="A971" t="str">
            <v>RHEM-SHLTHCHPNGA</v>
          </cell>
          <cell r="B971" t="str">
            <v>VAR_fin</v>
          </cell>
          <cell r="C971" t="str">
            <v>RHEMLTHCHPC</v>
          </cell>
          <cell r="D971">
            <v>4.5943060920950234E-2</v>
          </cell>
          <cell r="E971">
            <v>1.0402152629182945E-3</v>
          </cell>
          <cell r="F971">
            <v>0.26692943390460627</v>
          </cell>
          <cell r="G971">
            <v>0.26382317690178275</v>
          </cell>
          <cell r="H971">
            <v>0.2564698923655605</v>
          </cell>
          <cell r="I971">
            <v>0.1112659180399333</v>
          </cell>
          <cell r="L971">
            <v>2.5702518859314398E-2</v>
          </cell>
          <cell r="M971">
            <v>0.16408203447813352</v>
          </cell>
          <cell r="N971">
            <v>0.23886567210383139</v>
          </cell>
          <cell r="O971">
            <v>0.41001609440658482</v>
          </cell>
        </row>
        <row r="972">
          <cell r="A972" t="str">
            <v>RHEM-SHLTHCHPNGA</v>
          </cell>
          <cell r="B972" t="str">
            <v>VAR_ncap</v>
          </cell>
          <cell r="C972" t="str">
            <v>-</v>
          </cell>
          <cell r="D972">
            <v>2.3470098422600701E-6</v>
          </cell>
          <cell r="E972">
            <v>8.1209260087688597E-5</v>
          </cell>
          <cell r="F972">
            <v>2.07412148072884E-2</v>
          </cell>
          <cell r="G972">
            <v>1.33279883366658E-2</v>
          </cell>
          <cell r="H972">
            <v>1.11087117230226E-2</v>
          </cell>
          <cell r="I972">
            <v>5.4940978633375298E-3</v>
          </cell>
          <cell r="J972">
            <v>2.32973187137755E-7</v>
          </cell>
          <cell r="K972">
            <v>3.1064610043295002E-7</v>
          </cell>
          <cell r="L972">
            <v>2.4508122657265099E-3</v>
          </cell>
          <cell r="M972">
            <v>1.1668781726484299E-2</v>
          </cell>
          <cell r="N972">
            <v>1.32213232860596E-2</v>
          </cell>
          <cell r="O972">
            <v>2.3942694148462298E-2</v>
          </cell>
        </row>
        <row r="973">
          <cell r="A973" t="str">
            <v>RHEM-SHLTHCHPNGA</v>
          </cell>
          <cell r="B973" t="str">
            <v>VAR_cap</v>
          </cell>
          <cell r="C973" t="str">
            <v>-</v>
          </cell>
          <cell r="D973">
            <v>6.8005480083909902E-3</v>
          </cell>
          <cell r="E973">
            <v>1.2307986675260795E-4</v>
          </cell>
          <cell r="F973">
            <v>2.0823637187614479E-2</v>
          </cell>
          <cell r="G973">
            <v>2.0250305417145325E-2</v>
          </cell>
          <cell r="H973">
            <v>1.9653658113833586E-2</v>
          </cell>
          <cell r="I973">
            <v>8.5218807107559982E-3</v>
          </cell>
          <cell r="K973">
            <v>1.9949319973733282E-17</v>
          </cell>
          <cell r="L973">
            <v>2.4508648356836521E-3</v>
          </cell>
          <cell r="M973">
            <v>1.285286851004124E-2</v>
          </cell>
          <cell r="N973">
            <v>1.8545226610859042E-2</v>
          </cell>
          <cell r="O973">
            <v>3.2033238941738096E-2</v>
          </cell>
        </row>
        <row r="974">
          <cell r="A974" t="str">
            <v>D-RHES_SOLELC</v>
          </cell>
          <cell r="B974" t="str">
            <v>VAR_fout</v>
          </cell>
          <cell r="C974" t="str">
            <v>RHES_ELC</v>
          </cell>
          <cell r="D974">
            <v>1.4930150409617393</v>
          </cell>
          <cell r="E974">
            <v>1.5200434570619452</v>
          </cell>
          <cell r="F974">
            <v>3.7211816585734843</v>
          </cell>
          <cell r="G974">
            <v>5.9336990514786843</v>
          </cell>
          <cell r="H974">
            <v>6.9820973094160248</v>
          </cell>
          <cell r="I974">
            <v>10.096835699747718</v>
          </cell>
          <cell r="J974">
            <v>15.600030110459334</v>
          </cell>
          <cell r="K974">
            <v>18.763803836546415</v>
          </cell>
          <cell r="L974">
            <v>18.591586394172907</v>
          </cell>
          <cell r="M974">
            <v>19.356049843825613</v>
          </cell>
          <cell r="N974">
            <v>19.168701775274187</v>
          </cell>
          <cell r="O974">
            <v>19.727612785135172</v>
          </cell>
        </row>
        <row r="975">
          <cell r="A975" t="str">
            <v>D-RHES_SOLELC</v>
          </cell>
          <cell r="B975" t="str">
            <v>VAR_fout</v>
          </cell>
          <cell r="C975" t="str">
            <v>ELC5</v>
          </cell>
          <cell r="D975">
            <v>0.64192404777292167</v>
          </cell>
          <cell r="E975">
            <v>1.870654131074549</v>
          </cell>
          <cell r="F975">
            <v>6.8703679855837496</v>
          </cell>
          <cell r="G975">
            <v>12.960436512993745</v>
          </cell>
          <cell r="H975">
            <v>12.860320807751719</v>
          </cell>
          <cell r="I975">
            <v>10.655889592991635</v>
          </cell>
          <cell r="J975">
            <v>18.355396547351784</v>
          </cell>
          <cell r="K975">
            <v>19.076047635237664</v>
          </cell>
          <cell r="L975">
            <v>20.5542906113435</v>
          </cell>
          <cell r="M975">
            <v>21.849068600904758</v>
          </cell>
          <cell r="N975">
            <v>24.206768189263109</v>
          </cell>
          <cell r="O975">
            <v>25.863146100105503</v>
          </cell>
        </row>
        <row r="976">
          <cell r="A976" t="str">
            <v>D-RHES_SOLELC</v>
          </cell>
          <cell r="B976" t="str">
            <v>VAR_fin</v>
          </cell>
          <cell r="C976" t="str">
            <v>RHES_SOL_ELC</v>
          </cell>
          <cell r="D976">
            <v>2.1349390887346629</v>
          </cell>
          <cell r="E976">
            <v>3.390665317883228</v>
          </cell>
          <cell r="F976">
            <v>10.591549644157237</v>
          </cell>
          <cell r="G976">
            <v>18.894135564472425</v>
          </cell>
          <cell r="H976">
            <v>19.842418117167739</v>
          </cell>
          <cell r="I976">
            <v>20.752725292739356</v>
          </cell>
          <cell r="J976">
            <v>33.955426657811088</v>
          </cell>
          <cell r="K976">
            <v>37.839851471784087</v>
          </cell>
          <cell r="L976">
            <v>39.14587700551639</v>
          </cell>
          <cell r="M976">
            <v>41.205118444730353</v>
          </cell>
          <cell r="N976">
            <v>43.375469964537331</v>
          </cell>
          <cell r="O976">
            <v>45.590758885240646</v>
          </cell>
        </row>
        <row r="977">
          <cell r="A977" t="str">
            <v>RHNM-SHCONBR1</v>
          </cell>
          <cell r="B977" t="str">
            <v>VAR_ncap</v>
          </cell>
          <cell r="C977" t="str">
            <v>-</v>
          </cell>
          <cell r="F977">
            <v>8.9286136997351901E-8</v>
          </cell>
          <cell r="G977">
            <v>1.25373393355377E-7</v>
          </cell>
          <cell r="H977">
            <v>1.09434666404627E-7</v>
          </cell>
        </row>
        <row r="978">
          <cell r="A978" t="str">
            <v>RHNM-SHCONBR1</v>
          </cell>
          <cell r="B978" t="str">
            <v>VAR_cap</v>
          </cell>
          <cell r="C978" t="str">
            <v>-</v>
          </cell>
          <cell r="F978">
            <v>8.9286136997351901E-8</v>
          </cell>
          <cell r="G978">
            <v>2.1465953035272901E-7</v>
          </cell>
          <cell r="H978">
            <v>3.2409419675735499E-7</v>
          </cell>
          <cell r="I978">
            <v>3.2409419675735499E-7</v>
          </cell>
          <cell r="J978">
            <v>3.2409419675735499E-7</v>
          </cell>
          <cell r="K978">
            <v>3.2409419675735499E-7</v>
          </cell>
          <cell r="L978">
            <v>2.28273715578935E-7</v>
          </cell>
          <cell r="M978">
            <v>1.09434666404627E-7</v>
          </cell>
          <cell r="N978">
            <v>1.93832785850212E-8</v>
          </cell>
        </row>
        <row r="979">
          <cell r="A979" t="str">
            <v>D-DH2</v>
          </cell>
          <cell r="B979" t="str">
            <v>VAR_fout</v>
          </cell>
          <cell r="C979" t="str">
            <v>H2</v>
          </cell>
          <cell r="G979">
            <v>6.9225856697878245E-6</v>
          </cell>
          <cell r="H979">
            <v>9.8654039906978636E-5</v>
          </cell>
          <cell r="I979">
            <v>2.5909531798758878</v>
          </cell>
          <cell r="J979">
            <v>3.4795729954695087</v>
          </cell>
          <cell r="K979">
            <v>3.5777515530430493</v>
          </cell>
          <cell r="L979">
            <v>3.5777538155927866</v>
          </cell>
          <cell r="M979">
            <v>3.5777559166230746</v>
          </cell>
          <cell r="N979">
            <v>3.5777578275145361</v>
          </cell>
          <cell r="O979">
            <v>3.5777693942707889</v>
          </cell>
        </row>
        <row r="980">
          <cell r="A980" t="str">
            <v>D-DH2</v>
          </cell>
          <cell r="B980" t="str">
            <v>VAR_fin</v>
          </cell>
          <cell r="C980" t="str">
            <v>H2_E</v>
          </cell>
          <cell r="G980">
            <v>6.9925107775634599E-6</v>
          </cell>
          <cell r="H980">
            <v>9.9650545360584528E-5</v>
          </cell>
          <cell r="I980">
            <v>2.6171244241170579</v>
          </cell>
          <cell r="J980">
            <v>3.5147201974439506</v>
          </cell>
          <cell r="K980">
            <v>3.6138904576192439</v>
          </cell>
          <cell r="L980">
            <v>3.6138927430230163</v>
          </cell>
          <cell r="M980">
            <v>3.6138948652758325</v>
          </cell>
          <cell r="N980">
            <v>3.6138967954692265</v>
          </cell>
          <cell r="O980">
            <v>3.6139084790614033</v>
          </cell>
        </row>
        <row r="981">
          <cell r="A981" t="str">
            <v>D-DH2</v>
          </cell>
          <cell r="B981" t="str">
            <v>VAR_ncap</v>
          </cell>
          <cell r="C981" t="str">
            <v>-</v>
          </cell>
          <cell r="G981">
            <v>1.4419896392701601E-4</v>
          </cell>
          <cell r="H981">
            <v>1.4033975414049101E-4</v>
          </cell>
          <cell r="I981">
            <v>0.34779528990701603</v>
          </cell>
          <cell r="J981">
            <v>0.119336072072787</v>
          </cell>
          <cell r="K981">
            <v>1.32631118688286E-2</v>
          </cell>
          <cell r="L981">
            <v>2.49291960471336E-5</v>
          </cell>
          <cell r="M981">
            <v>1.3921532529462101E-4</v>
          </cell>
          <cell r="N981">
            <v>5.5764640197460003E-5</v>
          </cell>
          <cell r="O981">
            <v>6.2862329608354898E-4</v>
          </cell>
        </row>
        <row r="982">
          <cell r="A982" t="str">
            <v>D-DH2</v>
          </cell>
          <cell r="B982" t="str">
            <v>VAR_cap</v>
          </cell>
          <cell r="C982" t="str">
            <v>-</v>
          </cell>
          <cell r="G982">
            <v>1.4419896392701601E-4</v>
          </cell>
          <cell r="H982">
            <v>2.8453871806750799E-4</v>
          </cell>
          <cell r="I982">
            <v>0.34807982862508302</v>
          </cell>
          <cell r="J982">
            <v>0.46741590069786998</v>
          </cell>
          <cell r="K982">
            <v>0.48067901256669898</v>
          </cell>
          <cell r="L982">
            <v>0.480703941762746</v>
          </cell>
          <cell r="M982">
            <v>0.48084315708803999</v>
          </cell>
          <cell r="N982">
            <v>0.48085320868254</v>
          </cell>
          <cell r="O982">
            <v>0.48138334606039401</v>
          </cell>
        </row>
        <row r="983">
          <cell r="A983" t="str">
            <v>ITOT-SWHHFOBR</v>
          </cell>
          <cell r="B983" t="str">
            <v>VAR_fout</v>
          </cell>
          <cell r="C983" t="str">
            <v>ITOT-SWH</v>
          </cell>
          <cell r="D983">
            <v>1.8458496681065271</v>
          </cell>
          <cell r="E983">
            <v>1.8458454030595342</v>
          </cell>
          <cell r="F983">
            <v>5.5337682947594171E-3</v>
          </cell>
          <cell r="G983">
            <v>1.2167794219554299E-3</v>
          </cell>
          <cell r="H983">
            <v>1.6112260599339221E-3</v>
          </cell>
          <cell r="I983">
            <v>3.3445944942656985E-3</v>
          </cell>
          <cell r="J983">
            <v>1.5278326967061026E-3</v>
          </cell>
        </row>
        <row r="984">
          <cell r="A984" t="str">
            <v>ITOT-SWHHFOBR</v>
          </cell>
          <cell r="B984" t="str">
            <v>VAR_fout</v>
          </cell>
          <cell r="C984" t="str">
            <v>CO2_I</v>
          </cell>
          <cell r="D984">
            <v>210.21323637523</v>
          </cell>
          <cell r="E984">
            <v>209.30726166789501</v>
          </cell>
          <cell r="F984">
            <v>0.62346616727422099</v>
          </cell>
          <cell r="G984">
            <v>0.13563809698236401</v>
          </cell>
          <cell r="H984">
            <v>0.17772678895501801</v>
          </cell>
          <cell r="I984">
            <v>0.36510193309722999</v>
          </cell>
          <cell r="J984">
            <v>0.16506970817696401</v>
          </cell>
        </row>
        <row r="985">
          <cell r="A985" t="str">
            <v>ITOT-SWHHFOBR</v>
          </cell>
          <cell r="B985" t="str">
            <v>VAR_fin</v>
          </cell>
          <cell r="C985" t="str">
            <v>IHFO</v>
          </cell>
          <cell r="D985">
            <v>2.730042030847148</v>
          </cell>
          <cell r="E985">
            <v>2.7182761255570789</v>
          </cell>
          <cell r="F985">
            <v>8.0969632113535254E-3</v>
          </cell>
          <cell r="G985">
            <v>1.7615337270436907E-3</v>
          </cell>
          <cell r="H985">
            <v>2.3081401162989307E-3</v>
          </cell>
          <cell r="I985">
            <v>4.741583546717278E-3</v>
          </cell>
          <cell r="J985">
            <v>2.1437624438566749E-3</v>
          </cell>
        </row>
        <row r="986">
          <cell r="A986" t="str">
            <v>ITOT-SWHHFOBR</v>
          </cell>
          <cell r="B986" t="str">
            <v>VAR_ncap</v>
          </cell>
          <cell r="C986" t="str">
            <v>-</v>
          </cell>
          <cell r="D986">
            <v>3.2761485234117501E-3</v>
          </cell>
          <cell r="E986">
            <v>1.03454802248193E-4</v>
          </cell>
          <cell r="F986">
            <v>5.4921251879726899E-5</v>
          </cell>
          <cell r="G986">
            <v>3.5031667553319199E-5</v>
          </cell>
          <cell r="H986">
            <v>1.0526159159327299E-4</v>
          </cell>
          <cell r="I986">
            <v>2.12969379971431E-4</v>
          </cell>
          <cell r="J986">
            <v>4.1225835637120697E-5</v>
          </cell>
          <cell r="K986">
            <v>2.1101209663416101E-7</v>
          </cell>
          <cell r="L986">
            <v>2.53183987903893E-7</v>
          </cell>
          <cell r="M986">
            <v>2.64255099307376E-7</v>
          </cell>
          <cell r="N986">
            <v>1.8899969106092899E-7</v>
          </cell>
          <cell r="O986">
            <v>1.4129585199941E-7</v>
          </cell>
        </row>
        <row r="987">
          <cell r="A987" t="str">
            <v>ITOT-SWHHFOBR</v>
          </cell>
          <cell r="B987" t="str">
            <v>VAR_cap</v>
          </cell>
          <cell r="C987" t="str">
            <v>-</v>
          </cell>
          <cell r="D987">
            <v>0.10399314852341175</v>
          </cell>
          <cell r="E987">
            <v>0.1040704756040793</v>
          </cell>
          <cell r="F987">
            <v>5.2200661399667836E-4</v>
          </cell>
          <cell r="G987">
            <v>1.1284545148598779E-4</v>
          </cell>
          <cell r="H987">
            <v>1.5017781278888961E-4</v>
          </cell>
          <cell r="I987">
            <v>3.1369160987088015E-4</v>
          </cell>
          <cell r="J987">
            <v>1.4208971636083499E-4</v>
          </cell>
          <cell r="K987">
            <v>5.6797060944983793E-8</v>
          </cell>
          <cell r="L987">
            <v>4.5942715436601334E-8</v>
          </cell>
          <cell r="M987">
            <v>5.7211663936475939E-8</v>
          </cell>
          <cell r="N987">
            <v>5.3152296317841001E-8</v>
          </cell>
          <cell r="O987">
            <v>6.7038196094882001E-8</v>
          </cell>
        </row>
        <row r="988">
          <cell r="A988" t="str">
            <v>RHSA-WHSTG-ELCHP</v>
          </cell>
          <cell r="B988" t="str">
            <v>VAR_fout</v>
          </cell>
          <cell r="C988" t="str">
            <v>RHSA-WHAELCH</v>
          </cell>
          <cell r="F988">
            <v>0.90841928089333102</v>
          </cell>
          <cell r="G988">
            <v>1.2347912318795486</v>
          </cell>
          <cell r="H988">
            <v>2.1883284115103243</v>
          </cell>
          <cell r="I988">
            <v>2.4151900925262022</v>
          </cell>
          <cell r="J988">
            <v>2.4684409951324078</v>
          </cell>
          <cell r="K988">
            <v>2.4999872040494049</v>
          </cell>
          <cell r="L988">
            <v>2.6463222465927001</v>
          </cell>
          <cell r="M988">
            <v>2.7701430432282779</v>
          </cell>
          <cell r="N988">
            <v>2.5805252947048722</v>
          </cell>
          <cell r="O988">
            <v>2.5384945948731237</v>
          </cell>
        </row>
        <row r="989">
          <cell r="A989" t="str">
            <v>RHSA-WHSTG-ELCHP</v>
          </cell>
          <cell r="B989" t="str">
            <v>VAR_fin</v>
          </cell>
          <cell r="C989" t="str">
            <v>RHSA-WHAELCH</v>
          </cell>
          <cell r="F989">
            <v>0.90845249058168587</v>
          </cell>
          <cell r="G989">
            <v>1.2348459779158476</v>
          </cell>
          <cell r="H989">
            <v>2.188407036846582</v>
          </cell>
          <cell r="I989">
            <v>2.4152900841271037</v>
          </cell>
          <cell r="J989">
            <v>2.4685351603341212</v>
          </cell>
          <cell r="K989">
            <v>2.5000877099551171</v>
          </cell>
          <cell r="L989">
            <v>2.6464263090638456</v>
          </cell>
          <cell r="M989">
            <v>2.7702602623546504</v>
          </cell>
          <cell r="N989">
            <v>2.5806372133502777</v>
          </cell>
          <cell r="O989">
            <v>2.5386085880245792</v>
          </cell>
        </row>
        <row r="990">
          <cell r="A990" t="str">
            <v>RHSA-WHSTG-ELCHP</v>
          </cell>
          <cell r="B990" t="str">
            <v>VAR_ncap</v>
          </cell>
          <cell r="C990" t="str">
            <v>-</v>
          </cell>
          <cell r="D990">
            <v>2.2893549796432999E-2</v>
          </cell>
          <cell r="E990">
            <v>3.5272352525826299E-2</v>
          </cell>
          <cell r="F990">
            <v>2.3875942053130698E-2</v>
          </cell>
          <cell r="G990">
            <v>4.9580832911997497E-2</v>
          </cell>
          <cell r="H990">
            <v>0.111948304416343</v>
          </cell>
          <cell r="I990">
            <v>0.12180877377152</v>
          </cell>
          <cell r="J990">
            <v>3.2096463101885297E-2</v>
          </cell>
          <cell r="K990">
            <v>0.113621874007415</v>
          </cell>
          <cell r="L990">
            <v>0.13483655531147101</v>
          </cell>
          <cell r="M990">
            <v>7.7764926970380094E-2</v>
          </cell>
          <cell r="N990">
            <v>0.11363059018011901</v>
          </cell>
          <cell r="O990">
            <v>0.116083390813509</v>
          </cell>
        </row>
        <row r="991">
          <cell r="A991" t="str">
            <v>RHSA-WHSTG-ELCHP</v>
          </cell>
          <cell r="B991" t="str">
            <v>VAR_cap</v>
          </cell>
          <cell r="C991" t="str">
            <v>-</v>
          </cell>
          <cell r="D991">
            <v>2.2894789325836086E-2</v>
          </cell>
          <cell r="E991">
            <v>5.7919231614888878E-2</v>
          </cell>
          <cell r="F991">
            <v>8.1720116636878809E-2</v>
          </cell>
          <cell r="G991">
            <v>0.13120895133851437</v>
          </cell>
          <cell r="H991">
            <v>0.20884782007028582</v>
          </cell>
          <cell r="I991">
            <v>0.27860016894660078</v>
          </cell>
          <cell r="J991">
            <v>0.26560527567463454</v>
          </cell>
          <cell r="K991">
            <v>0.26686490261190926</v>
          </cell>
          <cell r="L991">
            <v>0.2940301642937117</v>
          </cell>
          <cell r="M991">
            <v>0.32516483452202732</v>
          </cell>
          <cell r="N991">
            <v>0.30213836014247253</v>
          </cell>
          <cell r="O991">
            <v>0.30630907210415231</v>
          </cell>
        </row>
        <row r="992">
          <cell r="A992" t="str">
            <v>ITOT-SWHSTG-ELCHP</v>
          </cell>
          <cell r="B992" t="str">
            <v>VAR_fout</v>
          </cell>
          <cell r="C992" t="str">
            <v>ITOT-SWHAELCH</v>
          </cell>
          <cell r="D992">
            <v>1.5514745949057597E-5</v>
          </cell>
          <cell r="E992">
            <v>1.7642140243471101E-5</v>
          </cell>
          <cell r="F992">
            <v>8.0032902487542339E-3</v>
          </cell>
          <cell r="G992">
            <v>2.2185778547134968E-3</v>
          </cell>
          <cell r="H992">
            <v>4.8103513683459267E-3</v>
          </cell>
          <cell r="I992">
            <v>7.4299691176905221E-3</v>
          </cell>
          <cell r="J992">
            <v>0.54094296642883655</v>
          </cell>
          <cell r="K992">
            <v>0.28963162736220455</v>
          </cell>
          <cell r="L992">
            <v>0.76080023522543727</v>
          </cell>
          <cell r="M992">
            <v>1.4041813952845672E-2</v>
          </cell>
          <cell r="N992">
            <v>0.9071979240093202</v>
          </cell>
          <cell r="O992">
            <v>1.2263619430266861</v>
          </cell>
        </row>
        <row r="993">
          <cell r="A993" t="str">
            <v>ITOT-SWHSTG-ELCHP</v>
          </cell>
          <cell r="B993" t="str">
            <v>VAR_fin</v>
          </cell>
          <cell r="C993" t="str">
            <v>ITOT-SWHAELCH</v>
          </cell>
          <cell r="D993">
            <v>2.2709094297890445E-5</v>
          </cell>
          <cell r="E993">
            <v>2.4463435150228729E-5</v>
          </cell>
          <cell r="F993">
            <v>1.0347116343876245E-2</v>
          </cell>
          <cell r="G993">
            <v>2.8029300903256683E-3</v>
          </cell>
          <cell r="H993">
            <v>5.8689725655392501E-3</v>
          </cell>
          <cell r="I993">
            <v>8.7885488775371907E-3</v>
          </cell>
          <cell r="J993">
            <v>0.61827885339534727</v>
          </cell>
          <cell r="K993">
            <v>0.32187765951907199</v>
          </cell>
          <cell r="L993">
            <v>0.84540656154794536</v>
          </cell>
          <cell r="M993">
            <v>1.5666890524883868E-2</v>
          </cell>
          <cell r="N993">
            <v>1.0080666601522059</v>
          </cell>
          <cell r="O993">
            <v>1.3626926925822953</v>
          </cell>
        </row>
        <row r="994">
          <cell r="A994" t="str">
            <v>ITOT-SWHSTG-ELCHP</v>
          </cell>
          <cell r="B994" t="str">
            <v>VAR_ncap</v>
          </cell>
          <cell r="C994" t="str">
            <v>-</v>
          </cell>
          <cell r="D994">
            <v>1.9199872880306799E-2</v>
          </cell>
          <cell r="E994">
            <v>1.5176446505628499E-4</v>
          </cell>
          <cell r="F994">
            <v>2.78566282852017E-2</v>
          </cell>
          <cell r="G994">
            <v>3.12082450998977E-2</v>
          </cell>
          <cell r="H994">
            <v>3.2360161124457602E-2</v>
          </cell>
          <cell r="I994">
            <v>5.7666114803134903E-2</v>
          </cell>
          <cell r="J994">
            <v>5.7096133435699602E-2</v>
          </cell>
          <cell r="K994">
            <v>5.7057829294528899E-2</v>
          </cell>
          <cell r="L994">
            <v>5.6386431512919E-2</v>
          </cell>
          <cell r="M994">
            <v>5.7255611882435997E-2</v>
          </cell>
          <cell r="N994">
            <v>6.4410459861937205E-2</v>
          </cell>
          <cell r="O994">
            <v>4.7849784797939401E-2</v>
          </cell>
        </row>
        <row r="995">
          <cell r="A995" t="str">
            <v>ITOT-SWHSTG-ELCHP</v>
          </cell>
          <cell r="B995" t="str">
            <v>VAR_cap</v>
          </cell>
          <cell r="C995" t="str">
            <v>-</v>
          </cell>
          <cell r="D995">
            <v>1.9199872880306799E-2</v>
          </cell>
          <cell r="E995">
            <v>1.8053171756842921E-2</v>
          </cell>
          <cell r="F995">
            <v>4.5851193209848089E-2</v>
          </cell>
          <cell r="G995">
            <v>7.6974839118461827E-2</v>
          </cell>
          <cell r="H995">
            <v>9.5501449816525141E-2</v>
          </cell>
          <cell r="I995">
            <v>0.120780035990876</v>
          </cell>
          <cell r="J995">
            <v>0.14684614813137153</v>
          </cell>
          <cell r="K995">
            <v>0.17111278270640082</v>
          </cell>
          <cell r="L995">
            <v>0.17067285898695836</v>
          </cell>
          <cell r="M995">
            <v>0.16950225117626461</v>
          </cell>
          <cell r="N995">
            <v>0.16867165110732679</v>
          </cell>
          <cell r="O995">
            <v>0.1681972665536641</v>
          </cell>
        </row>
        <row r="996">
          <cell r="A996" t="str">
            <v>D-RHNS_LTH_CHPWOD</v>
          </cell>
          <cell r="B996" t="str">
            <v>VAR_fout</v>
          </cell>
          <cell r="C996" t="str">
            <v>RHNS_LTH_CHPWOD_ON</v>
          </cell>
          <cell r="D996">
            <v>1.3960586894921666E-5</v>
          </cell>
          <cell r="E996">
            <v>3.196515972659508E-6</v>
          </cell>
          <cell r="F996">
            <v>3.797052882593981E-6</v>
          </cell>
          <cell r="G996">
            <v>2.3030972215083122E-3</v>
          </cell>
          <cell r="H996">
            <v>5.4253020594647611E-3</v>
          </cell>
          <cell r="I996">
            <v>1.3542622562496274E-2</v>
          </cell>
          <cell r="J996">
            <v>1.1176613329787886E-2</v>
          </cell>
          <cell r="K996">
            <v>1.918819410993346E-2</v>
          </cell>
          <cell r="L996">
            <v>8.1033439147078397E-3</v>
          </cell>
          <cell r="M996">
            <v>6.6571701833997438E-3</v>
          </cell>
          <cell r="N996">
            <v>5.909428141756894E-3</v>
          </cell>
          <cell r="O996">
            <v>1.0328726072148549E-2</v>
          </cell>
        </row>
        <row r="997">
          <cell r="A997" t="str">
            <v>D-RHNS_LTH_CHPWOD</v>
          </cell>
          <cell r="B997" t="str">
            <v>VAR_fout</v>
          </cell>
          <cell r="C997" t="str">
            <v>RHSA_LTH</v>
          </cell>
          <cell r="D997">
            <v>8.2124227051145672E-6</v>
          </cell>
          <cell r="E997">
            <v>2.6826662180880299E-5</v>
          </cell>
          <cell r="F997">
            <v>2.1056547706349685E-5</v>
          </cell>
          <cell r="G997">
            <v>4.5201598883333602E-4</v>
          </cell>
          <cell r="H997">
            <v>4.7571129488839297E-5</v>
          </cell>
          <cell r="I997">
            <v>6.688734619947652E-4</v>
          </cell>
          <cell r="J997">
            <v>8.7319021526206472E-4</v>
          </cell>
          <cell r="K997">
            <v>6.1989184266292633E-5</v>
          </cell>
          <cell r="L997">
            <v>1.396691436848457E-3</v>
          </cell>
          <cell r="M997">
            <v>2.1771769611537799E-4</v>
          </cell>
          <cell r="N997">
            <v>7.7067928477246681E-4</v>
          </cell>
          <cell r="O997">
            <v>1.4080787972007861E-4</v>
          </cell>
        </row>
        <row r="998">
          <cell r="A998" t="str">
            <v>D-RHNS_LTH_CHPWOD</v>
          </cell>
          <cell r="B998" t="str">
            <v>VAR_fout</v>
          </cell>
          <cell r="C998" t="str">
            <v>LTH</v>
          </cell>
          <cell r="E998">
            <v>1.273852497347064E-5</v>
          </cell>
          <cell r="F998">
            <v>1.3381679964802247E-5</v>
          </cell>
          <cell r="G998">
            <v>2.9541071327418737E-5</v>
          </cell>
          <cell r="H998">
            <v>3.2724356485736493E-5</v>
          </cell>
          <cell r="I998">
            <v>4.8673224116361035E-5</v>
          </cell>
          <cell r="J998">
            <v>5.6564127553005792E-5</v>
          </cell>
          <cell r="K998">
            <v>6.0042451252888882E-5</v>
          </cell>
          <cell r="L998">
            <v>4.8762765905206178E-5</v>
          </cell>
          <cell r="M998">
            <v>4.5527188108318411E-5</v>
          </cell>
          <cell r="N998">
            <v>4.6469501190930248E-5</v>
          </cell>
          <cell r="O998">
            <v>6.4245351732624084E-5</v>
          </cell>
        </row>
        <row r="999">
          <cell r="A999" t="str">
            <v>D-RHNS_LTH_CHPWOD</v>
          </cell>
          <cell r="B999" t="str">
            <v>VAR_fin</v>
          </cell>
          <cell r="C999" t="str">
            <v>RHNS_LTH_CHPWOD</v>
          </cell>
          <cell r="D999">
            <v>2.217300960003624E-5</v>
          </cell>
          <cell r="E999">
            <v>4.2761703127010438E-5</v>
          </cell>
          <cell r="F999">
            <v>3.8235280553745907E-5</v>
          </cell>
          <cell r="G999">
            <v>2.7846542816690667E-3</v>
          </cell>
          <cell r="H999">
            <v>5.5055975454393309E-3</v>
          </cell>
          <cell r="I999">
            <v>1.4260169248607388E-2</v>
          </cell>
          <cell r="J999">
            <v>1.2106367672602961E-2</v>
          </cell>
          <cell r="K999">
            <v>1.9310225745452641E-2</v>
          </cell>
          <cell r="L999">
            <v>9.548798117461503E-3</v>
          </cell>
          <cell r="M999">
            <v>6.9204150676234416E-3</v>
          </cell>
          <cell r="N999">
            <v>6.7265769277202918E-3</v>
          </cell>
          <cell r="O999">
            <v>1.0533779303601245E-2</v>
          </cell>
        </row>
        <row r="1000">
          <cell r="A1000" t="str">
            <v>D-SBIO</v>
          </cell>
          <cell r="B1000" t="str">
            <v>VAR_fout</v>
          </cell>
          <cell r="C1000" t="str">
            <v>SBIO</v>
          </cell>
          <cell r="D1000">
            <v>4.0477954772422784</v>
          </cell>
          <cell r="E1000">
            <v>4.5868582615942541</v>
          </cell>
          <cell r="F1000">
            <v>4.499211398842748</v>
          </cell>
          <cell r="G1000">
            <v>4.4477130670830523</v>
          </cell>
          <cell r="H1000">
            <v>4.6319879401937767</v>
          </cell>
          <cell r="I1000">
            <v>6.5810936664337891</v>
          </cell>
          <cell r="J1000">
            <v>6.5810982642922848</v>
          </cell>
          <cell r="K1000">
            <v>6.5811022951826281</v>
          </cell>
          <cell r="L1000">
            <v>6.5811505377229764</v>
          </cell>
          <cell r="M1000">
            <v>6.5812091136849178</v>
          </cell>
          <cell r="N1000">
            <v>7.5922473308497018</v>
          </cell>
          <cell r="O1000">
            <v>7.5941272185460909</v>
          </cell>
        </row>
        <row r="1001">
          <cell r="A1001" t="str">
            <v>D-SBIO</v>
          </cell>
          <cell r="B1001" t="str">
            <v>VAR_fin</v>
          </cell>
          <cell r="C1001" t="str">
            <v>BIO</v>
          </cell>
          <cell r="D1001">
            <v>4.0477954772422784</v>
          </cell>
          <cell r="E1001">
            <v>4.5868582615942541</v>
          </cell>
          <cell r="F1001">
            <v>4.499211398842748</v>
          </cell>
          <cell r="G1001">
            <v>4.4477130670830523</v>
          </cell>
          <cell r="H1001">
            <v>4.6319879401937767</v>
          </cell>
          <cell r="I1001">
            <v>6.5810936664337891</v>
          </cell>
          <cell r="J1001">
            <v>6.5810982642922848</v>
          </cell>
          <cell r="K1001">
            <v>6.5811022951826281</v>
          </cell>
          <cell r="L1001">
            <v>6.5811505377229764</v>
          </cell>
          <cell r="M1001">
            <v>6.5812091136849178</v>
          </cell>
          <cell r="N1001">
            <v>7.5922473308497018</v>
          </cell>
          <cell r="O1001">
            <v>7.5941272185460909</v>
          </cell>
        </row>
        <row r="1002">
          <cell r="A1002" t="str">
            <v>RHEM-SHDEM</v>
          </cell>
          <cell r="B1002" t="str">
            <v>VAR_fout</v>
          </cell>
          <cell r="C1002" t="str">
            <v>RHEM-SHD</v>
          </cell>
          <cell r="D1002">
            <v>66.986774791699034</v>
          </cell>
          <cell r="E1002">
            <v>66.832236554610816</v>
          </cell>
          <cell r="F1002">
            <v>66.89351301888513</v>
          </cell>
          <cell r="G1002">
            <v>65.75912460796016</v>
          </cell>
          <cell r="H1002">
            <v>65.029824014067131</v>
          </cell>
          <cell r="I1002">
            <v>64.496684553178937</v>
          </cell>
          <cell r="J1002">
            <v>63.191765114852537</v>
          </cell>
          <cell r="K1002">
            <v>62.757584661612597</v>
          </cell>
          <cell r="L1002">
            <v>60.714862081499298</v>
          </cell>
          <cell r="M1002">
            <v>58.670602785372012</v>
          </cell>
          <cell r="N1002">
            <v>58.688826299205019</v>
          </cell>
          <cell r="O1002">
            <v>49.554861160532084</v>
          </cell>
        </row>
        <row r="1003">
          <cell r="A1003" t="str">
            <v>RHEM-SHDEM</v>
          </cell>
          <cell r="B1003" t="str">
            <v>VAR_fin</v>
          </cell>
          <cell r="C1003" t="str">
            <v>RHEM-SHNST</v>
          </cell>
          <cell r="D1003">
            <v>1.0536680246059681E-2</v>
          </cell>
          <cell r="F1003">
            <v>2.6829021449763248E-3</v>
          </cell>
          <cell r="G1003">
            <v>3.117325840858727E-3</v>
          </cell>
          <cell r="H1003">
            <v>5.3057092554776664E-3</v>
          </cell>
          <cell r="I1003">
            <v>3.1127293377425911E-3</v>
          </cell>
          <cell r="J1003">
            <v>9.2789350750429496E-3</v>
          </cell>
          <cell r="K1003">
            <v>2.5386192470551847E-3</v>
          </cell>
          <cell r="L1003">
            <v>2.034281051228794E-3</v>
          </cell>
          <cell r="M1003">
            <v>3.0240734190380442E-3</v>
          </cell>
          <cell r="N1003">
            <v>2.2553979795386534E-3</v>
          </cell>
          <cell r="O1003">
            <v>4.5658168781359018E-2</v>
          </cell>
        </row>
        <row r="1004">
          <cell r="A1004" t="str">
            <v>RHEM-SHDEM</v>
          </cell>
          <cell r="B1004" t="str">
            <v>VAR_fin</v>
          </cell>
          <cell r="C1004" t="str">
            <v>RHEM-SHPLT</v>
          </cell>
          <cell r="D1004">
            <v>1.3966808243843023</v>
          </cell>
          <cell r="E1004">
            <v>1.6075679536011365</v>
          </cell>
          <cell r="F1004">
            <v>1.6038390494794199</v>
          </cell>
          <cell r="G1004">
            <v>1.605187850019326</v>
          </cell>
          <cell r="H1004">
            <v>1.6033732316443139</v>
          </cell>
          <cell r="I1004">
            <v>1.6055409809933425</v>
          </cell>
          <cell r="J1004">
            <v>1.6018189749951119</v>
          </cell>
          <cell r="K1004">
            <v>1.606209849484143</v>
          </cell>
          <cell r="L1004">
            <v>1.6064196510853166</v>
          </cell>
          <cell r="M1004">
            <v>1.6053966693691484</v>
          </cell>
          <cell r="N1004">
            <v>1.6062866612088205</v>
          </cell>
          <cell r="O1004">
            <v>1.5418779286339444</v>
          </cell>
        </row>
        <row r="1005">
          <cell r="A1005" t="str">
            <v>RHEM-SHDEM</v>
          </cell>
          <cell r="B1005" t="str">
            <v>VAR_fin</v>
          </cell>
          <cell r="C1005" t="str">
            <v>RHEM-SHNGAH</v>
          </cell>
          <cell r="E1005">
            <v>5.7662705532227047E-5</v>
          </cell>
          <cell r="F1005">
            <v>1.258486294399935E-2</v>
          </cell>
          <cell r="G1005">
            <v>1.1856711751310924E-2</v>
          </cell>
          <cell r="H1005">
            <v>8.8684497643235896E-2</v>
          </cell>
          <cell r="I1005">
            <v>0.11208164526136578</v>
          </cell>
          <cell r="J1005">
            <v>2.9824359612864524</v>
          </cell>
          <cell r="K1005">
            <v>2.9196990089284158</v>
          </cell>
          <cell r="L1005">
            <v>2.9200325482363931</v>
          </cell>
          <cell r="M1005">
            <v>2.9187032120336629</v>
          </cell>
          <cell r="N1005">
            <v>2.9198364672551964</v>
          </cell>
          <cell r="O1005">
            <v>2.8285363887243875</v>
          </cell>
        </row>
        <row r="1006">
          <cell r="A1006" t="str">
            <v>RHEM-SHDEM</v>
          </cell>
          <cell r="B1006" t="str">
            <v>VAR_fin</v>
          </cell>
          <cell r="C1006" t="str">
            <v>RHEM-SHLTHC-WOD</v>
          </cell>
          <cell r="E1006">
            <v>2.6202197378762967E-4</v>
          </cell>
          <cell r="F1006">
            <v>2.5664415537362305E-3</v>
          </cell>
          <cell r="G1006">
            <v>6.6601449205231774E-3</v>
          </cell>
          <cell r="H1006">
            <v>1.567972975862655E-2</v>
          </cell>
          <cell r="I1006">
            <v>0.15925998118051168</v>
          </cell>
          <cell r="J1006">
            <v>0.301313165651793</v>
          </cell>
          <cell r="K1006">
            <v>0.51691406107871984</v>
          </cell>
          <cell r="L1006">
            <v>0.48572228057866451</v>
          </cell>
          <cell r="M1006">
            <v>0.34135620651956156</v>
          </cell>
          <cell r="N1006">
            <v>0.26380139464551755</v>
          </cell>
          <cell r="O1006">
            <v>0.11875309856641042</v>
          </cell>
        </row>
        <row r="1007">
          <cell r="A1007" t="str">
            <v>RHEM-SHDEM</v>
          </cell>
          <cell r="B1007" t="str">
            <v>VAR_fin</v>
          </cell>
          <cell r="C1007" t="str">
            <v>RHEM-SHSOL</v>
          </cell>
          <cell r="D1007">
            <v>0.4073895495735782</v>
          </cell>
          <cell r="E1007">
            <v>0.47097591488939761</v>
          </cell>
          <cell r="F1007">
            <v>0.46673135043707625</v>
          </cell>
          <cell r="G1007">
            <v>0.46885911725820395</v>
          </cell>
          <cell r="H1007">
            <v>0.41524821029466374</v>
          </cell>
          <cell r="I1007">
            <v>0.95551961251728601</v>
          </cell>
          <cell r="J1007">
            <v>1.5649899711315207</v>
          </cell>
          <cell r="K1007">
            <v>1.6531024282612172</v>
          </cell>
          <cell r="L1007">
            <v>1.3660405781219844</v>
          </cell>
          <cell r="M1007">
            <v>2.5041767359803679E-2</v>
          </cell>
          <cell r="N1007">
            <v>1.4213243654773888</v>
          </cell>
          <cell r="O1007">
            <v>0.10357650741368765</v>
          </cell>
        </row>
        <row r="1008">
          <cell r="A1008" t="str">
            <v>RHEM-SHDEM</v>
          </cell>
          <cell r="B1008" t="str">
            <v>VAR_fin</v>
          </cell>
          <cell r="C1008" t="str">
            <v>RHEM-SHLTHD</v>
          </cell>
          <cell r="D1008">
            <v>2.334940333106537</v>
          </cell>
          <cell r="E1008">
            <v>3.7884734227713883</v>
          </cell>
          <cell r="F1008">
            <v>3.7745038512823323</v>
          </cell>
          <cell r="G1008">
            <v>3.2064749515162889</v>
          </cell>
          <cell r="H1008">
            <v>2.9235427199583279</v>
          </cell>
          <cell r="I1008">
            <v>3.5746168156003999</v>
          </cell>
          <cell r="J1008">
            <v>3.4780366560145093</v>
          </cell>
          <cell r="K1008">
            <v>3.4591852444502704</v>
          </cell>
          <cell r="L1008">
            <v>3.3232386867913837</v>
          </cell>
          <cell r="M1008">
            <v>3.1777895841827557</v>
          </cell>
          <cell r="N1008">
            <v>3.282379163869078</v>
          </cell>
          <cell r="O1008">
            <v>2.1692585535120368</v>
          </cell>
        </row>
        <row r="1009">
          <cell r="A1009" t="str">
            <v>RHEM-SHDEM</v>
          </cell>
          <cell r="B1009" t="str">
            <v>VAR_fin</v>
          </cell>
          <cell r="C1009" t="str">
            <v>RHEM-SHNGA</v>
          </cell>
          <cell r="D1009">
            <v>18.984327303464067</v>
          </cell>
          <cell r="E1009">
            <v>18.858248738775185</v>
          </cell>
          <cell r="F1009">
            <v>19.35390915354429</v>
          </cell>
          <cell r="G1009">
            <v>19.355270881182928</v>
          </cell>
          <cell r="H1009">
            <v>17.516521475359419</v>
          </cell>
          <cell r="I1009">
            <v>11.908391829977843</v>
          </cell>
          <cell r="J1009">
            <v>5.9309166117371772</v>
          </cell>
          <cell r="K1009">
            <v>5.2164092244055063</v>
          </cell>
          <cell r="L1009">
            <v>4.896514415418638</v>
          </cell>
          <cell r="M1009">
            <v>4.7996040483598943</v>
          </cell>
          <cell r="N1009">
            <v>4.8006173686282123</v>
          </cell>
          <cell r="O1009">
            <v>4.1463287558427835</v>
          </cell>
        </row>
        <row r="1010">
          <cell r="A1010" t="str">
            <v>RHEM-SHDEM</v>
          </cell>
          <cell r="B1010" t="str">
            <v>VAR_fin</v>
          </cell>
          <cell r="C1010" t="str">
            <v>RHEM-SHELCB</v>
          </cell>
          <cell r="D1010">
            <v>4.6166145788714266</v>
          </cell>
          <cell r="E1010">
            <v>3.773892559875363</v>
          </cell>
          <cell r="F1010">
            <v>3.197477295413254</v>
          </cell>
          <cell r="G1010">
            <v>2.6292730028000659</v>
          </cell>
          <cell r="H1010">
            <v>1.5172205105057035</v>
          </cell>
          <cell r="I1010">
            <v>0.95474431349891264</v>
          </cell>
          <cell r="J1010">
            <v>0.63737683202549411</v>
          </cell>
          <cell r="K1010">
            <v>0.64019174682349522</v>
          </cell>
          <cell r="L1010">
            <v>0.68440464388202993</v>
          </cell>
          <cell r="M1010">
            <v>0.38644125868266771</v>
          </cell>
          <cell r="N1010">
            <v>0.33379857726621148</v>
          </cell>
          <cell r="O1010">
            <v>0.293360072083102</v>
          </cell>
        </row>
        <row r="1011">
          <cell r="A1011" t="str">
            <v>RHEM-SHDEM</v>
          </cell>
          <cell r="B1011" t="str">
            <v>VAR_fin</v>
          </cell>
          <cell r="C1011" t="str">
            <v>RHEM-SHELCH</v>
          </cell>
          <cell r="D1011">
            <v>9.8887518789236122</v>
          </cell>
          <cell r="E1011">
            <v>11.654931218233454</v>
          </cell>
          <cell r="F1011">
            <v>12.098098961623656</v>
          </cell>
          <cell r="G1011">
            <v>17.681421839500508</v>
          </cell>
          <cell r="H1011">
            <v>24.815435780746874</v>
          </cell>
          <cell r="I1011">
            <v>31.674952863601618</v>
          </cell>
          <cell r="J1011">
            <v>33.273677661907293</v>
          </cell>
          <cell r="K1011">
            <v>33.361197050006808</v>
          </cell>
          <cell r="L1011">
            <v>33.361715797263848</v>
          </cell>
          <cell r="M1011">
            <v>33.360007520809219</v>
          </cell>
          <cell r="N1011">
            <v>33.361518025298416</v>
          </cell>
          <cell r="O1011">
            <v>33.192357569894639</v>
          </cell>
        </row>
        <row r="1012">
          <cell r="A1012" t="str">
            <v>RHEM-SHDEM</v>
          </cell>
          <cell r="B1012" t="str">
            <v>VAR_fin</v>
          </cell>
          <cell r="C1012" t="str">
            <v>RHEM-SHLFO</v>
          </cell>
          <cell r="D1012">
            <v>23.424064250377043</v>
          </cell>
          <cell r="E1012">
            <v>18.604681804308125</v>
          </cell>
          <cell r="F1012">
            <v>19.420390209000207</v>
          </cell>
          <cell r="G1012">
            <v>14.578315926738114</v>
          </cell>
          <cell r="H1012">
            <v>6.0718980407840641</v>
          </cell>
          <cell r="I1012">
            <v>1.2282579793048785E-2</v>
          </cell>
          <cell r="J1012">
            <v>2.0646599247713227E-2</v>
          </cell>
          <cell r="K1012">
            <v>1.0299956005958644E-2</v>
          </cell>
          <cell r="L1012">
            <v>6.7313643517331366E-3</v>
          </cell>
          <cell r="M1012">
            <v>7.7860381539542611E-3</v>
          </cell>
          <cell r="N1012">
            <v>6.9639728607483456E-3</v>
          </cell>
          <cell r="O1012">
            <v>7.4015243868334302E-2</v>
          </cell>
        </row>
        <row r="1013">
          <cell r="A1013" t="str">
            <v>RHEM-SHDEM</v>
          </cell>
          <cell r="B1013" t="str">
            <v>VAR_fin</v>
          </cell>
          <cell r="C1013" t="str">
            <v>RHEM-SHCON</v>
          </cell>
          <cell r="D1013">
            <v>1.1322994114602338</v>
          </cell>
          <cell r="E1013">
            <v>2.634024816086507</v>
          </cell>
          <cell r="F1013">
            <v>2.6340144770950755</v>
          </cell>
          <cell r="G1013">
            <v>2.6343849960806134</v>
          </cell>
          <cell r="H1013">
            <v>7.301326874174551</v>
          </cell>
          <cell r="I1013">
            <v>10.949710795954353</v>
          </cell>
          <cell r="J1013">
            <v>10.949783369627788</v>
          </cell>
          <cell r="K1013">
            <v>10.950094669291005</v>
          </cell>
          <cell r="L1013">
            <v>10.946193226713392</v>
          </cell>
          <cell r="M1013">
            <v>10.946076984992537</v>
          </cell>
          <cell r="N1013">
            <v>9.5299080431431573</v>
          </cell>
          <cell r="O1013">
            <v>3.9374398288074679</v>
          </cell>
        </row>
        <row r="1014">
          <cell r="A1014" t="str">
            <v>RHEM-SHDEM</v>
          </cell>
          <cell r="B1014" t="str">
            <v>VAR_fin</v>
          </cell>
          <cell r="C1014" t="str">
            <v>RHEM-SHWOD</v>
          </cell>
          <cell r="D1014">
            <v>4.7325637146407002</v>
          </cell>
          <cell r="E1014">
            <v>5.4384409290847433</v>
          </cell>
          <cell r="F1014">
            <v>4.0616411919855651</v>
          </cell>
          <cell r="G1014">
            <v>3.3158494021493863</v>
          </cell>
          <cell r="H1014">
            <v>2.4998110760367922</v>
          </cell>
          <cell r="I1014">
            <v>2.4748485690622797</v>
          </cell>
          <cell r="J1014">
            <v>2.4420622359281001</v>
          </cell>
          <cell r="K1014">
            <v>2.4223146643156372</v>
          </cell>
          <cell r="L1014">
            <v>1.0908397058314796</v>
          </cell>
          <cell r="M1014">
            <v>0.93724581050208544</v>
          </cell>
          <cell r="N1014">
            <v>0.92291146320637751</v>
          </cell>
          <cell r="O1014">
            <v>0.70719838755235354</v>
          </cell>
        </row>
        <row r="1015">
          <cell r="A1015" t="str">
            <v>RHEM-SHDEM</v>
          </cell>
          <cell r="B1015" t="str">
            <v>VAR_fin</v>
          </cell>
          <cell r="C1015" t="str">
            <v>RHEM-SHLTHC-NGA</v>
          </cell>
          <cell r="D1015">
            <v>5.9014692093602397E-2</v>
          </cell>
          <cell r="E1015">
            <v>1.1968889891283818E-3</v>
          </cell>
          <cell r="F1015">
            <v>0.26564512439286414</v>
          </cell>
          <cell r="G1015">
            <v>0.26305155032158251</v>
          </cell>
          <cell r="H1015">
            <v>0.25637525155416258</v>
          </cell>
          <cell r="I1015">
            <v>0.11222093116747307</v>
          </cell>
          <cell r="L1015">
            <v>2.5574004872067069E-2</v>
          </cell>
          <cell r="M1015">
            <v>0.16272871797385158</v>
          </cell>
          <cell r="N1015">
            <v>0.23782450531447505</v>
          </cell>
          <cell r="O1015">
            <v>0.3970997829562366</v>
          </cell>
        </row>
        <row r="1016">
          <cell r="A1016" t="str">
            <v>ITOT-SWHH2BR</v>
          </cell>
          <cell r="B1016" t="str">
            <v>VAR_fout</v>
          </cell>
          <cell r="C1016" t="str">
            <v>ITOT-SWH</v>
          </cell>
          <cell r="H1016">
            <v>3.5725966477644655</v>
          </cell>
          <cell r="I1016">
            <v>6.3233570303193671</v>
          </cell>
          <cell r="J1016">
            <v>6.3234492112092227</v>
          </cell>
          <cell r="K1016">
            <v>7.0025766992111143</v>
          </cell>
          <cell r="L1016">
            <v>7.5801428304661282</v>
          </cell>
          <cell r="M1016">
            <v>7.6554716904278974</v>
          </cell>
          <cell r="N1016">
            <v>7.655479111244345</v>
          </cell>
          <cell r="O1016">
            <v>7.6556030809841138</v>
          </cell>
        </row>
        <row r="1017">
          <cell r="A1017" t="str">
            <v>ITOT-SWHH2BR</v>
          </cell>
          <cell r="B1017" t="str">
            <v>VAR_fin</v>
          </cell>
          <cell r="C1017" t="str">
            <v>IH2</v>
          </cell>
          <cell r="H1017">
            <v>4.4282996068409464</v>
          </cell>
          <cell r="I1017">
            <v>7.8208412721969607</v>
          </cell>
          <cell r="J1017">
            <v>7.8039525905580351</v>
          </cell>
          <cell r="K1017">
            <v>8.6233365132577386</v>
          </cell>
          <cell r="L1017">
            <v>9.3305333338184191</v>
          </cell>
          <cell r="M1017">
            <v>9.4191721900678846</v>
          </cell>
          <cell r="N1017">
            <v>9.4151000721034777</v>
          </cell>
          <cell r="O1017">
            <v>9.4111747571880802</v>
          </cell>
        </row>
        <row r="1018">
          <cell r="A1018" t="str">
            <v>ITOT-SWHH2BR</v>
          </cell>
          <cell r="B1018" t="str">
            <v>VAR_ncap</v>
          </cell>
          <cell r="C1018" t="str">
            <v>-</v>
          </cell>
          <cell r="H1018">
            <v>0.37621962685518101</v>
          </cell>
          <cell r="I1018">
            <v>0.18267752768827</v>
          </cell>
          <cell r="J1018">
            <v>2.48163500470179E-4</v>
          </cell>
          <cell r="K1018">
            <v>0.40509111953131599</v>
          </cell>
          <cell r="L1018">
            <v>0.22265880235739399</v>
          </cell>
          <cell r="M1018">
            <v>6.3306766740764103E-2</v>
          </cell>
          <cell r="N1018">
            <v>0.39182473454624001</v>
          </cell>
          <cell r="O1018">
            <v>0.23187791104326799</v>
          </cell>
        </row>
        <row r="1019">
          <cell r="A1019" t="str">
            <v>ITOT-SWHH2BR</v>
          </cell>
          <cell r="B1019" t="str">
            <v>VAR_cap</v>
          </cell>
          <cell r="C1019" t="str">
            <v>-</v>
          </cell>
          <cell r="H1019">
            <v>0.37621962685518101</v>
          </cell>
          <cell r="I1019">
            <v>0.55886476303526789</v>
          </cell>
          <cell r="J1019">
            <v>0.55899748392824855</v>
          </cell>
          <cell r="K1019">
            <v>0.58790058454816485</v>
          </cell>
          <cell r="L1019">
            <v>0.65590616635762999</v>
          </cell>
          <cell r="M1019">
            <v>0.69090896550791558</v>
          </cell>
          <cell r="N1019">
            <v>0.67874543806337095</v>
          </cell>
          <cell r="O1019">
            <v>0.68685438683058619</v>
          </cell>
        </row>
        <row r="1020">
          <cell r="A1020" t="str">
            <v>RHNS-SHSTG-ELC</v>
          </cell>
          <cell r="B1020" t="str">
            <v>VAR_fout</v>
          </cell>
          <cell r="C1020" t="str">
            <v>RHNS-SHAELCB</v>
          </cell>
          <cell r="E1020">
            <v>2.1400783470080899E-7</v>
          </cell>
          <cell r="F1020">
            <v>6.1506609311235295E-3</v>
          </cell>
          <cell r="G1020">
            <v>6.89335860066971E-4</v>
          </cell>
          <cell r="H1020">
            <v>2.8586650618286528E-4</v>
          </cell>
          <cell r="I1020">
            <v>1.6111777477022525E-4</v>
          </cell>
          <cell r="J1020">
            <v>4.2657857390835904E-4</v>
          </cell>
          <cell r="K1020">
            <v>3.9721733884699165E-4</v>
          </cell>
          <cell r="L1020">
            <v>4.6883331099016622E-4</v>
          </cell>
          <cell r="M1020">
            <v>4.4223351597072203E-4</v>
          </cell>
          <cell r="N1020">
            <v>3.0019309223579922E-4</v>
          </cell>
          <cell r="O1020">
            <v>5.2876003936554823E-4</v>
          </cell>
        </row>
        <row r="1021">
          <cell r="A1021" t="str">
            <v>RHNS-SHSTG-ELC</v>
          </cell>
          <cell r="B1021" t="str">
            <v>VAR_fin</v>
          </cell>
          <cell r="C1021" t="str">
            <v>RHNS-SHAELCB</v>
          </cell>
          <cell r="E1021">
            <v>1.4342230399385587E-6</v>
          </cell>
          <cell r="F1021">
            <v>6.1522604160712735E-3</v>
          </cell>
          <cell r="G1021">
            <v>6.9061489856229921E-4</v>
          </cell>
          <cell r="H1021">
            <v>2.870946623506671E-4</v>
          </cell>
          <cell r="I1021">
            <v>1.6232407537205179E-4</v>
          </cell>
          <cell r="J1021">
            <v>4.2780665082808156E-4</v>
          </cell>
          <cell r="K1021">
            <v>3.9844483701353175E-4</v>
          </cell>
          <cell r="L1021">
            <v>4.700737916669148E-4</v>
          </cell>
          <cell r="M1021">
            <v>4.4347300167804675E-4</v>
          </cell>
          <cell r="N1021">
            <v>3.0140657509627935E-4</v>
          </cell>
          <cell r="O1021">
            <v>5.3002046352159738E-4</v>
          </cell>
        </row>
        <row r="1022">
          <cell r="A1022" t="str">
            <v>RHNS-SHSTG-ELC</v>
          </cell>
          <cell r="B1022" t="str">
            <v>VAR_ncap</v>
          </cell>
          <cell r="C1022" t="str">
            <v>-</v>
          </cell>
          <cell r="D1022">
            <v>2.8979441681110197E-4</v>
          </cell>
          <cell r="E1022">
            <v>7.0045846603149697E-4</v>
          </cell>
          <cell r="F1022">
            <v>5.8531055146003303E-5</v>
          </cell>
          <cell r="G1022">
            <v>4.9612878920507201E-5</v>
          </cell>
          <cell r="H1022">
            <v>5.2270365896996498E-5</v>
          </cell>
          <cell r="I1022">
            <v>3.7261913160426501E-5</v>
          </cell>
          <cell r="J1022">
            <v>7.5069289271411006E-5</v>
          </cell>
          <cell r="K1022">
            <v>6.8649694447104394E-5</v>
          </cell>
          <cell r="L1022">
            <v>8.2959203026671704E-5</v>
          </cell>
          <cell r="M1022">
            <v>8.2900380475307302E-5</v>
          </cell>
          <cell r="N1022">
            <v>5.5845876791733298E-5</v>
          </cell>
          <cell r="O1022">
            <v>1.34830439748991E-4</v>
          </cell>
        </row>
        <row r="1023">
          <cell r="A1023" t="str">
            <v>RHNS-SHSTG-ELC</v>
          </cell>
          <cell r="B1023" t="str">
            <v>VAR_cap</v>
          </cell>
          <cell r="C1023" t="str">
            <v>-</v>
          </cell>
          <cell r="D1023">
            <v>2.8979441681110197E-4</v>
          </cell>
          <cell r="E1023">
            <v>9.6757363638563082E-4</v>
          </cell>
          <cell r="F1023">
            <v>9.6965627205888882E-4</v>
          </cell>
          <cell r="G1023">
            <v>2.1246472337034398E-4</v>
          </cell>
          <cell r="H1023">
            <v>1.1187640736843506E-4</v>
          </cell>
          <cell r="I1023">
            <v>5.5353960766405707E-5</v>
          </cell>
          <cell r="J1023">
            <v>1.0147847421605681E-4</v>
          </cell>
          <cell r="K1023">
            <v>9.8955266097503912E-5</v>
          </cell>
          <cell r="L1023">
            <v>1.2079294652011E-4</v>
          </cell>
          <cell r="M1023">
            <v>1.2663771711030701E-4</v>
          </cell>
          <cell r="N1023">
            <v>9.202391785736899E-5</v>
          </cell>
          <cell r="O1023">
            <v>1.7395094828512282E-4</v>
          </cell>
        </row>
        <row r="1024">
          <cell r="A1024" t="str">
            <v>RHES-SHCOABR</v>
          </cell>
          <cell r="B1024" t="str">
            <v>VAR_fout</v>
          </cell>
          <cell r="C1024" t="str">
            <v>CO2_R</v>
          </cell>
          <cell r="D1024">
            <v>9.2734687306682098</v>
          </cell>
          <cell r="E1024">
            <v>9.2734095249760404</v>
          </cell>
          <cell r="F1024">
            <v>0.72537559086567005</v>
          </cell>
          <cell r="G1024">
            <v>0.35033544648981302</v>
          </cell>
          <cell r="H1024">
            <v>0.13533324454592899</v>
          </cell>
        </row>
        <row r="1025">
          <cell r="A1025" t="str">
            <v>RHES-SHCOABR</v>
          </cell>
          <cell r="B1025" t="str">
            <v>VAR_fout</v>
          </cell>
          <cell r="C1025" t="str">
            <v>RHES-SHCOA</v>
          </cell>
          <cell r="D1025">
            <v>7.202694159742308E-2</v>
          </cell>
          <cell r="E1025">
            <v>7.202648174738685E-2</v>
          </cell>
          <cell r="F1025">
            <v>5.633985171772193E-3</v>
          </cell>
          <cell r="G1025">
            <v>2.7210520115713652E-3</v>
          </cell>
          <cell r="H1025">
            <v>1.0511319964732317E-3</v>
          </cell>
        </row>
        <row r="1026">
          <cell r="A1026" t="str">
            <v>RHES-SHCOABR</v>
          </cell>
          <cell r="B1026" t="str">
            <v>VAR_fin</v>
          </cell>
          <cell r="C1026" t="str">
            <v>RCOA</v>
          </cell>
          <cell r="D1026">
            <v>0.10003741888530976</v>
          </cell>
          <cell r="E1026">
            <v>0.10003678020470393</v>
          </cell>
          <cell r="F1026">
            <v>7.8249794052391505E-3</v>
          </cell>
          <cell r="G1026">
            <v>3.7792389049602312E-3</v>
          </cell>
          <cell r="H1026">
            <v>1.459905550657267E-3</v>
          </cell>
        </row>
        <row r="1027">
          <cell r="A1027" t="str">
            <v>RHES-SHCOABR</v>
          </cell>
          <cell r="B1027" t="str">
            <v>VAR_cap</v>
          </cell>
          <cell r="C1027" t="str">
            <v>-</v>
          </cell>
          <cell r="D1027">
            <v>7.0000000000000001E-3</v>
          </cell>
          <cell r="E1027">
            <v>6.9848060797207999E-3</v>
          </cell>
          <cell r="F1027">
            <v>7.7048921872129982E-4</v>
          </cell>
          <cell r="G1027">
            <v>4.1230692749451986E-4</v>
          </cell>
          <cell r="H1027">
            <v>1.0679621986806986E-4</v>
          </cell>
        </row>
        <row r="1028">
          <cell r="A1028" t="str">
            <v>D-INGA</v>
          </cell>
          <cell r="B1028" t="str">
            <v>VAR_fout</v>
          </cell>
          <cell r="C1028" t="str">
            <v>CO2</v>
          </cell>
          <cell r="D1028">
            <v>2103.1547285797801</v>
          </cell>
          <cell r="E1028">
            <v>1693.71204108452</v>
          </cell>
          <cell r="F1028">
            <v>1910.9417353587501</v>
          </cell>
          <cell r="G1028">
            <v>1341.2842209391199</v>
          </cell>
          <cell r="H1028">
            <v>648.69830910976498</v>
          </cell>
          <cell r="I1028">
            <v>339.058945769655</v>
          </cell>
          <cell r="J1028">
            <v>123.7616811036</v>
          </cell>
          <cell r="K1028">
            <v>15.446915856893201</v>
          </cell>
          <cell r="L1028">
            <v>2.7121864923139598</v>
          </cell>
          <cell r="M1028">
            <v>0.22144211663571201</v>
          </cell>
          <cell r="N1028">
            <v>0.95117344119928304</v>
          </cell>
          <cell r="O1028">
            <v>7.4675865183819898E-2</v>
          </cell>
        </row>
        <row r="1029">
          <cell r="A1029" t="str">
            <v>D-INGA</v>
          </cell>
          <cell r="B1029" t="str">
            <v>VAR_fout</v>
          </cell>
          <cell r="C1029" t="str">
            <v>IH2</v>
          </cell>
          <cell r="H1029">
            <v>0.2943771511204451</v>
          </cell>
          <cell r="I1029">
            <v>0.21006107984713024</v>
          </cell>
          <cell r="J1029">
            <v>0.1443080770260575</v>
          </cell>
          <cell r="K1029">
            <v>8.8426331649545553E-2</v>
          </cell>
          <cell r="L1029">
            <v>7.9927267651517003E-2</v>
          </cell>
          <cell r="M1029">
            <v>7.8002238567886864E-2</v>
          </cell>
          <cell r="N1029">
            <v>8.0322369814917444E-2</v>
          </cell>
          <cell r="O1029">
            <v>4.4719349318647898E-2</v>
          </cell>
        </row>
        <row r="1030">
          <cell r="A1030" t="str">
            <v>D-INGA</v>
          </cell>
          <cell r="B1030" t="str">
            <v>VAR_fout</v>
          </cell>
          <cell r="C1030" t="str">
            <v>INGA</v>
          </cell>
          <cell r="D1030">
            <v>37.496167214614758</v>
          </cell>
          <cell r="E1030">
            <v>29.935121067163365</v>
          </cell>
          <cell r="F1030">
            <v>36.245820871185515</v>
          </cell>
          <cell r="G1030">
            <v>26.301727825424198</v>
          </cell>
          <cell r="H1030">
            <v>14.060065285651373</v>
          </cell>
          <cell r="I1030">
            <v>8.5880313354505962</v>
          </cell>
          <cell r="J1030">
            <v>4.7828708478331894</v>
          </cell>
          <cell r="K1030">
            <v>2.8686872979979334</v>
          </cell>
          <cell r="L1030">
            <v>2.6436179377896609</v>
          </cell>
          <cell r="M1030">
            <v>2.5996274367303513</v>
          </cell>
          <cell r="N1030">
            <v>2.6125287585972554</v>
          </cell>
          <cell r="O1030">
            <v>2.5992339932328878</v>
          </cell>
        </row>
        <row r="1031">
          <cell r="A1031" t="str">
            <v>D-INGA</v>
          </cell>
          <cell r="B1031" t="str">
            <v>VAR_fin</v>
          </cell>
          <cell r="C1031" t="str">
            <v>NGA</v>
          </cell>
          <cell r="D1031">
            <v>37.289977457088298</v>
          </cell>
          <cell r="E1031">
            <v>30.030355338378069</v>
          </cell>
          <cell r="F1031">
            <v>33.881945662389242</v>
          </cell>
          <cell r="G1031">
            <v>23.781635123034043</v>
          </cell>
          <cell r="H1031">
            <v>11.501743069322078</v>
          </cell>
          <cell r="I1031">
            <v>6.0116834356321789</v>
          </cell>
          <cell r="J1031">
            <v>2.1943560479361635</v>
          </cell>
          <cell r="K1031">
            <v>0.27388148682434682</v>
          </cell>
          <cell r="L1031">
            <v>4.8088412984290022E-2</v>
          </cell>
          <cell r="M1031">
            <v>3.9262786637537629E-3</v>
          </cell>
          <cell r="N1031">
            <v>1.6864777326228417E-2</v>
          </cell>
          <cell r="O1031">
            <v>1.3240401628336869E-3</v>
          </cell>
        </row>
        <row r="1032">
          <cell r="A1032" t="str">
            <v>D-INGA</v>
          </cell>
          <cell r="B1032" t="str">
            <v>VAR_fin</v>
          </cell>
          <cell r="C1032" t="str">
            <v>BNGA</v>
          </cell>
          <cell r="D1032">
            <v>0.32597574778755739</v>
          </cell>
          <cell r="E1032">
            <v>3.89995714045916E-4</v>
          </cell>
          <cell r="F1032">
            <v>2.4796668181367765</v>
          </cell>
          <cell r="G1032">
            <v>2.6041450484817266</v>
          </cell>
          <cell r="H1032">
            <v>2.6041478722223279</v>
          </cell>
          <cell r="I1032">
            <v>2.6041484976495886</v>
          </cell>
          <cell r="J1032">
            <v>2.6041481859946161</v>
          </cell>
          <cell r="K1032">
            <v>2.6041475216069778</v>
          </cell>
          <cell r="L1032">
            <v>2.6041580134914408</v>
          </cell>
          <cell r="M1032">
            <v>2.6041650427994463</v>
          </cell>
          <cell r="N1032">
            <v>2.604173333111063</v>
          </cell>
          <cell r="O1032">
            <v>2.6062462333022434</v>
          </cell>
        </row>
        <row r="1033">
          <cell r="A1033" t="str">
            <v>D-INGA</v>
          </cell>
          <cell r="B1033" t="str">
            <v>VAR_fin</v>
          </cell>
          <cell r="C1033" t="str">
            <v>H2</v>
          </cell>
          <cell r="H1033">
            <v>0.29437715112044727</v>
          </cell>
          <cell r="I1033">
            <v>0.2100534258504296</v>
          </cell>
          <cell r="J1033">
            <v>0.14430686617924751</v>
          </cell>
          <cell r="K1033">
            <v>8.8429840144450406E-2</v>
          </cell>
          <cell r="L1033">
            <v>7.9927267651515185E-2</v>
          </cell>
          <cell r="M1033">
            <v>7.7995195341659856E-2</v>
          </cell>
          <cell r="N1033">
            <v>8.0318115659984035E-2</v>
          </cell>
          <cell r="O1033">
            <v>4.4719907939274453E-2</v>
          </cell>
        </row>
        <row r="1034">
          <cell r="A1034" t="str">
            <v>D-INGA</v>
          </cell>
          <cell r="B1034" t="str">
            <v>VAR_ncap</v>
          </cell>
          <cell r="C1034" t="str">
            <v>-</v>
          </cell>
          <cell r="D1034">
            <v>4.3525755764504004E-6</v>
          </cell>
          <cell r="E1034">
            <v>2.05719816102687E-6</v>
          </cell>
          <cell r="F1034">
            <v>2.7085397193286498E-6</v>
          </cell>
          <cell r="G1034">
            <v>3.5353949129319101E-6</v>
          </cell>
          <cell r="H1034">
            <v>1.0151895252155899E-5</v>
          </cell>
          <cell r="I1034">
            <v>1.06131098617775E-5</v>
          </cell>
          <cell r="J1034">
            <v>1.9377109747253099E-5</v>
          </cell>
          <cell r="K1034">
            <v>9.9435877418356106E-2</v>
          </cell>
          <cell r="L1034">
            <v>0.12677837561222899</v>
          </cell>
          <cell r="M1034">
            <v>9.9508710561079395E-3</v>
          </cell>
          <cell r="N1034">
            <v>3.91122274104789E-2</v>
          </cell>
          <cell r="O1034">
            <v>1.7705600219107501E-2</v>
          </cell>
        </row>
        <row r="1035">
          <cell r="A1035" t="str">
            <v>D-INGA</v>
          </cell>
          <cell r="B1035" t="str">
            <v>VAR_cap</v>
          </cell>
          <cell r="C1035" t="str">
            <v>-</v>
          </cell>
          <cell r="D1035">
            <v>1.9844877228416764</v>
          </cell>
          <cell r="E1035">
            <v>1.9844897800398376</v>
          </cell>
          <cell r="F1035">
            <v>1.9844924885795567</v>
          </cell>
          <cell r="G1035">
            <v>1.9844960239744698</v>
          </cell>
          <cell r="H1035">
            <v>1.984506175869722</v>
          </cell>
          <cell r="I1035">
            <v>1.9845167889795836</v>
          </cell>
          <cell r="J1035">
            <v>1.984536166089331</v>
          </cell>
          <cell r="K1035">
            <v>0.99290292844963401</v>
          </cell>
          <cell r="L1035">
            <v>0.33311509805249601</v>
          </cell>
          <cell r="M1035">
            <v>0.23621369290198599</v>
          </cell>
          <cell r="N1035">
            <v>0.27532038798012298</v>
          </cell>
          <cell r="O1035">
            <v>0.293023093831141</v>
          </cell>
        </row>
        <row r="1036">
          <cell r="A1036" t="str">
            <v>RHEM-SHNGAHP</v>
          </cell>
          <cell r="B1036" t="str">
            <v>VAR_fout</v>
          </cell>
          <cell r="C1036" t="str">
            <v>CO2_R</v>
          </cell>
          <cell r="F1036">
            <v>0.20982233667998801</v>
          </cell>
          <cell r="G1036">
            <v>0.27855953364234598</v>
          </cell>
          <cell r="H1036">
            <v>2.3042285524102799</v>
          </cell>
          <cell r="I1036">
            <v>2.8808053713631598</v>
          </cell>
          <cell r="J1036">
            <v>74.031735810292901</v>
          </cell>
          <cell r="K1036">
            <v>70.428847294444395</v>
          </cell>
          <cell r="L1036">
            <v>70.428349778069204</v>
          </cell>
          <cell r="M1036">
            <v>70.427960076752001</v>
          </cell>
          <cell r="N1036">
            <v>70.427890744634098</v>
          </cell>
          <cell r="O1036">
            <v>70.427511878422905</v>
          </cell>
        </row>
        <row r="1037">
          <cell r="A1037" t="str">
            <v>RHEM-SHNGAHP</v>
          </cell>
          <cell r="B1037" t="str">
            <v>VAR_fout</v>
          </cell>
          <cell r="C1037" t="str">
            <v>RHEM-SHANGAH</v>
          </cell>
          <cell r="F1037">
            <v>7.4405083929073561E-3</v>
          </cell>
          <cell r="G1037">
            <v>1.0273117552767384E-2</v>
          </cell>
          <cell r="H1037">
            <v>8.7838499781597607E-2</v>
          </cell>
          <cell r="I1037">
            <v>0.11339340291535854</v>
          </cell>
          <cell r="J1037">
            <v>2.9927722987139682</v>
          </cell>
          <cell r="K1037">
            <v>2.9220479196631186</v>
          </cell>
          <cell r="L1037">
            <v>2.922027278026277</v>
          </cell>
          <cell r="M1037">
            <v>2.9220111095673733</v>
          </cell>
          <cell r="N1037">
            <v>2.9220082330220523</v>
          </cell>
          <cell r="O1037">
            <v>2.9219925141047818</v>
          </cell>
        </row>
        <row r="1038">
          <cell r="A1038" t="str">
            <v>RHEM-SHNGAHP</v>
          </cell>
          <cell r="B1038" t="str">
            <v>VAR_fin</v>
          </cell>
          <cell r="C1038" t="str">
            <v>RHEMELCHPC</v>
          </cell>
          <cell r="F1038">
            <v>7.4405083929073561E-3</v>
          </cell>
          <cell r="G1038">
            <v>1.0273117552767384E-2</v>
          </cell>
          <cell r="H1038">
            <v>8.7838499781597607E-2</v>
          </cell>
          <cell r="I1038">
            <v>0.11339340291535854</v>
          </cell>
          <cell r="J1038">
            <v>2.9927722987139682</v>
          </cell>
          <cell r="K1038">
            <v>2.9220479196631186</v>
          </cell>
          <cell r="L1038">
            <v>2.922027278026277</v>
          </cell>
          <cell r="M1038">
            <v>2.9220111095673733</v>
          </cell>
          <cell r="N1038">
            <v>2.9220082330220523</v>
          </cell>
          <cell r="O1038">
            <v>2.9219925141047818</v>
          </cell>
        </row>
        <row r="1039">
          <cell r="A1039" t="str">
            <v>RHEM-SHNGAHP</v>
          </cell>
          <cell r="B1039" t="str">
            <v>VAR_fin</v>
          </cell>
          <cell r="C1039" t="str">
            <v>RNGA</v>
          </cell>
          <cell r="F1039">
            <v>3.7202541964536781E-3</v>
          </cell>
          <cell r="G1039">
            <v>4.9389988234458584E-3</v>
          </cell>
          <cell r="H1039">
            <v>4.0855116177487244E-2</v>
          </cell>
          <cell r="I1039">
            <v>5.1078109421332694E-2</v>
          </cell>
          <cell r="J1039">
            <v>1.3126194292605129</v>
          </cell>
          <cell r="K1039">
            <v>1.2487384272064603</v>
          </cell>
          <cell r="L1039">
            <v>1.2487296059941349</v>
          </cell>
          <cell r="M1039">
            <v>1.2487226963963134</v>
          </cell>
          <cell r="N1039">
            <v>1.2487214671034397</v>
          </cell>
          <cell r="O1039">
            <v>1.2487147496174271</v>
          </cell>
        </row>
        <row r="1040">
          <cell r="A1040" t="str">
            <v>RHEM-SHNGAHP</v>
          </cell>
          <cell r="B1040" t="str">
            <v>VAR_ncap</v>
          </cell>
          <cell r="C1040" t="str">
            <v>-</v>
          </cell>
          <cell r="D1040">
            <v>1.7500960343343499E-6</v>
          </cell>
          <cell r="E1040">
            <v>6.4535282947853101E-6</v>
          </cell>
          <cell r="F1040">
            <v>6.7935831968755195E-4</v>
          </cell>
          <cell r="G1040">
            <v>9.0580005097950602E-5</v>
          </cell>
          <cell r="H1040">
            <v>5.5484589850627901E-3</v>
          </cell>
          <cell r="I1040">
            <v>2.34813832381467E-3</v>
          </cell>
          <cell r="J1040">
            <v>0.20389136933322199</v>
          </cell>
          <cell r="K1040">
            <v>2.3832728165658801E-3</v>
          </cell>
          <cell r="L1040">
            <v>2.7269839291436698E-2</v>
          </cell>
          <cell r="M1040">
            <v>0.17699293099795199</v>
          </cell>
          <cell r="N1040">
            <v>1.0675336225529601E-2</v>
          </cell>
          <cell r="O1040">
            <v>1.9044003356826499E-2</v>
          </cell>
        </row>
        <row r="1041">
          <cell r="A1041" t="str">
            <v>RHEM-SHNGAHP</v>
          </cell>
          <cell r="B1041" t="str">
            <v>VAR_cap</v>
          </cell>
          <cell r="C1041" t="str">
            <v>-</v>
          </cell>
          <cell r="D1041">
            <v>1.7500960343343499E-6</v>
          </cell>
          <cell r="E1041">
            <v>8.0521377052568333E-6</v>
          </cell>
          <cell r="F1041">
            <v>6.8686881087168868E-4</v>
          </cell>
          <cell r="G1041">
            <v>7.7694332034963288E-4</v>
          </cell>
          <cell r="H1041">
            <v>6.3196216636162879E-3</v>
          </cell>
          <cell r="I1041">
            <v>8.1090358311415867E-3</v>
          </cell>
          <cell r="J1041">
            <v>0.21178649159306706</v>
          </cell>
          <cell r="K1041">
            <v>0.20861942684805651</v>
          </cell>
          <cell r="L1041">
            <v>0.2068860437607668</v>
          </cell>
          <cell r="M1041">
            <v>0.20664224266542436</v>
          </cell>
          <cell r="N1041">
            <v>0.20671013698616514</v>
          </cell>
          <cell r="O1041">
            <v>0.20670792671067473</v>
          </cell>
        </row>
        <row r="1042">
          <cell r="A1042" t="str">
            <v>D-SPLT</v>
          </cell>
          <cell r="B1042" t="str">
            <v>VAR_fout</v>
          </cell>
          <cell r="C1042" t="str">
            <v>SPLT</v>
          </cell>
          <cell r="D1042">
            <v>2.0856645756020882</v>
          </cell>
          <cell r="E1042">
            <v>2.4001222873750088</v>
          </cell>
          <cell r="F1042">
            <v>2.0094666962344134</v>
          </cell>
          <cell r="G1042">
            <v>2.1752547073304038</v>
          </cell>
          <cell r="H1042">
            <v>2.2997708887666866</v>
          </cell>
          <cell r="I1042">
            <v>2.4399665054912796</v>
          </cell>
          <cell r="J1042">
            <v>2.3976168735110543</v>
          </cell>
          <cell r="K1042">
            <v>2.4274371819577114</v>
          </cell>
          <cell r="L1042">
            <v>2.3888853154271912</v>
          </cell>
          <cell r="M1042">
            <v>2.4067004006270194</v>
          </cell>
          <cell r="N1042">
            <v>2.407307839292776</v>
          </cell>
          <cell r="O1042">
            <v>2.4088065124837779</v>
          </cell>
        </row>
        <row r="1043">
          <cell r="A1043" t="str">
            <v>D-SPLT</v>
          </cell>
          <cell r="B1043" t="str">
            <v>VAR_fin</v>
          </cell>
          <cell r="C1043" t="str">
            <v>PLT</v>
          </cell>
          <cell r="D1043">
            <v>2.0856645756020882</v>
          </cell>
          <cell r="E1043">
            <v>2.4001222873750088</v>
          </cell>
          <cell r="F1043">
            <v>2.0094666962344134</v>
          </cell>
          <cell r="G1043">
            <v>2.1752547073304038</v>
          </cell>
          <cell r="H1043">
            <v>2.2997708887666866</v>
          </cell>
          <cell r="I1043">
            <v>2.4399665054912796</v>
          </cell>
          <cell r="J1043">
            <v>2.3976168735110543</v>
          </cell>
          <cell r="K1043">
            <v>2.4274371819577114</v>
          </cell>
          <cell r="L1043">
            <v>2.3888853154271912</v>
          </cell>
          <cell r="M1043">
            <v>2.4067004006270194</v>
          </cell>
          <cell r="N1043">
            <v>2.407307839292776</v>
          </cell>
          <cell r="O1043">
            <v>2.4088065124837779</v>
          </cell>
        </row>
        <row r="1044">
          <cell r="A1044" t="str">
            <v>RHES-SHCONBR</v>
          </cell>
          <cell r="B1044" t="str">
            <v>VAR_fout</v>
          </cell>
          <cell r="C1044" t="str">
            <v>RHES-SHCON</v>
          </cell>
          <cell r="F1044">
            <v>3.8958179624402461E-4</v>
          </cell>
          <cell r="G1044">
            <v>3.9795197338425781E-4</v>
          </cell>
          <cell r="H1044">
            <v>6.0262729864150942E-4</v>
          </cell>
          <cell r="I1044">
            <v>6.2391506669743941E-4</v>
          </cell>
          <cell r="J1044">
            <v>6.2158065603970178E-4</v>
          </cell>
          <cell r="K1044">
            <v>1.6061976846123559E-3</v>
          </cell>
          <cell r="L1044">
            <v>2.6663049689043326E-3</v>
          </cell>
          <cell r="M1044">
            <v>3.0938713695686788E-3</v>
          </cell>
          <cell r="N1044">
            <v>1.8730922520964823</v>
          </cell>
          <cell r="O1044">
            <v>0.84330330751936866</v>
          </cell>
        </row>
        <row r="1045">
          <cell r="A1045" t="str">
            <v>RHES-SHCONBR</v>
          </cell>
          <cell r="B1045" t="str">
            <v>VAR_fin</v>
          </cell>
          <cell r="C1045" t="str">
            <v>CON</v>
          </cell>
          <cell r="F1045">
            <v>3.8958179624402461E-4</v>
          </cell>
          <cell r="G1045">
            <v>3.9795197338425781E-4</v>
          </cell>
          <cell r="H1045">
            <v>6.0262729864150942E-4</v>
          </cell>
          <cell r="I1045">
            <v>6.2391506669743941E-4</v>
          </cell>
          <cell r="J1045">
            <v>6.2158065603970178E-4</v>
          </cell>
          <cell r="K1045">
            <v>1.6061976846123559E-3</v>
          </cell>
          <cell r="L1045">
            <v>2.6663049689043326E-3</v>
          </cell>
          <cell r="M1045">
            <v>3.0938713695686788E-3</v>
          </cell>
          <cell r="N1045">
            <v>1.8730922520964823</v>
          </cell>
          <cell r="O1045">
            <v>0.84330330751936866</v>
          </cell>
        </row>
        <row r="1046">
          <cell r="A1046" t="str">
            <v>RHES-SHCONBR</v>
          </cell>
          <cell r="B1046" t="str">
            <v>VAR_ncap</v>
          </cell>
          <cell r="C1046" t="str">
            <v>-</v>
          </cell>
          <cell r="E1046">
            <v>1.5860747230179001E-7</v>
          </cell>
          <cell r="F1046">
            <v>3.5502741637911002E-5</v>
          </cell>
          <cell r="G1046">
            <v>3.2750511947004402E-7</v>
          </cell>
          <cell r="H1046">
            <v>1.9265717834919601E-5</v>
          </cell>
          <cell r="I1046">
            <v>8.7243573585545895E-7</v>
          </cell>
          <cell r="J1046">
            <v>4.9308698587048496E-7</v>
          </cell>
          <cell r="K1046">
            <v>8.1861294571894703E-5</v>
          </cell>
          <cell r="L1046">
            <v>9.5539091497266694E-5</v>
          </cell>
          <cell r="M1046">
            <v>4.5016946549756399E-5</v>
          </cell>
          <cell r="N1046">
            <v>0.15108185040913399</v>
          </cell>
          <cell r="O1046">
            <v>2.0993020909808299E-7</v>
          </cell>
        </row>
        <row r="1047">
          <cell r="A1047" t="str">
            <v>RHES-SHCONBR</v>
          </cell>
          <cell r="B1047" t="str">
            <v>VAR_cap</v>
          </cell>
          <cell r="C1047" t="str">
            <v>-</v>
          </cell>
          <cell r="E1047">
            <v>1.5860747230179001E-7</v>
          </cell>
          <cell r="F1047">
            <v>3.5610757024944819E-5</v>
          </cell>
          <cell r="G1047">
            <v>3.5874817284504337E-5</v>
          </cell>
          <cell r="H1047">
            <v>5.5035293460987794E-5</v>
          </cell>
          <cell r="I1047">
            <v>5.5703204358755035E-5</v>
          </cell>
          <cell r="J1047">
            <v>5.6027383146653026E-5</v>
          </cell>
          <cell r="K1047">
            <v>1.3772550369331075E-4</v>
          </cell>
          <cell r="L1047">
            <v>2.3327238931896874E-4</v>
          </cell>
          <cell r="M1047">
            <v>2.7814867067666192E-4</v>
          </cell>
          <cell r="N1047">
            <v>0.15136014709059953</v>
          </cell>
          <cell r="O1047">
            <v>0.15136046645700799</v>
          </cell>
        </row>
        <row r="1048">
          <cell r="A1048" t="str">
            <v>RHSA-WHSOLBR</v>
          </cell>
          <cell r="B1048" t="str">
            <v>VAR_fout</v>
          </cell>
          <cell r="C1048" t="str">
            <v>RHSA-WHASOL</v>
          </cell>
          <cell r="D1048">
            <v>1.721488024659851</v>
          </cell>
          <cell r="E1048">
            <v>1.9867661303780519</v>
          </cell>
          <cell r="F1048">
            <v>1.5483410932707802</v>
          </cell>
          <cell r="G1048">
            <v>1.6462773607966077</v>
          </cell>
          <cell r="H1048">
            <v>1.1303805418392003</v>
          </cell>
          <cell r="I1048">
            <v>1.8052921302454983</v>
          </cell>
          <cell r="J1048">
            <v>3.075021479153313</v>
          </cell>
          <cell r="K1048">
            <v>3.6155040403153378</v>
          </cell>
          <cell r="L1048">
            <v>2.8999264711987949</v>
          </cell>
          <cell r="M1048">
            <v>6.8667851171642313E-2</v>
          </cell>
          <cell r="N1048">
            <v>2.9365330830040297</v>
          </cell>
          <cell r="O1048">
            <v>1.5526461619528873</v>
          </cell>
        </row>
        <row r="1049">
          <cell r="A1049" t="str">
            <v>RHSA-WHSOLBR</v>
          </cell>
          <cell r="B1049" t="str">
            <v>VAR_fin</v>
          </cell>
          <cell r="C1049" t="str">
            <v>SOL</v>
          </cell>
          <cell r="D1049">
            <v>1.721488024659851</v>
          </cell>
          <cell r="E1049">
            <v>1.9867661303780519</v>
          </cell>
          <cell r="F1049">
            <v>1.5483410932707802</v>
          </cell>
          <cell r="G1049">
            <v>1.6462773607966077</v>
          </cell>
          <cell r="H1049">
            <v>1.1303805418392003</v>
          </cell>
          <cell r="I1049">
            <v>1.8052921302454983</v>
          </cell>
          <cell r="J1049">
            <v>3.075021479153313</v>
          </cell>
          <cell r="K1049">
            <v>3.6155040403153378</v>
          </cell>
          <cell r="L1049">
            <v>2.8999264711987949</v>
          </cell>
          <cell r="M1049">
            <v>6.8667851171642313E-2</v>
          </cell>
          <cell r="N1049">
            <v>2.9365330830040297</v>
          </cell>
          <cell r="O1049">
            <v>1.5526461619528873</v>
          </cell>
        </row>
        <row r="1050">
          <cell r="A1050" t="str">
            <v>RHSA-WHSOLBR</v>
          </cell>
          <cell r="B1050" t="str">
            <v>VAR_fin</v>
          </cell>
          <cell r="C1050" t="str">
            <v>RHSASOLBRC</v>
          </cell>
          <cell r="D1050">
            <v>1.721488024659851</v>
          </cell>
          <cell r="E1050">
            <v>1.9867661303780519</v>
          </cell>
          <cell r="F1050">
            <v>1.5483410932707802</v>
          </cell>
          <cell r="G1050">
            <v>1.6462773607966077</v>
          </cell>
          <cell r="H1050">
            <v>1.1303805418392003</v>
          </cell>
          <cell r="I1050">
            <v>1.8052921302454983</v>
          </cell>
          <cell r="J1050">
            <v>3.075021479153313</v>
          </cell>
          <cell r="K1050">
            <v>3.6155040403153378</v>
          </cell>
          <cell r="L1050">
            <v>2.8999264711987949</v>
          </cell>
          <cell r="M1050">
            <v>6.8667851171642313E-2</v>
          </cell>
          <cell r="N1050">
            <v>2.9365330830040297</v>
          </cell>
          <cell r="O1050">
            <v>1.5526461619528873</v>
          </cell>
        </row>
        <row r="1051">
          <cell r="A1051" t="str">
            <v>RHSA-WHSOLBR</v>
          </cell>
          <cell r="B1051" t="str">
            <v>VAR_ncap</v>
          </cell>
          <cell r="C1051" t="str">
            <v>-</v>
          </cell>
          <cell r="E1051">
            <v>8.2622561749906107E-2</v>
          </cell>
          <cell r="F1051">
            <v>1.0655828664360701E-5</v>
          </cell>
          <cell r="G1051">
            <v>8.4407739543666195E-5</v>
          </cell>
          <cell r="H1051">
            <v>5.7549093154678502E-2</v>
          </cell>
          <cell r="I1051">
            <v>0.22576982073947499</v>
          </cell>
          <cell r="J1051">
            <v>0.55279204466774101</v>
          </cell>
          <cell r="K1051">
            <v>0.122674251520231</v>
          </cell>
          <cell r="L1051">
            <v>4.1796930661904899E-5</v>
          </cell>
          <cell r="M1051">
            <v>1.20146939688869E-5</v>
          </cell>
          <cell r="N1051">
            <v>0.426688710696289</v>
          </cell>
          <cell r="O1051">
            <v>5.0087334104874297E-5</v>
          </cell>
        </row>
        <row r="1052">
          <cell r="A1052" t="str">
            <v>RHSA-WHSOLBR</v>
          </cell>
          <cell r="B1052" t="str">
            <v>VAR_cap</v>
          </cell>
          <cell r="C1052" t="str">
            <v>-</v>
          </cell>
          <cell r="D1052">
            <v>0.25000991745774798</v>
          </cell>
          <cell r="E1052">
            <v>0.3326324792076541</v>
          </cell>
          <cell r="F1052">
            <v>0.33264313503631848</v>
          </cell>
          <cell r="G1052">
            <v>0.33272754277586208</v>
          </cell>
          <cell r="H1052">
            <v>0.16481151468465749</v>
          </cell>
          <cell r="I1052">
            <v>0.28338950101773103</v>
          </cell>
          <cell r="J1052">
            <v>0.83611095856189499</v>
          </cell>
          <cell r="K1052">
            <v>0.90123611692744698</v>
          </cell>
          <cell r="L1052">
            <v>0.636956127908062</v>
          </cell>
          <cell r="M1052">
            <v>0.122728063144862</v>
          </cell>
          <cell r="N1052">
            <v>0.44845757148556198</v>
          </cell>
          <cell r="O1052">
            <v>0.42675081272436299</v>
          </cell>
        </row>
        <row r="1053">
          <cell r="A1053" t="str">
            <v>SCOM-SHCONBR</v>
          </cell>
          <cell r="B1053" t="str">
            <v>VAR_ncap</v>
          </cell>
          <cell r="C1053" t="str">
            <v>-</v>
          </cell>
          <cell r="D1053">
            <v>3.1455131914696101E-8</v>
          </cell>
          <cell r="E1053">
            <v>6.0214791102011404E-8</v>
          </cell>
          <cell r="F1053">
            <v>5.2482812081316401E-8</v>
          </cell>
          <cell r="G1053">
            <v>4.8688846238031998E-8</v>
          </cell>
          <cell r="H1053">
            <v>8.1263965593358105E-8</v>
          </cell>
          <cell r="I1053">
            <v>8.5652165122414903E-8</v>
          </cell>
          <cell r="J1053">
            <v>1.12620907407935E-7</v>
          </cell>
          <cell r="K1053">
            <v>1.61576346489171E-7</v>
          </cell>
          <cell r="L1053">
            <v>1.43954436863903E-7</v>
          </cell>
          <cell r="M1053">
            <v>2.23636912069376E-7</v>
          </cell>
          <cell r="N1053">
            <v>2.3062425751437899E-7</v>
          </cell>
          <cell r="O1053">
            <v>3.8581887801907E-7</v>
          </cell>
        </row>
        <row r="1054">
          <cell r="A1054" t="str">
            <v>SCOM-SHCONBR</v>
          </cell>
          <cell r="B1054" t="str">
            <v>VAR_cap</v>
          </cell>
          <cell r="C1054" t="str">
            <v>-</v>
          </cell>
          <cell r="D1054">
            <v>3.1455131914696101E-8</v>
          </cell>
          <cell r="E1054">
            <v>6.5294929531613002E-8</v>
          </cell>
          <cell r="F1054">
            <v>7.5981728360627604E-8</v>
          </cell>
          <cell r="G1054">
            <v>7.977062707309E-8</v>
          </cell>
          <cell r="H1054">
            <v>9.3771520396164992E-8</v>
          </cell>
          <cell r="I1054">
            <v>8.529782743279001E-8</v>
          </cell>
          <cell r="J1054">
            <v>1.1080392637408799E-7</v>
          </cell>
          <cell r="K1054">
            <v>8.3722310285634941E-8</v>
          </cell>
          <cell r="L1054">
            <v>1.4351768925706294E-7</v>
          </cell>
          <cell r="M1054">
            <v>1.7860822865224392E-7</v>
          </cell>
          <cell r="N1054">
            <v>4.2278423994810992E-7</v>
          </cell>
          <cell r="O1054">
            <v>1.230426182438963E-6</v>
          </cell>
        </row>
        <row r="1055">
          <cell r="A1055" t="str">
            <v>RHES-SHSOLBR</v>
          </cell>
          <cell r="B1055" t="str">
            <v>VAR_fout</v>
          </cell>
          <cell r="C1055" t="str">
            <v>RHES-SHASOL</v>
          </cell>
          <cell r="D1055">
            <v>0.37732610756439694</v>
          </cell>
          <cell r="E1055">
            <v>0.43547693571504165</v>
          </cell>
          <cell r="F1055">
            <v>0.43486237145054257</v>
          </cell>
          <cell r="G1055">
            <v>0.39710609472894115</v>
          </cell>
          <cell r="H1055">
            <v>0.41692390641928145</v>
          </cell>
          <cell r="I1055">
            <v>0.40671831328871244</v>
          </cell>
          <cell r="J1055">
            <v>0.61197390756504699</v>
          </cell>
          <cell r="K1055">
            <v>1.135023303776743</v>
          </cell>
          <cell r="L1055">
            <v>0.90404981259520478</v>
          </cell>
          <cell r="M1055">
            <v>1.9738271339967778E-2</v>
          </cell>
          <cell r="N1055">
            <v>0.88210701679671899</v>
          </cell>
          <cell r="O1055">
            <v>0.87829516906977534</v>
          </cell>
        </row>
        <row r="1056">
          <cell r="A1056" t="str">
            <v>RHES-SHSOLBR</v>
          </cell>
          <cell r="B1056" t="str">
            <v>VAR_fin</v>
          </cell>
          <cell r="C1056" t="str">
            <v>SOL</v>
          </cell>
          <cell r="D1056">
            <v>0.37732610756439694</v>
          </cell>
          <cell r="E1056">
            <v>0.43547693571504165</v>
          </cell>
          <cell r="F1056">
            <v>0.43486237145054257</v>
          </cell>
          <cell r="G1056">
            <v>0.39710609472894115</v>
          </cell>
          <cell r="H1056">
            <v>0.41692390641928145</v>
          </cell>
          <cell r="I1056">
            <v>0.40671831328871244</v>
          </cell>
          <cell r="J1056">
            <v>0.61197390756504699</v>
          </cell>
          <cell r="K1056">
            <v>1.135023303776743</v>
          </cell>
          <cell r="L1056">
            <v>0.90404981259520478</v>
          </cell>
          <cell r="M1056">
            <v>1.9738271339967778E-2</v>
          </cell>
          <cell r="N1056">
            <v>0.88210701679671899</v>
          </cell>
          <cell r="O1056">
            <v>0.87829516906977534</v>
          </cell>
        </row>
        <row r="1057">
          <cell r="A1057" t="str">
            <v>RHES-SHSOLBR</v>
          </cell>
          <cell r="B1057" t="str">
            <v>VAR_ncap</v>
          </cell>
          <cell r="C1057" t="str">
            <v>-</v>
          </cell>
          <cell r="E1057">
            <v>8.4984892786722499E-3</v>
          </cell>
          <cell r="F1057">
            <v>2.8391205020568E-6</v>
          </cell>
          <cell r="G1057">
            <v>5.6797085921020699E-6</v>
          </cell>
          <cell r="H1057">
            <v>4.33652187384004E-2</v>
          </cell>
          <cell r="I1057">
            <v>1.6611591316950499E-2</v>
          </cell>
          <cell r="J1057">
            <v>4.1862183636574603E-2</v>
          </cell>
          <cell r="K1057">
            <v>0.16789329570692199</v>
          </cell>
          <cell r="L1057">
            <v>1.22895825409774E-2</v>
          </cell>
          <cell r="M1057">
            <v>3.17898213212921E-2</v>
          </cell>
          <cell r="N1057">
            <v>0.13520387782439</v>
          </cell>
          <cell r="O1057">
            <v>3.1511615117897601E-2</v>
          </cell>
        </row>
        <row r="1058">
          <cell r="A1058" t="str">
            <v>RHES-SHSOLBR</v>
          </cell>
          <cell r="B1058" t="str">
            <v>VAR_cap</v>
          </cell>
          <cell r="C1058" t="str">
            <v>-</v>
          </cell>
          <cell r="D1058">
            <v>5.4798678617278197E-2</v>
          </cell>
          <cell r="E1058">
            <v>6.329716789595044E-2</v>
          </cell>
          <cell r="F1058">
            <v>6.3300007016452511E-2</v>
          </cell>
          <cell r="G1058">
            <v>6.3305686725044608E-2</v>
          </cell>
          <cell r="H1058">
            <v>6.1939074616160203E-2</v>
          </cell>
          <cell r="I1058">
            <v>5.99820054238328E-2</v>
          </cell>
          <cell r="J1058">
            <v>0.10183899369192601</v>
          </cell>
          <cell r="K1058">
            <v>0.22636707066044801</v>
          </cell>
          <cell r="L1058">
            <v>0.21905095267153099</v>
          </cell>
          <cell r="M1058">
            <v>0.21197269956919201</v>
          </cell>
          <cell r="N1058">
            <v>0.20512489921080401</v>
          </cell>
          <cell r="O1058">
            <v>0.19850531426358001</v>
          </cell>
        </row>
        <row r="1059">
          <cell r="A1059" t="str">
            <v>SCOM-SHSOLBR</v>
          </cell>
          <cell r="B1059" t="str">
            <v>VAR_fout</v>
          </cell>
          <cell r="C1059" t="str">
            <v>SCOM-SHASOL</v>
          </cell>
          <cell r="D1059">
            <v>0.62700963628317508</v>
          </cell>
          <cell r="E1059">
            <v>0.6873475556160199</v>
          </cell>
          <cell r="F1059">
            <v>0.68524938090148224</v>
          </cell>
          <cell r="G1059">
            <v>0.6875647032137796</v>
          </cell>
          <cell r="H1059">
            <v>3.4200452283611193</v>
          </cell>
          <cell r="I1059">
            <v>5.7831119583565451</v>
          </cell>
          <cell r="J1059">
            <v>6.7634475792239312</v>
          </cell>
          <cell r="K1059">
            <v>6.7642054636982971</v>
          </cell>
          <cell r="L1059">
            <v>4.9410660559726569</v>
          </cell>
          <cell r="M1059">
            <v>4.6981499410589675</v>
          </cell>
          <cell r="N1059">
            <v>4.8094154602037085</v>
          </cell>
          <cell r="O1059">
            <v>4.912920994932148</v>
          </cell>
        </row>
        <row r="1060">
          <cell r="A1060" t="str">
            <v>SCOM-SHSOLBR</v>
          </cell>
          <cell r="B1060" t="str">
            <v>VAR_fin</v>
          </cell>
          <cell r="C1060" t="str">
            <v>SOL</v>
          </cell>
          <cell r="D1060">
            <v>0.62700963628317508</v>
          </cell>
          <cell r="E1060">
            <v>0.6873475556160199</v>
          </cell>
          <cell r="F1060">
            <v>0.68524938090148224</v>
          </cell>
          <cell r="G1060">
            <v>0.6875647032137796</v>
          </cell>
          <cell r="H1060">
            <v>3.4200452283611193</v>
          </cell>
          <cell r="I1060">
            <v>5.7831119583565451</v>
          </cell>
          <cell r="J1060">
            <v>6.7634475792239312</v>
          </cell>
          <cell r="K1060">
            <v>6.7642054636982971</v>
          </cell>
          <cell r="L1060">
            <v>4.9410660559726569</v>
          </cell>
          <cell r="M1060">
            <v>4.6981499410589675</v>
          </cell>
          <cell r="N1060">
            <v>4.8094154602037085</v>
          </cell>
          <cell r="O1060">
            <v>4.912920994932148</v>
          </cell>
        </row>
        <row r="1061">
          <cell r="A1061" t="str">
            <v>SCOM-SHSOLBR</v>
          </cell>
          <cell r="B1061" t="str">
            <v>VAR_ncap</v>
          </cell>
          <cell r="C1061" t="str">
            <v>-</v>
          </cell>
          <cell r="D1061">
            <v>5.9515526669648799E-5</v>
          </cell>
          <cell r="E1061">
            <v>8.82934466821075E-3</v>
          </cell>
          <cell r="F1061">
            <v>2.0117211108898301E-5</v>
          </cell>
          <cell r="G1061">
            <v>3.4200114238897501E-5</v>
          </cell>
          <cell r="H1061">
            <v>0.49961574153079003</v>
          </cell>
          <cell r="I1061">
            <v>0.340344397213519</v>
          </cell>
          <cell r="J1061">
            <v>0.14247025612282099</v>
          </cell>
          <cell r="K1061">
            <v>0.49961606641074502</v>
          </cell>
          <cell r="L1061">
            <v>0.306925848984754</v>
          </cell>
          <cell r="M1061">
            <v>0.17588973567999899</v>
          </cell>
          <cell r="N1061">
            <v>0.50842335279145601</v>
          </cell>
          <cell r="O1061">
            <v>0.29812154825832998</v>
          </cell>
        </row>
        <row r="1062">
          <cell r="A1062" t="str">
            <v>SCOM-SHSOLBR</v>
          </cell>
          <cell r="B1062" t="str">
            <v>VAR_cap</v>
          </cell>
          <cell r="C1062" t="str">
            <v>-</v>
          </cell>
          <cell r="D1062">
            <v>9.111710900274915E-2</v>
          </cell>
          <cell r="E1062">
            <v>9.9946453670959903E-2</v>
          </cell>
          <cell r="F1062">
            <v>9.9966570882068798E-2</v>
          </cell>
          <cell r="G1062">
            <v>0.10000077099630771</v>
          </cell>
          <cell r="H1062">
            <v>0.52782353015833605</v>
          </cell>
          <cell r="I1062">
            <v>0.839992056946955</v>
          </cell>
          <cell r="J1062">
            <v>0.98243039486713102</v>
          </cell>
          <cell r="K1062">
            <v>0.98243071974708496</v>
          </cell>
          <cell r="L1062">
            <v>0.98243081840674795</v>
          </cell>
          <cell r="M1062">
            <v>0.98243165107549801</v>
          </cell>
          <cell r="N1062">
            <v>0.98243219998231801</v>
          </cell>
          <cell r="O1062">
            <v>0.98243463672978404</v>
          </cell>
        </row>
        <row r="1063">
          <cell r="A1063" t="str">
            <v>RHEM-SHSTG-ELCHP</v>
          </cell>
          <cell r="B1063" t="str">
            <v>VAR_fout</v>
          </cell>
          <cell r="C1063" t="str">
            <v>RHEM-SHAELCH</v>
          </cell>
          <cell r="D1063">
            <v>1.7696787906742651E-7</v>
          </cell>
          <cell r="E1063">
            <v>1.770992668459047E-7</v>
          </cell>
          <cell r="F1063">
            <v>1.8156945284254673</v>
          </cell>
          <cell r="G1063">
            <v>2.5177902193922499</v>
          </cell>
          <cell r="H1063">
            <v>4.0231455248457069</v>
          </cell>
          <cell r="I1063">
            <v>4.7220476437179126</v>
          </cell>
          <cell r="J1063">
            <v>5.1150307823892245</v>
          </cell>
          <cell r="K1063">
            <v>5.1052631792205858</v>
          </cell>
          <cell r="L1063">
            <v>4.927996725847696</v>
          </cell>
          <cell r="M1063">
            <v>4.5090700675463324</v>
          </cell>
          <cell r="N1063">
            <v>4.5259095991894105</v>
          </cell>
          <cell r="O1063">
            <v>4.6417126240593092</v>
          </cell>
        </row>
        <row r="1064">
          <cell r="A1064" t="str">
            <v>RHEM-SHSTG-ELCHP</v>
          </cell>
          <cell r="B1064" t="str">
            <v>VAR_fin</v>
          </cell>
          <cell r="C1064" t="str">
            <v>RHEM-SHAELCH</v>
          </cell>
          <cell r="D1064">
            <v>1.3672999592457657E-6</v>
          </cell>
          <cell r="E1064">
            <v>1.3673324875413343E-6</v>
          </cell>
          <cell r="F1064">
            <v>1.8158289478150165</v>
          </cell>
          <cell r="G1064">
            <v>2.5179694531545671</v>
          </cell>
          <cell r="H1064">
            <v>4.0233619698359693</v>
          </cell>
          <cell r="I1064">
            <v>4.7223155946248729</v>
          </cell>
          <cell r="J1064">
            <v>5.1153051337182003</v>
          </cell>
          <cell r="K1064">
            <v>5.1055483682043699</v>
          </cell>
          <cell r="L1064">
            <v>4.9282736212593301</v>
          </cell>
          <cell r="M1064">
            <v>4.5093506385975139</v>
          </cell>
          <cell r="N1064">
            <v>4.5261921494650865</v>
          </cell>
          <cell r="O1064">
            <v>4.6420100117025545</v>
          </cell>
        </row>
        <row r="1065">
          <cell r="A1065" t="str">
            <v>RHEM-SHSTG-ELCHP</v>
          </cell>
          <cell r="B1065" t="str">
            <v>VAR_ncap</v>
          </cell>
          <cell r="C1065" t="str">
            <v>-</v>
          </cell>
          <cell r="D1065">
            <v>2.5918860330277502E-2</v>
          </cell>
          <cell r="E1065">
            <v>0.16788251134106</v>
          </cell>
          <cell r="F1065">
            <v>7.6388180093674802E-3</v>
          </cell>
          <cell r="G1065">
            <v>9.2843961051348498E-2</v>
          </cell>
          <cell r="H1065">
            <v>0.219870400092958</v>
          </cell>
          <cell r="I1065">
            <v>0.23103603173496401</v>
          </cell>
          <cell r="J1065">
            <v>0.103557526008572</v>
          </cell>
          <cell r="K1065">
            <v>0.22275772455515999</v>
          </cell>
          <cell r="L1065">
            <v>0.20751491470696601</v>
          </cell>
          <cell r="M1065">
            <v>0.125416516696989</v>
          </cell>
          <cell r="N1065">
            <v>0.249557742645899</v>
          </cell>
          <cell r="O1065">
            <v>0.180850281819362</v>
          </cell>
        </row>
        <row r="1066">
          <cell r="A1066" t="str">
            <v>RHEM-SHSTG-ELCHP</v>
          </cell>
          <cell r="B1066" t="str">
            <v>VAR_cap</v>
          </cell>
          <cell r="C1066" t="str">
            <v>-</v>
          </cell>
          <cell r="D1066">
            <v>2.5918860330277502E-2</v>
          </cell>
          <cell r="E1066">
            <v>0.19365074223183498</v>
          </cell>
          <cell r="F1066">
            <v>0.2011336122626815</v>
          </cell>
          <cell r="G1066">
            <v>0.29387251283884208</v>
          </cell>
          <cell r="H1066">
            <v>0.41249974201416673</v>
          </cell>
          <cell r="I1066">
            <v>0.52734300037533322</v>
          </cell>
          <cell r="J1066">
            <v>0.55418690944454485</v>
          </cell>
          <cell r="K1066">
            <v>0.55660235316018802</v>
          </cell>
          <cell r="L1066">
            <v>0.55440758025668024</v>
          </cell>
          <cell r="M1066">
            <v>0.55441194206994737</v>
          </cell>
          <cell r="N1066">
            <v>0.5544041495916624</v>
          </cell>
          <cell r="O1066">
            <v>0.55444628412199826</v>
          </cell>
        </row>
        <row r="1067">
          <cell r="A1067" t="str">
            <v>ITOT-SWHELCBR</v>
          </cell>
          <cell r="B1067" t="str">
            <v>VAR_fout</v>
          </cell>
          <cell r="C1067" t="str">
            <v>ITOT-SWHAELC</v>
          </cell>
          <cell r="D1067">
            <v>9.8139156445914235</v>
          </cell>
          <cell r="E1067">
            <v>10.335110893671704</v>
          </cell>
          <cell r="F1067">
            <v>10.335832994721882</v>
          </cell>
          <cell r="G1067">
            <v>13.596148577607744</v>
          </cell>
          <cell r="H1067">
            <v>13.596150792849889</v>
          </cell>
          <cell r="I1067">
            <v>13.59615284577368</v>
          </cell>
          <cell r="J1067">
            <v>13.596155479513733</v>
          </cell>
          <cell r="K1067">
            <v>13.596165173590332</v>
          </cell>
          <cell r="L1067">
            <v>13.596181650014874</v>
          </cell>
          <cell r="M1067">
            <v>13.596206812162482</v>
          </cell>
          <cell r="N1067">
            <v>13.59621117235465</v>
          </cell>
          <cell r="O1067">
            <v>13.596253798845693</v>
          </cell>
        </row>
        <row r="1068">
          <cell r="A1068" t="str">
            <v>ITOT-SWHELCBR</v>
          </cell>
          <cell r="B1068" t="str">
            <v>VAR_fin</v>
          </cell>
          <cell r="C1068" t="str">
            <v>ITOT_ELC</v>
          </cell>
          <cell r="D1068">
            <v>11.646968833011849</v>
          </cell>
          <cell r="E1068">
            <v>12.259011101696183</v>
          </cell>
          <cell r="F1068">
            <v>12.250126316989125</v>
          </cell>
          <cell r="G1068">
            <v>16.092971342634158</v>
          </cell>
          <cell r="H1068">
            <v>16.071718640283613</v>
          </cell>
          <cell r="I1068">
            <v>16.050521812672169</v>
          </cell>
          <cell r="J1068">
            <v>16.029381515117155</v>
          </cell>
          <cell r="K1068">
            <v>16.008305153583848</v>
          </cell>
          <cell r="L1068">
            <v>16.008324553144561</v>
          </cell>
          <cell r="M1068">
            <v>16.008354179390786</v>
          </cell>
          <cell r="N1068">
            <v>16.008359313138879</v>
          </cell>
          <cell r="O1068">
            <v>16.008409502134633</v>
          </cell>
        </row>
        <row r="1069">
          <cell r="A1069" t="str">
            <v>ITOT-SWHELCBR</v>
          </cell>
          <cell r="B1069" t="str">
            <v>VAR_ncap</v>
          </cell>
          <cell r="C1069" t="str">
            <v>-</v>
          </cell>
          <cell r="E1069">
            <v>0.171941286542939</v>
          </cell>
          <cell r="F1069">
            <v>3.2017465899734698E-2</v>
          </cell>
          <cell r="G1069">
            <v>0.61657728640092802</v>
          </cell>
          <cell r="H1069">
            <v>0.49699523871067403</v>
          </cell>
          <cell r="I1069">
            <v>0.32988717846193899</v>
          </cell>
          <cell r="J1069">
            <v>0.32028920786011</v>
          </cell>
          <cell r="K1069">
            <v>0.46578671044377801</v>
          </cell>
          <cell r="L1069">
            <v>0.40451319867482</v>
          </cell>
          <cell r="M1069">
            <v>0.28767945238201797</v>
          </cell>
          <cell r="N1069">
            <v>0.55099329586568802</v>
          </cell>
          <cell r="O1069">
            <v>0.349702125193949</v>
          </cell>
        </row>
        <row r="1070">
          <cell r="A1070" t="str">
            <v>ITOT-SWHELCBR</v>
          </cell>
          <cell r="B1070" t="str">
            <v>VAR_cap</v>
          </cell>
          <cell r="C1070" t="str">
            <v>-</v>
          </cell>
          <cell r="D1070">
            <v>0.55644997413134401</v>
          </cell>
          <cell r="E1070">
            <v>0.72837691065431232</v>
          </cell>
          <cell r="F1070">
            <v>0.76035355657205239</v>
          </cell>
          <cell r="G1070">
            <v>1.3768465085505832</v>
          </cell>
          <cell r="H1070">
            <v>1.3777237766090196</v>
          </cell>
          <cell r="I1070">
            <v>1.3327219173241525</v>
          </cell>
          <cell r="J1070">
            <v>1.1470658228750694</v>
          </cell>
          <cell r="K1070">
            <v>1.1157988291397813</v>
          </cell>
          <cell r="L1070">
            <v>1.1986549543517238</v>
          </cell>
          <cell r="M1070">
            <v>1.157794960417549</v>
          </cell>
          <cell r="N1070">
            <v>1.1971827072521595</v>
          </cell>
          <cell r="O1070">
            <v>1.1881761435504417</v>
          </cell>
        </row>
        <row r="1071">
          <cell r="A1071"/>
          <cell r="B1071"/>
          <cell r="C1071"/>
        </row>
        <row r="1072">
          <cell r="A1072"/>
          <cell r="B1072"/>
          <cell r="C1072"/>
        </row>
        <row r="1073">
          <cell r="A1073"/>
          <cell r="B1073"/>
          <cell r="C1073"/>
        </row>
        <row r="1074">
          <cell r="A1074"/>
          <cell r="B1074"/>
          <cell r="C1074"/>
        </row>
        <row r="1075">
          <cell r="A1075"/>
          <cell r="B1075"/>
          <cell r="C1075"/>
        </row>
        <row r="1076">
          <cell r="A1076"/>
          <cell r="B1076"/>
          <cell r="C1076"/>
        </row>
        <row r="1077">
          <cell r="A1077"/>
          <cell r="B1077"/>
          <cell r="C1077"/>
        </row>
        <row r="1078">
          <cell r="A1078"/>
          <cell r="B1078"/>
          <cell r="C1078"/>
        </row>
        <row r="1079">
          <cell r="A1079"/>
          <cell r="B1079"/>
          <cell r="C1079"/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/>
          <cell r="B1082"/>
          <cell r="C1082"/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2045</v>
          </cell>
          <cell r="L3" t="str">
            <v>2050</v>
          </cell>
          <cell r="M3" t="str">
            <v>2055</v>
          </cell>
          <cell r="N3" t="str">
            <v>2060</v>
          </cell>
          <cell r="O3" t="str">
            <v>2065</v>
          </cell>
          <cell r="P3" t="str">
            <v>2070</v>
          </cell>
        </row>
        <row r="4">
          <cell r="B4" t="str">
            <v>CO2_M</v>
          </cell>
          <cell r="C4" t="str">
            <v>VAR_fout</v>
          </cell>
          <cell r="D4" t="str">
            <v>D-CO2_O</v>
          </cell>
          <cell r="J4">
            <v>382.85870054280491</v>
          </cell>
          <cell r="K4">
            <v>481.5550915605005</v>
          </cell>
          <cell r="L4">
            <v>770.20427094336651</v>
          </cell>
          <cell r="M4">
            <v>695.24428132193759</v>
          </cell>
          <cell r="N4">
            <v>647.18100364525878</v>
          </cell>
          <cell r="O4">
            <v>670.96178303986301</v>
          </cell>
          <cell r="P4">
            <v>667.89639462454988</v>
          </cell>
        </row>
        <row r="5">
          <cell r="B5" t="str">
            <v>CO2_M</v>
          </cell>
          <cell r="C5" t="str">
            <v>VAR_fin</v>
          </cell>
          <cell r="D5" t="str">
            <v>SUP_H2NGA</v>
          </cell>
          <cell r="J5">
            <v>95.167521282867739</v>
          </cell>
          <cell r="K5">
            <v>308.14522583050064</v>
          </cell>
          <cell r="L5">
            <v>743.85016834161672</v>
          </cell>
          <cell r="M5">
            <v>656.37266697339282</v>
          </cell>
          <cell r="N5">
            <v>632.59804811740025</v>
          </cell>
          <cell r="O5">
            <v>649.81652672734117</v>
          </cell>
          <cell r="P5">
            <v>650.36532974022316</v>
          </cell>
        </row>
        <row r="6">
          <cell r="B6" t="str">
            <v>CO2_M</v>
          </cell>
          <cell r="C6" t="str">
            <v>VAR_fin</v>
          </cell>
          <cell r="D6" t="str">
            <v>SUP_H2GSL</v>
          </cell>
          <cell r="J6">
            <v>170.11698066716022</v>
          </cell>
          <cell r="K6">
            <v>77.863922104010584</v>
          </cell>
          <cell r="L6">
            <v>16.772129633304772</v>
          </cell>
          <cell r="M6">
            <v>15.217614897426694</v>
          </cell>
          <cell r="N6">
            <v>14.14537578218609</v>
          </cell>
          <cell r="O6">
            <v>17.198411204666332</v>
          </cell>
          <cell r="P6">
            <v>14.040520237027396</v>
          </cell>
        </row>
        <row r="7">
          <cell r="B7" t="str">
            <v>CO2_M</v>
          </cell>
          <cell r="C7" t="str">
            <v>VAR_fin</v>
          </cell>
          <cell r="D7" t="str">
            <v>SUP_H2DSL</v>
          </cell>
          <cell r="J7">
            <v>117.57419859277715</v>
          </cell>
          <cell r="K7">
            <v>95.545943625989594</v>
          </cell>
          <cell r="L7">
            <v>9.5819729684447861</v>
          </cell>
          <cell r="M7">
            <v>23.6539994511187</v>
          </cell>
          <cell r="N7">
            <v>0.43757974567207775</v>
          </cell>
          <cell r="O7">
            <v>3.9468451078561131</v>
          </cell>
          <cell r="P7">
            <v>3.4905446473001476</v>
          </cell>
        </row>
        <row r="8">
          <cell r="B8" t="str">
            <v>CO2_M</v>
          </cell>
          <cell r="C8" t="str">
            <v>EQ_combalM</v>
          </cell>
          <cell r="D8" t="str">
            <v>-</v>
          </cell>
          <cell r="H8">
            <v>6.4679738131141749</v>
          </cell>
          <cell r="I8">
            <v>1.53484343747556</v>
          </cell>
          <cell r="J8">
            <v>-77.556676325314243</v>
          </cell>
          <cell r="K8">
            <v>-45.052790805806687</v>
          </cell>
          <cell r="L8">
            <v>-39.341346582150521</v>
          </cell>
          <cell r="M8">
            <v>-62.113804803164143</v>
          </cell>
          <cell r="N8">
            <v>-72.938024040884912</v>
          </cell>
          <cell r="O8">
            <v>-78.077878383949525</v>
          </cell>
          <cell r="P8">
            <v>-87.222749034902577</v>
          </cell>
        </row>
        <row r="9">
          <cell r="B9" t="str">
            <v>CO2_O</v>
          </cell>
          <cell r="C9" t="str">
            <v>VAR_fout</v>
          </cell>
          <cell r="D9" t="str">
            <v>EWSTINCCS</v>
          </cell>
          <cell r="J9">
            <v>315.58760453497524</v>
          </cell>
          <cell r="K9">
            <v>1113.6501627898544</v>
          </cell>
          <cell r="L9">
            <v>1256.9134476548065</v>
          </cell>
          <cell r="M9">
            <v>1198.4934707490729</v>
          </cell>
          <cell r="N9">
            <v>1173.1604588154353</v>
          </cell>
          <cell r="O9">
            <v>1171.7785062381347</v>
          </cell>
          <cell r="P9">
            <v>1173.0365899034953</v>
          </cell>
        </row>
        <row r="10">
          <cell r="B10" t="str">
            <v>CO2_O</v>
          </cell>
          <cell r="C10" t="str">
            <v>VAR_fout</v>
          </cell>
          <cell r="D10" t="str">
            <v>ENGA-CCS</v>
          </cell>
          <cell r="K10">
            <v>8.1564265419214896E-2</v>
          </cell>
          <cell r="L10">
            <v>1.1994813817764198</v>
          </cell>
          <cell r="M10">
            <v>108.09725710078634</v>
          </cell>
          <cell r="N10">
            <v>213.46572716910717</v>
          </cell>
          <cell r="O10">
            <v>212.82215567538535</v>
          </cell>
          <cell r="P10">
            <v>211.81397822623589</v>
          </cell>
        </row>
        <row r="11">
          <cell r="B11" t="str">
            <v>CO2_O</v>
          </cell>
          <cell r="C11" t="str">
            <v>VAR_fout</v>
          </cell>
          <cell r="D11" t="str">
            <v>CHPWSTCCS</v>
          </cell>
          <cell r="J11">
            <v>352.17191049326573</v>
          </cell>
          <cell r="K11">
            <v>1150.1531603752035</v>
          </cell>
          <cell r="L11">
            <v>1199.296182086835</v>
          </cell>
          <cell r="M11">
            <v>1143.5795386127727</v>
          </cell>
          <cell r="N11">
            <v>1119.392580069255</v>
          </cell>
          <cell r="O11">
            <v>1118.0954301278771</v>
          </cell>
          <cell r="P11">
            <v>1119.28051515176</v>
          </cell>
        </row>
        <row r="12">
          <cell r="B12" t="str">
            <v>CO2_O</v>
          </cell>
          <cell r="C12" t="str">
            <v>VAR_fout</v>
          </cell>
          <cell r="D12" t="str">
            <v>ITOT-CHPWSTCCS</v>
          </cell>
          <cell r="J12">
            <v>54.375226770427581</v>
          </cell>
          <cell r="K12">
            <v>369.97284257217012</v>
          </cell>
          <cell r="L12">
            <v>786.24172917624333</v>
          </cell>
          <cell r="M12">
            <v>714.16962214731711</v>
          </cell>
          <cell r="N12">
            <v>714.7046794824688</v>
          </cell>
          <cell r="O12">
            <v>714.78686113719266</v>
          </cell>
          <cell r="P12">
            <v>715.03629834947321</v>
          </cell>
        </row>
        <row r="13">
          <cell r="B13" t="str">
            <v>CO2_O</v>
          </cell>
          <cell r="C13" t="str">
            <v>VAR_fout</v>
          </cell>
          <cell r="D13" t="str">
            <v>ITOT-CHPNGACCS</v>
          </cell>
          <cell r="J13">
            <v>0.60277120644576654</v>
          </cell>
          <cell r="K13">
            <v>0.64505652139998326</v>
          </cell>
          <cell r="L13">
            <v>30.531876522404783</v>
          </cell>
          <cell r="M13">
            <v>37.610923340706471</v>
          </cell>
          <cell r="N13">
            <v>35.947698720288194</v>
          </cell>
          <cell r="O13">
            <v>37.798527481545442</v>
          </cell>
          <cell r="P13">
            <v>37.807436809059716</v>
          </cell>
        </row>
        <row r="14">
          <cell r="B14" t="str">
            <v>CO2_O</v>
          </cell>
          <cell r="C14" t="str">
            <v>VAR_fout</v>
          </cell>
          <cell r="D14" t="str">
            <v>SUP_WSTHTGBIOCCS</v>
          </cell>
          <cell r="J14">
            <v>4.2024273105637749E-2</v>
          </cell>
          <cell r="K14">
            <v>2.715968113634535E-2</v>
          </cell>
          <cell r="L14">
            <v>0.32436888983336859</v>
          </cell>
          <cell r="M14">
            <v>0.18503741254593914</v>
          </cell>
          <cell r="N14">
            <v>0.36766910198164288</v>
          </cell>
          <cell r="O14">
            <v>0.27984359890567267</v>
          </cell>
          <cell r="P14">
            <v>0.24384830552270184</v>
          </cell>
        </row>
        <row r="15">
          <cell r="B15" t="str">
            <v>CO2_O</v>
          </cell>
          <cell r="C15" t="str">
            <v>VAR_fout</v>
          </cell>
          <cell r="D15" t="str">
            <v>ITOT-CHPWODCCS</v>
          </cell>
          <cell r="J15">
            <v>493.42881643261586</v>
          </cell>
          <cell r="K15">
            <v>1087.1319589159925</v>
          </cell>
          <cell r="L15">
            <v>1256.9432192671118</v>
          </cell>
          <cell r="M15">
            <v>1256.9867829193392</v>
          </cell>
          <cell r="N15">
            <v>1256.9439863052739</v>
          </cell>
          <cell r="O15">
            <v>1256.9400678946859</v>
          </cell>
          <cell r="P15">
            <v>1256.9693238184916</v>
          </cell>
        </row>
        <row r="16">
          <cell r="B16" t="str">
            <v>CO2_O</v>
          </cell>
          <cell r="C16" t="str">
            <v>VAR_fout</v>
          </cell>
          <cell r="D16" t="str">
            <v>EWOD-CCS</v>
          </cell>
          <cell r="J16">
            <v>0.19613939919931953</v>
          </cell>
          <cell r="K16">
            <v>1.0790219821247462</v>
          </cell>
          <cell r="L16">
            <v>13.255113160144536</v>
          </cell>
          <cell r="M16">
            <v>170.36534937283139</v>
          </cell>
          <cell r="N16">
            <v>179.22750968455534</v>
          </cell>
          <cell r="O16">
            <v>182.29813745078425</v>
          </cell>
          <cell r="P16">
            <v>190.44658851809498</v>
          </cell>
        </row>
        <row r="17">
          <cell r="B17" t="str">
            <v>CO2_O</v>
          </cell>
          <cell r="C17" t="str">
            <v>VAR_fout</v>
          </cell>
          <cell r="D17" t="str">
            <v>ITOT-PROCESSCO2CCS</v>
          </cell>
          <cell r="J17">
            <v>0.31026759013546745</v>
          </cell>
          <cell r="K17">
            <v>1.0210474901030213</v>
          </cell>
          <cell r="L17">
            <v>1031.8724849967509</v>
          </cell>
          <cell r="M17">
            <v>1031.8740801899824</v>
          </cell>
          <cell r="N17">
            <v>1031.8752371706219</v>
          </cell>
          <cell r="O17">
            <v>1031.8750169359453</v>
          </cell>
          <cell r="P17">
            <v>1031.8753524848742</v>
          </cell>
        </row>
        <row r="18">
          <cell r="B18" t="str">
            <v>CO2_O</v>
          </cell>
          <cell r="C18" t="str">
            <v>VAR_fout</v>
          </cell>
          <cell r="D18" t="str">
            <v>SUP_WODH2CCS</v>
          </cell>
          <cell r="L18">
            <v>344.27704971714587</v>
          </cell>
          <cell r="M18">
            <v>977.13377296821636</v>
          </cell>
          <cell r="N18">
            <v>971.37153852352924</v>
          </cell>
          <cell r="O18">
            <v>1539.8835625700981</v>
          </cell>
          <cell r="P18">
            <v>1674.253864315612</v>
          </cell>
        </row>
        <row r="19">
          <cell r="B19" t="str">
            <v>CO2_O</v>
          </cell>
          <cell r="C19" t="str">
            <v>VAR_fout</v>
          </cell>
          <cell r="D19" t="str">
            <v>SUP_WODBIOCCS</v>
          </cell>
          <cell r="J19">
            <v>7.889488047794703E-2</v>
          </cell>
          <cell r="K19">
            <v>0.10196876710280767</v>
          </cell>
          <cell r="L19">
            <v>0.25017401021219154</v>
          </cell>
          <cell r="M19">
            <v>0.23116523995043364</v>
          </cell>
          <cell r="N19">
            <v>0.70848233556631857</v>
          </cell>
          <cell r="O19">
            <v>0.68213845324707312</v>
          </cell>
          <cell r="P19">
            <v>0.90280397852855043</v>
          </cell>
        </row>
        <row r="20">
          <cell r="B20" t="str">
            <v>CO2_O</v>
          </cell>
          <cell r="C20" t="str">
            <v>VAR_fout</v>
          </cell>
          <cell r="D20" t="str">
            <v>SUP_NGAH2CCS</v>
          </cell>
          <cell r="L20">
            <v>3.2463201656946397E-2</v>
          </cell>
          <cell r="M20">
            <v>5.6930328411437504E-2</v>
          </cell>
          <cell r="N20">
            <v>6.6113336390507524E-2</v>
          </cell>
          <cell r="O20">
            <v>5.7881647054901543E-2</v>
          </cell>
          <cell r="P20">
            <v>7.2064270136206796E-2</v>
          </cell>
        </row>
        <row r="21">
          <cell r="B21" t="str">
            <v>CO2_O</v>
          </cell>
          <cell r="C21" t="str">
            <v>VAR_fout</v>
          </cell>
          <cell r="D21" t="str">
            <v>CT_CWODETHCCS</v>
          </cell>
          <cell r="J21">
            <v>1.0965110613234406E-2</v>
          </cell>
          <cell r="K21">
            <v>1.4919095850787049E-2</v>
          </cell>
          <cell r="L21">
            <v>2.2044112945867576E-2</v>
          </cell>
          <cell r="M21">
            <v>1.7527852723020359E-2</v>
          </cell>
          <cell r="N21">
            <v>6.0147140381685803E-2</v>
          </cell>
          <cell r="O21">
            <v>1.7933015347928613E-2</v>
          </cell>
          <cell r="P21">
            <v>5.9224783692396671E-2</v>
          </cell>
        </row>
        <row r="22">
          <cell r="B22" t="str">
            <v>CO2_O</v>
          </cell>
          <cell r="C22" t="str">
            <v>VAR_fout</v>
          </cell>
          <cell r="D22" t="str">
            <v>SUP_DAC</v>
          </cell>
          <cell r="J22">
            <v>2.072429233341741E-2</v>
          </cell>
          <cell r="K22">
            <v>2.6468371680148019E-2</v>
          </cell>
          <cell r="L22">
            <v>21.81453697128013</v>
          </cell>
          <cell r="M22">
            <v>219.36350943276329</v>
          </cell>
          <cell r="N22">
            <v>1579.3373942402559</v>
          </cell>
          <cell r="O22">
            <v>1749.199141600393</v>
          </cell>
          <cell r="P22">
            <v>2413.7728765842658</v>
          </cell>
        </row>
        <row r="23">
          <cell r="B23" t="str">
            <v>CO2_O</v>
          </cell>
          <cell r="C23" t="str">
            <v>VAR_fout</v>
          </cell>
          <cell r="D23" t="str">
            <v>CT_CWODBDSCCS</v>
          </cell>
          <cell r="J23">
            <v>0.12873107397199357</v>
          </cell>
          <cell r="K23">
            <v>0.19999003452981245</v>
          </cell>
          <cell r="L23">
            <v>542.15581196523146</v>
          </cell>
          <cell r="M23">
            <v>717.53964835653312</v>
          </cell>
          <cell r="N23">
            <v>604.31595485824334</v>
          </cell>
          <cell r="O23">
            <v>709.82589400666541</v>
          </cell>
          <cell r="P23">
            <v>709.06486839441379</v>
          </cell>
        </row>
        <row r="24">
          <cell r="B24" t="str">
            <v>CO2_O</v>
          </cell>
          <cell r="C24" t="str">
            <v>VAR_fin</v>
          </cell>
          <cell r="D24" t="str">
            <v>D-CO2_O</v>
          </cell>
          <cell r="J24">
            <v>1216.1895811236848</v>
          </cell>
          <cell r="K24">
            <v>3723.6011334201012</v>
          </cell>
          <cell r="L24">
            <v>6484.6518798120414</v>
          </cell>
          <cell r="M24">
            <v>7575.1457007717145</v>
          </cell>
          <cell r="N24">
            <v>8880.603637619035</v>
          </cell>
          <cell r="O24">
            <v>9725.7858167979575</v>
          </cell>
          <cell r="P24">
            <v>10533.728956033952</v>
          </cell>
        </row>
        <row r="25">
          <cell r="B25" t="str">
            <v>CO2_O</v>
          </cell>
          <cell r="C25" t="str">
            <v>EQ_combalM</v>
          </cell>
          <cell r="D25" t="str">
            <v>-</v>
          </cell>
          <cell r="H25">
            <v>6.4679738131141749</v>
          </cell>
          <cell r="I25">
            <v>1.53484343747556</v>
          </cell>
          <cell r="J25">
            <v>-78.304239385747039</v>
          </cell>
          <cell r="K25">
            <v>-45.677411840539328</v>
          </cell>
          <cell r="L25">
            <v>-40.698982363797967</v>
          </cell>
          <cell r="M25">
            <v>-62.978470827265959</v>
          </cell>
          <cell r="N25">
            <v>-73.71200265323462</v>
          </cell>
          <cell r="O25">
            <v>-79.259214458479605</v>
          </cell>
          <cell r="P25">
            <v>-88.392911321703238</v>
          </cell>
        </row>
        <row r="26">
          <cell r="B26" t="str">
            <v>CO2_Q</v>
          </cell>
          <cell r="C26" t="str">
            <v>VAR_fout</v>
          </cell>
          <cell r="D26" t="str">
            <v>D-CO2_O</v>
          </cell>
          <cell r="J26">
            <v>833.33088058087912</v>
          </cell>
          <cell r="K26">
            <v>1159.6293287957526</v>
          </cell>
          <cell r="L26">
            <v>1.5949140318801243E-2</v>
          </cell>
          <cell r="M26">
            <v>572.70569583230861</v>
          </cell>
          <cell r="N26">
            <v>1926.2270189639892</v>
          </cell>
          <cell r="O26">
            <v>2747.6266161274061</v>
          </cell>
          <cell r="P26">
            <v>3558.6360006196901</v>
          </cell>
        </row>
        <row r="27">
          <cell r="B27" t="str">
            <v>CO2_Q</v>
          </cell>
          <cell r="C27" t="str">
            <v>VAR_fin</v>
          </cell>
          <cell r="D27" t="str">
            <v>CO2SINK</v>
          </cell>
          <cell r="J27">
            <v>833.33088058087912</v>
          </cell>
          <cell r="K27">
            <v>1159.6293287957526</v>
          </cell>
          <cell r="L27">
            <v>1.5949140318801243E-2</v>
          </cell>
          <cell r="M27">
            <v>572.70569583230861</v>
          </cell>
          <cell r="N27">
            <v>1926.2270189639892</v>
          </cell>
          <cell r="O27">
            <v>2747.6266161274061</v>
          </cell>
          <cell r="P27">
            <v>3558.6360006196901</v>
          </cell>
        </row>
        <row r="28">
          <cell r="B28" t="str">
            <v>CO2_Q</v>
          </cell>
          <cell r="C28" t="str">
            <v>EQ_combalM</v>
          </cell>
          <cell r="D28" t="str">
            <v>-</v>
          </cell>
          <cell r="J28">
            <v>-77.556676325314243</v>
          </cell>
          <cell r="K28">
            <v>-45.052790805806687</v>
          </cell>
          <cell r="L28">
            <v>-39.341346582150521</v>
          </cell>
          <cell r="M28">
            <v>-62.113804803164143</v>
          </cell>
          <cell r="N28">
            <v>-72.938024040884912</v>
          </cell>
          <cell r="O28">
            <v>-78.077878383949525</v>
          </cell>
          <cell r="P28">
            <v>-87.222749034902577</v>
          </cell>
        </row>
        <row r="29">
          <cell r="B29" t="str">
            <v>CO2_R</v>
          </cell>
          <cell r="C29" t="str">
            <v>VAR_fout</v>
          </cell>
          <cell r="D29" t="str">
            <v>RHNS-SHNGAHP</v>
          </cell>
          <cell r="G29">
            <v>0.246282034607964</v>
          </cell>
          <cell r="H29">
            <v>0.22273299481952799</v>
          </cell>
          <cell r="I29">
            <v>5.2486596437594999</v>
          </cell>
          <cell r="J29">
            <v>4.9196801677728796</v>
          </cell>
          <cell r="K29">
            <v>4.7367452539389099</v>
          </cell>
          <cell r="L29">
            <v>0.25601812651087003</v>
          </cell>
          <cell r="M29">
            <v>0.25551089383960501</v>
          </cell>
          <cell r="N29">
            <v>0.25525351342177899</v>
          </cell>
          <cell r="O29">
            <v>0.25503110786788102</v>
          </cell>
          <cell r="P29">
            <v>0.23941404446085299</v>
          </cell>
        </row>
        <row r="30">
          <cell r="B30" t="str">
            <v>CO2_R</v>
          </cell>
          <cell r="C30" t="str">
            <v>VAR_fout</v>
          </cell>
          <cell r="D30" t="str">
            <v>RHNS-CHPGFC</v>
          </cell>
          <cell r="M30">
            <v>0.253856121994812</v>
          </cell>
          <cell r="N30">
            <v>0.42328309015815102</v>
          </cell>
          <cell r="O30">
            <v>0.42642329239851601</v>
          </cell>
          <cell r="P30">
            <v>0.87291900854473703</v>
          </cell>
        </row>
        <row r="31">
          <cell r="B31" t="str">
            <v>CO2_R</v>
          </cell>
          <cell r="C31" t="str">
            <v>VAR_fout</v>
          </cell>
          <cell r="D31" t="str">
            <v>RHES-CHPNGA</v>
          </cell>
          <cell r="E31">
            <v>6.5453797295639902</v>
          </cell>
          <cell r="F31">
            <v>2.7671557007051502</v>
          </cell>
          <cell r="G31">
            <v>3.2202332379403402</v>
          </cell>
          <cell r="H31">
            <v>1.7220714591861599</v>
          </cell>
          <cell r="I31">
            <v>1.33968741592677</v>
          </cell>
          <cell r="J31">
            <v>0.51225093483853401</v>
          </cell>
          <cell r="M31">
            <v>0.96703837250133295</v>
          </cell>
          <cell r="N31">
            <v>1.3788154026225301</v>
          </cell>
          <cell r="O31">
            <v>5.2206559851814998</v>
          </cell>
          <cell r="P31">
            <v>5.3170933754196197</v>
          </cell>
        </row>
        <row r="32">
          <cell r="B32" t="str">
            <v>CO2_R</v>
          </cell>
          <cell r="C32" t="str">
            <v>VAR_fout</v>
          </cell>
          <cell r="D32" t="str">
            <v>RHEM-CHPGFC</v>
          </cell>
          <cell r="M32">
            <v>0.82584783873904799</v>
          </cell>
          <cell r="N32">
            <v>1.23496151756185</v>
          </cell>
          <cell r="O32">
            <v>1.83325389822075</v>
          </cell>
          <cell r="P32">
            <v>4.0587095511630196</v>
          </cell>
        </row>
        <row r="33">
          <cell r="B33" t="str">
            <v>CO2_R</v>
          </cell>
          <cell r="C33" t="str">
            <v>VAR_fout</v>
          </cell>
          <cell r="D33" t="str">
            <v>RHEM-SHNGABR</v>
          </cell>
          <cell r="E33">
            <v>1127.9646506962899</v>
          </cell>
          <cell r="F33">
            <v>1119.6017901082801</v>
          </cell>
          <cell r="G33">
            <v>1149.35953924522</v>
          </cell>
          <cell r="H33">
            <v>1149.3477540505301</v>
          </cell>
          <cell r="I33">
            <v>1040.34065343682</v>
          </cell>
          <cell r="J33">
            <v>707.26044613314502</v>
          </cell>
          <cell r="K33">
            <v>352.90964109729498</v>
          </cell>
          <cell r="L33">
            <v>309.81482087817301</v>
          </cell>
          <cell r="M33">
            <v>290.79394695688001</v>
          </cell>
          <cell r="N33">
            <v>285.10754613767398</v>
          </cell>
          <cell r="O33">
            <v>285.10722427853301</v>
          </cell>
          <cell r="P33">
            <v>252.07161234405999</v>
          </cell>
        </row>
        <row r="34">
          <cell r="B34" t="str">
            <v>CO2_R</v>
          </cell>
          <cell r="C34" t="str">
            <v>VAR_fout</v>
          </cell>
          <cell r="D34" t="str">
            <v>RHSA-WHNGAHP</v>
          </cell>
          <cell r="G34">
            <v>0.25282300544203701</v>
          </cell>
          <cell r="H34">
            <v>0.30224040729622897</v>
          </cell>
          <cell r="I34">
            <v>28.6622835260413</v>
          </cell>
          <cell r="J34">
            <v>27.534186418133199</v>
          </cell>
          <cell r="K34">
            <v>44.711257533156001</v>
          </cell>
          <cell r="L34">
            <v>17.846517099620701</v>
          </cell>
          <cell r="M34">
            <v>17.860801232215898</v>
          </cell>
          <cell r="N34">
            <v>17.895362484527801</v>
          </cell>
          <cell r="O34">
            <v>17.895446518950902</v>
          </cell>
          <cell r="P34">
            <v>17.891998193002301</v>
          </cell>
        </row>
        <row r="35">
          <cell r="B35" t="str">
            <v>CO2_R</v>
          </cell>
          <cell r="C35" t="str">
            <v>VAR_fout</v>
          </cell>
          <cell r="D35" t="str">
            <v>RHEM-SHLFOBR</v>
          </cell>
          <cell r="E35">
            <v>1928.7126367556</v>
          </cell>
          <cell r="F35">
            <v>1530.6288470971299</v>
          </cell>
          <cell r="G35">
            <v>1598.2026193177001</v>
          </cell>
          <cell r="H35">
            <v>1199.7087740084401</v>
          </cell>
          <cell r="I35">
            <v>500.061749661303</v>
          </cell>
          <cell r="J35">
            <v>0.82436053057345204</v>
          </cell>
          <cell r="K35">
            <v>0.66364882684326698</v>
          </cell>
          <cell r="L35">
            <v>0.65869977190691797</v>
          </cell>
          <cell r="M35">
            <v>0.432118981697594</v>
          </cell>
          <cell r="N35">
            <v>0.431339603055378</v>
          </cell>
          <cell r="O35">
            <v>0.43086885333032798</v>
          </cell>
          <cell r="P35">
            <v>0.35454767953137001</v>
          </cell>
        </row>
        <row r="36">
          <cell r="B36" t="str">
            <v>CO2_R</v>
          </cell>
          <cell r="C36" t="str">
            <v>VAR_fout</v>
          </cell>
          <cell r="D36" t="str">
            <v>RHES-SHNGAHP</v>
          </cell>
          <cell r="G36">
            <v>0.25631102891275798</v>
          </cell>
          <cell r="H36">
            <v>0.254440293858408</v>
          </cell>
          <cell r="I36">
            <v>102.68143801994</v>
          </cell>
          <cell r="J36">
            <v>99.112939874713604</v>
          </cell>
          <cell r="K36">
            <v>96.453695275172393</v>
          </cell>
          <cell r="L36">
            <v>0.27006117989141099</v>
          </cell>
          <cell r="M36">
            <v>0.26934704291692801</v>
          </cell>
          <cell r="N36">
            <v>0.26909640993985001</v>
          </cell>
          <cell r="O36">
            <v>0.26890224206110902</v>
          </cell>
          <cell r="P36">
            <v>0.26857032964436101</v>
          </cell>
        </row>
        <row r="37">
          <cell r="B37" t="str">
            <v>CO2_R</v>
          </cell>
          <cell r="C37" t="str">
            <v>VAR_fout</v>
          </cell>
          <cell r="D37" t="str">
            <v>RHES-CHPGFC</v>
          </cell>
          <cell r="M37">
            <v>0.29640791355176699</v>
          </cell>
          <cell r="N37">
            <v>0.53563146859247301</v>
          </cell>
          <cell r="O37">
            <v>0.55288297494454797</v>
          </cell>
          <cell r="P37">
            <v>1.0894591127950799</v>
          </cell>
        </row>
        <row r="38">
          <cell r="B38" t="str">
            <v>CO2_R</v>
          </cell>
          <cell r="C38" t="str">
            <v>VAR_fout</v>
          </cell>
          <cell r="D38" t="str">
            <v>RHNM-CHPNGA</v>
          </cell>
          <cell r="F38">
            <v>0.81718717661620399</v>
          </cell>
          <cell r="G38">
            <v>3.6464141007626298</v>
          </cell>
          <cell r="H38">
            <v>3.0159860436939399</v>
          </cell>
          <cell r="I38">
            <v>3.39883942538835</v>
          </cell>
          <cell r="J38">
            <v>1.9349826019894401</v>
          </cell>
          <cell r="M38">
            <v>0.69173707931887696</v>
          </cell>
          <cell r="N38">
            <v>1.49066065942642</v>
          </cell>
          <cell r="O38">
            <v>0.683243709779908</v>
          </cell>
          <cell r="P38">
            <v>1.3001174389374299</v>
          </cell>
        </row>
        <row r="39">
          <cell r="B39" t="str">
            <v>CO2_R</v>
          </cell>
          <cell r="C39" t="str">
            <v>VAR_fout</v>
          </cell>
          <cell r="D39" t="str">
            <v>RHNM-SHNGAHP</v>
          </cell>
          <cell r="G39">
            <v>0.35735526113879101</v>
          </cell>
          <cell r="H39">
            <v>0.35807791410689399</v>
          </cell>
          <cell r="I39">
            <v>5.1372390219212596</v>
          </cell>
          <cell r="J39">
            <v>4.6625202076661596</v>
          </cell>
          <cell r="K39">
            <v>4.4380918668433296</v>
          </cell>
          <cell r="L39">
            <v>0.17095022852580199</v>
          </cell>
          <cell r="M39">
            <v>0.23004653369233199</v>
          </cell>
          <cell r="N39">
            <v>0.36851023876275502</v>
          </cell>
          <cell r="O39">
            <v>0.36781722679309198</v>
          </cell>
          <cell r="P39">
            <v>0.36778872794956602</v>
          </cell>
        </row>
        <row r="40">
          <cell r="B40" t="str">
            <v>CO2_R</v>
          </cell>
          <cell r="C40" t="str">
            <v>VAR_fout</v>
          </cell>
          <cell r="D40" t="str">
            <v>RHES-SHNGABR</v>
          </cell>
          <cell r="E40">
            <v>1043.1366217585301</v>
          </cell>
          <cell r="F40">
            <v>1206.76694138013</v>
          </cell>
          <cell r="G40">
            <v>1111.04560114675</v>
          </cell>
          <cell r="H40">
            <v>1111.0438844911</v>
          </cell>
          <cell r="I40">
            <v>944.23959100569903</v>
          </cell>
          <cell r="J40">
            <v>637.16777034795496</v>
          </cell>
          <cell r="K40">
            <v>493.11318827413402</v>
          </cell>
          <cell r="L40">
            <v>202.08634045791999</v>
          </cell>
          <cell r="M40">
            <v>126.000637666823</v>
          </cell>
          <cell r="N40">
            <v>109.80667974269601</v>
          </cell>
          <cell r="O40">
            <v>109.806306742153</v>
          </cell>
          <cell r="P40">
            <v>101.481497292231</v>
          </cell>
        </row>
        <row r="41">
          <cell r="B41" t="str">
            <v>CO2_R</v>
          </cell>
          <cell r="C41" t="str">
            <v>VAR_fout</v>
          </cell>
          <cell r="D41" t="str">
            <v>RHSA-WHNGABR</v>
          </cell>
          <cell r="E41">
            <v>479.81185989831101</v>
          </cell>
          <cell r="F41">
            <v>386.22699887003199</v>
          </cell>
          <cell r="G41">
            <v>687.38022525174495</v>
          </cell>
          <cell r="H41">
            <v>688.12119944053995</v>
          </cell>
          <cell r="I41">
            <v>498.63952616520999</v>
          </cell>
          <cell r="J41">
            <v>206.84216190642999</v>
          </cell>
          <cell r="K41">
            <v>129.34418160427199</v>
          </cell>
          <cell r="L41">
            <v>77.773206141553999</v>
          </cell>
          <cell r="M41">
            <v>63.324244777817398</v>
          </cell>
          <cell r="N41">
            <v>60.000079121835903</v>
          </cell>
          <cell r="O41">
            <v>60.000156948744497</v>
          </cell>
          <cell r="P41">
            <v>53.717345064368601</v>
          </cell>
        </row>
        <row r="42">
          <cell r="B42" t="str">
            <v>CO2_R</v>
          </cell>
          <cell r="C42" t="str">
            <v>VAR_fout</v>
          </cell>
          <cell r="D42" t="str">
            <v>RHSA-WHLFOBR</v>
          </cell>
          <cell r="E42">
            <v>726.71500085031198</v>
          </cell>
          <cell r="F42">
            <v>610.68912616564398</v>
          </cell>
          <cell r="G42">
            <v>182.08838354203399</v>
          </cell>
          <cell r="H42">
            <v>60.566052290837298</v>
          </cell>
          <cell r="I42">
            <v>17.421574987995299</v>
          </cell>
          <cell r="J42">
            <v>0.15818367420232399</v>
          </cell>
          <cell r="K42">
            <v>0.14342876248810699</v>
          </cell>
          <cell r="L42">
            <v>9.9786853370589707E-2</v>
          </cell>
          <cell r="M42">
            <v>9.5035208653428599E-2</v>
          </cell>
          <cell r="N42">
            <v>0.122085857774948</v>
          </cell>
          <cell r="O42">
            <v>0.155267691610321</v>
          </cell>
          <cell r="P42">
            <v>0.15874195057101501</v>
          </cell>
        </row>
        <row r="43">
          <cell r="B43" t="str">
            <v>CO2_R</v>
          </cell>
          <cell r="C43" t="str">
            <v>VAR_fout</v>
          </cell>
          <cell r="D43" t="str">
            <v>RHES-SHLFOBR</v>
          </cell>
          <cell r="E43">
            <v>1783.6647457967499</v>
          </cell>
          <cell r="F43">
            <v>1640.9714187704101</v>
          </cell>
          <cell r="G43">
            <v>1765.0603044808499</v>
          </cell>
          <cell r="H43">
            <v>1666.7793752282701</v>
          </cell>
          <cell r="I43">
            <v>461.94316597436801</v>
          </cell>
          <cell r="J43">
            <v>1.71229751175981</v>
          </cell>
          <cell r="K43">
            <v>1.70310612151173</v>
          </cell>
          <cell r="L43">
            <v>1.7014413429570401</v>
          </cell>
          <cell r="M43">
            <v>0.39959615032634399</v>
          </cell>
          <cell r="N43">
            <v>0.39862965216095703</v>
          </cell>
          <cell r="O43">
            <v>0.39832317597636702</v>
          </cell>
          <cell r="P43">
            <v>0.39244640327021502</v>
          </cell>
        </row>
        <row r="44">
          <cell r="B44" t="str">
            <v>CO2_R</v>
          </cell>
          <cell r="C44" t="str">
            <v>VAR_fout</v>
          </cell>
          <cell r="D44" t="str">
            <v>RHNS-CHPNGA</v>
          </cell>
          <cell r="F44">
            <v>0.71317301713322601</v>
          </cell>
          <cell r="G44">
            <v>1.3863688764187601</v>
          </cell>
          <cell r="H44">
            <v>1.0961596652944301</v>
          </cell>
          <cell r="I44">
            <v>1.189733227544</v>
          </cell>
          <cell r="J44">
            <v>0.63074032959757398</v>
          </cell>
          <cell r="M44">
            <v>0.50783945656946305</v>
          </cell>
          <cell r="N44">
            <v>0.62818797072440802</v>
          </cell>
          <cell r="O44">
            <v>0.60618534344666997</v>
          </cell>
          <cell r="P44">
            <v>1.32779667077657</v>
          </cell>
        </row>
        <row r="45">
          <cell r="B45" t="str">
            <v>CO2_R</v>
          </cell>
          <cell r="C45" t="str">
            <v>VAR_fout</v>
          </cell>
          <cell r="D45" t="str">
            <v>RHNM-CHPGFC</v>
          </cell>
          <cell r="M45">
            <v>0.59343816756150303</v>
          </cell>
          <cell r="N45">
            <v>0.90928688634824795</v>
          </cell>
          <cell r="O45">
            <v>0.81072753414602605</v>
          </cell>
          <cell r="P45">
            <v>1.7690505580661799</v>
          </cell>
        </row>
        <row r="46">
          <cell r="B46" t="str">
            <v>CO2_R</v>
          </cell>
          <cell r="C46" t="str">
            <v>VAR_fout</v>
          </cell>
          <cell r="D46" t="str">
            <v>RHEM-CHPNGA</v>
          </cell>
          <cell r="E46">
            <v>8.6768873827367496</v>
          </cell>
          <cell r="F46">
            <v>6.2998576832941797</v>
          </cell>
          <cell r="G46">
            <v>25.811273403162001</v>
          </cell>
          <cell r="H46">
            <v>25.052897959475501</v>
          </cell>
          <cell r="I46">
            <v>24.582512107527599</v>
          </cell>
          <cell r="J46">
            <v>10.639719243860201</v>
          </cell>
          <cell r="M46">
            <v>2.01633627379876</v>
          </cell>
          <cell r="N46">
            <v>14.7596278597522</v>
          </cell>
          <cell r="O46">
            <v>21.5165063843829</v>
          </cell>
          <cell r="P46">
            <v>36.344172370259599</v>
          </cell>
        </row>
        <row r="47">
          <cell r="B47" t="str">
            <v>CO2_R</v>
          </cell>
          <cell r="C47" t="str">
            <v>VAR_fout</v>
          </cell>
          <cell r="D47" t="str">
            <v>RHES-SHCOABR</v>
          </cell>
          <cell r="E47">
            <v>9.2734687306682098</v>
          </cell>
          <cell r="F47">
            <v>9.2734095249760404</v>
          </cell>
          <cell r="G47">
            <v>0.72537559086567005</v>
          </cell>
          <cell r="H47">
            <v>0.35033544648981302</v>
          </cell>
          <cell r="I47">
            <v>0.13533324454592899</v>
          </cell>
        </row>
        <row r="48">
          <cell r="B48" t="str">
            <v>CO2_R</v>
          </cell>
          <cell r="C48" t="str">
            <v>VAR_fout</v>
          </cell>
          <cell r="D48" t="str">
            <v>RHEM-SHNGAHP</v>
          </cell>
          <cell r="G48">
            <v>0.20982233667998801</v>
          </cell>
          <cell r="H48">
            <v>0.27855953364234598</v>
          </cell>
          <cell r="I48">
            <v>2.3042285524102799</v>
          </cell>
          <cell r="J48">
            <v>2.8808053713631598</v>
          </cell>
          <cell r="K48">
            <v>74.031735810292901</v>
          </cell>
          <cell r="L48">
            <v>70.428847294444395</v>
          </cell>
          <cell r="M48">
            <v>70.428349778069204</v>
          </cell>
          <cell r="N48">
            <v>70.427960076752001</v>
          </cell>
          <cell r="O48">
            <v>70.427890744634098</v>
          </cell>
          <cell r="P48">
            <v>70.427511878422905</v>
          </cell>
        </row>
        <row r="49">
          <cell r="B49" t="str">
            <v>CO2_R</v>
          </cell>
          <cell r="C49" t="str">
            <v>VAR_comnet</v>
          </cell>
          <cell r="D49" t="str">
            <v>-</v>
          </cell>
          <cell r="E49">
            <v>7114.5012515987601</v>
          </cell>
          <cell r="F49">
            <v>6514.7559054943604</v>
          </cell>
          <cell r="G49">
            <v>6529.2489318602302</v>
          </cell>
          <cell r="H49">
            <v>5908.2205412275898</v>
          </cell>
          <cell r="I49">
            <v>3637.3262154163999</v>
          </cell>
          <cell r="J49">
            <v>1706.7930452539999</v>
          </cell>
          <cell r="K49">
            <v>1202.2487204259501</v>
          </cell>
          <cell r="L49">
            <v>681.10668937487401</v>
          </cell>
          <cell r="M49">
            <v>576.24213644696704</v>
          </cell>
          <cell r="N49">
            <v>566.44299769378699</v>
          </cell>
          <cell r="O49">
            <v>576.76311465315496</v>
          </cell>
          <cell r="P49">
            <v>549.45079199347401</v>
          </cell>
        </row>
        <row r="50">
          <cell r="B50" t="str">
            <v>CO2_S</v>
          </cell>
          <cell r="C50" t="str">
            <v>VAR_fout</v>
          </cell>
          <cell r="D50" t="str">
            <v>SCOM-SHNGAHP</v>
          </cell>
          <cell r="G50">
            <v>0.22282081387734101</v>
          </cell>
          <cell r="H50">
            <v>0.190382738813099</v>
          </cell>
          <cell r="I50">
            <v>1.6046087132364799</v>
          </cell>
          <cell r="J50">
            <v>12.8987201841901</v>
          </cell>
          <cell r="K50">
            <v>12.540522427897301</v>
          </cell>
          <cell r="L50">
            <v>19.063313240325801</v>
          </cell>
          <cell r="M50">
            <v>5.1593556389067396</v>
          </cell>
          <cell r="N50">
            <v>8.6085495923107391</v>
          </cell>
          <cell r="O50">
            <v>11.649643784076799</v>
          </cell>
          <cell r="P50">
            <v>10.993600097281201</v>
          </cell>
        </row>
        <row r="51">
          <cell r="B51" t="str">
            <v>CO2_S</v>
          </cell>
          <cell r="C51" t="str">
            <v>VAR_fout</v>
          </cell>
          <cell r="D51" t="str">
            <v>SCOM-CHPNGA</v>
          </cell>
          <cell r="E51">
            <v>96.326284742672996</v>
          </cell>
          <cell r="F51">
            <v>98.079883053797801</v>
          </cell>
          <cell r="G51">
            <v>125.90420908980801</v>
          </cell>
          <cell r="H51">
            <v>107.90916038867</v>
          </cell>
          <cell r="I51">
            <v>97.5721688498394</v>
          </cell>
          <cell r="J51">
            <v>50.979365537259802</v>
          </cell>
          <cell r="M51">
            <v>1.4194455113031901</v>
          </cell>
          <cell r="N51">
            <v>1.6245982953582501</v>
          </cell>
          <cell r="O51">
            <v>2.5532187384413501</v>
          </cell>
          <cell r="P51">
            <v>4.2417837145738799</v>
          </cell>
        </row>
        <row r="52">
          <cell r="B52" t="str">
            <v>CO2_S</v>
          </cell>
          <cell r="C52" t="str">
            <v>VAR_fout</v>
          </cell>
          <cell r="D52" t="str">
            <v>SCOM-SHNGABR</v>
          </cell>
          <cell r="E52">
            <v>1440.9476145178401</v>
          </cell>
          <cell r="F52">
            <v>1508.68896202521</v>
          </cell>
          <cell r="G52">
            <v>1246.71907007138</v>
          </cell>
          <cell r="H52">
            <v>1280.4165534062899</v>
          </cell>
          <cell r="I52">
            <v>1290.9847629421999</v>
          </cell>
          <cell r="J52">
            <v>993.92821333954396</v>
          </cell>
          <cell r="K52">
            <v>343.40558023210099</v>
          </cell>
          <cell r="L52">
            <v>232.394574875541</v>
          </cell>
          <cell r="M52">
            <v>261.59917358914498</v>
          </cell>
          <cell r="N52">
            <v>255.30568795411099</v>
          </cell>
          <cell r="O52">
            <v>248.082667177356</v>
          </cell>
          <cell r="P52">
            <v>249.83744845529301</v>
          </cell>
        </row>
        <row r="53">
          <cell r="B53" t="str">
            <v>CO2_S</v>
          </cell>
          <cell r="C53" t="str">
            <v>VAR_fout</v>
          </cell>
          <cell r="D53" t="str">
            <v>SCOM-CHPGFC</v>
          </cell>
          <cell r="M53">
            <v>0.42849590039579499</v>
          </cell>
          <cell r="N53">
            <v>0.54384664078939404</v>
          </cell>
          <cell r="O53">
            <v>0.93486581592005602</v>
          </cell>
          <cell r="P53">
            <v>2.0130232831608699</v>
          </cell>
        </row>
        <row r="54">
          <cell r="B54" t="str">
            <v>CO2_S</v>
          </cell>
          <cell r="C54" t="str">
            <v>VAR_fout</v>
          </cell>
          <cell r="D54" t="str">
            <v>SCOM-SHLFOBR</v>
          </cell>
          <cell r="E54">
            <v>2229.9164474230802</v>
          </cell>
          <cell r="F54">
            <v>1885.0839616118401</v>
          </cell>
          <cell r="G54">
            <v>1397.4118533126</v>
          </cell>
          <cell r="H54">
            <v>1164.1049579052601</v>
          </cell>
          <cell r="I54">
            <v>643.51332982112297</v>
          </cell>
          <cell r="J54">
            <v>439.60423846943098</v>
          </cell>
          <cell r="K54">
            <v>232.69472449057699</v>
          </cell>
          <cell r="L54">
            <v>63.017874526386002</v>
          </cell>
          <cell r="M54">
            <v>62.048978413853398</v>
          </cell>
          <cell r="N54">
            <v>62.504804122574903</v>
          </cell>
          <cell r="O54">
            <v>62.527504019676101</v>
          </cell>
          <cell r="P54">
            <v>62.567507923946501</v>
          </cell>
        </row>
        <row r="55">
          <cell r="B55" t="str">
            <v>CO2_S</v>
          </cell>
          <cell r="C55" t="str">
            <v>VAR_comnet</v>
          </cell>
          <cell r="D55" t="str">
            <v>-</v>
          </cell>
          <cell r="E55">
            <v>3767.1903466835902</v>
          </cell>
          <cell r="F55">
            <v>3491.8528066908498</v>
          </cell>
          <cell r="G55">
            <v>2770.2579532876598</v>
          </cell>
          <cell r="H55">
            <v>2552.6210544390401</v>
          </cell>
          <cell r="I55">
            <v>2033.6748703264</v>
          </cell>
          <cell r="J55">
            <v>1497.41053753043</v>
          </cell>
          <cell r="K55">
            <v>588.640827150576</v>
          </cell>
          <cell r="L55">
            <v>314.47576264225302</v>
          </cell>
          <cell r="M55">
            <v>330.655449053604</v>
          </cell>
          <cell r="N55">
            <v>328.58748660514402</v>
          </cell>
          <cell r="O55">
            <v>325.74789953547003</v>
          </cell>
          <cell r="P55">
            <v>329.653363474255</v>
          </cell>
        </row>
        <row r="56">
          <cell r="B56" t="str">
            <v>CO2_T</v>
          </cell>
          <cell r="C56" t="str">
            <v>VAR_fout</v>
          </cell>
          <cell r="D56" t="str">
            <v>T_B_u-ICENGAEXT</v>
          </cell>
          <cell r="E56">
            <v>1.77417268385077E-2</v>
          </cell>
          <cell r="F56">
            <v>1.8050766118973698E-2</v>
          </cell>
          <cell r="G56">
            <v>5.3549388045860701E-4</v>
          </cell>
        </row>
        <row r="57">
          <cell r="B57" t="str">
            <v>CO2_T</v>
          </cell>
          <cell r="C57" t="str">
            <v>VAR_fout</v>
          </cell>
          <cell r="D57" t="str">
            <v>TFHGV-ICENGA</v>
          </cell>
          <cell r="E57">
            <v>3.4875044868369773</v>
          </cell>
          <cell r="F57">
            <v>2.5560476012772226</v>
          </cell>
          <cell r="G57">
            <v>3.5625524013329364</v>
          </cell>
          <cell r="H57">
            <v>3.3174699544989141</v>
          </cell>
          <cell r="I57">
            <v>3.0733102160132741</v>
          </cell>
          <cell r="J57">
            <v>2.9804804436337879</v>
          </cell>
          <cell r="K57">
            <v>0.69377008154330899</v>
          </cell>
          <cell r="L57">
            <v>0.21257764744330199</v>
          </cell>
        </row>
        <row r="58">
          <cell r="B58" t="str">
            <v>CO2_T</v>
          </cell>
          <cell r="C58" t="str">
            <v>VAR_fout</v>
          </cell>
          <cell r="D58" t="str">
            <v>T-Plg-GSL-mix_S1</v>
          </cell>
          <cell r="E58">
            <v>3.7520828510123602E-2</v>
          </cell>
          <cell r="F58">
            <v>0.25085443131248297</v>
          </cell>
          <cell r="G58">
            <v>0.32184263442391281</v>
          </cell>
          <cell r="H58">
            <v>0.29418477853560587</v>
          </cell>
          <cell r="I58">
            <v>0.31469562117814998</v>
          </cell>
          <cell r="J58">
            <v>0.1675742693653442</v>
          </cell>
          <cell r="K58">
            <v>0.13324105733037669</v>
          </cell>
          <cell r="L58">
            <v>4.9695465450649998E-2</v>
          </cell>
          <cell r="M58">
            <v>0.29601606986255735</v>
          </cell>
          <cell r="N58">
            <v>0.47798564393382803</v>
          </cell>
          <cell r="O58">
            <v>0.56253572269262908</v>
          </cell>
          <cell r="P58">
            <v>0.67673511436786904</v>
          </cell>
        </row>
        <row r="59">
          <cell r="B59" t="str">
            <v>CO2_T</v>
          </cell>
          <cell r="C59" t="str">
            <v>VAR_fout</v>
          </cell>
          <cell r="D59" t="str">
            <v>T-Plg-GSL-mix_S2</v>
          </cell>
          <cell r="E59">
            <v>6.1126384433330996</v>
          </cell>
          <cell r="F59">
            <v>12.07392926769004</v>
          </cell>
          <cell r="G59">
            <v>10.41024445755075</v>
          </cell>
          <cell r="H59">
            <v>23.082931254962638</v>
          </cell>
          <cell r="I59">
            <v>9.5158978330455195</v>
          </cell>
          <cell r="J59">
            <v>4.3122017661068721</v>
          </cell>
          <cell r="K59">
            <v>0.44863972537924002</v>
          </cell>
          <cell r="L59">
            <v>0.25150744678462339</v>
          </cell>
          <cell r="M59">
            <v>1.000986181789185</v>
          </cell>
          <cell r="N59">
            <v>0.96502171854625907</v>
          </cell>
          <cell r="O59">
            <v>0.77341279225035198</v>
          </cell>
          <cell r="P59">
            <v>0.40299770865868301</v>
          </cell>
        </row>
        <row r="60">
          <cell r="B60" t="str">
            <v>CO2_T</v>
          </cell>
          <cell r="C60" t="str">
            <v>VAR_fout</v>
          </cell>
          <cell r="D60" t="str">
            <v>T-Plg-GSL-mix_S3</v>
          </cell>
          <cell r="E60">
            <v>6.3058541969161102</v>
          </cell>
          <cell r="F60">
            <v>19.79333107538347</v>
          </cell>
          <cell r="G60">
            <v>129.5313139147724</v>
          </cell>
          <cell r="H60">
            <v>284.07140697154523</v>
          </cell>
          <cell r="I60">
            <v>788.83106336300557</v>
          </cell>
          <cell r="J60">
            <v>502.5850066126784</v>
          </cell>
          <cell r="K60">
            <v>363.68705437070616</v>
          </cell>
          <cell r="L60">
            <v>96.660588773147026</v>
          </cell>
          <cell r="M60">
            <v>58.079825760682745</v>
          </cell>
          <cell r="N60">
            <v>1.777596505901011</v>
          </cell>
          <cell r="O60">
            <v>1.4801138187952421</v>
          </cell>
          <cell r="P60">
            <v>0.73693292968405</v>
          </cell>
        </row>
        <row r="61">
          <cell r="B61" t="str">
            <v>CO2_T</v>
          </cell>
          <cell r="C61" t="str">
            <v>VAR_fout</v>
          </cell>
          <cell r="D61" t="str">
            <v>T-Plg-GSL-mix_S4</v>
          </cell>
          <cell r="E61">
            <v>12.1587483303766</v>
          </cell>
          <cell r="F61">
            <v>22.777081711890503</v>
          </cell>
          <cell r="G61">
            <v>18.918702333884418</v>
          </cell>
          <cell r="H61">
            <v>18.916277570125271</v>
          </cell>
          <cell r="I61">
            <v>7.8569986023782405</v>
          </cell>
          <cell r="J61">
            <v>2.1743186620033841</v>
          </cell>
          <cell r="K61">
            <v>0.65889899709405797</v>
          </cell>
          <cell r="L61">
            <v>0.33465672031233701</v>
          </cell>
          <cell r="M61">
            <v>33.290696717981774</v>
          </cell>
          <cell r="N61">
            <v>88.200686314328323</v>
          </cell>
          <cell r="O61">
            <v>80.315728007854617</v>
          </cell>
          <cell r="P61">
            <v>77.591725105544995</v>
          </cell>
        </row>
        <row r="62">
          <cell r="B62" t="str">
            <v>CO2_T</v>
          </cell>
          <cell r="C62" t="str">
            <v>VAR_fout</v>
          </cell>
          <cell r="D62" t="str">
            <v>TFLGV-HYBDSL</v>
          </cell>
          <cell r="F62">
            <v>16.806088323797201</v>
          </cell>
          <cell r="G62">
            <v>11.924677691652063</v>
          </cell>
          <cell r="H62">
            <v>36.032124702731195</v>
          </cell>
          <cell r="I62">
            <v>34.392795975099411</v>
          </cell>
          <cell r="J62">
            <v>1.70878316387762E-2</v>
          </cell>
        </row>
        <row r="63">
          <cell r="B63" t="str">
            <v>CO2_T</v>
          </cell>
          <cell r="C63" t="str">
            <v>VAR_fout</v>
          </cell>
          <cell r="D63" t="str">
            <v>TFLGV-ICEGSLExt</v>
          </cell>
          <cell r="E63">
            <v>53.393927212008798</v>
          </cell>
          <cell r="F63">
            <v>130.457501931677</v>
          </cell>
          <cell r="G63">
            <v>39.973314104348297</v>
          </cell>
          <cell r="H63">
            <v>20.123759857764501</v>
          </cell>
        </row>
        <row r="64">
          <cell r="B64" t="str">
            <v>CO2_T</v>
          </cell>
          <cell r="C64" t="str">
            <v>VAR_fout</v>
          </cell>
          <cell r="D64" t="str">
            <v>TFLGV-ICEDSLExt</v>
          </cell>
          <cell r="E64">
            <v>813.19682283121301</v>
          </cell>
          <cell r="F64">
            <v>545.80394592005405</v>
          </cell>
          <cell r="G64">
            <v>199.770757755738</v>
          </cell>
          <cell r="H64">
            <v>200.80130327220101</v>
          </cell>
        </row>
        <row r="65">
          <cell r="B65" t="str">
            <v>CO2_T</v>
          </cell>
          <cell r="C65" t="str">
            <v>VAR_fout</v>
          </cell>
          <cell r="D65" t="str">
            <v>T_C-ICE-NGA-S1</v>
          </cell>
          <cell r="E65">
            <v>0.20959645028448073</v>
          </cell>
          <cell r="F65">
            <v>0.14630420013538578</v>
          </cell>
          <cell r="G65">
            <v>0.22485111284271497</v>
          </cell>
          <cell r="H65">
            <v>2.8949464766362145E-2</v>
          </cell>
          <cell r="I65">
            <v>1.403988872155164E-2</v>
          </cell>
          <cell r="J65">
            <v>5.5404381673321498E-3</v>
          </cell>
        </row>
        <row r="66">
          <cell r="B66" t="str">
            <v>CO2_T</v>
          </cell>
          <cell r="C66" t="str">
            <v>VAR_fout</v>
          </cell>
          <cell r="D66" t="str">
            <v>T_C-ICE-NGA-S2</v>
          </cell>
          <cell r="E66">
            <v>3.1056756067787599</v>
          </cell>
          <cell r="F66">
            <v>3.2020556616695148</v>
          </cell>
          <cell r="G66">
            <v>3.4106600669388811</v>
          </cell>
          <cell r="H66">
            <v>2.5922276432152162E-2</v>
          </cell>
          <cell r="I66">
            <v>1.5368121697389459E-2</v>
          </cell>
          <cell r="J66">
            <v>6.8745325959970504E-3</v>
          </cell>
        </row>
        <row r="67">
          <cell r="B67" t="str">
            <v>CO2_T</v>
          </cell>
          <cell r="C67" t="str">
            <v>VAR_fout</v>
          </cell>
          <cell r="D67" t="str">
            <v>TFLGV-ICEDSL</v>
          </cell>
          <cell r="E67">
            <v>324.89437151370043</v>
          </cell>
          <cell r="F67">
            <v>384.68155442293147</v>
          </cell>
          <cell r="G67">
            <v>213.06204910123805</v>
          </cell>
          <cell r="H67">
            <v>136.64282230757985</v>
          </cell>
          <cell r="I67">
            <v>0.37714042259560049</v>
          </cell>
          <cell r="J67">
            <v>1.7801031968513702E-2</v>
          </cell>
        </row>
        <row r="68">
          <cell r="B68" t="str">
            <v>CO2_T</v>
          </cell>
          <cell r="C68" t="str">
            <v>VAR_fout</v>
          </cell>
          <cell r="D68" t="str">
            <v>T_C-ICE-NGA-S3</v>
          </cell>
          <cell r="E68">
            <v>0.25240588524670021</v>
          </cell>
          <cell r="F68">
            <v>0.27573837679109969</v>
          </cell>
          <cell r="G68">
            <v>0.33260853094290022</v>
          </cell>
          <cell r="H68">
            <v>4.8164295403878558E-2</v>
          </cell>
          <cell r="I68">
            <v>1.8430667983725089E-2</v>
          </cell>
          <cell r="J68">
            <v>6.6924591983708497E-3</v>
          </cell>
        </row>
        <row r="69">
          <cell r="B69" t="str">
            <v>CO2_T</v>
          </cell>
          <cell r="C69" t="str">
            <v>VAR_fout</v>
          </cell>
          <cell r="D69" t="str">
            <v>T_C-ICE-NGA-S4</v>
          </cell>
          <cell r="E69">
            <v>2.7038922498244675</v>
          </cell>
          <cell r="F69">
            <v>2.6692649580503405</v>
          </cell>
          <cell r="G69">
            <v>2.6067220554511832</v>
          </cell>
          <cell r="H69">
            <v>1.7876748179399601E-2</v>
          </cell>
          <cell r="I69">
            <v>1.5721724185147612E-2</v>
          </cell>
          <cell r="J69">
            <v>7.0420748852057496E-3</v>
          </cell>
        </row>
        <row r="70">
          <cell r="B70" t="str">
            <v>CO2_T</v>
          </cell>
          <cell r="C70" t="str">
            <v>VAR_fout</v>
          </cell>
          <cell r="D70" t="str">
            <v>T_C-MHY-GSL-S1</v>
          </cell>
          <cell r="F70">
            <v>2.1839822868297502E-2</v>
          </cell>
          <cell r="G70">
            <v>4.6428638639448197E-2</v>
          </cell>
          <cell r="H70">
            <v>0.13898674871418709</v>
          </cell>
          <cell r="I70">
            <v>0.11136966573067547</v>
          </cell>
          <cell r="J70">
            <v>5.9061669496162192E-2</v>
          </cell>
        </row>
        <row r="71">
          <cell r="B71" t="str">
            <v>CO2_T</v>
          </cell>
          <cell r="C71" t="str">
            <v>VAR_fout</v>
          </cell>
          <cell r="D71" t="str">
            <v>T_C-MHY-GSL-S2</v>
          </cell>
          <cell r="F71">
            <v>2.5669295433862E-2</v>
          </cell>
          <cell r="G71">
            <v>6.408387407896679E-2</v>
          </cell>
          <cell r="H71">
            <v>0.1927666260652115</v>
          </cell>
          <cell r="I71">
            <v>0.1448324194190643</v>
          </cell>
          <cell r="J71">
            <v>7.2388146888153954E-2</v>
          </cell>
        </row>
        <row r="72">
          <cell r="B72" t="str">
            <v>CO2_T</v>
          </cell>
          <cell r="C72" t="str">
            <v>VAR_fout</v>
          </cell>
          <cell r="D72" t="str">
            <v>T_C-MHY-DSL-S1</v>
          </cell>
          <cell r="F72">
            <v>1.7836963875113999E-2</v>
          </cell>
          <cell r="G72">
            <v>3.5171009084264501E-2</v>
          </cell>
          <cell r="H72">
            <v>0.1347034242722846</v>
          </cell>
          <cell r="I72">
            <v>0.10894461300569939</v>
          </cell>
          <cell r="J72">
            <v>5.9298750133919609E-2</v>
          </cell>
        </row>
        <row r="73">
          <cell r="B73" t="str">
            <v>CO2_T</v>
          </cell>
          <cell r="C73" t="str">
            <v>VAR_fout</v>
          </cell>
          <cell r="D73" t="str">
            <v>T_C-MHY-GSL-S3</v>
          </cell>
          <cell r="F73">
            <v>2.97240636805172E-2</v>
          </cell>
          <cell r="G73">
            <v>7.5101130465722296E-2</v>
          </cell>
          <cell r="H73">
            <v>0.16570137554130432</v>
          </cell>
          <cell r="I73">
            <v>0.12461387374590059</v>
          </cell>
          <cell r="J73">
            <v>5.8509043664267776E-2</v>
          </cell>
        </row>
        <row r="74">
          <cell r="B74" t="str">
            <v>CO2_T</v>
          </cell>
          <cell r="C74" t="str">
            <v>VAR_fout</v>
          </cell>
          <cell r="D74" t="str">
            <v>T_C-MHY-DSL-S2</v>
          </cell>
          <cell r="F74">
            <v>2.1686026403121599E-2</v>
          </cell>
          <cell r="G74">
            <v>4.9661366837672201E-2</v>
          </cell>
          <cell r="H74">
            <v>0.15428738693398331</v>
          </cell>
          <cell r="I74">
            <v>0.11551939908455051</v>
          </cell>
          <cell r="J74">
            <v>5.7558154657086587E-2</v>
          </cell>
        </row>
        <row r="75">
          <cell r="B75" t="str">
            <v>CO2_T</v>
          </cell>
          <cell r="C75" t="str">
            <v>VAR_fout</v>
          </cell>
          <cell r="D75" t="str">
            <v>T_C-MHY-GSL-S4</v>
          </cell>
          <cell r="F75">
            <v>3.23923619801861E-2</v>
          </cell>
          <cell r="G75">
            <v>8.6240288969873596E-2</v>
          </cell>
          <cell r="H75">
            <v>0.27715775740828741</v>
          </cell>
          <cell r="I75">
            <v>0.2059119729945102</v>
          </cell>
          <cell r="J75">
            <v>0.10023145980320318</v>
          </cell>
        </row>
        <row r="76">
          <cell r="B76" t="str">
            <v>CO2_T</v>
          </cell>
          <cell r="C76" t="str">
            <v>VAR_fout</v>
          </cell>
          <cell r="D76" t="str">
            <v>T_C-MHY-DSL-S3</v>
          </cell>
          <cell r="F76">
            <v>2.4901918966368699E-2</v>
          </cell>
          <cell r="G76">
            <v>5.7573737360472693E-2</v>
          </cell>
          <cell r="H76">
            <v>0.12783414907641349</v>
          </cell>
          <cell r="I76">
            <v>9.6266859145959699E-2</v>
          </cell>
          <cell r="J76">
            <v>4.5642061823253893E-2</v>
          </cell>
        </row>
        <row r="77">
          <cell r="B77" t="str">
            <v>CO2_T</v>
          </cell>
          <cell r="C77" t="str">
            <v>VAR_fout</v>
          </cell>
          <cell r="D77" t="str">
            <v>T_B_c-HYBDSL-S1</v>
          </cell>
          <cell r="F77">
            <v>9.9342079240194003</v>
          </cell>
          <cell r="G77">
            <v>7.641819887933023</v>
          </cell>
          <cell r="H77">
            <v>3.4503679648261495E-2</v>
          </cell>
          <cell r="I77">
            <v>2.4133626630146728E-2</v>
          </cell>
          <cell r="J77">
            <v>2.2229344833702251E-2</v>
          </cell>
          <cell r="K77">
            <v>2.3171407686840548E-2</v>
          </cell>
          <cell r="L77">
            <v>1.8249767778531861E-2</v>
          </cell>
        </row>
        <row r="78">
          <cell r="B78" t="str">
            <v>CO2_T</v>
          </cell>
          <cell r="C78" t="str">
            <v>VAR_fout</v>
          </cell>
          <cell r="D78" t="str">
            <v>T_C-MHY-DSL-S4</v>
          </cell>
          <cell r="F78">
            <v>2.05855946081611E-2</v>
          </cell>
          <cell r="G78">
            <v>4.5772076355596394E-2</v>
          </cell>
          <cell r="H78">
            <v>9.7662627797661106E-2</v>
          </cell>
          <cell r="I78">
            <v>7.39856532066374E-2</v>
          </cell>
          <cell r="J78">
            <v>3.5894902095429011E-2</v>
          </cell>
        </row>
        <row r="79">
          <cell r="B79" t="str">
            <v>CO2_T</v>
          </cell>
          <cell r="C79" t="str">
            <v>VAR_fout</v>
          </cell>
          <cell r="D79" t="str">
            <v>T_B_c-HYBDSL-S2</v>
          </cell>
          <cell r="F79">
            <v>7.8745324259045998E-2</v>
          </cell>
          <cell r="G79">
            <v>0.21229506714534541</v>
          </cell>
          <cell r="H79">
            <v>0.2310565876218125</v>
          </cell>
          <cell r="I79">
            <v>3.7453867821439502E-2</v>
          </cell>
          <cell r="J79">
            <v>3.4468661572912798E-2</v>
          </cell>
          <cell r="K79">
            <v>3.91586703107853E-2</v>
          </cell>
          <cell r="L79">
            <v>2.9227528289603698E-2</v>
          </cell>
        </row>
        <row r="80">
          <cell r="B80" t="str">
            <v>CO2_T</v>
          </cell>
          <cell r="C80" t="str">
            <v>VAR_fout</v>
          </cell>
          <cell r="D80" t="str">
            <v>T_B_c-HYBDSL-S3</v>
          </cell>
          <cell r="F80">
            <v>5.0538408250153898E-2</v>
          </cell>
          <cell r="G80">
            <v>1.4181297088166429</v>
          </cell>
          <cell r="H80">
            <v>1.9692831820759367</v>
          </cell>
          <cell r="I80">
            <v>0.11595447531630251</v>
          </cell>
          <cell r="J80">
            <v>4.4252386332640295E-2</v>
          </cell>
          <cell r="K80">
            <v>5.80385937383937E-2</v>
          </cell>
        </row>
        <row r="81">
          <cell r="B81" t="str">
            <v>CO2_T</v>
          </cell>
          <cell r="C81" t="str">
            <v>VAR_fout</v>
          </cell>
          <cell r="D81" t="str">
            <v>T_B_c-HYBDSL-S4</v>
          </cell>
          <cell r="F81">
            <v>2.5933423446133901E-2</v>
          </cell>
          <cell r="G81">
            <v>4.2948250550251199E-2</v>
          </cell>
          <cell r="H81">
            <v>8.696998451065191E-2</v>
          </cell>
          <cell r="I81">
            <v>5.5473846237066401E-2</v>
          </cell>
          <cell r="J81">
            <v>5.3879603839488401E-2</v>
          </cell>
          <cell r="K81">
            <v>4.9081268524161101E-2</v>
          </cell>
        </row>
        <row r="82">
          <cell r="B82" t="str">
            <v>CO2_T</v>
          </cell>
          <cell r="C82" t="str">
            <v>VAR_fout</v>
          </cell>
          <cell r="D82" t="str">
            <v>TFHGV-ICEDSLExt</v>
          </cell>
          <cell r="E82">
            <v>1402.6138723873901</v>
          </cell>
          <cell r="F82">
            <v>1172.24095636831</v>
          </cell>
          <cell r="G82">
            <v>106.401674198827</v>
          </cell>
          <cell r="H82">
            <v>106.460454617642</v>
          </cell>
        </row>
        <row r="83">
          <cell r="B83" t="str">
            <v>CO2_T</v>
          </cell>
          <cell r="C83" t="str">
            <v>VAR_fout</v>
          </cell>
          <cell r="D83" t="str">
            <v>TPSHPGSLEXT</v>
          </cell>
          <cell r="E83">
            <v>129.873812963153</v>
          </cell>
          <cell r="F83">
            <v>71.700852534714201</v>
          </cell>
          <cell r="G83">
            <v>103.962729771794</v>
          </cell>
          <cell r="H83">
            <v>103.968588629314</v>
          </cell>
          <cell r="I83">
            <v>103.97718711441701</v>
          </cell>
          <cell r="J83">
            <v>27.928309498908501</v>
          </cell>
          <cell r="K83">
            <v>2.0067453597569899E-2</v>
          </cell>
        </row>
        <row r="84">
          <cell r="B84" t="str">
            <v>CO2_T</v>
          </cell>
          <cell r="C84" t="str">
            <v>VAR_fout</v>
          </cell>
          <cell r="D84" t="str">
            <v>T_TW-ICEGSL-S1</v>
          </cell>
          <cell r="E84">
            <v>3.2352106209850433</v>
          </cell>
          <cell r="F84">
            <v>20.570567890124746</v>
          </cell>
          <cell r="G84">
            <v>20.843777660960509</v>
          </cell>
          <cell r="H84">
            <v>26.689607959264329</v>
          </cell>
          <cell r="I84">
            <v>65.980017324243192</v>
          </cell>
          <cell r="J84">
            <v>65.640958915918915</v>
          </cell>
          <cell r="K84">
            <v>31.62377767084071</v>
          </cell>
          <cell r="L84">
            <v>2.8985370974497271</v>
          </cell>
          <cell r="M84">
            <v>0.34078966901490482</v>
          </cell>
          <cell r="N84">
            <v>0.358605506783232</v>
          </cell>
          <cell r="O84">
            <v>0.42496933610615362</v>
          </cell>
          <cell r="P84">
            <v>0.76693840683155301</v>
          </cell>
        </row>
        <row r="85">
          <cell r="B85" t="str">
            <v>CO2_T</v>
          </cell>
          <cell r="C85" t="str">
            <v>VAR_fout</v>
          </cell>
          <cell r="D85" t="str">
            <v>TPSHPDSLEXT</v>
          </cell>
          <cell r="E85">
            <v>1273.9831592043399</v>
          </cell>
          <cell r="F85">
            <v>1262.1954344400599</v>
          </cell>
          <cell r="G85">
            <v>1155.4073139141301</v>
          </cell>
          <cell r="H85">
            <v>1056.60355607668</v>
          </cell>
          <cell r="I85">
            <v>1017.0703512102</v>
          </cell>
          <cell r="J85">
            <v>528.31023517799895</v>
          </cell>
          <cell r="K85">
            <v>339.02623639196401</v>
          </cell>
          <cell r="L85">
            <v>149.747345787961</v>
          </cell>
          <cell r="M85">
            <v>149.74666161082499</v>
          </cell>
          <cell r="N85">
            <v>149.74630115344999</v>
          </cell>
          <cell r="O85">
            <v>149.746005818741</v>
          </cell>
          <cell r="P85">
            <v>149.74577815165</v>
          </cell>
        </row>
        <row r="86">
          <cell r="B86" t="str">
            <v>CO2_T</v>
          </cell>
          <cell r="C86" t="str">
            <v>VAR_fout</v>
          </cell>
          <cell r="D86" t="str">
            <v>T_TW-ICEGSL-S2</v>
          </cell>
          <cell r="E86">
            <v>8.1475032712388096</v>
          </cell>
          <cell r="F86">
            <v>8.6599978403366009</v>
          </cell>
          <cell r="G86">
            <v>8.6420093047723263</v>
          </cell>
          <cell r="H86">
            <v>7.6218896597279793</v>
          </cell>
          <cell r="I86">
            <v>0.8548736557669161</v>
          </cell>
          <cell r="J86">
            <v>0.1166391329293142</v>
          </cell>
          <cell r="K86">
            <v>0.117347246125359</v>
          </cell>
          <cell r="L86">
            <v>0.1124492926496084</v>
          </cell>
          <cell r="M86">
            <v>0.11024594264770179</v>
          </cell>
          <cell r="N86">
            <v>0.1378559593786943</v>
          </cell>
          <cell r="O86">
            <v>0.1469667324531653</v>
          </cell>
          <cell r="P86">
            <v>0.2277263922234164</v>
          </cell>
        </row>
        <row r="87">
          <cell r="B87" t="str">
            <v>CO2_T</v>
          </cell>
          <cell r="C87" t="str">
            <v>VAR_fout</v>
          </cell>
          <cell r="D87" t="str">
            <v>T_TW-ICEGSL-S3</v>
          </cell>
          <cell r="E87">
            <v>12.686642439873241</v>
          </cell>
          <cell r="F87">
            <v>6.4928658957400662</v>
          </cell>
          <cell r="G87">
            <v>6.4651368676728822</v>
          </cell>
          <cell r="H87">
            <v>6.5750857849361806</v>
          </cell>
          <cell r="I87">
            <v>6.6327896777556159</v>
          </cell>
          <cell r="J87">
            <v>3.030960802945506</v>
          </cell>
          <cell r="K87">
            <v>0.10369753548865775</v>
          </cell>
          <cell r="L87">
            <v>0.1088555630143051</v>
          </cell>
          <cell r="M87">
            <v>0.12124788506183951</v>
          </cell>
          <cell r="N87">
            <v>0.1305972919679958</v>
          </cell>
          <cell r="O87">
            <v>0.1533252915229221</v>
          </cell>
          <cell r="P87">
            <v>0.20415175613891651</v>
          </cell>
        </row>
        <row r="88">
          <cell r="B88" t="str">
            <v>CO2_T</v>
          </cell>
          <cell r="C88" t="str">
            <v>VAR_fout</v>
          </cell>
          <cell r="D88" t="str">
            <v>T_C-ICEGSLEXT</v>
          </cell>
          <cell r="E88">
            <v>4722.2961585517996</v>
          </cell>
          <cell r="F88">
            <v>3989.6206137741701</v>
          </cell>
          <cell r="G88">
            <v>2494.0731391160498</v>
          </cell>
          <cell r="H88">
            <v>1059.6999108871601</v>
          </cell>
        </row>
        <row r="89">
          <cell r="B89" t="str">
            <v>CO2_T</v>
          </cell>
          <cell r="C89" t="str">
            <v>VAR_fout</v>
          </cell>
          <cell r="D89" t="str">
            <v>T_TW-ICEGSL-S4</v>
          </cell>
          <cell r="E89">
            <v>7.7316135605231695</v>
          </cell>
          <cell r="F89">
            <v>2.2729530016156132</v>
          </cell>
          <cell r="G89">
            <v>2.2515150013996692</v>
          </cell>
          <cell r="H89">
            <v>2.3386126942548242</v>
          </cell>
          <cell r="I89">
            <v>2.4309288588143043</v>
          </cell>
          <cell r="J89">
            <v>2.3218156777837802</v>
          </cell>
          <cell r="K89">
            <v>0.71019585935199503</v>
          </cell>
          <cell r="L89">
            <v>8.2140932400113803E-2</v>
          </cell>
          <cell r="M89">
            <v>9.0086545847728808E-2</v>
          </cell>
          <cell r="N89">
            <v>0.10181380858945011</v>
          </cell>
          <cell r="O89">
            <v>0.1139061322197594</v>
          </cell>
          <cell r="P89">
            <v>0.14921279512016558</v>
          </cell>
        </row>
        <row r="90">
          <cell r="B90" t="str">
            <v>CO2_T</v>
          </cell>
          <cell r="C90" t="str">
            <v>VAR_fout</v>
          </cell>
          <cell r="D90" t="str">
            <v>T_C-ICEDSLEXT</v>
          </cell>
          <cell r="E90">
            <v>3874.1786106058198</v>
          </cell>
          <cell r="F90">
            <v>3569.7831076614302</v>
          </cell>
          <cell r="G90">
            <v>2582.9198894473002</v>
          </cell>
          <cell r="H90">
            <v>1117.5433104590099</v>
          </cell>
        </row>
        <row r="91">
          <cell r="B91" t="str">
            <v>CO2_T</v>
          </cell>
          <cell r="C91" t="str">
            <v>VAR_fout</v>
          </cell>
          <cell r="D91" t="str">
            <v>T_TW-ICEGSLEXT</v>
          </cell>
          <cell r="E91">
            <v>145.19379203427101</v>
          </cell>
          <cell r="F91">
            <v>1.64281186115888</v>
          </cell>
          <cell r="G91">
            <v>0.32079678568678499</v>
          </cell>
          <cell r="H91">
            <v>0.31955981810055301</v>
          </cell>
        </row>
        <row r="92">
          <cell r="B92" t="str">
            <v>CO2_T</v>
          </cell>
          <cell r="C92" t="str">
            <v>VAR_fout</v>
          </cell>
          <cell r="D92" t="str">
            <v>TFLGV-ICENGA</v>
          </cell>
          <cell r="E92">
            <v>1.4012819483085339</v>
          </cell>
          <cell r="F92">
            <v>1.3463468032251935</v>
          </cell>
          <cell r="G92">
            <v>1.8720935061766204</v>
          </cell>
          <cell r="H92">
            <v>2.8024376673760402E-2</v>
          </cell>
          <cell r="I92">
            <v>6.8478429875186101E-3</v>
          </cell>
        </row>
        <row r="93">
          <cell r="B93" t="str">
            <v>CO2_T</v>
          </cell>
          <cell r="C93" t="str">
            <v>VAR_fout</v>
          </cell>
          <cell r="D93" t="str">
            <v>T_B_c-ICENGA-S1</v>
          </cell>
          <cell r="F93">
            <v>0.13450059417917101</v>
          </cell>
          <cell r="G93">
            <v>2.6168975565870601E-2</v>
          </cell>
          <cell r="H93">
            <v>3.3806072730351501E-2</v>
          </cell>
          <cell r="I93">
            <v>2.5065838698841651E-2</v>
          </cell>
          <cell r="J93">
            <v>2.3528555849557362E-2</v>
          </cell>
          <cell r="K93">
            <v>3.0855207550928621E-2</v>
          </cell>
          <cell r="L93">
            <v>2.638599096801212E-2</v>
          </cell>
        </row>
        <row r="94">
          <cell r="B94" t="str">
            <v>CO2_T</v>
          </cell>
          <cell r="C94" t="str">
            <v>VAR_fout</v>
          </cell>
          <cell r="D94" t="str">
            <v>T_B_c-ICENGA-S2</v>
          </cell>
          <cell r="F94">
            <v>3.27368880356129E-2</v>
          </cell>
          <cell r="G94">
            <v>7.6070548947011207E-2</v>
          </cell>
          <cell r="H94">
            <v>9.3873644790000904E-2</v>
          </cell>
          <cell r="I94">
            <v>3.9910163245742904E-2</v>
          </cell>
          <cell r="J94">
            <v>3.9380872467110903E-2</v>
          </cell>
          <cell r="K94">
            <v>0.30624756517348589</v>
          </cell>
          <cell r="L94">
            <v>0.30123385860574481</v>
          </cell>
        </row>
        <row r="95">
          <cell r="B95" t="str">
            <v>CO2_T</v>
          </cell>
          <cell r="C95" t="str">
            <v>VAR_fout</v>
          </cell>
          <cell r="D95" t="str">
            <v>T_B_u-ICEDSL-S1</v>
          </cell>
          <cell r="E95">
            <v>9.1813329143774811E-2</v>
          </cell>
          <cell r="F95">
            <v>5.3784513034472639</v>
          </cell>
          <cell r="G95">
            <v>8.6838454505620194E-2</v>
          </cell>
          <cell r="H95">
            <v>0.12327130109095441</v>
          </cell>
          <cell r="I95">
            <v>3.8064006344169399E-2</v>
          </cell>
          <cell r="J95">
            <v>3.2938966552686404E-2</v>
          </cell>
          <cell r="K95">
            <v>3.3452711819902801E-2</v>
          </cell>
          <cell r="L95">
            <v>1.9404118440036151E-2</v>
          </cell>
        </row>
        <row r="96">
          <cell r="B96" t="str">
            <v>CO2_T</v>
          </cell>
          <cell r="C96" t="str">
            <v>VAR_fout</v>
          </cell>
          <cell r="D96" t="str">
            <v>T_B_c-ICENGA-S3</v>
          </cell>
          <cell r="F96">
            <v>4.4018694413945E-2</v>
          </cell>
          <cell r="G96">
            <v>4.3709087133443258</v>
          </cell>
          <cell r="H96">
            <v>4.4009714576225392</v>
          </cell>
          <cell r="I96">
            <v>6.7314550928890604E-2</v>
          </cell>
          <cell r="J96">
            <v>5.7697919072461995E-2</v>
          </cell>
          <cell r="K96">
            <v>6.8053401366542296E-2</v>
          </cell>
        </row>
        <row r="97">
          <cell r="B97" t="str">
            <v>CO2_T</v>
          </cell>
          <cell r="C97" t="str">
            <v>VAR_fout</v>
          </cell>
          <cell r="D97" t="str">
            <v>T_B_u-ICEDSL-S2</v>
          </cell>
          <cell r="E97">
            <v>7.7814650604684008</v>
          </cell>
          <cell r="F97">
            <v>9.6924694853247093</v>
          </cell>
          <cell r="G97">
            <v>0.13388452049708141</v>
          </cell>
          <cell r="H97">
            <v>0.23584380442093489</v>
          </cell>
          <cell r="I97">
            <v>7.9341360487310705E-2</v>
          </cell>
          <cell r="J97">
            <v>6.0243402619467507E-2</v>
          </cell>
          <cell r="K97">
            <v>5.55560041770473E-2</v>
          </cell>
          <cell r="L97">
            <v>2.9569648759251301E-2</v>
          </cell>
        </row>
        <row r="98">
          <cell r="B98" t="str">
            <v>CO2_T</v>
          </cell>
          <cell r="C98" t="str">
            <v>VAR_fout</v>
          </cell>
          <cell r="D98" t="str">
            <v>T_B_c-ICENGA-S4</v>
          </cell>
          <cell r="F98">
            <v>1.44960429396168E-2</v>
          </cell>
          <cell r="G98">
            <v>7.1895405584161798E-2</v>
          </cell>
          <cell r="H98">
            <v>9.7398488702733294E-2</v>
          </cell>
          <cell r="I98">
            <v>6.14510096258232E-2</v>
          </cell>
          <cell r="J98">
            <v>6.13008324288737E-2</v>
          </cell>
          <cell r="K98">
            <v>5.4428737921538697E-2</v>
          </cell>
        </row>
        <row r="99">
          <cell r="B99" t="str">
            <v>CO2_T</v>
          </cell>
          <cell r="C99" t="str">
            <v>VAR_fout</v>
          </cell>
          <cell r="D99" t="str">
            <v>T_B_u-ICEDSL-S3</v>
          </cell>
          <cell r="E99">
            <v>45.136891044213023</v>
          </cell>
          <cell r="F99">
            <v>65.579079910618319</v>
          </cell>
          <cell r="G99">
            <v>0.1962498708162668</v>
          </cell>
          <cell r="H99">
            <v>2.4440165065879431</v>
          </cell>
          <cell r="I99">
            <v>0.42086414880670436</v>
          </cell>
          <cell r="J99">
            <v>7.9726511674656803E-2</v>
          </cell>
          <cell r="K99">
            <v>8.7572766781717298E-2</v>
          </cell>
        </row>
        <row r="100">
          <cell r="B100" t="str">
            <v>CO2_T</v>
          </cell>
          <cell r="C100" t="str">
            <v>VAR_fout</v>
          </cell>
          <cell r="D100" t="str">
            <v>T_B_u-ICEDSL-S4</v>
          </cell>
          <cell r="E100">
            <v>0.5097698510775982</v>
          </cell>
          <cell r="F100">
            <v>0.23077324316967773</v>
          </cell>
          <cell r="G100">
            <v>0.27166394478818623</v>
          </cell>
          <cell r="H100">
            <v>0.18998562903123742</v>
          </cell>
          <cell r="I100">
            <v>7.5538877554703288E-2</v>
          </cell>
          <cell r="J100">
            <v>6.4509474641042591E-2</v>
          </cell>
          <cell r="K100">
            <v>5.6359135866164298E-2</v>
          </cell>
        </row>
        <row r="101">
          <cell r="B101" t="str">
            <v>CO2_T</v>
          </cell>
          <cell r="C101" t="str">
            <v>VAR_fout</v>
          </cell>
          <cell r="D101" t="str">
            <v>T_B_c-ICENGAEXT</v>
          </cell>
          <cell r="E101">
            <v>7.8679654671264098E-3</v>
          </cell>
          <cell r="F101">
            <v>7.9569940530065508E-3</v>
          </cell>
          <cell r="G101">
            <v>5.5855154099875102E-3</v>
          </cell>
        </row>
        <row r="102">
          <cell r="B102" t="str">
            <v>CO2_T</v>
          </cell>
          <cell r="C102" t="str">
            <v>VAR_fout</v>
          </cell>
          <cell r="D102" t="str">
            <v>T_B_u-ICEDSLEXT</v>
          </cell>
          <cell r="E102">
            <v>1.27039697908945</v>
          </cell>
          <cell r="F102">
            <v>1.2696407355264201</v>
          </cell>
          <cell r="G102">
            <v>1.2647766560198399</v>
          </cell>
        </row>
        <row r="103">
          <cell r="B103" t="str">
            <v>CO2_T</v>
          </cell>
          <cell r="C103" t="str">
            <v>VAR_fout</v>
          </cell>
          <cell r="D103" t="str">
            <v>T_C-HYBGSLEXT</v>
          </cell>
          <cell r="E103">
            <v>92.555238198739602</v>
          </cell>
          <cell r="F103">
            <v>91.728391595839199</v>
          </cell>
          <cell r="G103">
            <v>68.280953921458902</v>
          </cell>
          <cell r="H103">
            <v>32.3976536399095</v>
          </cell>
        </row>
        <row r="104">
          <cell r="B104" t="str">
            <v>CO2_T</v>
          </cell>
          <cell r="C104" t="str">
            <v>VAR_fout</v>
          </cell>
          <cell r="D104" t="str">
            <v>TPAVDKEREXT</v>
          </cell>
          <cell r="E104">
            <v>79.576349423418094</v>
          </cell>
          <cell r="F104">
            <v>100.796237247683</v>
          </cell>
          <cell r="G104">
            <v>132.626068984081</v>
          </cell>
          <cell r="H104">
            <v>185.675788544743</v>
          </cell>
          <cell r="I104">
            <v>170.02894982493601</v>
          </cell>
          <cell r="J104">
            <v>154.38211110512901</v>
          </cell>
          <cell r="K104">
            <v>138.735272385321</v>
          </cell>
          <cell r="L104">
            <v>123.088433665514</v>
          </cell>
          <cell r="M104">
            <v>109.90751284479499</v>
          </cell>
          <cell r="N104">
            <v>98.138070491291401</v>
          </cell>
          <cell r="O104">
            <v>87.628958480337403</v>
          </cell>
          <cell r="P104">
            <v>78.245214379164594</v>
          </cell>
        </row>
        <row r="105">
          <cell r="B105" t="str">
            <v>CO2_T</v>
          </cell>
          <cell r="C105" t="str">
            <v>VAR_fout</v>
          </cell>
          <cell r="D105" t="str">
            <v>T_C-ICE-GSL-S1</v>
          </cell>
          <cell r="E105">
            <v>35.880724153433476</v>
          </cell>
          <cell r="F105">
            <v>68.907951806103497</v>
          </cell>
          <cell r="G105">
            <v>135.931524008623</v>
          </cell>
          <cell r="H105">
            <v>79.39831710474138</v>
          </cell>
          <cell r="I105">
            <v>36.921026099417666</v>
          </cell>
          <cell r="J105">
            <v>4.9946948494946204</v>
          </cell>
        </row>
        <row r="106">
          <cell r="B106" t="str">
            <v>CO2_T</v>
          </cell>
          <cell r="C106" t="str">
            <v>VAR_fout</v>
          </cell>
          <cell r="D106" t="str">
            <v>TFLGV-ICEGSL</v>
          </cell>
          <cell r="E106">
            <v>27.077225283282235</v>
          </cell>
          <cell r="F106">
            <v>42.585664802127411</v>
          </cell>
          <cell r="G106">
            <v>16.72841662364841</v>
          </cell>
          <cell r="H106">
            <v>57.625564230926756</v>
          </cell>
          <cell r="I106">
            <v>63.679379810560988</v>
          </cell>
          <cell r="J106">
            <v>1.98189337792175E-2</v>
          </cell>
        </row>
        <row r="107">
          <cell r="B107" t="str">
            <v>CO2_T</v>
          </cell>
          <cell r="C107" t="str">
            <v>VAR_fout</v>
          </cell>
          <cell r="D107" t="str">
            <v>T_C-ICE-GSL-S2</v>
          </cell>
          <cell r="E107">
            <v>269.4097287366211</v>
          </cell>
          <cell r="F107">
            <v>391.93368356418517</v>
          </cell>
          <cell r="G107">
            <v>548.15595920910664</v>
          </cell>
          <cell r="H107">
            <v>445.2513805593349</v>
          </cell>
          <cell r="I107">
            <v>85.460710805012653</v>
          </cell>
          <cell r="J107">
            <v>11.852157732508756</v>
          </cell>
        </row>
        <row r="108">
          <cell r="B108" t="str">
            <v>CO2_T</v>
          </cell>
          <cell r="C108" t="str">
            <v>VAR_fout</v>
          </cell>
          <cell r="D108" t="str">
            <v>T_C-ICE-DSL-S1</v>
          </cell>
          <cell r="E108">
            <v>0.37686710868011869</v>
          </cell>
          <cell r="F108">
            <v>3.8868223318109267</v>
          </cell>
          <cell r="G108">
            <v>3.7678508556946104</v>
          </cell>
          <cell r="H108">
            <v>2.2088552602264317</v>
          </cell>
          <cell r="I108">
            <v>0.76519880151225417</v>
          </cell>
          <cell r="J108">
            <v>5.719673869068384E-2</v>
          </cell>
        </row>
        <row r="109">
          <cell r="B109" t="str">
            <v>CO2_T</v>
          </cell>
          <cell r="C109" t="str">
            <v>VAR_fout</v>
          </cell>
          <cell r="D109" t="str">
            <v>T_C-ICE-GSL-S3</v>
          </cell>
          <cell r="E109">
            <v>267.59273695067827</v>
          </cell>
          <cell r="F109">
            <v>423.83632461267911</v>
          </cell>
          <cell r="G109">
            <v>808.63898836142585</v>
          </cell>
          <cell r="H109">
            <v>680.11404947432072</v>
          </cell>
          <cell r="I109">
            <v>264.20692920512113</v>
          </cell>
          <cell r="J109">
            <v>35.547574892550486</v>
          </cell>
        </row>
        <row r="110">
          <cell r="B110" t="str">
            <v>CO2_T</v>
          </cell>
          <cell r="C110" t="str">
            <v>VAR_fout</v>
          </cell>
          <cell r="D110" t="str">
            <v>T_C-ICE-DSL-S2</v>
          </cell>
          <cell r="E110">
            <v>89.480269187679795</v>
          </cell>
          <cell r="F110">
            <v>94.136124718796182</v>
          </cell>
          <cell r="G110">
            <v>93.495334719105159</v>
          </cell>
          <cell r="H110">
            <v>61.039434623166798</v>
          </cell>
          <cell r="I110">
            <v>1.7112817883447706</v>
          </cell>
          <cell r="J110">
            <v>5.8685957007577796E-2</v>
          </cell>
        </row>
        <row r="111">
          <cell r="B111" t="str">
            <v>CO2_T</v>
          </cell>
          <cell r="C111" t="str">
            <v>VAR_fout</v>
          </cell>
          <cell r="D111" t="str">
            <v>T_C-ICE-GSL-S4</v>
          </cell>
          <cell r="E111">
            <v>279.30979700086851</v>
          </cell>
          <cell r="F111">
            <v>387.84027535026559</v>
          </cell>
          <cell r="G111">
            <v>695.8199387587415</v>
          </cell>
          <cell r="H111">
            <v>578.80326758606441</v>
          </cell>
          <cell r="I111">
            <v>212.00615468518379</v>
          </cell>
          <cell r="J111">
            <v>22.419307442101047</v>
          </cell>
        </row>
        <row r="112">
          <cell r="B112" t="str">
            <v>CO2_T</v>
          </cell>
          <cell r="C112" t="str">
            <v>VAR_fout</v>
          </cell>
          <cell r="D112" t="str">
            <v>T_C-ICE-DSL-S3</v>
          </cell>
          <cell r="E112">
            <v>367.37382563653659</v>
          </cell>
          <cell r="F112">
            <v>390.48402737489255</v>
          </cell>
          <cell r="G112">
            <v>386.85116405361396</v>
          </cell>
          <cell r="H112">
            <v>295.36603994246832</v>
          </cell>
          <cell r="I112">
            <v>10.202682547871184</v>
          </cell>
          <cell r="J112">
            <v>4.8251389918451203E-2</v>
          </cell>
        </row>
        <row r="113">
          <cell r="B113" t="str">
            <v>CO2_T</v>
          </cell>
          <cell r="C113" t="str">
            <v>VAR_fout</v>
          </cell>
          <cell r="D113" t="str">
            <v>T_C-ICE-DSL-S4</v>
          </cell>
          <cell r="E113">
            <v>141.41601740296142</v>
          </cell>
          <cell r="F113">
            <v>162.02884389959533</v>
          </cell>
          <cell r="G113">
            <v>159.42702064403295</v>
          </cell>
          <cell r="H113">
            <v>122.40633492702817</v>
          </cell>
          <cell r="I113">
            <v>7.260632476218988</v>
          </cell>
          <cell r="J113">
            <v>3.7674736533664308E-2</v>
          </cell>
        </row>
        <row r="114">
          <cell r="B114" t="str">
            <v>CO2_T</v>
          </cell>
          <cell r="C114" t="str">
            <v>VAR_fout</v>
          </cell>
          <cell r="D114" t="str">
            <v>TFLGV-ICENGAExt</v>
          </cell>
          <cell r="E114">
            <v>5.9994010506356696</v>
          </cell>
          <cell r="F114">
            <v>1.8390553020598801</v>
          </cell>
          <cell r="G114">
            <v>3.96106338477508</v>
          </cell>
        </row>
        <row r="115">
          <cell r="B115" t="str">
            <v>CO2_T</v>
          </cell>
          <cell r="C115" t="str">
            <v>VAR_fout</v>
          </cell>
          <cell r="D115" t="str">
            <v>T_B_u-HYBDSL-S1</v>
          </cell>
          <cell r="F115">
            <v>10.3388019722801</v>
          </cell>
          <cell r="G115">
            <v>1.9314994653424639E-2</v>
          </cell>
          <cell r="H115">
            <v>3.3856496955049498E-2</v>
          </cell>
          <cell r="I115">
            <v>2.835407552606125E-2</v>
          </cell>
          <cell r="J115">
            <v>2.5316439428362432E-2</v>
          </cell>
          <cell r="K115">
            <v>2.5876231665736379E-2</v>
          </cell>
          <cell r="L115">
            <v>1.5157577083106302E-2</v>
          </cell>
        </row>
        <row r="116">
          <cell r="B116" t="str">
            <v>CO2_T</v>
          </cell>
          <cell r="C116" t="str">
            <v>VAR_fout</v>
          </cell>
          <cell r="D116" t="str">
            <v>T_B_u-HYBDSL-S2</v>
          </cell>
          <cell r="F116">
            <v>3.13932282540932E-2</v>
          </cell>
          <cell r="G116">
            <v>3.0398793995593601E-2</v>
          </cell>
          <cell r="H116">
            <v>6.7717006451876005E-2</v>
          </cell>
          <cell r="I116">
            <v>4.93866109126678E-2</v>
          </cell>
          <cell r="J116">
            <v>4.10459290350009E-2</v>
          </cell>
          <cell r="K116">
            <v>4.02765360167716E-2</v>
          </cell>
          <cell r="L116">
            <v>2.1826122253693903E-2</v>
          </cell>
        </row>
        <row r="117">
          <cell r="B117" t="str">
            <v>CO2_T</v>
          </cell>
          <cell r="C117" t="str">
            <v>VAR_fout</v>
          </cell>
          <cell r="D117" t="str">
            <v>T_B_u-HYBDSL-S3</v>
          </cell>
          <cell r="F117">
            <v>6.5597919138197305E-2</v>
          </cell>
          <cell r="G117">
            <v>7.9353732478906494E-2</v>
          </cell>
          <cell r="H117">
            <v>1.6826346197108546</v>
          </cell>
          <cell r="I117">
            <v>7.6482149159591395E-2</v>
          </cell>
          <cell r="J117">
            <v>4.71428789765682E-2</v>
          </cell>
          <cell r="K117">
            <v>5.8719443667563792E-2</v>
          </cell>
        </row>
        <row r="118">
          <cell r="B118" t="str">
            <v>CO2_T</v>
          </cell>
          <cell r="C118" t="str">
            <v>VAR_fout</v>
          </cell>
          <cell r="D118" t="str">
            <v>T_C-HY-GSL-S1</v>
          </cell>
          <cell r="E118">
            <v>3.2769753270582394</v>
          </cell>
          <cell r="F118">
            <v>3.9516355411365494</v>
          </cell>
          <cell r="G118">
            <v>2.6723279229815589</v>
          </cell>
          <cell r="H118">
            <v>1.6953787259207063</v>
          </cell>
          <cell r="I118">
            <v>0.21967427544632612</v>
          </cell>
          <cell r="J118">
            <v>4.9660728439724876E-2</v>
          </cell>
        </row>
        <row r="119">
          <cell r="B119" t="str">
            <v>CO2_T</v>
          </cell>
          <cell r="C119" t="str">
            <v>VAR_fout</v>
          </cell>
          <cell r="D119" t="str">
            <v>T_B_u-HYBDSL-S4</v>
          </cell>
          <cell r="F119">
            <v>2.32346211045221E-2</v>
          </cell>
          <cell r="G119">
            <v>3.7870009931861799E-2</v>
          </cell>
          <cell r="H119">
            <v>8.2676950289732196E-2</v>
          </cell>
          <cell r="I119">
            <v>5.7652815472595098E-2</v>
          </cell>
          <cell r="J119">
            <v>5.25497631494454E-2</v>
          </cell>
          <cell r="K119">
            <v>4.71410525509975E-2</v>
          </cell>
        </row>
        <row r="120">
          <cell r="B120" t="str">
            <v>CO2_T</v>
          </cell>
          <cell r="C120" t="str">
            <v>VAR_fout</v>
          </cell>
          <cell r="D120" t="str">
            <v>TFRLFDSLEXT</v>
          </cell>
          <cell r="E120">
            <v>28.519507308470502</v>
          </cell>
          <cell r="F120">
            <v>-0.60436157517397704</v>
          </cell>
          <cell r="G120">
            <v>-0.96733041452894397</v>
          </cell>
          <cell r="H120">
            <v>-0.51892255497002104</v>
          </cell>
          <cell r="I120">
            <v>-0.517878369274821</v>
          </cell>
          <cell r="J120">
            <v>0.50821845284244305</v>
          </cell>
          <cell r="K120">
            <v>0.50756556296060895</v>
          </cell>
          <cell r="L120">
            <v>0.18145363799455599</v>
          </cell>
          <cell r="M120">
            <v>0.50427359709187702</v>
          </cell>
          <cell r="N120">
            <v>0.313155628477292</v>
          </cell>
          <cell r="O120">
            <v>0.508290200242142</v>
          </cell>
          <cell r="P120">
            <v>0.51023196907260304</v>
          </cell>
        </row>
        <row r="121">
          <cell r="B121" t="str">
            <v>CO2_T</v>
          </cell>
          <cell r="C121" t="str">
            <v>VAR_fout</v>
          </cell>
          <cell r="D121" t="str">
            <v>T_C-HY-GSL-S2</v>
          </cell>
          <cell r="E121">
            <v>10.28658490326913</v>
          </cell>
          <cell r="F121">
            <v>24.4993069063608</v>
          </cell>
          <cell r="G121">
            <v>71.246870538370416</v>
          </cell>
          <cell r="H121">
            <v>60.469520072866565</v>
          </cell>
          <cell r="I121">
            <v>25.842498010844356</v>
          </cell>
          <cell r="J121">
            <v>3.5335052718406073</v>
          </cell>
        </row>
        <row r="122">
          <cell r="B122" t="str">
            <v>CO2_T</v>
          </cell>
          <cell r="C122" t="str">
            <v>VAR_fout</v>
          </cell>
          <cell r="D122" t="str">
            <v>T_C-HY-DSL-S1</v>
          </cell>
          <cell r="E122">
            <v>7.7458828205304404E-3</v>
          </cell>
          <cell r="F122">
            <v>4.7804379984594039E-2</v>
          </cell>
          <cell r="G122">
            <v>7.495646080701579E-2</v>
          </cell>
          <cell r="H122">
            <v>0.1988779572334064</v>
          </cell>
          <cell r="I122">
            <v>0.14812638386699001</v>
          </cell>
          <cell r="J122">
            <v>7.7848133866604732E-2</v>
          </cell>
        </row>
        <row r="123">
          <cell r="B123" t="str">
            <v>CO2_T</v>
          </cell>
          <cell r="C123" t="str">
            <v>VAR_fout</v>
          </cell>
          <cell r="D123" t="str">
            <v>T_C-HY-GSL-S3</v>
          </cell>
          <cell r="E123">
            <v>7.5108045030162955</v>
          </cell>
          <cell r="F123">
            <v>84.069934036061937</v>
          </cell>
          <cell r="G123">
            <v>79.989369233496149</v>
          </cell>
          <cell r="H123">
            <v>63.995251699329671</v>
          </cell>
          <cell r="I123">
            <v>20.444262843217796</v>
          </cell>
          <cell r="J123">
            <v>6.6604905977903806E-2</v>
          </cell>
        </row>
        <row r="124">
          <cell r="B124" t="str">
            <v>CO2_T</v>
          </cell>
          <cell r="C124" t="str">
            <v>VAR_fout</v>
          </cell>
          <cell r="D124" t="str">
            <v>T_C-HY-DSL-S2</v>
          </cell>
          <cell r="E124">
            <v>0.19997938415156807</v>
          </cell>
          <cell r="F124">
            <v>34.516465757882131</v>
          </cell>
          <cell r="G124">
            <v>107.2969411950714</v>
          </cell>
          <cell r="H124">
            <v>91.962820284971244</v>
          </cell>
          <cell r="I124">
            <v>45.858633053770248</v>
          </cell>
          <cell r="J124">
            <v>5.4833725792584813</v>
          </cell>
        </row>
        <row r="125">
          <cell r="B125" t="str">
            <v>CO2_T</v>
          </cell>
          <cell r="C125" t="str">
            <v>VAR_fout</v>
          </cell>
          <cell r="D125" t="str">
            <v>T_C-HY-GSL-S4</v>
          </cell>
          <cell r="E125">
            <v>6.6703900480259506</v>
          </cell>
          <cell r="F125">
            <v>10.02507347526935</v>
          </cell>
          <cell r="G125">
            <v>9.2416789698511153</v>
          </cell>
          <cell r="H125">
            <v>7.7903149323386103</v>
          </cell>
          <cell r="I125">
            <v>1.244249393057844</v>
          </cell>
          <cell r="J125">
            <v>3.8062083333836205E-2</v>
          </cell>
        </row>
        <row r="126">
          <cell r="B126" t="str">
            <v>CO2_T</v>
          </cell>
          <cell r="C126" t="str">
            <v>VAR_fout</v>
          </cell>
          <cell r="D126" t="str">
            <v>T_C-HY-DSL-S3</v>
          </cell>
          <cell r="E126">
            <v>2.0836062378103106</v>
          </cell>
          <cell r="F126">
            <v>3.3983372299115073</v>
          </cell>
          <cell r="G126">
            <v>3.3487643102599365</v>
          </cell>
          <cell r="H126">
            <v>2.5296651994096453</v>
          </cell>
          <cell r="I126">
            <v>0.54441173337376692</v>
          </cell>
          <cell r="J126">
            <v>3.1493432801545665E-2</v>
          </cell>
        </row>
        <row r="127">
          <cell r="B127" t="str">
            <v>CO2_T</v>
          </cell>
          <cell r="C127" t="str">
            <v>VAR_fout</v>
          </cell>
          <cell r="D127" t="str">
            <v>T_C-HY-DSL-S4</v>
          </cell>
          <cell r="E127">
            <v>2.5572920294523085</v>
          </cell>
          <cell r="F127">
            <v>5.2856201954537916</v>
          </cell>
          <cell r="G127">
            <v>5.1280608618433234</v>
          </cell>
          <cell r="H127">
            <v>4.2312126377849442</v>
          </cell>
          <cell r="I127">
            <v>1.0111417631114032</v>
          </cell>
          <cell r="J127">
            <v>3.83534205449826E-2</v>
          </cell>
        </row>
        <row r="128">
          <cell r="B128" t="str">
            <v>CO2_T</v>
          </cell>
          <cell r="C128" t="str">
            <v>VAR_fout</v>
          </cell>
          <cell r="D128" t="str">
            <v>TFHGV-HYBDSL</v>
          </cell>
          <cell r="F128">
            <v>57.124213217826302</v>
          </cell>
          <cell r="G128">
            <v>0.17651770949623402</v>
          </cell>
          <cell r="H128">
            <v>286.67251047084716</v>
          </cell>
          <cell r="I128">
            <v>863.32924098417811</v>
          </cell>
          <cell r="J128">
            <v>811.92100513392904</v>
          </cell>
          <cell r="K128">
            <v>68.113061399827444</v>
          </cell>
          <cell r="L128">
            <v>0.15231829642773101</v>
          </cell>
        </row>
        <row r="129">
          <cell r="B129" t="str">
            <v>CO2_T</v>
          </cell>
          <cell r="C129" t="str">
            <v>VAR_fout</v>
          </cell>
          <cell r="D129" t="str">
            <v>TFHGV-ICEDSL</v>
          </cell>
          <cell r="E129">
            <v>386.38886624082721</v>
          </cell>
          <cell r="F129">
            <v>452.6613198983776</v>
          </cell>
          <cell r="G129">
            <v>0.11513696733636389</v>
          </cell>
          <cell r="H129">
            <v>0.71085726699638774</v>
          </cell>
          <cell r="I129">
            <v>0.32282001671751803</v>
          </cell>
          <cell r="J129">
            <v>0.234100300987445</v>
          </cell>
          <cell r="K129">
            <v>0.14934599944783039</v>
          </cell>
          <cell r="L129">
            <v>5.5753821981335397E-2</v>
          </cell>
        </row>
        <row r="130">
          <cell r="B130" t="str">
            <v>CO2_T</v>
          </cell>
          <cell r="C130" t="str">
            <v>VAR_fout</v>
          </cell>
          <cell r="D130" t="str">
            <v>T-Plg-DSL-mix_S1</v>
          </cell>
          <cell r="E130">
            <v>4.3764970803202496E-3</v>
          </cell>
          <cell r="F130">
            <v>0.25160749037282204</v>
          </cell>
          <cell r="G130">
            <v>0.30881435180940198</v>
          </cell>
          <cell r="H130">
            <v>0.3766244564273471</v>
          </cell>
          <cell r="I130">
            <v>0.37370193196374601</v>
          </cell>
          <cell r="J130">
            <v>0.1931990219567418</v>
          </cell>
          <cell r="K130">
            <v>0.78714951555086898</v>
          </cell>
          <cell r="L130">
            <v>0.49750048751926401</v>
          </cell>
          <cell r="M130">
            <v>1.167064571993724</v>
          </cell>
          <cell r="N130">
            <v>6.2570176373444003E-2</v>
          </cell>
          <cell r="O130">
            <v>3.2850367077795602E-2</v>
          </cell>
          <cell r="P130">
            <v>2.7103679812032197E-2</v>
          </cell>
        </row>
        <row r="131">
          <cell r="B131" t="str">
            <v>CO2_T</v>
          </cell>
          <cell r="C131" t="str">
            <v>VAR_fout</v>
          </cell>
          <cell r="D131" t="str">
            <v>T-Plg-DSL-mix_S2</v>
          </cell>
          <cell r="E131">
            <v>3.9516501693143396E-3</v>
          </cell>
          <cell r="F131">
            <v>0.1909854010272333</v>
          </cell>
          <cell r="G131">
            <v>0.31407867723042099</v>
          </cell>
          <cell r="H131">
            <v>176.91146843688529</v>
          </cell>
          <cell r="I131">
            <v>109.081769881022</v>
          </cell>
          <cell r="J131">
            <v>53.660806996112242</v>
          </cell>
          <cell r="K131">
            <v>3.6086666600926414</v>
          </cell>
          <cell r="L131">
            <v>2.2797103081342081</v>
          </cell>
          <cell r="M131">
            <v>1.474866837793031</v>
          </cell>
          <cell r="N131">
            <v>8.9448667255936698E-2</v>
          </cell>
          <cell r="O131">
            <v>7.9254398888581212E-2</v>
          </cell>
          <cell r="P131">
            <v>4.7386778218508299E-2</v>
          </cell>
        </row>
        <row r="132">
          <cell r="B132" t="str">
            <v>CO2_T</v>
          </cell>
          <cell r="C132" t="str">
            <v>VAR_fout</v>
          </cell>
          <cell r="D132" t="str">
            <v>T-Plg-DSL-mix_S3</v>
          </cell>
          <cell r="E132">
            <v>1.9041683358183702E-2</v>
          </cell>
          <cell r="F132">
            <v>48.824372286357104</v>
          </cell>
          <cell r="G132">
            <v>104.6573595780072</v>
          </cell>
          <cell r="H132">
            <v>83.136262963123301</v>
          </cell>
          <cell r="I132">
            <v>406.555433070449</v>
          </cell>
          <cell r="J132">
            <v>267.53082018827183</v>
          </cell>
          <cell r="K132">
            <v>168.4613869610719</v>
          </cell>
          <cell r="L132">
            <v>16.190830385685356</v>
          </cell>
          <cell r="M132">
            <v>10.310988484761664</v>
          </cell>
          <cell r="N132">
            <v>0.11359617033763769</v>
          </cell>
          <cell r="O132">
            <v>9.8558882463208E-2</v>
          </cell>
          <cell r="P132">
            <v>5.5142151953016499E-2</v>
          </cell>
        </row>
        <row r="133">
          <cell r="B133" t="str">
            <v>CO2_T</v>
          </cell>
          <cell r="C133" t="str">
            <v>VAR_fout</v>
          </cell>
          <cell r="D133" t="str">
            <v>T_B_c-ICEDSL-S1</v>
          </cell>
          <cell r="E133">
            <v>8.3400246098532893</v>
          </cell>
          <cell r="F133">
            <v>10.071246664588379</v>
          </cell>
          <cell r="G133">
            <v>0.71460849313513597</v>
          </cell>
          <cell r="H133">
            <v>0.11733181360734131</v>
          </cell>
          <cell r="I133">
            <v>3.1346804088396199E-2</v>
          </cell>
          <cell r="J133">
            <v>2.852309217558345E-2</v>
          </cell>
          <cell r="K133">
            <v>3.1038126959696516E-2</v>
          </cell>
          <cell r="L133">
            <v>2.4464590845596802E-2</v>
          </cell>
        </row>
        <row r="134">
          <cell r="B134" t="str">
            <v>CO2_T</v>
          </cell>
          <cell r="C134" t="str">
            <v>VAR_fout</v>
          </cell>
          <cell r="D134" t="str">
            <v>T-Plg-DSL-mix_S4</v>
          </cell>
          <cell r="E134">
            <v>0.425411070213843</v>
          </cell>
          <cell r="F134">
            <v>2.3533161187115601</v>
          </cell>
          <cell r="G134">
            <v>2.9606576847315047</v>
          </cell>
          <cell r="H134">
            <v>197.93345801194081</v>
          </cell>
          <cell r="I134">
            <v>150.645530836587</v>
          </cell>
          <cell r="J134">
            <v>52.120252660827646</v>
          </cell>
          <cell r="K134">
            <v>86.79705061387078</v>
          </cell>
          <cell r="L134">
            <v>55.599459046699799</v>
          </cell>
          <cell r="M134">
            <v>55.295970608524584</v>
          </cell>
          <cell r="N134">
            <v>62.596833229189841</v>
          </cell>
          <cell r="O134">
            <v>56.973946713363887</v>
          </cell>
          <cell r="P134">
            <v>54.446716467705201</v>
          </cell>
        </row>
        <row r="135">
          <cell r="B135" t="str">
            <v>CO2_T</v>
          </cell>
          <cell r="C135" t="str">
            <v>VAR_fout</v>
          </cell>
          <cell r="D135" t="str">
            <v>T_B_c-ICEDSL-S2</v>
          </cell>
          <cell r="E135">
            <v>38.094141533861503</v>
          </cell>
          <cell r="F135">
            <v>28.561308756996311</v>
          </cell>
          <cell r="G135">
            <v>2.8406022860011655</v>
          </cell>
          <cell r="H135">
            <v>0.94911549145145135</v>
          </cell>
          <cell r="I135">
            <v>5.3236665803039707E-2</v>
          </cell>
          <cell r="J135">
            <v>4.85823244299151E-2</v>
          </cell>
          <cell r="K135">
            <v>6.5689693789413403E-2</v>
          </cell>
          <cell r="L135">
            <v>5.1910333230296202E-2</v>
          </cell>
        </row>
        <row r="136">
          <cell r="B136" t="str">
            <v>CO2_T</v>
          </cell>
          <cell r="C136" t="str">
            <v>VAR_fout</v>
          </cell>
          <cell r="D136" t="str">
            <v>T_B_c-ICEDSL-S3</v>
          </cell>
          <cell r="E136">
            <v>11.29306965420473</v>
          </cell>
          <cell r="F136">
            <v>9.2493730200632438</v>
          </cell>
          <cell r="G136">
            <v>3.6839733738679095</v>
          </cell>
          <cell r="H136">
            <v>5.9024013500692902</v>
          </cell>
          <cell r="I136">
            <v>2.615321414622088</v>
          </cell>
          <cell r="J136">
            <v>0.10527269202510819</v>
          </cell>
          <cell r="K136">
            <v>0.1020891635010171</v>
          </cell>
        </row>
        <row r="137">
          <cell r="B137" t="str">
            <v>CO2_T</v>
          </cell>
          <cell r="C137" t="str">
            <v>VAR_fout</v>
          </cell>
          <cell r="D137" t="str">
            <v>T_B_c-ICEDSL-S4</v>
          </cell>
          <cell r="E137">
            <v>1.22404286778327</v>
          </cell>
          <cell r="F137">
            <v>0.1864249663695135</v>
          </cell>
          <cell r="G137">
            <v>0.22725565064975212</v>
          </cell>
          <cell r="H137">
            <v>0.20382301686495652</v>
          </cell>
          <cell r="I137">
            <v>7.4036597712210397E-2</v>
          </cell>
          <cell r="J137">
            <v>7.1727000727969004E-2</v>
          </cell>
          <cell r="K137">
            <v>6.2761898852935802E-2</v>
          </cell>
        </row>
        <row r="138">
          <cell r="B138" t="str">
            <v>CO2_T</v>
          </cell>
          <cell r="C138" t="str">
            <v>VAR_fout</v>
          </cell>
          <cell r="D138" t="str">
            <v>T_B_u-ICENGA-S1</v>
          </cell>
          <cell r="F138">
            <v>0.23955580608355101</v>
          </cell>
          <cell r="G138">
            <v>2.4382788460873099E-2</v>
          </cell>
          <cell r="H138">
            <v>3.46273987095937E-2</v>
          </cell>
          <cell r="I138">
            <v>2.9735946297351528E-2</v>
          </cell>
          <cell r="J138">
            <v>2.7431317687754871E-2</v>
          </cell>
          <cell r="K138">
            <v>2.7486986495535548E-2</v>
          </cell>
          <cell r="L138">
            <v>1.9666862482075533E-2</v>
          </cell>
        </row>
        <row r="139">
          <cell r="B139" t="str">
            <v>CO2_T</v>
          </cell>
          <cell r="C139" t="str">
            <v>VAR_fout</v>
          </cell>
          <cell r="D139" t="str">
            <v>T_B_u-ICENGA-S2</v>
          </cell>
          <cell r="F139">
            <v>1.98165044548766E-2</v>
          </cell>
          <cell r="G139">
            <v>3.7807688738577802E-2</v>
          </cell>
          <cell r="H139">
            <v>6.2480782415253705E-2</v>
          </cell>
          <cell r="I139">
            <v>5.1752078568065102E-2</v>
          </cell>
          <cell r="J139">
            <v>4.7167661484440897E-2</v>
          </cell>
          <cell r="K139">
            <v>4.5910407905528597E-2</v>
          </cell>
          <cell r="L139">
            <v>3.1294049903483001E-2</v>
          </cell>
        </row>
        <row r="140">
          <cell r="B140" t="str">
            <v>CO2_T</v>
          </cell>
          <cell r="C140" t="str">
            <v>VAR_fout</v>
          </cell>
          <cell r="D140" t="str">
            <v>T_B_c-ICEDSLEXT</v>
          </cell>
          <cell r="E140">
            <v>0.44182279512169997</v>
          </cell>
          <cell r="F140">
            <v>0.44104146534616301</v>
          </cell>
          <cell r="G140">
            <v>0.437998871197814</v>
          </cell>
        </row>
        <row r="141">
          <cell r="B141" t="str">
            <v>CO2_T</v>
          </cell>
          <cell r="C141" t="str">
            <v>VAR_fout</v>
          </cell>
          <cell r="D141" t="str">
            <v>T_B_u-ICENGA-S3</v>
          </cell>
          <cell r="F141">
            <v>8.7868868293728405E-2</v>
          </cell>
          <cell r="G141">
            <v>0.20645421534849939</v>
          </cell>
          <cell r="H141">
            <v>0.35556544098383469</v>
          </cell>
          <cell r="I141">
            <v>7.0577955288392891E-2</v>
          </cell>
          <cell r="J141">
            <v>5.3162299635555105E-2</v>
          </cell>
          <cell r="K141">
            <v>6.4739078059569299E-2</v>
          </cell>
        </row>
        <row r="142">
          <cell r="B142" t="str">
            <v>CO2_T</v>
          </cell>
          <cell r="C142" t="str">
            <v>VAR_fout</v>
          </cell>
          <cell r="D142" t="str">
            <v>T_B_u-ICENGA-S4</v>
          </cell>
          <cell r="F142">
            <v>1.3185495651731501E-2</v>
          </cell>
          <cell r="G142">
            <v>7.86111695967497E-2</v>
          </cell>
          <cell r="H142">
            <v>9.7580411223542107E-2</v>
          </cell>
          <cell r="I142">
            <v>6.6033952987052807E-2</v>
          </cell>
          <cell r="J142">
            <v>6.4159451372806001E-2</v>
          </cell>
          <cell r="K142">
            <v>5.7741005643401302E-2</v>
          </cell>
        </row>
        <row r="143">
          <cell r="B143" t="str">
            <v>CO2_T</v>
          </cell>
          <cell r="C143" t="str">
            <v>VAR_comnet</v>
          </cell>
          <cell r="D143" t="str">
            <v>-</v>
          </cell>
          <cell r="E143">
            <v>15025.4123759391</v>
          </cell>
          <cell r="F143">
            <v>14286.634323993399</v>
          </cell>
          <cell r="G143">
            <v>10582.1572945106</v>
          </cell>
          <cell r="H143">
            <v>7750.4536720849101</v>
          </cell>
          <cell r="I143">
            <v>4523.9509472670698</v>
          </cell>
          <cell r="J143">
            <v>2566.2091379879998</v>
          </cell>
          <cell r="K143">
            <v>1205.8738705835899</v>
          </cell>
          <cell r="L143">
            <v>449.092204825208</v>
          </cell>
          <cell r="M143">
            <v>421.73723332867399</v>
          </cell>
          <cell r="N143">
            <v>403.21013826580401</v>
          </cell>
          <cell r="O143">
            <v>379.03882269500798</v>
          </cell>
          <cell r="P143">
            <v>363.83399378614598</v>
          </cell>
        </row>
        <row r="144">
          <cell r="B144" t="str">
            <v>CO2</v>
          </cell>
          <cell r="C144" t="str">
            <v>VAR_fout</v>
          </cell>
          <cell r="D144" t="str">
            <v>EWSTINCCS</v>
          </cell>
          <cell r="J144">
            <v>-315.58760453497598</v>
          </cell>
          <cell r="K144">
            <v>-1113.6501627898499</v>
          </cell>
          <cell r="L144">
            <v>-1256.9134476548099</v>
          </cell>
          <cell r="M144">
            <v>-1198.49347074907</v>
          </cell>
          <cell r="N144">
            <v>-1173.1604588154401</v>
          </cell>
          <cell r="O144">
            <v>-1171.7785062381299</v>
          </cell>
          <cell r="P144">
            <v>-1173.03658990349</v>
          </cell>
        </row>
        <row r="145">
          <cell r="B145" t="str">
            <v>CO2</v>
          </cell>
          <cell r="C145" t="str">
            <v>VAR_fout</v>
          </cell>
          <cell r="D145" t="str">
            <v>othGHG</v>
          </cell>
          <cell r="E145">
            <v>9468.5879275113693</v>
          </cell>
          <cell r="F145">
            <v>9016.1649007544693</v>
          </cell>
          <cell r="G145">
            <v>8563.7418739975801</v>
          </cell>
          <cell r="H145">
            <v>8788.4886751038102</v>
          </cell>
          <cell r="I145">
            <v>7713.5706102321701</v>
          </cell>
          <cell r="J145">
            <v>6768.8204363701498</v>
          </cell>
          <cell r="K145">
            <v>5890.0980237089598</v>
          </cell>
          <cell r="L145">
            <v>5011.3756110477598</v>
          </cell>
          <cell r="M145">
            <v>5011.3756110477598</v>
          </cell>
          <cell r="N145">
            <v>5011.3756110477598</v>
          </cell>
          <cell r="O145">
            <v>5011.3756110477598</v>
          </cell>
          <cell r="P145">
            <v>5011.3756110477598</v>
          </cell>
        </row>
        <row r="146">
          <cell r="B146" t="str">
            <v>CO2</v>
          </cell>
          <cell r="C146" t="str">
            <v>VAR_fout</v>
          </cell>
          <cell r="D146" t="str">
            <v>D-ICOA</v>
          </cell>
          <cell r="E146">
            <v>330.01596192201299</v>
          </cell>
          <cell r="F146">
            <v>321.183167168073</v>
          </cell>
          <cell r="G146">
            <v>1.58435431186148</v>
          </cell>
          <cell r="H146">
            <v>0.12735689317940799</v>
          </cell>
          <cell r="I146">
            <v>0.16136597863861901</v>
          </cell>
          <cell r="J146">
            <v>0.37030989692114302</v>
          </cell>
          <cell r="K146">
            <v>0.178000966416448</v>
          </cell>
          <cell r="L146">
            <v>3.8650773786494401E-3</v>
          </cell>
          <cell r="M146">
            <v>1.04835737266119E-2</v>
          </cell>
          <cell r="N146">
            <v>1.45795000992727E-2</v>
          </cell>
          <cell r="O146">
            <v>1.4152564636350499E-2</v>
          </cell>
          <cell r="P146">
            <v>1.6201397386366102E-2</v>
          </cell>
        </row>
        <row r="147">
          <cell r="B147" t="str">
            <v>CO2</v>
          </cell>
          <cell r="C147" t="str">
            <v>VAR_fout</v>
          </cell>
          <cell r="D147" t="str">
            <v>ENGA-CCS</v>
          </cell>
          <cell r="K147">
            <v>-8.1564265419214896E-2</v>
          </cell>
          <cell r="L147">
            <v>-1.1994813817764201</v>
          </cell>
          <cell r="M147">
            <v>-108.097257100786</v>
          </cell>
          <cell r="N147">
            <v>-213.465727169107</v>
          </cell>
          <cell r="O147">
            <v>-212.822155675386</v>
          </cell>
          <cell r="P147">
            <v>-211.813978226236</v>
          </cell>
        </row>
        <row r="148">
          <cell r="B148" t="str">
            <v>CO2</v>
          </cell>
          <cell r="C148" t="str">
            <v>VAR_fout</v>
          </cell>
          <cell r="D148" t="str">
            <v>CHPWSTCCS</v>
          </cell>
          <cell r="J148">
            <v>-352.17191049326601</v>
          </cell>
          <cell r="K148">
            <v>-1150.1531603752001</v>
          </cell>
          <cell r="L148">
            <v>-1199.29618208684</v>
          </cell>
          <cell r="M148">
            <v>-1143.57953861277</v>
          </cell>
          <cell r="N148">
            <v>-1119.39258006926</v>
          </cell>
          <cell r="O148">
            <v>-1118.09543012788</v>
          </cell>
          <cell r="P148">
            <v>-1119.28051515176</v>
          </cell>
        </row>
        <row r="149">
          <cell r="B149" t="str">
            <v>CO2</v>
          </cell>
          <cell r="C149" t="str">
            <v>VAR_fout</v>
          </cell>
          <cell r="D149" t="str">
            <v>D-ENGA</v>
          </cell>
          <cell r="E149">
            <v>313.33530696937299</v>
          </cell>
          <cell r="F149">
            <v>142.06701895455899</v>
          </cell>
          <cell r="G149">
            <v>69.377940592179996</v>
          </cell>
        </row>
        <row r="150">
          <cell r="B150" t="str">
            <v>CO2</v>
          </cell>
          <cell r="C150" t="str">
            <v>VAR_fout</v>
          </cell>
          <cell r="D150" t="str">
            <v>D-ILFO</v>
          </cell>
          <cell r="E150">
            <v>690.34145766029906</v>
          </cell>
          <cell r="F150">
            <v>659.57743359546396</v>
          </cell>
          <cell r="G150">
            <v>602.559182724886</v>
          </cell>
          <cell r="H150">
            <v>518.827545680399</v>
          </cell>
          <cell r="I150">
            <v>359.98516456246699</v>
          </cell>
          <cell r="J150">
            <v>204.20776220591301</v>
          </cell>
          <cell r="K150">
            <v>100.281335936876</v>
          </cell>
          <cell r="L150">
            <v>1.1459695964495999E-3</v>
          </cell>
          <cell r="M150">
            <v>5.2555591769742503E-3</v>
          </cell>
          <cell r="N150">
            <v>6.3827571497409204E-3</v>
          </cell>
          <cell r="O150">
            <v>5.9861755070158198E-3</v>
          </cell>
          <cell r="P150">
            <v>6.6505710985618896E-3</v>
          </cell>
        </row>
        <row r="151">
          <cell r="B151" t="str">
            <v>CO2</v>
          </cell>
          <cell r="C151" t="str">
            <v>VAR_fout</v>
          </cell>
          <cell r="D151" t="str">
            <v>ITOT-CHPWSTCCS</v>
          </cell>
          <cell r="J151">
            <v>-54.375226770427503</v>
          </cell>
          <cell r="K151">
            <v>-369.97284257217001</v>
          </cell>
          <cell r="L151">
            <v>-786.24172917624298</v>
          </cell>
          <cell r="M151">
            <v>-714.169622147317</v>
          </cell>
          <cell r="N151">
            <v>-714.70467948246903</v>
          </cell>
          <cell r="O151">
            <v>-714.786861137193</v>
          </cell>
          <cell r="P151">
            <v>-715.03629834947401</v>
          </cell>
        </row>
        <row r="152">
          <cell r="B152" t="str">
            <v>CO2</v>
          </cell>
          <cell r="C152" t="str">
            <v>VAR_fout</v>
          </cell>
          <cell r="D152" t="str">
            <v>ITOT-CHPNGACCS</v>
          </cell>
          <cell r="J152">
            <v>-0.60277120644576598</v>
          </cell>
          <cell r="K152">
            <v>-0.64505652139998304</v>
          </cell>
          <cell r="L152">
            <v>-30.531876522404801</v>
          </cell>
          <cell r="M152">
            <v>-37.610923340706499</v>
          </cell>
          <cell r="N152">
            <v>-35.947698720288201</v>
          </cell>
          <cell r="O152">
            <v>-37.798527481545399</v>
          </cell>
          <cell r="P152">
            <v>-37.807436809059702</v>
          </cell>
        </row>
        <row r="153">
          <cell r="B153" t="str">
            <v>CO2</v>
          </cell>
          <cell r="C153" t="str">
            <v>VAR_fout</v>
          </cell>
          <cell r="D153" t="str">
            <v>D-TDSL</v>
          </cell>
          <cell r="E153">
            <v>8732.2685587997603</v>
          </cell>
          <cell r="F153">
            <v>8259.8856554029699</v>
          </cell>
          <cell r="G153">
            <v>4996.53218335569</v>
          </cell>
          <cell r="H153">
            <v>3831.0961645996599</v>
          </cell>
          <cell r="I153">
            <v>2471.1878034228198</v>
          </cell>
          <cell r="J153">
            <v>1524.52002857349</v>
          </cell>
          <cell r="K153">
            <v>455.82279767132098</v>
          </cell>
          <cell r="L153">
            <v>9.5820979019053105</v>
          </cell>
          <cell r="M153">
            <v>23.616165634569501</v>
          </cell>
          <cell r="N153">
            <v>0.414209167584009</v>
          </cell>
          <cell r="O153">
            <v>3.91930313213865</v>
          </cell>
          <cell r="P153">
            <v>3.4328840028637102</v>
          </cell>
        </row>
        <row r="154">
          <cell r="B154" t="str">
            <v>CO2</v>
          </cell>
          <cell r="C154" t="str">
            <v>VAR_fout</v>
          </cell>
          <cell r="D154" t="str">
            <v>ITOT-PROCESSCO2</v>
          </cell>
          <cell r="E154">
            <v>2089.34680048464</v>
          </cell>
          <cell r="F154">
            <v>2111.0131698740802</v>
          </cell>
          <cell r="G154">
            <v>2102.26947106126</v>
          </cell>
          <cell r="H154">
            <v>2093.6570864435298</v>
          </cell>
          <cell r="I154">
            <v>2085.53497881767</v>
          </cell>
          <cell r="J154">
            <v>2077.41287119138</v>
          </cell>
          <cell r="K154">
            <v>2070.5807257700199</v>
          </cell>
          <cell r="L154">
            <v>2063.7485803487498</v>
          </cell>
          <cell r="M154">
            <v>2063.7485803486402</v>
          </cell>
          <cell r="N154">
            <v>2063.7485803486602</v>
          </cell>
          <cell r="O154">
            <v>2063.7485803486302</v>
          </cell>
          <cell r="P154">
            <v>2063.7485803488198</v>
          </cell>
        </row>
        <row r="155">
          <cell r="B155" t="str">
            <v>CO2</v>
          </cell>
          <cell r="C155" t="str">
            <v>VAR_fout</v>
          </cell>
          <cell r="D155" t="str">
            <v>D-ELFO</v>
          </cell>
          <cell r="E155">
            <v>29.929568148529199</v>
          </cell>
          <cell r="F155">
            <v>78.099862561058899</v>
          </cell>
          <cell r="G155">
            <v>8.94191315400953</v>
          </cell>
          <cell r="H155">
            <v>5.5372611954698101</v>
          </cell>
          <cell r="I155">
            <v>0.79464365674795301</v>
          </cell>
          <cell r="J155">
            <v>38.063062194062802</v>
          </cell>
          <cell r="K155">
            <v>5.2171259177509102</v>
          </cell>
          <cell r="L155">
            <v>6.0484634332801197E-3</v>
          </cell>
          <cell r="M155">
            <v>8.7402224846973006E-2</v>
          </cell>
          <cell r="N155">
            <v>0.14046140023779599</v>
          </cell>
          <cell r="O155">
            <v>0.13610402843585701</v>
          </cell>
          <cell r="P155">
            <v>0.19194904251102299</v>
          </cell>
        </row>
        <row r="156">
          <cell r="B156" t="str">
            <v>CO2</v>
          </cell>
          <cell r="C156" t="str">
            <v>VAR_fout</v>
          </cell>
          <cell r="D156" t="str">
            <v>D-TNGA</v>
          </cell>
          <cell r="E156">
            <v>15.8415353736372</v>
          </cell>
          <cell r="F156">
            <v>10.7395451510027</v>
          </cell>
          <cell r="G156">
            <v>20.1866665628195</v>
          </cell>
          <cell r="H156">
            <v>7.9321875747095199</v>
          </cell>
          <cell r="I156">
            <v>3.08639107177734</v>
          </cell>
          <cell r="J156">
            <v>2.6450541778814398</v>
          </cell>
          <cell r="K156">
            <v>0.65056589708016599</v>
          </cell>
          <cell r="L156">
            <v>4.0686797231541803E-2</v>
          </cell>
        </row>
        <row r="157">
          <cell r="B157" t="str">
            <v>CO2</v>
          </cell>
          <cell r="C157" t="str">
            <v>VAR_fout</v>
          </cell>
          <cell r="D157" t="str">
            <v>D-SNGA</v>
          </cell>
          <cell r="E157">
            <v>1525.0097905354</v>
          </cell>
          <cell r="F157">
            <v>1441.0364030549999</v>
          </cell>
          <cell r="G157">
            <v>1377.0296465066499</v>
          </cell>
          <cell r="H157">
            <v>1392.91474352921</v>
          </cell>
          <cell r="I157">
            <v>1394.5397373968101</v>
          </cell>
          <cell r="J157">
            <v>1056.0089980677801</v>
          </cell>
          <cell r="K157">
            <v>325.13711450452303</v>
          </cell>
          <cell r="L157">
            <v>180.14364756505401</v>
          </cell>
          <cell r="M157">
            <v>197.35761231315001</v>
          </cell>
          <cell r="N157">
            <v>194.81829305026201</v>
          </cell>
          <cell r="O157">
            <v>191.947173513096</v>
          </cell>
          <cell r="P157">
            <v>195.82892737540999</v>
          </cell>
        </row>
        <row r="158">
          <cell r="B158" t="str">
            <v>CO2</v>
          </cell>
          <cell r="C158" t="str">
            <v>VAR_fout</v>
          </cell>
          <cell r="D158" t="str">
            <v>CO2compabroad</v>
          </cell>
          <cell r="H158">
            <v>-4458.7025872416798</v>
          </cell>
          <cell r="I158">
            <v>-4741.7030077053396</v>
          </cell>
          <cell r="J158">
            <v>-3249.45649880985</v>
          </cell>
          <cell r="K158">
            <v>-3656.55168920093</v>
          </cell>
          <cell r="L158">
            <v>-5000.0031230806298</v>
          </cell>
          <cell r="M158">
            <v>-4603.9880976751401</v>
          </cell>
          <cell r="N158">
            <v>-4207.9671976833997</v>
          </cell>
          <cell r="O158">
            <v>-3874.6833914943099</v>
          </cell>
          <cell r="P158">
            <v>-3541.40641061719</v>
          </cell>
        </row>
        <row r="159">
          <cell r="B159" t="str">
            <v>CO2</v>
          </cell>
          <cell r="C159" t="str">
            <v>VAR_fout</v>
          </cell>
          <cell r="D159" t="str">
            <v>D-RNGA</v>
          </cell>
          <cell r="E159">
            <v>2657.19339703281</v>
          </cell>
          <cell r="F159">
            <v>2731.43678422015</v>
          </cell>
          <cell r="G159">
            <v>2992.2424416869098</v>
          </cell>
          <cell r="H159">
            <v>2989.9138044210799</v>
          </cell>
          <cell r="I159">
            <v>2665.8463170558998</v>
          </cell>
          <cell r="J159">
            <v>1703.1741573464999</v>
          </cell>
          <cell r="K159">
            <v>1135.3490533691499</v>
          </cell>
          <cell r="L159">
            <v>547.78641742439697</v>
          </cell>
          <cell r="M159">
            <v>444.10626835263503</v>
          </cell>
          <cell r="N159">
            <v>434.25012043896203</v>
          </cell>
          <cell r="O159">
            <v>444.56235429032603</v>
          </cell>
          <cell r="P159">
            <v>417.252211371464</v>
          </cell>
        </row>
        <row r="160">
          <cell r="B160" t="str">
            <v>CO2</v>
          </cell>
          <cell r="C160" t="str">
            <v>VAR_fout</v>
          </cell>
          <cell r="D160" t="str">
            <v>D-IHFO</v>
          </cell>
          <cell r="E160">
            <v>213.78367285441001</v>
          </cell>
          <cell r="F160">
            <v>212.862310318982</v>
          </cell>
          <cell r="G160">
            <v>0.634055635309417</v>
          </cell>
          <cell r="H160">
            <v>0.13794188725638801</v>
          </cell>
          <cell r="I160">
            <v>0.18074544858632599</v>
          </cell>
          <cell r="J160">
            <v>0.37130312805063798</v>
          </cell>
          <cell r="K160">
            <v>0.16787338941914101</v>
          </cell>
        </row>
        <row r="161">
          <cell r="B161" t="str">
            <v>CO2</v>
          </cell>
          <cell r="C161" t="str">
            <v>VAR_fout</v>
          </cell>
          <cell r="D161" t="str">
            <v>SUP_WSTHTGBIOCCS</v>
          </cell>
          <cell r="J161">
            <v>-4.2024273105637701E-2</v>
          </cell>
          <cell r="K161">
            <v>-2.7159681136345301E-2</v>
          </cell>
          <cell r="L161">
            <v>-0.32436888983336898</v>
          </cell>
          <cell r="M161">
            <v>-0.185037412545939</v>
          </cell>
          <cell r="N161">
            <v>-0.36766910198164299</v>
          </cell>
          <cell r="O161">
            <v>-0.27984359890567301</v>
          </cell>
          <cell r="P161">
            <v>-0.24384830552270201</v>
          </cell>
        </row>
        <row r="162">
          <cell r="B162" t="str">
            <v>CO2</v>
          </cell>
          <cell r="C162" t="str">
            <v>VAR_fout</v>
          </cell>
          <cell r="D162" t="str">
            <v>D-SLFO</v>
          </cell>
          <cell r="E162">
            <v>2267.7912033932098</v>
          </cell>
          <cell r="F162">
            <v>1917.10179578306</v>
          </cell>
          <cell r="G162">
            <v>1421.14650759299</v>
          </cell>
          <cell r="H162">
            <v>1183.84724745722</v>
          </cell>
          <cell r="I162">
            <v>654.287672917892</v>
          </cell>
          <cell r="J162">
            <v>446.98079735812797</v>
          </cell>
          <cell r="K162">
            <v>236.530616007188</v>
          </cell>
          <cell r="L162">
            <v>1.14858267641788E-3</v>
          </cell>
          <cell r="M162">
            <v>4.5606776941552601E-3</v>
          </cell>
          <cell r="N162">
            <v>6.2137141471691497E-3</v>
          </cell>
          <cell r="O162">
            <v>6.17023845911831E-3</v>
          </cell>
          <cell r="P162">
            <v>7.7788023958315902E-3</v>
          </cell>
        </row>
        <row r="163">
          <cell r="B163" t="str">
            <v>CO2</v>
          </cell>
          <cell r="C163" t="str">
            <v>VAR_fout</v>
          </cell>
          <cell r="D163" t="str">
            <v>D-RCOA</v>
          </cell>
          <cell r="E163">
            <v>9.2734687306682098</v>
          </cell>
          <cell r="F163">
            <v>9.2734095249760404</v>
          </cell>
          <cell r="G163">
            <v>0.72537559086567005</v>
          </cell>
          <cell r="H163">
            <v>0.35033544648981302</v>
          </cell>
          <cell r="I163">
            <v>0.13533324454592899</v>
          </cell>
        </row>
        <row r="164">
          <cell r="B164" t="str">
            <v>CO2</v>
          </cell>
          <cell r="C164" t="str">
            <v>VAR_fout</v>
          </cell>
          <cell r="D164" t="str">
            <v>ITOT-CHPWODCCS</v>
          </cell>
          <cell r="J164">
            <v>-493.42881643261597</v>
          </cell>
          <cell r="K164">
            <v>-1087.13195891599</v>
          </cell>
          <cell r="L164">
            <v>-1256.94321926711</v>
          </cell>
          <cell r="M164">
            <v>-1256.9867829193399</v>
          </cell>
          <cell r="N164">
            <v>-1256.9439863052801</v>
          </cell>
          <cell r="O164">
            <v>-1256.9400678946899</v>
          </cell>
          <cell r="P164">
            <v>-1256.96932381849</v>
          </cell>
        </row>
        <row r="165">
          <cell r="B165" t="str">
            <v>CO2</v>
          </cell>
          <cell r="C165" t="str">
            <v>VAR_fout</v>
          </cell>
          <cell r="D165" t="str">
            <v>D-RLFO</v>
          </cell>
          <cell r="E165">
            <v>4514.4896212429103</v>
          </cell>
          <cell r="F165">
            <v>3846.5309414855101</v>
          </cell>
          <cell r="G165">
            <v>3605.5646095942602</v>
          </cell>
          <cell r="H165">
            <v>2976.7361259343202</v>
          </cell>
          <cell r="I165">
            <v>995.90287174976504</v>
          </cell>
          <cell r="J165">
            <v>2.66869163500116</v>
          </cell>
          <cell r="K165">
            <v>2.4473680164971698</v>
          </cell>
          <cell r="L165">
            <v>1.1849383209839399E-3</v>
          </cell>
          <cell r="M165">
            <v>4.5661725774371201E-3</v>
          </cell>
          <cell r="N165">
            <v>6.1397791718907999E-3</v>
          </cell>
          <cell r="O165">
            <v>6.2544257923190204E-3</v>
          </cell>
          <cell r="P165">
            <v>7.7950717681096598E-3</v>
          </cell>
        </row>
        <row r="166">
          <cell r="B166" t="str">
            <v>CO2</v>
          </cell>
          <cell r="C166" t="str">
            <v>VAR_fout</v>
          </cell>
          <cell r="D166" t="str">
            <v>D-TGSL</v>
          </cell>
          <cell r="E166">
            <v>5858.3330960201001</v>
          </cell>
          <cell r="F166">
            <v>5579.1603148818003</v>
          </cell>
          <cell r="G166">
            <v>5058.08617791704</v>
          </cell>
          <cell r="H166">
            <v>3416.8320787877801</v>
          </cell>
          <cell r="I166">
            <v>1603.71521030709</v>
          </cell>
          <cell r="J166">
            <v>658.76144644546002</v>
          </cell>
          <cell r="K166">
            <v>380.654114346315</v>
          </cell>
          <cell r="L166">
            <v>16.7721296333048</v>
          </cell>
          <cell r="M166">
            <v>15.2072682491828</v>
          </cell>
          <cell r="N166">
            <v>14.1495370752278</v>
          </cell>
          <cell r="O166">
            <v>17.195977808835</v>
          </cell>
          <cell r="P166">
            <v>14.025518471956101</v>
          </cell>
        </row>
        <row r="167">
          <cell r="B167" t="str">
            <v>CO2</v>
          </cell>
          <cell r="C167" t="str">
            <v>VAR_fout</v>
          </cell>
          <cell r="D167" t="str">
            <v>EWOD-CCS</v>
          </cell>
          <cell r="J167">
            <v>-0.196139399199319</v>
          </cell>
          <cell r="K167">
            <v>-1.07902198212475</v>
          </cell>
          <cell r="L167">
            <v>-13.2551131601445</v>
          </cell>
          <cell r="M167">
            <v>-170.36534937283099</v>
          </cell>
          <cell r="N167">
            <v>-179.227509684555</v>
          </cell>
          <cell r="O167">
            <v>-182.298137450784</v>
          </cell>
          <cell r="P167">
            <v>-190.44658851809501</v>
          </cell>
        </row>
        <row r="168">
          <cell r="B168" t="str">
            <v>CO2</v>
          </cell>
          <cell r="C168" t="str">
            <v>VAR_fout</v>
          </cell>
          <cell r="D168" t="str">
            <v>ITOT-PROCESSCO2CCS</v>
          </cell>
          <cell r="J168">
            <v>-0.31026759013546701</v>
          </cell>
          <cell r="K168">
            <v>-1.02104749010302</v>
          </cell>
          <cell r="L168">
            <v>-1031.87248499675</v>
          </cell>
          <cell r="M168">
            <v>-1031.8740801899801</v>
          </cell>
          <cell r="N168">
            <v>-1031.87523717062</v>
          </cell>
          <cell r="O168">
            <v>-1031.87501693594</v>
          </cell>
          <cell r="P168">
            <v>-1031.8753524848701</v>
          </cell>
        </row>
        <row r="169">
          <cell r="B169" t="str">
            <v>CO2</v>
          </cell>
          <cell r="C169" t="str">
            <v>VAR_fout</v>
          </cell>
          <cell r="D169" t="str">
            <v>D-IWST</v>
          </cell>
          <cell r="E169">
            <v>1068.1755542917499</v>
          </cell>
          <cell r="F169">
            <v>1114.5306185597999</v>
          </cell>
          <cell r="G169">
            <v>1024.64420411729</v>
          </cell>
          <cell r="H169">
            <v>1013.2006673961901</v>
          </cell>
          <cell r="I169">
            <v>1001.75759008643</v>
          </cell>
          <cell r="J169">
            <v>996.71893901078704</v>
          </cell>
          <cell r="K169">
            <v>991.647345367203</v>
          </cell>
          <cell r="L169">
            <v>1086.8573985764201</v>
          </cell>
          <cell r="M169">
            <v>986.58953755499203</v>
          </cell>
          <cell r="N169">
            <v>986.60767140030896</v>
          </cell>
          <cell r="O169">
            <v>986.58853585616998</v>
          </cell>
          <cell r="P169">
            <v>986.58934708186302</v>
          </cell>
        </row>
        <row r="170">
          <cell r="B170" t="str">
            <v>CO2</v>
          </cell>
          <cell r="C170" t="str">
            <v>VAR_fout</v>
          </cell>
          <cell r="D170" t="str">
            <v>SUP_WODH2CCS</v>
          </cell>
          <cell r="L170">
            <v>-344.27704971714599</v>
          </cell>
          <cell r="M170">
            <v>-977.13377296821602</v>
          </cell>
          <cell r="N170">
            <v>-971.37153852352799</v>
          </cell>
          <cell r="O170">
            <v>-1539.8835625700999</v>
          </cell>
          <cell r="P170">
            <v>-1674.2538643156099</v>
          </cell>
        </row>
        <row r="171">
          <cell r="B171" t="str">
            <v>CO2</v>
          </cell>
          <cell r="C171" t="str">
            <v>VAR_fout</v>
          </cell>
          <cell r="D171" t="str">
            <v>SUP_WODBIOCCS</v>
          </cell>
          <cell r="J171">
            <v>-7.8894880477947002E-2</v>
          </cell>
          <cell r="K171">
            <v>-0.101968767102808</v>
          </cell>
          <cell r="L171">
            <v>-0.25017401021219099</v>
          </cell>
          <cell r="M171">
            <v>-0.231165239950434</v>
          </cell>
          <cell r="N171">
            <v>-0.70848233556631801</v>
          </cell>
          <cell r="O171">
            <v>-0.68213845324707301</v>
          </cell>
          <cell r="P171">
            <v>-0.90280397852855099</v>
          </cell>
        </row>
        <row r="172">
          <cell r="B172" t="str">
            <v>CO2</v>
          </cell>
          <cell r="C172" t="str">
            <v>VAR_fout</v>
          </cell>
          <cell r="D172" t="str">
            <v>SUP_NGAH2CCS</v>
          </cell>
          <cell r="L172">
            <v>-3.2463201656946397E-2</v>
          </cell>
          <cell r="M172">
            <v>-5.6930328411437497E-2</v>
          </cell>
          <cell r="N172">
            <v>-6.6113336390507496E-2</v>
          </cell>
          <cell r="O172">
            <v>-5.7881647054901599E-2</v>
          </cell>
          <cell r="P172">
            <v>-7.2064270136206796E-2</v>
          </cell>
        </row>
        <row r="173">
          <cell r="B173" t="str">
            <v>CO2</v>
          </cell>
          <cell r="C173" t="str">
            <v>VAR_fout</v>
          </cell>
          <cell r="D173" t="str">
            <v>CT_CWODETHCCS</v>
          </cell>
          <cell r="J173">
            <v>-1.0965110613234399E-2</v>
          </cell>
          <cell r="K173">
            <v>-1.4919095850787E-2</v>
          </cell>
          <cell r="L173">
            <v>-2.2044112945867601E-2</v>
          </cell>
          <cell r="M173">
            <v>-1.7527852723020401E-2</v>
          </cell>
          <cell r="N173">
            <v>-6.0147140381685803E-2</v>
          </cell>
          <cell r="O173">
            <v>-1.7933015347928599E-2</v>
          </cell>
          <cell r="P173">
            <v>-5.9224783692396699E-2</v>
          </cell>
        </row>
        <row r="174">
          <cell r="B174" t="str">
            <v>CO2</v>
          </cell>
          <cell r="C174" t="str">
            <v>VAR_fout</v>
          </cell>
          <cell r="D174" t="str">
            <v>D-TKER</v>
          </cell>
          <cell r="E174">
            <v>80.750556660777903</v>
          </cell>
          <cell r="F174">
            <v>102.29113830970201</v>
          </cell>
          <cell r="G174">
            <v>134.59828949540301</v>
          </cell>
          <cell r="H174">
            <v>188.250711275188</v>
          </cell>
          <cell r="I174">
            <v>172.13427242634501</v>
          </cell>
          <cell r="J174">
            <v>156.534738034474</v>
          </cell>
          <cell r="K174">
            <v>140.50412050080899</v>
          </cell>
          <cell r="L174">
            <v>1.2484742636054499E-4</v>
          </cell>
          <cell r="M174">
            <v>3.3307044317107702E-2</v>
          </cell>
          <cell r="N174">
            <v>3.1527675793731801E-2</v>
          </cell>
          <cell r="O174">
            <v>3.1301354840411202E-2</v>
          </cell>
          <cell r="P174">
            <v>5.2631672965074101E-2</v>
          </cell>
        </row>
        <row r="175">
          <cell r="B175" t="str">
            <v>CO2</v>
          </cell>
          <cell r="C175" t="str">
            <v>VAR_fout</v>
          </cell>
          <cell r="D175" t="str">
            <v>D-INGA</v>
          </cell>
          <cell r="E175">
            <v>2103.1547285797801</v>
          </cell>
          <cell r="F175">
            <v>1693.71204108452</v>
          </cell>
          <cell r="G175">
            <v>1910.9417353587501</v>
          </cell>
          <cell r="H175">
            <v>1341.2842209391199</v>
          </cell>
          <cell r="I175">
            <v>648.69830910976498</v>
          </cell>
          <cell r="J175">
            <v>339.058945769655</v>
          </cell>
          <cell r="K175">
            <v>123.7616811036</v>
          </cell>
          <cell r="L175">
            <v>15.446915856893201</v>
          </cell>
          <cell r="M175">
            <v>2.7121864923139598</v>
          </cell>
          <cell r="N175">
            <v>0.22144211663571201</v>
          </cell>
          <cell r="O175">
            <v>0.95117344119928304</v>
          </cell>
          <cell r="P175">
            <v>7.4675865183819898E-2</v>
          </cell>
        </row>
        <row r="176">
          <cell r="B176" t="str">
            <v>CO2</v>
          </cell>
          <cell r="C176" t="str">
            <v>VAR_fout</v>
          </cell>
          <cell r="D176" t="str">
            <v>SUP_DAC</v>
          </cell>
          <cell r="J176">
            <v>-2.07242923334174E-2</v>
          </cell>
          <cell r="K176">
            <v>-2.6468371680148001E-2</v>
          </cell>
          <cell r="L176">
            <v>-21.814536971280098</v>
          </cell>
          <cell r="M176">
            <v>-219.363509432764</v>
          </cell>
          <cell r="N176">
            <v>-1579.33739424025</v>
          </cell>
          <cell r="O176">
            <v>-1749.19914160039</v>
          </cell>
          <cell r="P176">
            <v>-2413.7728765842699</v>
          </cell>
        </row>
        <row r="177">
          <cell r="B177" t="str">
            <v>CO2</v>
          </cell>
          <cell r="C177" t="str">
            <v>VAR_fout</v>
          </cell>
          <cell r="D177" t="str">
            <v>CT_CWODBDSCCS</v>
          </cell>
          <cell r="J177">
            <v>-0.12873107397199399</v>
          </cell>
          <cell r="K177">
            <v>-0.19999003452981301</v>
          </cell>
          <cell r="L177">
            <v>-542.15581196523101</v>
          </cell>
          <cell r="M177">
            <v>-717.53964835653301</v>
          </cell>
          <cell r="N177">
            <v>-604.315954858243</v>
          </cell>
          <cell r="O177">
            <v>-709.82589400666598</v>
          </cell>
          <cell r="P177">
            <v>-709.06486839441402</v>
          </cell>
        </row>
        <row r="178">
          <cell r="B178" t="str">
            <v>CO2</v>
          </cell>
          <cell r="C178" t="str">
            <v>VAR_fout</v>
          </cell>
          <cell r="D178" t="str">
            <v>D-EWST</v>
          </cell>
          <cell r="E178">
            <v>2266.3061452736702</v>
          </cell>
          <cell r="F178">
            <v>2247.7453155961698</v>
          </cell>
          <cell r="G178">
            <v>2318.1909623506899</v>
          </cell>
          <cell r="H178">
            <v>2238.5135914785701</v>
          </cell>
          <cell r="I178">
            <v>2240.4556026182199</v>
          </cell>
          <cell r="J178">
            <v>2460.27747136681</v>
          </cell>
          <cell r="K178">
            <v>2506.59562334156</v>
          </cell>
          <cell r="L178">
            <v>2552.9140077622201</v>
          </cell>
          <cell r="M178">
            <v>2434.2719061595599</v>
          </cell>
          <cell r="N178">
            <v>2382.80386678889</v>
          </cell>
          <cell r="O178">
            <v>2379.9882714083401</v>
          </cell>
          <cell r="P178">
            <v>2382.5117539574298</v>
          </cell>
        </row>
        <row r="179">
          <cell r="B179" t="str">
            <v>CO2</v>
          </cell>
          <cell r="C179" t="str">
            <v>VAR_comnet</v>
          </cell>
          <cell r="D179" t="str">
            <v>-</v>
          </cell>
          <cell r="E179">
            <v>44233.928351485098</v>
          </cell>
          <cell r="F179">
            <v>41494.411826281299</v>
          </cell>
          <cell r="G179">
            <v>36208.9975916064</v>
          </cell>
          <cell r="H179">
            <v>27528.9451588015</v>
          </cell>
          <cell r="I179">
            <v>19270.271612398301</v>
          </cell>
          <cell r="J179">
            <v>13970.9238389236</v>
          </cell>
          <cell r="K179">
            <v>6985.4638272297098</v>
          </cell>
          <cell r="L179">
            <v>3.5148459435718699E-3</v>
          </cell>
          <cell r="M179">
            <v>-999.99592776075201</v>
          </cell>
          <cell r="N179">
            <v>-1999.9971385052499</v>
          </cell>
          <cell r="O179">
            <v>-2499.9974583149701</v>
          </cell>
          <cell r="P179">
            <v>-2999.98804400165</v>
          </cell>
        </row>
        <row r="180">
          <cell r="B180" t="str">
            <v>CO2</v>
          </cell>
          <cell r="C180" t="str">
            <v>EQ_combalM</v>
          </cell>
          <cell r="D180" t="str">
            <v>-</v>
          </cell>
          <cell r="H180">
            <v>-0.117151824338407</v>
          </cell>
          <cell r="I180">
            <v>-0.20294605240885999</v>
          </cell>
          <cell r="J180">
            <v>-0.26879152774939102</v>
          </cell>
          <cell r="K180">
            <v>-0.38196318600568901</v>
          </cell>
          <cell r="L180">
            <v>-1.5049783582262599</v>
          </cell>
          <cell r="M180">
            <v>-1.22999325731347</v>
          </cell>
          <cell r="N180">
            <v>-1.80412479002605</v>
          </cell>
          <cell r="O180">
            <v>-1.3218144349859899</v>
          </cell>
          <cell r="P180">
            <v>-1.5484548370447999</v>
          </cell>
        </row>
        <row r="181">
          <cell r="B181" t="str">
            <v>CO2_X</v>
          </cell>
          <cell r="C181" t="str">
            <v>VAR_fout</v>
          </cell>
          <cell r="D181" t="str">
            <v>D-CO2_O</v>
          </cell>
          <cell r="K181">
            <v>2082.4167130638443</v>
          </cell>
          <cell r="L181">
            <v>5714.431659728366</v>
          </cell>
          <cell r="M181">
            <v>6307.1957236174821</v>
          </cell>
          <cell r="N181">
            <v>6307.1956150097976</v>
          </cell>
          <cell r="O181">
            <v>6307.1974176306821</v>
          </cell>
          <cell r="P181">
            <v>6307.1965607897118</v>
          </cell>
        </row>
        <row r="182">
          <cell r="B182" t="str">
            <v>CO2_X</v>
          </cell>
          <cell r="C182" t="str">
            <v>VAR_fin</v>
          </cell>
          <cell r="D182" t="str">
            <v>CO2EXP</v>
          </cell>
          <cell r="K182">
            <v>2082.4167130638443</v>
          </cell>
          <cell r="L182">
            <v>5714.431659728366</v>
          </cell>
          <cell r="M182">
            <v>6307.1957236174821</v>
          </cell>
          <cell r="N182">
            <v>6307.1956150097976</v>
          </cell>
          <cell r="O182">
            <v>6307.1974176306821</v>
          </cell>
          <cell r="P182">
            <v>6307.1965607897118</v>
          </cell>
        </row>
        <row r="183">
          <cell r="B183" t="str">
            <v>CO2_X</v>
          </cell>
          <cell r="C183" t="str">
            <v>EQ_combalM</v>
          </cell>
          <cell r="D183" t="str">
            <v>-</v>
          </cell>
          <cell r="J183">
            <v>-40.164916285094499</v>
          </cell>
          <cell r="K183">
            <v>12.547209196274833</v>
          </cell>
          <cell r="L183">
            <v>18.258653419931004</v>
          </cell>
          <cell r="M183">
            <v>-4.5138048010826024</v>
          </cell>
          <cell r="N183">
            <v>-15.338024038803432</v>
          </cell>
          <cell r="O183">
            <v>-20.477878381867992</v>
          </cell>
          <cell r="P183">
            <v>-29.622749032821069</v>
          </cell>
        </row>
        <row r="184">
          <cell r="B184" t="str">
            <v>CO2seq</v>
          </cell>
          <cell r="C184" t="str">
            <v>VAR_fout</v>
          </cell>
          <cell r="D184" t="str">
            <v>CO2SINK</v>
          </cell>
          <cell r="J184">
            <v>833.33088058087912</v>
          </cell>
          <cell r="K184">
            <v>1159.6293287957526</v>
          </cell>
          <cell r="L184">
            <v>1.5949140318801243E-2</v>
          </cell>
          <cell r="M184">
            <v>572.70569583230861</v>
          </cell>
          <cell r="N184">
            <v>1926.2270189639892</v>
          </cell>
          <cell r="O184">
            <v>2747.6266161274061</v>
          </cell>
          <cell r="P184">
            <v>3558.6360006196901</v>
          </cell>
        </row>
        <row r="185">
          <cell r="B185" t="str">
            <v>CO2seq</v>
          </cell>
          <cell r="C185" t="str">
            <v>VAR_comnet</v>
          </cell>
          <cell r="D185" t="str">
            <v>-</v>
          </cell>
          <cell r="J185">
            <v>833.33088058087912</v>
          </cell>
          <cell r="K185">
            <v>1159.6293287957526</v>
          </cell>
          <cell r="L185">
            <v>1.5949140318801243E-2</v>
          </cell>
          <cell r="M185">
            <v>572.70569583230861</v>
          </cell>
          <cell r="N185">
            <v>1926.2270189639892</v>
          </cell>
          <cell r="O185">
            <v>2747.6266161274061</v>
          </cell>
          <cell r="P185">
            <v>3558.6360006196901</v>
          </cell>
        </row>
        <row r="186">
          <cell r="B186" t="str">
            <v>CO2_SECTOR</v>
          </cell>
          <cell r="C186" t="str">
            <v>VAR_fout</v>
          </cell>
          <cell r="D186" t="str">
            <v>CO2_IND</v>
          </cell>
          <cell r="E186">
            <v>6494.8181757928933</v>
          </cell>
          <cell r="F186">
            <v>6112.8787406009269</v>
          </cell>
          <cell r="G186">
            <v>5642.6330032093574</v>
          </cell>
          <cell r="H186">
            <v>4967.2348192396757</v>
          </cell>
          <cell r="I186">
            <v>4096.3181540035557</v>
          </cell>
          <cell r="J186">
            <v>3618.1401312026983</v>
          </cell>
          <cell r="K186">
            <v>3286.6169625335315</v>
          </cell>
          <cell r="L186">
            <v>3166.0579058290373</v>
          </cell>
          <cell r="M186">
            <v>3053.0660435288455</v>
          </cell>
          <cell r="N186">
            <v>3050.5986561228551</v>
          </cell>
          <cell r="O186">
            <v>3051.3084283861458</v>
          </cell>
          <cell r="P186">
            <v>3050.4354552643499</v>
          </cell>
        </row>
        <row r="187">
          <cell r="B187" t="str">
            <v>CO2_SECTOR</v>
          </cell>
          <cell r="C187" t="str">
            <v>VAR_fout</v>
          </cell>
          <cell r="D187" t="str">
            <v>CO2_RES</v>
          </cell>
          <cell r="E187">
            <v>7180.9564870063869</v>
          </cell>
          <cell r="F187">
            <v>6587.2411352306362</v>
          </cell>
          <cell r="G187">
            <v>6598.5324268720342</v>
          </cell>
          <cell r="H187">
            <v>5967.0002658018975</v>
          </cell>
          <cell r="I187">
            <v>3661.8845220502062</v>
          </cell>
          <cell r="J187">
            <v>1705.8428489814971</v>
          </cell>
          <cell r="K187">
            <v>1137.7964213856519</v>
          </cell>
          <cell r="L187">
            <v>547.78760236271808</v>
          </cell>
          <cell r="M187">
            <v>444.11083452521183</v>
          </cell>
          <cell r="N187">
            <v>434.25626021813412</v>
          </cell>
          <cell r="O187">
            <v>444.56860871611809</v>
          </cell>
          <cell r="P187">
            <v>417.26000644323227</v>
          </cell>
        </row>
        <row r="188">
          <cell r="B188" t="str">
            <v>CO2_SECTOR</v>
          </cell>
          <cell r="C188" t="str">
            <v>VAR_fout</v>
          </cell>
          <cell r="D188" t="str">
            <v>CO2_TRA</v>
          </cell>
          <cell r="E188">
            <v>14686.007028216607</v>
          </cell>
          <cell r="F188">
            <v>13950.573372463938</v>
          </cell>
          <cell r="G188">
            <v>10207.425246772058</v>
          </cell>
          <cell r="H188">
            <v>7441.3445900689794</v>
          </cell>
          <cell r="I188">
            <v>4247.593973932866</v>
          </cell>
          <cell r="J188">
            <v>2340.1608163273027</v>
          </cell>
          <cell r="K188">
            <v>975.56673514567547</v>
          </cell>
          <cell r="L188">
            <v>26.395037345097144</v>
          </cell>
          <cell r="M188">
            <v>38.856251444257843</v>
          </cell>
          <cell r="N188">
            <v>14.594810584580209</v>
          </cell>
          <cell r="O188">
            <v>21.146122287825154</v>
          </cell>
          <cell r="P188">
            <v>17.510260667206897</v>
          </cell>
        </row>
        <row r="189">
          <cell r="B189" t="str">
            <v>CO2_SECTOR</v>
          </cell>
          <cell r="C189" t="str">
            <v>VAR_fout</v>
          </cell>
          <cell r="D189" t="str">
            <v>CO2_ELC</v>
          </cell>
          <cell r="E189">
            <v>2609.5710203915751</v>
          </cell>
          <cell r="F189">
            <v>2467.9121971117861</v>
          </cell>
          <cell r="G189">
            <v>2396.5108160968798</v>
          </cell>
          <cell r="H189">
            <v>2244.0508526740391</v>
          </cell>
          <cell r="I189">
            <v>2241.2502462749708</v>
          </cell>
          <cell r="J189">
            <v>2498.3405335608663</v>
          </cell>
          <cell r="K189">
            <v>2511.8127492593048</v>
          </cell>
          <cell r="L189">
            <v>2552.9200562256488</v>
          </cell>
          <cell r="M189">
            <v>2434.3593083844057</v>
          </cell>
          <cell r="N189">
            <v>2382.944328189129</v>
          </cell>
          <cell r="O189">
            <v>2380.1243754367779</v>
          </cell>
          <cell r="P189">
            <v>2382.7037029999374</v>
          </cell>
        </row>
        <row r="190">
          <cell r="B190" t="str">
            <v>CO2_SECTOR</v>
          </cell>
          <cell r="C190" t="str">
            <v>VAR_fout</v>
          </cell>
          <cell r="D190" t="str">
            <v>CO2_SER</v>
          </cell>
          <cell r="E190">
            <v>3792.8009939286098</v>
          </cell>
          <cell r="F190">
            <v>3358.1381988380558</v>
          </cell>
          <cell r="G190">
            <v>2798.1761540996408</v>
          </cell>
          <cell r="H190">
            <v>2576.7619909864347</v>
          </cell>
          <cell r="I190">
            <v>2048.8274103147032</v>
          </cell>
          <cell r="J190">
            <v>1502.9897954259047</v>
          </cell>
          <cell r="K190">
            <v>561.6677305117106</v>
          </cell>
          <cell r="L190">
            <v>180.14479614773069</v>
          </cell>
          <cell r="M190">
            <v>197.36217299084419</v>
          </cell>
          <cell r="N190">
            <v>194.82450676440951</v>
          </cell>
          <cell r="O190">
            <v>191.95334375155525</v>
          </cell>
          <cell r="P190">
            <v>195.83670617780621</v>
          </cell>
        </row>
        <row r="191">
          <cell r="B191" t="str">
            <v>CO2_SECTOR</v>
          </cell>
          <cell r="C191" t="str">
            <v>VAR_fout</v>
          </cell>
          <cell r="D191" t="str">
            <v>CO2_ELCCCS</v>
          </cell>
          <cell r="E191">
            <v>2609.5710203915751</v>
          </cell>
          <cell r="F191">
            <v>2467.9121971117861</v>
          </cell>
          <cell r="G191">
            <v>2396.5108160968798</v>
          </cell>
          <cell r="H191">
            <v>2244.0508526740391</v>
          </cell>
          <cell r="I191">
            <v>2241.2502462749708</v>
          </cell>
          <cell r="J191">
            <v>1830.8058042217981</v>
          </cell>
          <cell r="K191">
            <v>247.10151091248312</v>
          </cell>
          <cell r="L191">
            <v>82.345049407832619</v>
          </cell>
          <cell r="M191">
            <v>-186.03988337620387</v>
          </cell>
          <cell r="N191">
            <v>-302.1918515816476</v>
          </cell>
          <cell r="O191">
            <v>-304.7061574086257</v>
          </cell>
          <cell r="P191">
            <v>-311.71183436741302</v>
          </cell>
        </row>
        <row r="192">
          <cell r="B192" t="str">
            <v>CO2_SECTOR</v>
          </cell>
          <cell r="C192" t="str">
            <v>VAR_fout</v>
          </cell>
          <cell r="D192" t="str">
            <v>CO2_H2CCS</v>
          </cell>
          <cell r="J192">
            <v>-6.5732848460223564E-2</v>
          </cell>
          <cell r="K192">
            <v>-0.1771684443178127</v>
          </cell>
          <cell r="L192">
            <v>-886.75821140324103</v>
          </cell>
          <cell r="M192">
            <v>-1694.8772751812567</v>
          </cell>
          <cell r="N192">
            <v>-1576.7346406043434</v>
          </cell>
          <cell r="O192">
            <v>-2250.4115968971873</v>
          </cell>
          <cell r="P192">
            <v>-2383.9421332357338</v>
          </cell>
        </row>
        <row r="193">
          <cell r="B193" t="str">
            <v>CO2_SECTOR</v>
          </cell>
          <cell r="C193" t="str">
            <v>VAR_fout</v>
          </cell>
          <cell r="D193" t="str">
            <v>CO2_INDCCS</v>
          </cell>
          <cell r="E193">
            <v>6494.8181757928933</v>
          </cell>
          <cell r="F193">
            <v>6112.8787406009269</v>
          </cell>
          <cell r="G193">
            <v>5642.6330032093574</v>
          </cell>
          <cell r="H193">
            <v>4967.221752191529</v>
          </cell>
          <cell r="I193">
            <v>4096.3043627739999</v>
          </cell>
          <cell r="J193">
            <v>3069.5574939057947</v>
          </cell>
          <cell r="K193">
            <v>1827.9330269191328</v>
          </cell>
          <cell r="L193">
            <v>60.540301221863061</v>
          </cell>
          <cell r="M193">
            <v>12.570847012085867</v>
          </cell>
          <cell r="N193">
            <v>11.191714983777494</v>
          </cell>
          <cell r="O193">
            <v>9.9636769170888009</v>
          </cell>
          <cell r="P193">
            <v>8.8612674715969852</v>
          </cell>
        </row>
        <row r="194">
          <cell r="B194" t="str">
            <v>CO2_SECTOR</v>
          </cell>
          <cell r="C194" t="str">
            <v>VAR_comnet</v>
          </cell>
          <cell r="D194" t="str">
            <v>-</v>
          </cell>
          <cell r="E194">
            <v>43868.542901520508</v>
          </cell>
          <cell r="F194">
            <v>41057.534581958054</v>
          </cell>
          <cell r="G194">
            <v>35682.421466356194</v>
          </cell>
          <cell r="H194">
            <v>30407.665123636591</v>
          </cell>
          <cell r="I194">
            <v>22633.428915625289</v>
          </cell>
          <cell r="J194">
            <v>16565.771690777408</v>
          </cell>
          <cell r="K194">
            <v>10548.317968223169</v>
          </cell>
          <cell r="L194">
            <v>5729.4325371366876</v>
          </cell>
          <cell r="M194">
            <v>4299.4082993281891</v>
          </cell>
          <cell r="N194">
            <v>4209.4837846768933</v>
          </cell>
          <cell r="O194">
            <v>3543.9468011896965</v>
          </cell>
          <cell r="P194">
            <v>3376.9534314209859</v>
          </cell>
        </row>
        <row r="195">
          <cell r="B195" t="str">
            <v>CO2SC</v>
          </cell>
          <cell r="C195" t="str">
            <v>VAR_fout</v>
          </cell>
          <cell r="D195" t="str">
            <v>CO2S1</v>
          </cell>
          <cell r="E195">
            <v>6307.1990227535098</v>
          </cell>
          <cell r="F195">
            <v>6307.1990227535098</v>
          </cell>
          <cell r="G195">
            <v>6307.1990227535098</v>
          </cell>
          <cell r="H195">
            <v>6307.1990227535098</v>
          </cell>
          <cell r="I195">
            <v>6307.1990227535098</v>
          </cell>
          <cell r="J195">
            <v>6307.1990227535098</v>
          </cell>
          <cell r="K195">
            <v>6307.1990227535098</v>
          </cell>
          <cell r="L195">
            <v>6307.1990227535098</v>
          </cell>
          <cell r="M195">
            <v>6307.1990227535098</v>
          </cell>
          <cell r="N195">
            <v>6307.1990227535098</v>
          </cell>
          <cell r="O195">
            <v>6307.1990227535098</v>
          </cell>
          <cell r="P195">
            <v>6307.1990227535098</v>
          </cell>
        </row>
        <row r="196">
          <cell r="B196" t="str">
            <v>CO2SC</v>
          </cell>
          <cell r="C196" t="str">
            <v>VAR_fout</v>
          </cell>
          <cell r="D196" t="str">
            <v>CO2S2</v>
          </cell>
          <cell r="L196">
            <v>5.6046104497201597E-4</v>
          </cell>
          <cell r="M196">
            <v>3.0149476905601101E-4</v>
          </cell>
          <cell r="N196">
            <v>6.3855858052859298E-4</v>
          </cell>
          <cell r="O196">
            <v>5.2043585482123103E-4</v>
          </cell>
          <cell r="P196">
            <v>1.2236430098401601E-3</v>
          </cell>
        </row>
        <row r="197">
          <cell r="B197" t="str">
            <v>CO2SC</v>
          </cell>
          <cell r="C197" t="str">
            <v>VAR_fin</v>
          </cell>
          <cell r="D197" t="str">
            <v>CO2EXP</v>
          </cell>
          <cell r="K197">
            <v>2082.4167130638498</v>
          </cell>
          <cell r="L197">
            <v>5714.4316597283596</v>
          </cell>
          <cell r="M197">
            <v>6307.1957236174803</v>
          </cell>
          <cell r="N197">
            <v>6307.1956150097903</v>
          </cell>
          <cell r="O197">
            <v>6307.1974176307003</v>
          </cell>
          <cell r="P197">
            <v>6307.19656078971</v>
          </cell>
        </row>
        <row r="198">
          <cell r="B198" t="str">
            <v>CO2SC</v>
          </cell>
          <cell r="C198" t="str">
            <v>EQ_combalM</v>
          </cell>
          <cell r="D198" t="str">
            <v>-</v>
          </cell>
          <cell r="L198">
            <v>-3.9327157487259399E-6</v>
          </cell>
          <cell r="M198">
            <v>3.9596333028140002E-2</v>
          </cell>
          <cell r="N198">
            <v>6.7357529421067097E-2</v>
          </cell>
          <cell r="O198">
            <v>9.5796193090539397E-2</v>
          </cell>
          <cell r="P198">
            <v>0.124871678587781</v>
          </cell>
        </row>
        <row r="199">
          <cell r="B199" t="str">
            <v>CO2P</v>
          </cell>
          <cell r="C199" t="str">
            <v>VAR_fout</v>
          </cell>
          <cell r="D199" t="str">
            <v>ITOT-PROCESSCO2</v>
          </cell>
          <cell r="E199">
            <v>2089.34680048464</v>
          </cell>
          <cell r="F199">
            <v>2111.0131698740802</v>
          </cell>
          <cell r="G199">
            <v>2102.26947106126</v>
          </cell>
          <cell r="H199">
            <v>2093.6570864435334</v>
          </cell>
          <cell r="I199">
            <v>2085.5349788176741</v>
          </cell>
          <cell r="J199">
            <v>2077.412871191375</v>
          </cell>
          <cell r="K199">
            <v>2070.5807257700144</v>
          </cell>
          <cell r="L199">
            <v>2063.7485803487489</v>
          </cell>
          <cell r="M199">
            <v>2063.748580348637</v>
          </cell>
          <cell r="N199">
            <v>2063.7485803486602</v>
          </cell>
          <cell r="O199">
            <v>2063.7485803486325</v>
          </cell>
          <cell r="P199">
            <v>2063.7485803488207</v>
          </cell>
        </row>
        <row r="200">
          <cell r="B200" t="str">
            <v>CO2P</v>
          </cell>
          <cell r="C200" t="str">
            <v>VAR_comnet</v>
          </cell>
          <cell r="D200" t="str">
            <v>-</v>
          </cell>
          <cell r="E200">
            <v>2089.34680048464</v>
          </cell>
          <cell r="F200">
            <v>2111.0131698740802</v>
          </cell>
          <cell r="G200">
            <v>2102.26947106126</v>
          </cell>
          <cell r="H200">
            <v>2093.6570864435334</v>
          </cell>
          <cell r="I200">
            <v>2085.5349788176741</v>
          </cell>
          <cell r="J200">
            <v>2077.412871191375</v>
          </cell>
          <cell r="K200">
            <v>2070.5807257700144</v>
          </cell>
          <cell r="L200">
            <v>2063.7485803487489</v>
          </cell>
          <cell r="M200">
            <v>2063.748580348637</v>
          </cell>
          <cell r="N200">
            <v>2063.7485803486602</v>
          </cell>
          <cell r="O200">
            <v>2063.7485803486325</v>
          </cell>
          <cell r="P200">
            <v>2063.7485803488207</v>
          </cell>
        </row>
        <row r="201">
          <cell r="B201" t="str">
            <v>CO2_E</v>
          </cell>
          <cell r="C201" t="str">
            <v>VAR_fout</v>
          </cell>
          <cell r="D201" t="str">
            <v>EWSTINCCS</v>
          </cell>
          <cell r="J201">
            <v>340.82354294909902</v>
          </cell>
          <cell r="K201">
            <v>1190.79516041185</v>
          </cell>
          <cell r="L201">
            <v>1330.8063082220799</v>
          </cell>
          <cell r="M201">
            <v>1268.95187111872</v>
          </cell>
          <cell r="N201">
            <v>1242.1295532014001</v>
          </cell>
          <cell r="O201">
            <v>1240.66635682064</v>
          </cell>
          <cell r="P201">
            <v>1241.9984021426601</v>
          </cell>
        </row>
        <row r="202">
          <cell r="B202" t="str">
            <v>CO2_E</v>
          </cell>
          <cell r="C202" t="str">
            <v>VAR_fout</v>
          </cell>
          <cell r="D202" t="str">
            <v>ENGA-CCS</v>
          </cell>
          <cell r="K202">
            <v>9.5480236661939694E-2</v>
          </cell>
          <cell r="L202">
            <v>1.4124272397567299</v>
          </cell>
          <cell r="M202">
            <v>121.95266267742301</v>
          </cell>
          <cell r="N202">
            <v>241.19796385804801</v>
          </cell>
          <cell r="O202">
            <v>240.86802899566101</v>
          </cell>
          <cell r="P202">
            <v>239.786806779926</v>
          </cell>
        </row>
        <row r="203">
          <cell r="B203" t="str">
            <v>CO2_E</v>
          </cell>
          <cell r="C203" t="str">
            <v>VAR_fout</v>
          </cell>
          <cell r="D203" t="str">
            <v>CHPWSTCCS</v>
          </cell>
          <cell r="J203">
            <v>395.69877583513102</v>
          </cell>
          <cell r="K203">
            <v>1289.2250360431899</v>
          </cell>
          <cell r="L203">
            <v>1347.5238000975701</v>
          </cell>
          <cell r="M203">
            <v>1284.9208299019899</v>
          </cell>
          <cell r="N203">
            <v>1257.74447198793</v>
          </cell>
          <cell r="O203">
            <v>1256.28700014368</v>
          </cell>
          <cell r="P203">
            <v>1257.61855635029</v>
          </cell>
        </row>
        <row r="204">
          <cell r="B204" t="str">
            <v>CO2_E</v>
          </cell>
          <cell r="C204" t="str">
            <v>VAR_fout</v>
          </cell>
          <cell r="D204" t="str">
            <v>HPLNGA</v>
          </cell>
          <cell r="E204">
            <v>114.385220069262</v>
          </cell>
          <cell r="F204">
            <v>141.34015087530901</v>
          </cell>
          <cell r="G204">
            <v>74.104853928274096</v>
          </cell>
        </row>
        <row r="205">
          <cell r="B205" t="str">
            <v>CO2_E</v>
          </cell>
          <cell r="C205" t="str">
            <v>VAR_fout</v>
          </cell>
          <cell r="D205" t="str">
            <v>CHPWST</v>
          </cell>
          <cell r="E205">
            <v>2843.3117189930299</v>
          </cell>
          <cell r="F205">
            <v>2589.1923938647001</v>
          </cell>
          <cell r="G205">
            <v>2461.58633129079</v>
          </cell>
          <cell r="H205">
            <v>2556.43423541023</v>
          </cell>
          <cell r="I205">
            <v>2535.9857786515099</v>
          </cell>
          <cell r="J205">
            <v>2346.5888644346801</v>
          </cell>
          <cell r="K205">
            <v>1407.1686372869101</v>
          </cell>
          <cell r="L205">
            <v>1096.76572498828</v>
          </cell>
          <cell r="M205">
            <v>1045.80032121963</v>
          </cell>
          <cell r="N205">
            <v>1023.68977207123</v>
          </cell>
          <cell r="O205">
            <v>1022.48256601454</v>
          </cell>
          <cell r="P205">
            <v>1023.55865359933</v>
          </cell>
        </row>
        <row r="206">
          <cell r="B206" t="str">
            <v>CO2_E</v>
          </cell>
          <cell r="C206" t="str">
            <v>VAR_fout</v>
          </cell>
          <cell r="D206" t="str">
            <v>CHPNGA</v>
          </cell>
          <cell r="E206">
            <v>209.963366497897</v>
          </cell>
          <cell r="F206">
            <v>0.30021417220158603</v>
          </cell>
          <cell r="G206">
            <v>1.8642676251671599</v>
          </cell>
          <cell r="J206">
            <v>2.5897210399615099E-3</v>
          </cell>
          <cell r="M206">
            <v>3.01448764560329E-2</v>
          </cell>
          <cell r="N206">
            <v>2.92846482643228E-2</v>
          </cell>
          <cell r="O206">
            <v>3.1946719802334302E-2</v>
          </cell>
          <cell r="P206">
            <v>6.0012135362949498E-2</v>
          </cell>
        </row>
        <row r="207">
          <cell r="B207" t="str">
            <v>CO2_E</v>
          </cell>
          <cell r="C207" t="str">
            <v>VAR_fout</v>
          </cell>
          <cell r="D207" t="str">
            <v>EWSTINC</v>
          </cell>
          <cell r="E207">
            <v>1689.30057155432</v>
          </cell>
          <cell r="F207">
            <v>1906.3566567007499</v>
          </cell>
          <cell r="G207">
            <v>2174.8540127839101</v>
          </cell>
          <cell r="H207">
            <v>1920.65136692027</v>
          </cell>
          <cell r="I207">
            <v>1944.98384595832</v>
          </cell>
          <cell r="J207">
            <v>1837.94928340616</v>
          </cell>
          <cell r="K207">
            <v>1126.15436069049</v>
          </cell>
          <cell r="L207">
            <v>1330.87339187565</v>
          </cell>
          <cell r="M207">
            <v>1269.0282602694399</v>
          </cell>
          <cell r="N207">
            <v>1242.1931940126799</v>
          </cell>
          <cell r="O207">
            <v>1240.72663027064</v>
          </cell>
          <cell r="P207">
            <v>1242.0435862250499</v>
          </cell>
        </row>
        <row r="208">
          <cell r="B208" t="str">
            <v>CO2_E</v>
          </cell>
          <cell r="C208" t="str">
            <v>VAR_fout</v>
          </cell>
          <cell r="D208" t="str">
            <v>ENGA-GTCC</v>
          </cell>
          <cell r="J208">
            <v>4.4521445477704903E-2</v>
          </cell>
          <cell r="K208">
            <v>8.8278637467614399E-2</v>
          </cell>
          <cell r="L208">
            <v>0.62939291105341599</v>
          </cell>
          <cell r="M208">
            <v>0.67203682253583297</v>
          </cell>
          <cell r="N208">
            <v>0.64686110628309501</v>
          </cell>
          <cell r="O208">
            <v>0.91204644846204097</v>
          </cell>
          <cell r="P208">
            <v>1.32392218410944</v>
          </cell>
        </row>
        <row r="209">
          <cell r="B209" t="str">
            <v>CO2_E</v>
          </cell>
          <cell r="C209" t="str">
            <v>VAR_fout</v>
          </cell>
          <cell r="D209" t="str">
            <v>HPLOIL</v>
          </cell>
          <cell r="E209">
            <v>15.878617585847801</v>
          </cell>
          <cell r="F209">
            <v>16.026872810299199</v>
          </cell>
          <cell r="G209">
            <v>4.4267332219316602</v>
          </cell>
          <cell r="H209">
            <v>4.59725478204287</v>
          </cell>
          <cell r="I209">
            <v>0.14769501204729699</v>
          </cell>
          <cell r="J209">
            <v>4.3083758575843303E-2</v>
          </cell>
          <cell r="K209">
            <v>4.96366591125929E-2</v>
          </cell>
          <cell r="L209">
            <v>7.3919614146041096E-3</v>
          </cell>
          <cell r="M209">
            <v>4.1365846414568204E-3</v>
          </cell>
          <cell r="N209">
            <v>2.8511633478318301E-3</v>
          </cell>
          <cell r="O209">
            <v>3.0105070010313399E-3</v>
          </cell>
          <cell r="P209">
            <v>2.4481744805459498E-3</v>
          </cell>
        </row>
        <row r="210">
          <cell r="B210" t="str">
            <v>CO2_E</v>
          </cell>
          <cell r="C210" t="str">
            <v>VAR_fout</v>
          </cell>
          <cell r="D210" t="str">
            <v>EOIL-ENG</v>
          </cell>
          <cell r="E210">
            <v>10.600033945415101</v>
          </cell>
          <cell r="F210">
            <v>30.374838998666899</v>
          </cell>
          <cell r="G210">
            <v>2.36719826914719</v>
          </cell>
          <cell r="H210">
            <v>0.32689663171605698</v>
          </cell>
          <cell r="I210">
            <v>0.35741227655555002</v>
          </cell>
          <cell r="J210">
            <v>36.249027066735302</v>
          </cell>
          <cell r="K210">
            <v>4.0505662895482697</v>
          </cell>
          <cell r="L210">
            <v>1.7781240831066799E-2</v>
          </cell>
          <cell r="M210">
            <v>7.4212740390268303E-2</v>
          </cell>
          <cell r="N210">
            <v>0.11068881289049</v>
          </cell>
          <cell r="O210">
            <v>0.112324897296276</v>
          </cell>
          <cell r="P210">
            <v>0.154450068475916</v>
          </cell>
        </row>
        <row r="211">
          <cell r="B211" t="str">
            <v>CO2_E</v>
          </cell>
          <cell r="C211" t="str">
            <v>VAR_fout</v>
          </cell>
          <cell r="D211" t="str">
            <v>ENGA-GTOC</v>
          </cell>
          <cell r="J211">
            <v>2.7372681967179902E-2</v>
          </cell>
          <cell r="K211">
            <v>4.6775412877855402E-2</v>
          </cell>
          <cell r="L211">
            <v>0.85616827700466203</v>
          </cell>
          <cell r="M211">
            <v>0.80576711348280505</v>
          </cell>
          <cell r="N211">
            <v>0.67946500187293402</v>
          </cell>
          <cell r="O211">
            <v>0.86540398929469697</v>
          </cell>
          <cell r="P211">
            <v>1.4962785266779799</v>
          </cell>
        </row>
        <row r="212">
          <cell r="B212" t="str">
            <v>CO2_E</v>
          </cell>
          <cell r="C212" t="str">
            <v>VAR_fout</v>
          </cell>
          <cell r="D212" t="str">
            <v>CHPOIL</v>
          </cell>
          <cell r="E212">
            <v>2.95105794940446</v>
          </cell>
          <cell r="F212">
            <v>30.4225811464459</v>
          </cell>
          <cell r="G212">
            <v>2.0274304087384198</v>
          </cell>
          <cell r="H212">
            <v>0.549420182992017</v>
          </cell>
          <cell r="I212">
            <v>0.30505400934761601</v>
          </cell>
          <cell r="J212">
            <v>1.21684144055738</v>
          </cell>
          <cell r="K212">
            <v>1.10129082594117</v>
          </cell>
          <cell r="L212">
            <v>1.2040618129223701E-2</v>
          </cell>
          <cell r="M212">
            <v>4.3056748815359001E-2</v>
          </cell>
          <cell r="N212">
            <v>5.4285961920343302E-2</v>
          </cell>
          <cell r="O212">
            <v>5.49371063555582E-2</v>
          </cell>
          <cell r="P212">
            <v>6.4129766845473501E-2</v>
          </cell>
        </row>
        <row r="213">
          <cell r="B213" t="str">
            <v>CO2_E</v>
          </cell>
          <cell r="C213" t="str">
            <v>VAR_comnet</v>
          </cell>
          <cell r="D213" t="str">
            <v>-</v>
          </cell>
          <cell r="E213">
            <v>4886.3905865951701</v>
          </cell>
          <cell r="F213">
            <v>4714.01370856837</v>
          </cell>
          <cell r="G213">
            <v>4721.2308275279502</v>
          </cell>
          <cell r="H213">
            <v>4482.5591739272504</v>
          </cell>
          <cell r="I213">
            <v>4481.77978590779</v>
          </cell>
          <cell r="J213">
            <v>4958.6439027394199</v>
          </cell>
          <cell r="K213">
            <v>5018.7752224940396</v>
          </cell>
          <cell r="L213">
            <v>5108.9044274317703</v>
          </cell>
          <cell r="M213">
            <v>4992.28330007352</v>
          </cell>
          <cell r="N213">
            <v>5008.4783918258699</v>
          </cell>
          <cell r="O213">
            <v>5003.0102519133798</v>
          </cell>
          <cell r="P213">
            <v>5008.1072459532097</v>
          </cell>
        </row>
        <row r="214">
          <cell r="B214" t="str">
            <v>CO2_I</v>
          </cell>
          <cell r="C214" t="str">
            <v>VAR_fout</v>
          </cell>
          <cell r="D214" t="str">
            <v>ITOT-CHPNGA</v>
          </cell>
          <cell r="E214">
            <v>109.6287379215</v>
          </cell>
          <cell r="F214">
            <v>14.0711466597794</v>
          </cell>
          <cell r="G214">
            <v>9.4875086431289404</v>
          </cell>
          <cell r="H214">
            <v>12.492737062155401</v>
          </cell>
          <cell r="I214">
            <v>59.5997233262582</v>
          </cell>
          <cell r="J214">
            <v>55.146421453652501</v>
          </cell>
          <cell r="K214">
            <v>17.6769883348022</v>
          </cell>
          <cell r="L214">
            <v>53.601575785115898</v>
          </cell>
          <cell r="M214">
            <v>66.273022580551697</v>
          </cell>
          <cell r="N214">
            <v>63.072645622420097</v>
          </cell>
          <cell r="O214">
            <v>66.706665887995797</v>
          </cell>
          <cell r="P214">
            <v>67.229038078958595</v>
          </cell>
        </row>
        <row r="215">
          <cell r="B215" t="str">
            <v>CO2_I</v>
          </cell>
          <cell r="C215" t="str">
            <v>VAR_fout</v>
          </cell>
          <cell r="D215" t="str">
            <v>ITOT-SWHNGABR</v>
          </cell>
          <cell r="E215">
            <v>2005.1550929827699</v>
          </cell>
          <cell r="F215">
            <v>1674.26968152823</v>
          </cell>
          <cell r="G215">
            <v>2033.9562296403201</v>
          </cell>
          <cell r="H215">
            <v>1470.5699167518601</v>
          </cell>
          <cell r="I215">
            <v>732.41414850129399</v>
          </cell>
          <cell r="J215">
            <v>426.66439967327801</v>
          </cell>
          <cell r="K215">
            <v>249.952818770487</v>
          </cell>
          <cell r="L215">
            <v>71.956207585286506</v>
          </cell>
          <cell r="M215">
            <v>38.503874847873398</v>
          </cell>
          <cell r="N215">
            <v>41.407707601103297</v>
          </cell>
          <cell r="O215">
            <v>36.241690614712098</v>
          </cell>
          <cell r="P215">
            <v>34.668559370249802</v>
          </cell>
        </row>
        <row r="216">
          <cell r="B216" t="str">
            <v>CO2_I</v>
          </cell>
          <cell r="C216" t="str">
            <v>VAR_fout</v>
          </cell>
          <cell r="D216" t="str">
            <v>ITOT-CHPWSTCCS</v>
          </cell>
          <cell r="J216">
            <v>71.1691929354416</v>
          </cell>
          <cell r="K216">
            <v>486.27478797757101</v>
          </cell>
          <cell r="L216">
            <v>1084.54880590108</v>
          </cell>
          <cell r="M216">
            <v>985.13190303725605</v>
          </cell>
          <cell r="N216">
            <v>985.86996586500004</v>
          </cell>
          <cell r="O216">
            <v>985.98332796750697</v>
          </cell>
          <cell r="P216">
            <v>986.32740386769001</v>
          </cell>
        </row>
        <row r="217">
          <cell r="B217" t="str">
            <v>CO2_I</v>
          </cell>
          <cell r="C217" t="str">
            <v>VAR_fout</v>
          </cell>
          <cell r="D217" t="str">
            <v>ITOT-SWHLFOBR</v>
          </cell>
          <cell r="E217">
            <v>655.77055342329197</v>
          </cell>
          <cell r="F217">
            <v>597.29265628793303</v>
          </cell>
          <cell r="G217">
            <v>589.70566692578996</v>
          </cell>
          <cell r="H217">
            <v>479.32012131476603</v>
          </cell>
          <cell r="I217">
            <v>323.10640385861302</v>
          </cell>
          <cell r="J217">
            <v>217.50083086171301</v>
          </cell>
          <cell r="K217">
            <v>115.310067106161</v>
          </cell>
          <cell r="L217">
            <v>16.708958661109499</v>
          </cell>
          <cell r="M217">
            <v>16.707404857174399</v>
          </cell>
          <cell r="N217">
            <v>16.707026204995401</v>
          </cell>
          <cell r="O217">
            <v>16.061000108049299</v>
          </cell>
          <cell r="P217">
            <v>16.005425920012001</v>
          </cell>
        </row>
        <row r="218">
          <cell r="B218" t="str">
            <v>CO2_I</v>
          </cell>
          <cell r="C218" t="str">
            <v>VAR_fout</v>
          </cell>
          <cell r="D218" t="str">
            <v>ITOT-CHPNGACCS</v>
          </cell>
          <cell r="J218">
            <v>0.77425707558013801</v>
          </cell>
          <cell r="K218">
            <v>0.80453239788368203</v>
          </cell>
          <cell r="L218">
            <v>34.395713778395098</v>
          </cell>
          <cell r="M218">
            <v>42.401527595108597</v>
          </cell>
          <cell r="N218">
            <v>40.4969058778658</v>
          </cell>
          <cell r="O218">
            <v>42.797759872287102</v>
          </cell>
          <cell r="P218">
            <v>43.117079131466397</v>
          </cell>
        </row>
        <row r="219">
          <cell r="B219" t="str">
            <v>CO2_I</v>
          </cell>
          <cell r="C219" t="str">
            <v>VAR_fout</v>
          </cell>
          <cell r="D219" t="str">
            <v>ITOT-CHPGFC</v>
          </cell>
          <cell r="I219">
            <v>0.45893544804355502</v>
          </cell>
          <cell r="J219">
            <v>0.84480510023899502</v>
          </cell>
          <cell r="K219">
            <v>0.59978724111468895</v>
          </cell>
          <cell r="L219">
            <v>0.66452798762036602</v>
          </cell>
          <cell r="M219">
            <v>0.74175018125119097</v>
          </cell>
          <cell r="N219">
            <v>0.47095008536365202</v>
          </cell>
          <cell r="O219">
            <v>0.42715020835777601</v>
          </cell>
          <cell r="P219">
            <v>0.41615392428369402</v>
          </cell>
        </row>
        <row r="220">
          <cell r="B220" t="str">
            <v>CO2_I</v>
          </cell>
          <cell r="C220" t="str">
            <v>VAR_fout</v>
          </cell>
          <cell r="D220" t="str">
            <v>ITOT-SWHCOABR</v>
          </cell>
          <cell r="E220">
            <v>330.01596192201299</v>
          </cell>
          <cell r="F220">
            <v>321.183167168073</v>
          </cell>
          <cell r="G220">
            <v>1.58435431186148</v>
          </cell>
          <cell r="H220">
            <v>0.12735689317940799</v>
          </cell>
          <cell r="I220">
            <v>0.16136597863861901</v>
          </cell>
          <cell r="J220">
            <v>0.37030989692114302</v>
          </cell>
          <cell r="K220">
            <v>0.178000966416448</v>
          </cell>
          <cell r="L220">
            <v>3.8650773786494401E-3</v>
          </cell>
          <cell r="M220">
            <v>1.04835737266119E-2</v>
          </cell>
          <cell r="N220">
            <v>1.45795000992727E-2</v>
          </cell>
          <cell r="O220">
            <v>1.4152564636350499E-2</v>
          </cell>
          <cell r="P220">
            <v>1.6201397386366102E-2</v>
          </cell>
        </row>
        <row r="221">
          <cell r="B221" t="str">
            <v>CO2_I</v>
          </cell>
          <cell r="C221" t="str">
            <v>VAR_fout</v>
          </cell>
          <cell r="D221" t="str">
            <v>ITOT-CHPOIL</v>
          </cell>
          <cell r="E221">
            <v>23.041397373312801</v>
          </cell>
          <cell r="F221">
            <v>51.279680586132301</v>
          </cell>
          <cell r="G221">
            <v>2.7909653957345899</v>
          </cell>
          <cell r="H221">
            <v>47.552743910024802</v>
          </cell>
          <cell r="I221">
            <v>47.5715144562893</v>
          </cell>
          <cell r="M221">
            <v>0.75761436195949805</v>
          </cell>
          <cell r="N221">
            <v>1.0496454914064299</v>
          </cell>
          <cell r="O221">
            <v>1.6995720285506399</v>
          </cell>
          <cell r="P221">
            <v>2.55001625794401</v>
          </cell>
        </row>
        <row r="222">
          <cell r="B222" t="str">
            <v>CO2_I</v>
          </cell>
          <cell r="C222" t="str">
            <v>VAR_fout</v>
          </cell>
          <cell r="D222" t="str">
            <v>ITOT-SWHWSTBR</v>
          </cell>
          <cell r="E222">
            <v>723.66310695691197</v>
          </cell>
          <cell r="F222">
            <v>749.84195223462996</v>
          </cell>
          <cell r="G222">
            <v>520.451123551916</v>
          </cell>
          <cell r="H222">
            <v>514.63662305883702</v>
          </cell>
          <cell r="I222">
            <v>508.82091125780602</v>
          </cell>
          <cell r="J222">
            <v>506.22791939452401</v>
          </cell>
          <cell r="K222">
            <v>503.54745384108998</v>
          </cell>
          <cell r="L222">
            <v>1.40722998447027</v>
          </cell>
          <cell r="M222">
            <v>0.70609089726401997</v>
          </cell>
          <cell r="N222">
            <v>0.327588460326592</v>
          </cell>
          <cell r="O222">
            <v>0.21801652971515401</v>
          </cell>
          <cell r="P222">
            <v>0.121375038741245</v>
          </cell>
        </row>
        <row r="223">
          <cell r="B223" t="str">
            <v>CO2_I</v>
          </cell>
          <cell r="C223" t="str">
            <v>VAR_fout</v>
          </cell>
          <cell r="D223" t="str">
            <v>ITOT-SWHNGAHP</v>
          </cell>
          <cell r="G223">
            <v>0.82609309072063997</v>
          </cell>
          <cell r="H223">
            <v>0.36184016341606601</v>
          </cell>
          <cell r="I223">
            <v>0.52157264929008695</v>
          </cell>
          <cell r="J223">
            <v>1.0103712707839201</v>
          </cell>
          <cell r="K223">
            <v>0.75135549451039496</v>
          </cell>
          <cell r="L223">
            <v>1.2072946288339601</v>
          </cell>
          <cell r="M223">
            <v>1.20433320479327</v>
          </cell>
          <cell r="N223">
            <v>1.2007456319429599</v>
          </cell>
          <cell r="O223">
            <v>1.2004441581991701</v>
          </cell>
          <cell r="P223">
            <v>1.19969008885018</v>
          </cell>
        </row>
        <row r="224">
          <cell r="B224" t="str">
            <v>CO2_I</v>
          </cell>
          <cell r="C224" t="str">
            <v>VAR_fout</v>
          </cell>
          <cell r="D224" t="str">
            <v>ITOT-CHPWST</v>
          </cell>
          <cell r="E224">
            <v>344.51244733483901</v>
          </cell>
          <cell r="F224">
            <v>364.73358420085401</v>
          </cell>
          <cell r="G224">
            <v>504.23799844106998</v>
          </cell>
          <cell r="H224">
            <v>498.60896221305501</v>
          </cell>
          <cell r="I224">
            <v>492.98159670431301</v>
          </cell>
          <cell r="J224">
            <v>419.51129230643301</v>
          </cell>
          <cell r="K224">
            <v>1.9588857246798901</v>
          </cell>
          <cell r="L224">
            <v>1.0283913399375699</v>
          </cell>
          <cell r="M224">
            <v>0.96681167513087196</v>
          </cell>
          <cell r="N224">
            <v>0.52540658024176301</v>
          </cell>
          <cell r="O224">
            <v>0.49252389348185799</v>
          </cell>
          <cell r="P224">
            <v>0.31376487860965502</v>
          </cell>
        </row>
        <row r="225">
          <cell r="B225" t="str">
            <v>CO2_I</v>
          </cell>
          <cell r="C225" t="str">
            <v>VAR_fout</v>
          </cell>
          <cell r="D225" t="str">
            <v>ITOT-SWHHFOBR</v>
          </cell>
          <cell r="E225">
            <v>210.21323637523</v>
          </cell>
          <cell r="F225">
            <v>209.30726166789501</v>
          </cell>
          <cell r="G225">
            <v>0.62346616727422099</v>
          </cell>
          <cell r="H225">
            <v>0.13563809698236401</v>
          </cell>
          <cell r="I225">
            <v>0.17772678895501801</v>
          </cell>
          <cell r="J225">
            <v>0.36510193309722999</v>
          </cell>
          <cell r="K225">
            <v>0.16506970817696401</v>
          </cell>
        </row>
        <row r="226">
          <cell r="B226" t="str">
            <v>CO2_I</v>
          </cell>
          <cell r="C226" t="str">
            <v>VAR_comnet</v>
          </cell>
          <cell r="D226" t="str">
            <v>-</v>
          </cell>
          <cell r="E226">
            <v>4402.0005342898703</v>
          </cell>
          <cell r="F226">
            <v>3981.9791303335301</v>
          </cell>
          <cell r="G226">
            <v>3663.6634061678201</v>
          </cell>
          <cell r="H226">
            <v>3023.8059394642801</v>
          </cell>
          <cell r="I226">
            <v>2165.8138989694999</v>
          </cell>
          <cell r="J226">
            <v>1699.58490190166</v>
          </cell>
          <cell r="K226">
            <v>1377.21974756289</v>
          </cell>
          <cell r="L226">
            <v>1265.52257072922</v>
          </cell>
          <cell r="M226">
            <v>1153.4048168120901</v>
          </cell>
          <cell r="N226">
            <v>1151.14316692077</v>
          </cell>
          <cell r="O226">
            <v>1151.84230383349</v>
          </cell>
          <cell r="P226">
            <v>1151.9647079541901</v>
          </cell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2045</v>
          </cell>
          <cell r="L3" t="str">
            <v>2050</v>
          </cell>
          <cell r="M3" t="str">
            <v>2055</v>
          </cell>
          <cell r="N3" t="str">
            <v>2060</v>
          </cell>
          <cell r="O3" t="str">
            <v>2065</v>
          </cell>
          <cell r="P3" t="str">
            <v>2070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3.02713238775691E-6</v>
          </cell>
          <cell r="I4">
            <v>4.6448239905571799E-6</v>
          </cell>
          <cell r="J4">
            <v>5.8634631909954699E-6</v>
          </cell>
          <cell r="K4">
            <v>9.7676057545938495E-6</v>
          </cell>
          <cell r="L4">
            <v>4.9214271686752996E-4</v>
          </cell>
          <cell r="M4">
            <v>1.63391801370534E-5</v>
          </cell>
          <cell r="N4">
            <v>2.6421241681636598E-4</v>
          </cell>
          <cell r="O4">
            <v>2.8753261868288498E-5</v>
          </cell>
          <cell r="P4">
            <v>9.7880734665278693E-4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J5">
            <v>1.5906427571923899E-4</v>
          </cell>
          <cell r="K5">
            <v>1.75047793742498E-5</v>
          </cell>
          <cell r="L5">
            <v>3.9249635548864103E-3</v>
          </cell>
          <cell r="M5">
            <v>2.0633621674056899E-6</v>
          </cell>
          <cell r="N5">
            <v>1.1520014951276301E-5</v>
          </cell>
          <cell r="O5">
            <v>1.8855494603243601E-6</v>
          </cell>
          <cell r="P5">
            <v>6.0815063991488303E-4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1.66140971617477E-5</v>
          </cell>
          <cell r="I6">
            <v>0.308755761130452</v>
          </cell>
          <cell r="J6">
            <v>9.9319139934599592E-6</v>
          </cell>
          <cell r="K6">
            <v>0.14811116971389901</v>
          </cell>
          <cell r="L6">
            <v>1.24458788632939</v>
          </cell>
          <cell r="M6">
            <v>1.6300289947319199E-5</v>
          </cell>
          <cell r="N6">
            <v>0.42514227564603302</v>
          </cell>
          <cell r="O6">
            <v>3.4985799992935399E-2</v>
          </cell>
          <cell r="P6">
            <v>1.21847492328896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4.4500718468100402E-6</v>
          </cell>
          <cell r="I7">
            <v>1.4761835388458201E-5</v>
          </cell>
          <cell r="J7">
            <v>0.16955831339813901</v>
          </cell>
          <cell r="K7">
            <v>0.52579361617141995</v>
          </cell>
          <cell r="L7">
            <v>1.02809049889347</v>
          </cell>
          <cell r="M7">
            <v>2.9875645299218599E-5</v>
          </cell>
          <cell r="N7">
            <v>8.9943472253175004E-5</v>
          </cell>
          <cell r="O7">
            <v>2.4895818380559698E-2</v>
          </cell>
          <cell r="P7">
            <v>0.45107500444233101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1.6448965273123201E-5</v>
          </cell>
          <cell r="F8">
            <v>1.3299368838551101E-6</v>
          </cell>
          <cell r="G8">
            <v>1.4389309985167099E-6</v>
          </cell>
          <cell r="H8">
            <v>1.5616650227028899E-6</v>
          </cell>
          <cell r="I8">
            <v>3.5994488365352599E-6</v>
          </cell>
          <cell r="J8">
            <v>1.31693715004698E-5</v>
          </cell>
          <cell r="K8">
            <v>1.5504857967227299E-5</v>
          </cell>
          <cell r="L8">
            <v>1.93197519976671E-4</v>
          </cell>
          <cell r="M8">
            <v>5.9531207371386098E-5</v>
          </cell>
          <cell r="N8">
            <v>0.28593577026922101</v>
          </cell>
          <cell r="O8">
            <v>5.1020191620682297E-2</v>
          </cell>
          <cell r="P8">
            <v>9.8904323157894998E-3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J9">
            <v>8.9791780647517794E-3</v>
          </cell>
          <cell r="K9">
            <v>6.7939960846126503E-3</v>
          </cell>
          <cell r="L9">
            <v>0.14634739757718901</v>
          </cell>
          <cell r="M9">
            <v>1.39288940737667</v>
          </cell>
          <cell r="N9">
            <v>8.5181427071252802</v>
          </cell>
          <cell r="O9">
            <v>1.44843435411578</v>
          </cell>
          <cell r="P9">
            <v>3.9408342333407802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4.1072303844069697E-3</v>
          </cell>
          <cell r="F10">
            <v>4.38217877379377E-3</v>
          </cell>
          <cell r="G10">
            <v>8.4441405169590499E-6</v>
          </cell>
          <cell r="H10">
            <v>7.5769743420023294E-2</v>
          </cell>
          <cell r="I10">
            <v>0.116854367551014</v>
          </cell>
          <cell r="J10">
            <v>0.12061840224313999</v>
          </cell>
          <cell r="K10">
            <v>5.88725643778353E-2</v>
          </cell>
          <cell r="L10">
            <v>7.5561401653398294E-2</v>
          </cell>
          <cell r="M10">
            <v>0.12570887120751401</v>
          </cell>
          <cell r="N10">
            <v>0.16741151154737</v>
          </cell>
          <cell r="O10">
            <v>6.2261243566128902E-2</v>
          </cell>
          <cell r="P10">
            <v>7.5845968631700997E-2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E11">
            <v>1.3745910799177101E-6</v>
          </cell>
          <cell r="F11">
            <v>1.4467870660126599E-6</v>
          </cell>
          <cell r="G11">
            <v>1.77652608311242E-6</v>
          </cell>
          <cell r="H11">
            <v>1.89335308243526E-6</v>
          </cell>
          <cell r="I11">
            <v>2.8601902657631698E-6</v>
          </cell>
          <cell r="J11">
            <v>3.9935589097346699E-6</v>
          </cell>
          <cell r="K11">
            <v>7.36642171714853E-6</v>
          </cell>
          <cell r="L11">
            <v>2.94432206824775E-3</v>
          </cell>
          <cell r="M11">
            <v>3.18704536416294E-5</v>
          </cell>
          <cell r="N11">
            <v>8.4960601091208399E-4</v>
          </cell>
          <cell r="O11">
            <v>8.4611407212200896E-5</v>
          </cell>
          <cell r="P11">
            <v>3.51464732159888E-3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E12">
            <v>1.4344861777398301E-2</v>
          </cell>
          <cell r="F12">
            <v>6.8832476926936503E-2</v>
          </cell>
          <cell r="G12">
            <v>2.7425387760003799E-6</v>
          </cell>
          <cell r="H12">
            <v>2.1986385230277599E-6</v>
          </cell>
          <cell r="I12">
            <v>7.0057713701179804E-4</v>
          </cell>
          <cell r="J12">
            <v>4.3072559784361399E-2</v>
          </cell>
          <cell r="K12">
            <v>9.95844358311605E-2</v>
          </cell>
          <cell r="L12">
            <v>6.2631807863538599E-2</v>
          </cell>
          <cell r="M12">
            <v>7.5972539507941195E-2</v>
          </cell>
          <cell r="N12">
            <v>0.10686012599514901</v>
          </cell>
          <cell r="O12">
            <v>9.9632965989778097E-2</v>
          </cell>
          <cell r="P12">
            <v>6.2737922153160902E-2</v>
          </cell>
        </row>
        <row r="13">
          <cell r="A13" t="str">
            <v>-</v>
          </cell>
          <cell r="B13" t="str">
            <v>VAR_ncap</v>
          </cell>
          <cell r="C13" t="str">
            <v>SUP_WODH2</v>
          </cell>
          <cell r="H13">
            <v>3.4837298211620401E-4</v>
          </cell>
          <cell r="I13">
            <v>2.25594754307685E-2</v>
          </cell>
          <cell r="J13">
            <v>2.3505292907633901E-6</v>
          </cell>
          <cell r="K13">
            <v>4.6250459663205197E-6</v>
          </cell>
          <cell r="L13">
            <v>3.5059476195178698E-6</v>
          </cell>
          <cell r="M13">
            <v>4.7321818054537701E-6</v>
          </cell>
          <cell r="N13">
            <v>2.5440399534370302E-4</v>
          </cell>
          <cell r="O13">
            <v>5.43056302644684E-6</v>
          </cell>
          <cell r="P13">
            <v>2.1852190545986399E-4</v>
          </cell>
        </row>
        <row r="14">
          <cell r="A14" t="str">
            <v>-</v>
          </cell>
          <cell r="B14" t="str">
            <v>VAR_ncap</v>
          </cell>
          <cell r="C14" t="str">
            <v>ESOL-PV_A</v>
          </cell>
          <cell r="H14">
            <v>0.18449540703318701</v>
          </cell>
          <cell r="I14">
            <v>1.74228157325063</v>
          </cell>
          <cell r="J14">
            <v>6.4939589314254004E-2</v>
          </cell>
          <cell r="K14">
            <v>0.61907548699913095</v>
          </cell>
          <cell r="L14">
            <v>4.5154975243403503E-7</v>
          </cell>
          <cell r="M14">
            <v>5.1041160438338296E-7</v>
          </cell>
          <cell r="N14">
            <v>7.5422942746476303E-6</v>
          </cell>
          <cell r="O14">
            <v>1.5211570146011001E-5</v>
          </cell>
        </row>
        <row r="15">
          <cell r="A15" t="str">
            <v>-</v>
          </cell>
          <cell r="B15" t="str">
            <v>VAR_ncap</v>
          </cell>
          <cell r="C15" t="str">
            <v>D-TNGA</v>
          </cell>
          <cell r="E15">
            <v>6.2648525053425197E-6</v>
          </cell>
          <cell r="F15">
            <v>4.6267234295921698E-7</v>
          </cell>
          <cell r="G15">
            <v>5.0982502038018004E-7</v>
          </cell>
          <cell r="H15">
            <v>5.5932004721085601E-7</v>
          </cell>
          <cell r="I15">
            <v>7.2378207589418499E-7</v>
          </cell>
          <cell r="J15">
            <v>8.8086398557039296E-7</v>
          </cell>
          <cell r="K15">
            <v>1.14287762287274E-6</v>
          </cell>
          <cell r="L15">
            <v>1.64961698678695E-6</v>
          </cell>
        </row>
        <row r="16">
          <cell r="A16" t="str">
            <v>-</v>
          </cell>
          <cell r="B16" t="str">
            <v>VAR_ncap</v>
          </cell>
          <cell r="C16" t="str">
            <v>SUP_ELCH2_D</v>
          </cell>
          <cell r="H16">
            <v>2.4442632804837201E-5</v>
          </cell>
          <cell r="I16">
            <v>3.0040709706742099E-5</v>
          </cell>
          <cell r="J16">
            <v>0.351422674278769</v>
          </cell>
          <cell r="K16">
            <v>0.120549161972603</v>
          </cell>
          <cell r="L16">
            <v>1.33824053872507E-2</v>
          </cell>
          <cell r="M16">
            <v>4.6549182919990398E-2</v>
          </cell>
          <cell r="N16">
            <v>0.30490786862800401</v>
          </cell>
          <cell r="O16">
            <v>0.12053452064650901</v>
          </cell>
          <cell r="P16">
            <v>1.34674691346559E-2</v>
          </cell>
        </row>
        <row r="17">
          <cell r="A17" t="str">
            <v>-</v>
          </cell>
          <cell r="B17" t="str">
            <v>VAR_ncap</v>
          </cell>
          <cell r="C17" t="str">
            <v>SUP_H2GSL</v>
          </cell>
          <cell r="H17">
            <v>6.49563977615269E-6</v>
          </cell>
          <cell r="I17">
            <v>3.25690935094999E-5</v>
          </cell>
          <cell r="J17">
            <v>0.20080926590750101</v>
          </cell>
          <cell r="K17">
            <v>2.46930056765126E-5</v>
          </cell>
          <cell r="L17">
            <v>2.73995699228126E-5</v>
          </cell>
          <cell r="M17">
            <v>3.1243556262466101E-5</v>
          </cell>
          <cell r="N17">
            <v>1.7784223998443899E-2</v>
          </cell>
          <cell r="O17">
            <v>5.4803486994418199E-3</v>
          </cell>
          <cell r="P17">
            <v>1.43634809005472E-4</v>
          </cell>
        </row>
        <row r="18">
          <cell r="A18" t="str">
            <v>-</v>
          </cell>
          <cell r="B18" t="str">
            <v>VAR_ncap</v>
          </cell>
          <cell r="C18" t="str">
            <v>ESOL-PV_E</v>
          </cell>
          <cell r="H18">
            <v>2.8458261746776198E-6</v>
          </cell>
          <cell r="I18">
            <v>3.5340884848778298E-5</v>
          </cell>
          <cell r="J18">
            <v>0.97342917754275704</v>
          </cell>
          <cell r="K18">
            <v>0.296989835980006</v>
          </cell>
          <cell r="L18">
            <v>4.8586602948989297E-6</v>
          </cell>
          <cell r="M18">
            <v>1.6361373635898401E-6</v>
          </cell>
          <cell r="N18">
            <v>3.0194382022521102E-6</v>
          </cell>
          <cell r="O18">
            <v>0.152419715292297</v>
          </cell>
          <cell r="P18">
            <v>0.821048514997892</v>
          </cell>
        </row>
        <row r="19">
          <cell r="A19" t="str">
            <v>-</v>
          </cell>
          <cell r="B19" t="str">
            <v>VAR_ncap</v>
          </cell>
          <cell r="C19" t="str">
            <v>D-SNGA</v>
          </cell>
          <cell r="E19">
            <v>5.5057480920305002E-5</v>
          </cell>
          <cell r="F19">
            <v>7.2243873953563101E-7</v>
          </cell>
          <cell r="G19">
            <v>1.22127434241444E-6</v>
          </cell>
          <cell r="H19">
            <v>1.4594484227827199E-6</v>
          </cell>
          <cell r="I19">
            <v>2.3825627299010898E-6</v>
          </cell>
          <cell r="J19">
            <v>3.3864333091372599E-6</v>
          </cell>
          <cell r="K19">
            <v>6.25746497133641E-6</v>
          </cell>
          <cell r="L19">
            <v>3.7091563910589801E-5</v>
          </cell>
          <cell r="M19">
            <v>0.34902112452531803</v>
          </cell>
          <cell r="N19">
            <v>4.9964808399590098E-5</v>
          </cell>
          <cell r="O19">
            <v>3.5982731494195303E-5</v>
          </cell>
          <cell r="P19">
            <v>1.9656663785424299E-4</v>
          </cell>
        </row>
        <row r="20">
          <cell r="A20" t="str">
            <v>-</v>
          </cell>
          <cell r="B20" t="str">
            <v>VAR_ncap</v>
          </cell>
          <cell r="C20" t="str">
            <v>SUP_MNRBIO</v>
          </cell>
          <cell r="E20">
            <v>5.36906086341742E-2</v>
          </cell>
          <cell r="F20">
            <v>0.10872204630460799</v>
          </cell>
          <cell r="G20">
            <v>9.3943361021410698E-6</v>
          </cell>
          <cell r="H20">
            <v>6.9746220665241799E-6</v>
          </cell>
          <cell r="I20">
            <v>4.6451766967502203E-5</v>
          </cell>
          <cell r="J20">
            <v>7.3602325881784003E-2</v>
          </cell>
          <cell r="K20">
            <v>0.116238941010809</v>
          </cell>
          <cell r="L20">
            <v>6.5338318396526998E-2</v>
          </cell>
          <cell r="M20">
            <v>9.7690009707529901E-3</v>
          </cell>
          <cell r="N20">
            <v>0.14912799304838001</v>
          </cell>
          <cell r="O20">
            <v>0.11622931156161299</v>
          </cell>
          <cell r="P20">
            <v>6.5394847084147001E-2</v>
          </cell>
        </row>
        <row r="21">
          <cell r="A21" t="str">
            <v>-</v>
          </cell>
          <cell r="B21" t="str">
            <v>VAR_ncap</v>
          </cell>
          <cell r="C21" t="str">
            <v>D-RNGA</v>
          </cell>
          <cell r="E21">
            <v>1.81399647715755E-6</v>
          </cell>
          <cell r="F21">
            <v>4.0525853374123302E-7</v>
          </cell>
          <cell r="G21">
            <v>5.1349763720722104E-7</v>
          </cell>
          <cell r="H21">
            <v>4.6101154432120401E-7</v>
          </cell>
          <cell r="I21">
            <v>6.5219291149483897E-7</v>
          </cell>
          <cell r="J21">
            <v>8.8750920612050401E-7</v>
          </cell>
          <cell r="K21">
            <v>1.5840311514016201E-6</v>
          </cell>
          <cell r="L21">
            <v>1.3653111929177E-5</v>
          </cell>
          <cell r="M21">
            <v>0.60242867472058803</v>
          </cell>
          <cell r="N21">
            <v>5.7861750306357897E-5</v>
          </cell>
          <cell r="O21">
            <v>1.3406334834306101E-2</v>
          </cell>
          <cell r="P21">
            <v>7.1020236215222995E-5</v>
          </cell>
        </row>
        <row r="22">
          <cell r="A22" t="str">
            <v>-</v>
          </cell>
          <cell r="B22" t="str">
            <v>VAR_ncap</v>
          </cell>
          <cell r="C22" t="str">
            <v>SUP_WSTHTGBIOCCS</v>
          </cell>
          <cell r="J22">
            <v>2.24092664628395E-5</v>
          </cell>
          <cell r="K22">
            <v>4.00792377082593E-5</v>
          </cell>
          <cell r="L22">
            <v>2.1460578819199099E-4</v>
          </cell>
          <cell r="M22">
            <v>8.2260443944389797E-7</v>
          </cell>
          <cell r="N22">
            <v>4.8507212401811601E-5</v>
          </cell>
          <cell r="O22">
            <v>1.4213187039210399E-6</v>
          </cell>
          <cell r="P22">
            <v>2.2049852229101099E-4</v>
          </cell>
        </row>
        <row r="23">
          <cell r="A23" t="str">
            <v>-</v>
          </cell>
          <cell r="B23" t="str">
            <v>VAR_ncap</v>
          </cell>
          <cell r="C23" t="str">
            <v>SUP_WODBIO</v>
          </cell>
          <cell r="E23">
            <v>5.2671933479938998E-6</v>
          </cell>
          <cell r="F23">
            <v>7.8569245829531495E-5</v>
          </cell>
          <cell r="G23">
            <v>4.2251204334704001E-6</v>
          </cell>
          <cell r="H23">
            <v>2.9145485664783102E-6</v>
          </cell>
          <cell r="I23">
            <v>5.7216444577399799E-5</v>
          </cell>
          <cell r="J23">
            <v>8.4207655117791092E-6</v>
          </cell>
          <cell r="K23">
            <v>3.8978203597671598E-5</v>
          </cell>
          <cell r="L23">
            <v>5.4965610778286901E-5</v>
          </cell>
          <cell r="M23">
            <v>6.8549422476825602E-6</v>
          </cell>
          <cell r="N23">
            <v>1.19004987627983E-4</v>
          </cell>
          <cell r="O23">
            <v>6.1323765383842401E-5</v>
          </cell>
          <cell r="P23">
            <v>3.8022552006128103E-4</v>
          </cell>
        </row>
        <row r="24">
          <cell r="A24" t="str">
            <v>-</v>
          </cell>
          <cell r="B24" t="str">
            <v>VAR_ncap</v>
          </cell>
          <cell r="C24" t="str">
            <v>SUP_ELCH2_SOEC</v>
          </cell>
          <cell r="J24">
            <v>2.1707992239723898E-3</v>
          </cell>
          <cell r="K24">
            <v>2.2900754084450399E-3</v>
          </cell>
          <cell r="L24">
            <v>1.1309467443958499E-3</v>
          </cell>
          <cell r="M24">
            <v>7.6613772616787004E-4</v>
          </cell>
          <cell r="N24">
            <v>2.5275075452797502E-3</v>
          </cell>
          <cell r="O24">
            <v>8.7379128033315497E-4</v>
          </cell>
          <cell r="P24">
            <v>4.87446695472724E-3</v>
          </cell>
        </row>
        <row r="25">
          <cell r="A25" t="str">
            <v>-</v>
          </cell>
          <cell r="B25" t="str">
            <v>VAR_ncap</v>
          </cell>
          <cell r="C25" t="str">
            <v>SUP_WODH2CCS</v>
          </cell>
          <cell r="L25">
            <v>0.14051879471418899</v>
          </cell>
          <cell r="M25">
            <v>6.0307365797491803E-2</v>
          </cell>
          <cell r="N25">
            <v>1.4981085233083799E-5</v>
          </cell>
          <cell r="O25">
            <v>0.105385821960499</v>
          </cell>
          <cell r="P25">
            <v>2.4923818446977501E-2</v>
          </cell>
        </row>
        <row r="26">
          <cell r="A26" t="str">
            <v>-</v>
          </cell>
          <cell r="B26" t="str">
            <v>VAR_ncap</v>
          </cell>
          <cell r="C26" t="str">
            <v>SUP_WODBIOCCS</v>
          </cell>
          <cell r="J26">
            <v>8.4969344212342202E-5</v>
          </cell>
          <cell r="K26">
            <v>2.8470759851947801E-5</v>
          </cell>
          <cell r="L26">
            <v>9.6889454850947597E-5</v>
          </cell>
          <cell r="M26">
            <v>1.09359784119068E-4</v>
          </cell>
          <cell r="N26">
            <v>3.69215079772899E-4</v>
          </cell>
          <cell r="O26">
            <v>8.6447476581773893E-6</v>
          </cell>
          <cell r="P26">
            <v>3.0324134873424601E-4</v>
          </cell>
        </row>
        <row r="27">
          <cell r="A27" t="str">
            <v>-</v>
          </cell>
          <cell r="B27" t="str">
            <v>VAR_ncap</v>
          </cell>
          <cell r="C27" t="str">
            <v>SUP_NGAH2CCS</v>
          </cell>
          <cell r="J27">
            <v>4.2112085471152102E-6</v>
          </cell>
          <cell r="K27">
            <v>3.87749740053366E-6</v>
          </cell>
          <cell r="L27">
            <v>4.02244689184959E-4</v>
          </cell>
          <cell r="M27">
            <v>6.1053305193296001E-6</v>
          </cell>
          <cell r="N27">
            <v>1.0343700600860399E-4</v>
          </cell>
          <cell r="O27">
            <v>1.09699824226097E-5</v>
          </cell>
          <cell r="P27">
            <v>4.37488560233714E-4</v>
          </cell>
        </row>
        <row r="28">
          <cell r="A28" t="str">
            <v>-</v>
          </cell>
          <cell r="B28" t="str">
            <v>VAR_ncap</v>
          </cell>
          <cell r="C28" t="str">
            <v>SUP_ELCH2</v>
          </cell>
          <cell r="E28">
            <v>7.7249490318217302E-4</v>
          </cell>
          <cell r="F28">
            <v>4.3580516910773502E-4</v>
          </cell>
          <cell r="G28">
            <v>2.4980388509860501E-5</v>
          </cell>
          <cell r="H28">
            <v>1.8767265452464099E-2</v>
          </cell>
          <cell r="I28">
            <v>0.28713891385485302</v>
          </cell>
          <cell r="J28">
            <v>0.71668679538624602</v>
          </cell>
          <cell r="K28">
            <v>0.67789946907030096</v>
          </cell>
          <cell r="L28">
            <v>1.3655142070263999</v>
          </cell>
          <cell r="M28">
            <v>1.0311138181911901E-3</v>
          </cell>
          <cell r="N28">
            <v>0.72331029798098001</v>
          </cell>
          <cell r="O28">
            <v>0.68727363381265505</v>
          </cell>
          <cell r="P28">
            <v>1.3498639721618599</v>
          </cell>
        </row>
        <row r="29">
          <cell r="A29" t="str">
            <v>-</v>
          </cell>
          <cell r="B29" t="str">
            <v>VAR_ncap</v>
          </cell>
          <cell r="C29" t="str">
            <v>CT_CWODBDS</v>
          </cell>
          <cell r="E29">
            <v>1.5725907194870999E-6</v>
          </cell>
          <cell r="F29">
            <v>6.6443166253201104E-7</v>
          </cell>
          <cell r="G29">
            <v>9.9747959512113097E-7</v>
          </cell>
          <cell r="H29">
            <v>5.8422725996517599E-7</v>
          </cell>
          <cell r="I29">
            <v>1.51206898675553E-4</v>
          </cell>
          <cell r="J29">
            <v>1.41326096298021E-5</v>
          </cell>
          <cell r="K29">
            <v>7.1618180929340603E-6</v>
          </cell>
          <cell r="L29">
            <v>8.4977627409154398E-5</v>
          </cell>
          <cell r="M29">
            <v>1.8733322615844899E-5</v>
          </cell>
          <cell r="N29">
            <v>1.69982269952934E-4</v>
          </cell>
          <cell r="O29">
            <v>5.5160498271006798E-6</v>
          </cell>
          <cell r="P29">
            <v>3.0743749317430801E-4</v>
          </cell>
        </row>
        <row r="30">
          <cell r="A30" t="str">
            <v>-</v>
          </cell>
          <cell r="B30" t="str">
            <v>VAR_ncap</v>
          </cell>
          <cell r="C30" t="str">
            <v>CT_CWODETHCCS</v>
          </cell>
          <cell r="J30">
            <v>5.9314049147564702E-5</v>
          </cell>
          <cell r="K30">
            <v>4.4260968438837098E-5</v>
          </cell>
          <cell r="L30">
            <v>5.3447620274150197E-5</v>
          </cell>
          <cell r="M30">
            <v>1.09449105148442E-4</v>
          </cell>
          <cell r="N30">
            <v>1.8265927164685201E-4</v>
          </cell>
          <cell r="O30">
            <v>4.3905789325016698E-6</v>
          </cell>
          <cell r="P30">
            <v>2.39393631995563E-4</v>
          </cell>
        </row>
        <row r="31">
          <cell r="A31" t="str">
            <v>-</v>
          </cell>
          <cell r="B31" t="str">
            <v>VAR_ncap</v>
          </cell>
          <cell r="C31" t="str">
            <v>CT_CWODPLT</v>
          </cell>
          <cell r="E31">
            <v>0.15652969395743799</v>
          </cell>
          <cell r="F31">
            <v>5.0890615687353501E-2</v>
          </cell>
          <cell r="G31">
            <v>9.0534226581978604E-6</v>
          </cell>
          <cell r="H31">
            <v>9.7665788814720097E-6</v>
          </cell>
          <cell r="I31">
            <v>0.15866046308051501</v>
          </cell>
          <cell r="J31">
            <v>0.18126404527693199</v>
          </cell>
          <cell r="K31">
            <v>9.7263441541261902E-2</v>
          </cell>
          <cell r="L31">
            <v>1.6838089936100701E-4</v>
          </cell>
          <cell r="M31">
            <v>0.122202873814152</v>
          </cell>
          <cell r="N31">
            <v>0.223806298699674</v>
          </cell>
          <cell r="O31">
            <v>8.8669407927180796E-2</v>
          </cell>
          <cell r="P31">
            <v>2.9230816252339499E-4</v>
          </cell>
        </row>
        <row r="32">
          <cell r="A32" t="str">
            <v>-</v>
          </cell>
          <cell r="B32" t="str">
            <v>VAR_ncap</v>
          </cell>
          <cell r="C32" t="str">
            <v>D-DH2</v>
          </cell>
          <cell r="H32">
            <v>1.4419896392701601E-4</v>
          </cell>
          <cell r="I32">
            <v>1.4033975414049101E-4</v>
          </cell>
          <cell r="J32">
            <v>0.34779528990701603</v>
          </cell>
          <cell r="K32">
            <v>0.119336072072787</v>
          </cell>
          <cell r="L32">
            <v>1.32631118688286E-2</v>
          </cell>
          <cell r="M32">
            <v>2.49291960471336E-5</v>
          </cell>
          <cell r="N32">
            <v>1.3921532529462101E-4</v>
          </cell>
          <cell r="O32">
            <v>5.5764640197460003E-5</v>
          </cell>
          <cell r="P32">
            <v>6.2862329608354898E-4</v>
          </cell>
        </row>
        <row r="33">
          <cell r="A33" t="str">
            <v>-</v>
          </cell>
          <cell r="B33" t="str">
            <v>VAR_ncap</v>
          </cell>
          <cell r="C33" t="str">
            <v>CT_CWODETH</v>
          </cell>
          <cell r="E33">
            <v>8.1987408283548599E-3</v>
          </cell>
          <cell r="F33">
            <v>2.5635604941237701E-6</v>
          </cell>
          <cell r="G33">
            <v>3.01271526494565E-2</v>
          </cell>
          <cell r="H33">
            <v>4.07648591598929E-7</v>
          </cell>
          <cell r="I33">
            <v>2.9576926196735302E-6</v>
          </cell>
          <cell r="J33">
            <v>2.8211763304968002E-6</v>
          </cell>
          <cell r="K33">
            <v>4.52037264486598E-5</v>
          </cell>
          <cell r="L33">
            <v>7.7786779980050698E-5</v>
          </cell>
          <cell r="M33">
            <v>4.8344911246605998E-6</v>
          </cell>
          <cell r="N33">
            <v>1.0508865113820901E-4</v>
          </cell>
          <cell r="O33">
            <v>7.7615179815656097E-6</v>
          </cell>
          <cell r="P33">
            <v>2.38244863770122E-4</v>
          </cell>
        </row>
        <row r="34">
          <cell r="A34" t="str">
            <v>-</v>
          </cell>
          <cell r="B34" t="str">
            <v>VAR_ncap</v>
          </cell>
          <cell r="C34" t="str">
            <v>D-INGA</v>
          </cell>
          <cell r="E34">
            <v>4.3525755764504004E-6</v>
          </cell>
          <cell r="F34">
            <v>2.05719816102687E-6</v>
          </cell>
          <cell r="G34">
            <v>2.7085397193286498E-6</v>
          </cell>
          <cell r="H34">
            <v>3.5353949129319101E-6</v>
          </cell>
          <cell r="I34">
            <v>1.0151895252155899E-5</v>
          </cell>
          <cell r="J34">
            <v>1.06131098617775E-5</v>
          </cell>
          <cell r="K34">
            <v>1.9377109747253099E-5</v>
          </cell>
          <cell r="L34">
            <v>9.9435877418356106E-2</v>
          </cell>
          <cell r="M34">
            <v>0.12677837561222899</v>
          </cell>
          <cell r="N34">
            <v>9.9508710561079395E-3</v>
          </cell>
          <cell r="O34">
            <v>3.91122274104789E-2</v>
          </cell>
          <cell r="P34">
            <v>1.7705600219107501E-2</v>
          </cell>
        </row>
        <row r="35">
          <cell r="A35" t="str">
            <v>-</v>
          </cell>
          <cell r="B35" t="str">
            <v>VAR_ncap</v>
          </cell>
          <cell r="C35" t="str">
            <v>SUP_H2DSL</v>
          </cell>
          <cell r="H35">
            <v>6.73997659275475E-6</v>
          </cell>
          <cell r="I35">
            <v>3.33570070755172E-5</v>
          </cell>
          <cell r="J35">
            <v>0.21324857401814501</v>
          </cell>
          <cell r="K35">
            <v>4.00388733384167E-5</v>
          </cell>
          <cell r="L35">
            <v>3.0954634987861597E-5</v>
          </cell>
          <cell r="M35">
            <v>3.7863036420468902E-5</v>
          </cell>
          <cell r="N35">
            <v>2.1217052588451599E-3</v>
          </cell>
          <cell r="O35">
            <v>1.30583680727162E-2</v>
          </cell>
          <cell r="P35">
            <v>2.2941257082044299E-4</v>
          </cell>
        </row>
        <row r="36">
          <cell r="A36" t="str">
            <v>-</v>
          </cell>
          <cell r="B36" t="str">
            <v>VAR_ncap</v>
          </cell>
          <cell r="C36" t="str">
            <v>SUP_DAC</v>
          </cell>
          <cell r="J36">
            <v>6.2021861010206E-3</v>
          </cell>
          <cell r="K36">
            <v>1.0094310363036E-3</v>
          </cell>
          <cell r="L36">
            <v>2.7605788714065</v>
          </cell>
          <cell r="M36">
            <v>25.062024493027302</v>
          </cell>
          <cell r="N36">
            <v>172.499673207077</v>
          </cell>
          <cell r="O36">
            <v>31.761842420394601</v>
          </cell>
          <cell r="P36">
            <v>101.900007755037</v>
          </cell>
        </row>
        <row r="37">
          <cell r="A37" t="str">
            <v>-</v>
          </cell>
          <cell r="B37" t="str">
            <v>VAR_ncap</v>
          </cell>
          <cell r="C37" t="str">
            <v>CT_CWODBDSCCS</v>
          </cell>
          <cell r="J37">
            <v>1.20812649421253E-4</v>
          </cell>
          <cell r="K37">
            <v>1.04407614853386E-5</v>
          </cell>
          <cell r="L37">
            <v>0.23253738210191099</v>
          </cell>
          <cell r="M37">
            <v>4.2236435292905301E-6</v>
          </cell>
          <cell r="N37">
            <v>4.6438090689793096E-6</v>
          </cell>
          <cell r="O37">
            <v>7.46704353108912E-6</v>
          </cell>
          <cell r="P37">
            <v>0.207206188549865</v>
          </cell>
        </row>
        <row r="38">
          <cell r="A38" t="str">
            <v>-</v>
          </cell>
          <cell r="B38" t="str">
            <v>VAR_cap</v>
          </cell>
          <cell r="C38" t="str">
            <v>SUP_NGAH2</v>
          </cell>
          <cell r="H38">
            <v>3.02713238775691E-6</v>
          </cell>
          <cell r="I38">
            <v>6.4770266525944491E-6</v>
          </cell>
          <cell r="J38">
            <v>9.2752157871592104E-6</v>
          </cell>
          <cell r="K38">
            <v>1.4792483782549118E-5</v>
          </cell>
          <cell r="L38">
            <v>5.026151796291993E-4</v>
          </cell>
          <cell r="M38">
            <v>5.1432055435442377E-4</v>
          </cell>
          <cell r="N38">
            <v>7.7123914376658973E-4</v>
          </cell>
          <cell r="O38">
            <v>7.8327741522684247E-4</v>
          </cell>
          <cell r="P38">
            <v>1.7435605726362137E-3</v>
          </cell>
        </row>
        <row r="39">
          <cell r="A39" t="str">
            <v>-</v>
          </cell>
          <cell r="B39" t="str">
            <v>VAR_cap</v>
          </cell>
          <cell r="C39" t="str">
            <v>SUP_WSTHTGBIO</v>
          </cell>
          <cell r="J39">
            <v>1.5906427571923899E-4</v>
          </cell>
          <cell r="K39">
            <v>1.7563750252525283E-4</v>
          </cell>
          <cell r="L39">
            <v>4.1006238185225139E-3</v>
          </cell>
          <cell r="M39">
            <v>3.9498217931454123E-3</v>
          </cell>
          <cell r="N39">
            <v>3.9530340204861356E-3</v>
          </cell>
          <cell r="O39">
            <v>8.3537231810576007E-4</v>
          </cell>
          <cell r="P39">
            <v>6.2057812366942257E-4</v>
          </cell>
        </row>
        <row r="40">
          <cell r="A40" t="str">
            <v>-</v>
          </cell>
          <cell r="B40" t="str">
            <v>VAR_cap</v>
          </cell>
          <cell r="C40" t="str">
            <v>STG-H2</v>
          </cell>
          <cell r="H40">
            <v>1.66140971617477E-5</v>
          </cell>
          <cell r="I40">
            <v>0.30877155419615615</v>
          </cell>
          <cell r="J40">
            <v>0.30877898746065591</v>
          </cell>
          <cell r="K40">
            <v>0.45688281936024766</v>
          </cell>
          <cell r="L40">
            <v>1.7014580834115898</v>
          </cell>
          <cell r="M40">
            <v>1.4864391241590025</v>
          </cell>
          <cell r="N40">
            <v>1.8178477407927296</v>
          </cell>
          <cell r="O40">
            <v>1.7047229031375084</v>
          </cell>
          <cell r="P40">
            <v>1.6786095786770951</v>
          </cell>
        </row>
        <row r="41">
          <cell r="A41" t="str">
            <v>-</v>
          </cell>
          <cell r="B41" t="str">
            <v>VAR_cap</v>
          </cell>
          <cell r="C41" t="str">
            <v>SUP_H2NGA</v>
          </cell>
          <cell r="H41">
            <v>4.4500718468100402E-6</v>
          </cell>
          <cell r="I41">
            <v>1.7715269740328241E-5</v>
          </cell>
          <cell r="J41">
            <v>0.16957323950681866</v>
          </cell>
          <cell r="K41">
            <v>0.69536198406138949</v>
          </cell>
          <cell r="L41">
            <v>1.7234446993794392</v>
          </cell>
          <cell r="M41">
            <v>1.5541906482229171</v>
          </cell>
          <cell r="N41">
            <v>1.5542395306910282</v>
          </cell>
          <cell r="O41">
            <v>1.4965101940873069</v>
          </cell>
          <cell r="P41">
            <v>1.5041326429291464</v>
          </cell>
        </row>
        <row r="42">
          <cell r="A42" t="str">
            <v>-</v>
          </cell>
          <cell r="B42" t="str">
            <v>VAR_cap</v>
          </cell>
          <cell r="C42" t="str">
            <v>D-ENGA</v>
          </cell>
          <cell r="E42">
            <v>1.0275284435062533</v>
          </cell>
          <cell r="F42">
            <v>1.027529773443137</v>
          </cell>
          <cell r="G42">
            <v>1.0275312123741356</v>
          </cell>
          <cell r="H42">
            <v>1.0275327740391582</v>
          </cell>
          <cell r="I42">
            <v>1.0275363734879948</v>
          </cell>
          <cell r="J42">
            <v>1.0275495428594952</v>
          </cell>
          <cell r="K42">
            <v>1.0275650477174625</v>
          </cell>
          <cell r="L42">
            <v>0.72918134582009309</v>
          </cell>
          <cell r="M42">
            <v>0.25850847549256251</v>
          </cell>
          <cell r="N42">
            <v>0.286228720440249</v>
          </cell>
          <cell r="O42">
            <v>0.337242285757612</v>
          </cell>
          <cell r="P42">
            <v>0.34713139661134501</v>
          </cell>
        </row>
        <row r="43">
          <cell r="A43" t="str">
            <v>-</v>
          </cell>
          <cell r="B43" t="str">
            <v>VAR_cap</v>
          </cell>
          <cell r="C43" t="str">
            <v>D-CHEAT</v>
          </cell>
          <cell r="J43">
            <v>8.9791780647517794E-3</v>
          </cell>
          <cell r="K43">
            <v>1.57731741493644E-2</v>
          </cell>
          <cell r="L43">
            <v>0.162120571726554</v>
          </cell>
          <cell r="M43">
            <v>1.5550099791032299</v>
          </cell>
          <cell r="N43">
            <v>10.0731526862285</v>
          </cell>
          <cell r="O43">
            <v>11.521587040344301</v>
          </cell>
          <cell r="P43">
            <v>15.4624212736851</v>
          </cell>
        </row>
        <row r="44">
          <cell r="A44" t="str">
            <v>-</v>
          </cell>
          <cell r="B44" t="str">
            <v>VAR_cap</v>
          </cell>
          <cell r="C44" t="str">
            <v>SUP_WSTBIO</v>
          </cell>
          <cell r="E44">
            <v>0.21267654636452468</v>
          </cell>
          <cell r="F44">
            <v>0.21705687999249262</v>
          </cell>
          <cell r="G44">
            <v>0.21705537983437395</v>
          </cell>
          <cell r="H44">
            <v>0.21924188227292252</v>
          </cell>
          <cell r="I44">
            <v>0.21878440046650646</v>
          </cell>
          <cell r="J44">
            <v>0.31763830587218861</v>
          </cell>
          <cell r="K44">
            <v>0.3480902931951752</v>
          </cell>
          <cell r="L44">
            <v>0.37189958123791683</v>
          </cell>
          <cell r="M44">
            <v>0.40024256810998121</v>
          </cell>
          <cell r="N44">
            <v>0.42754490571435483</v>
          </cell>
          <cell r="O44">
            <v>0.43093371023031907</v>
          </cell>
          <cell r="P44">
            <v>0.43121615413367392</v>
          </cell>
        </row>
        <row r="45">
          <cell r="A45" t="str">
            <v>-</v>
          </cell>
          <cell r="B45" t="str">
            <v>VAR_cap</v>
          </cell>
          <cell r="C45" t="str">
            <v>D-CNGA</v>
          </cell>
          <cell r="E45">
            <v>1.3745910799177101E-6</v>
          </cell>
          <cell r="F45">
            <v>2.82137814593037E-6</v>
          </cell>
          <cell r="G45">
            <v>4.5979042290427799E-6</v>
          </cell>
          <cell r="H45">
            <v>6.4912573114780398E-6</v>
          </cell>
          <cell r="I45">
            <v>9.3514475772412206E-6</v>
          </cell>
          <cell r="J45">
            <v>1.3345006486975901E-5</v>
          </cell>
          <cell r="K45">
            <v>2.0711428204124399E-5</v>
          </cell>
          <cell r="L45">
            <v>2.9650334964518698E-3</v>
          </cell>
          <cell r="M45">
            <v>2.9969039500934999E-3</v>
          </cell>
          <cell r="N45">
            <v>3.8447863141528398E-3</v>
          </cell>
          <cell r="O45">
            <v>3.9262379068575196E-3</v>
          </cell>
          <cell r="P45">
            <v>7.4392774325051899E-3</v>
          </cell>
        </row>
        <row r="46">
          <cell r="A46" t="str">
            <v>-</v>
          </cell>
          <cell r="B46" t="str">
            <v>VAR_cap</v>
          </cell>
          <cell r="C46" t="str">
            <v>SUP_BIONGA</v>
          </cell>
          <cell r="E46">
            <v>4.2362554976266363E-2</v>
          </cell>
          <cell r="F46">
            <v>0.11119401658970192</v>
          </cell>
          <cell r="G46">
            <v>8.9400037057707493E-2</v>
          </cell>
          <cell r="H46">
            <v>8.92084980355424E-2</v>
          </cell>
          <cell r="I46">
            <v>8.5431803177501084E-2</v>
          </cell>
          <cell r="J46">
            <v>9.2033478095257512E-2</v>
          </cell>
          <cell r="K46">
            <v>0.14335510576049523</v>
          </cell>
          <cell r="L46">
            <v>0.20598119593180692</v>
          </cell>
          <cell r="M46">
            <v>0.27575460663249113</v>
          </cell>
          <cell r="N46">
            <v>0.34503662198471552</v>
          </cell>
          <cell r="O46">
            <v>0.3450856600389498</v>
          </cell>
          <cell r="P46">
            <v>0.34518904675386286</v>
          </cell>
        </row>
        <row r="47">
          <cell r="A47" t="str">
            <v>-</v>
          </cell>
          <cell r="B47" t="str">
            <v>VAR_cap</v>
          </cell>
          <cell r="C47" t="str">
            <v>SUP_WODH2</v>
          </cell>
          <cell r="H47">
            <v>3.4837298211620401E-4</v>
          </cell>
          <cell r="I47">
            <v>2.2907355947833781E-2</v>
          </cell>
          <cell r="J47">
            <v>2.2901649284234774E-2</v>
          </cell>
          <cell r="K47">
            <v>2.2903137002918822E-2</v>
          </cell>
          <cell r="L47">
            <v>6.2333603371119914E-4</v>
          </cell>
          <cell r="M47">
            <v>2.8078161271249957E-4</v>
          </cell>
          <cell r="N47">
            <v>2.6247429413114892E-4</v>
          </cell>
          <cell r="O47">
            <v>2.6432277575677229E-4</v>
          </cell>
          <cell r="P47">
            <v>4.7701509618884054E-4</v>
          </cell>
        </row>
        <row r="48">
          <cell r="A48" t="str">
            <v>-</v>
          </cell>
          <cell r="B48" t="str">
            <v>VAR_cap</v>
          </cell>
          <cell r="C48" t="str">
            <v>ESOL-PV_A</v>
          </cell>
          <cell r="H48">
            <v>4.9500716223362003E-2</v>
          </cell>
          <cell r="I48">
            <v>0.18449540703318701</v>
          </cell>
          <cell r="J48">
            <v>1.56090318500077</v>
          </cell>
          <cell r="K48">
            <v>2.0886328183655101</v>
          </cell>
          <cell r="L48">
            <v>2.6107920565971998</v>
          </cell>
          <cell r="M48">
            <v>2.5612917917960099</v>
          </cell>
          <cell r="N48">
            <v>2.4262976115253698</v>
          </cell>
          <cell r="O48">
            <v>0.98245459840744598</v>
          </cell>
          <cell r="P48">
            <v>0.61909920282490805</v>
          </cell>
        </row>
        <row r="49">
          <cell r="A49" t="str">
            <v>-</v>
          </cell>
          <cell r="B49" t="str">
            <v>VAR_cap</v>
          </cell>
          <cell r="C49" t="str">
            <v>D-TNGA</v>
          </cell>
          <cell r="E49">
            <v>0.95962395793414934</v>
          </cell>
          <cell r="F49">
            <v>0.95962442060649233</v>
          </cell>
          <cell r="G49">
            <v>0.95962493043151265</v>
          </cell>
          <cell r="H49">
            <v>0.95962548975155992</v>
          </cell>
          <cell r="I49">
            <v>0.95962621353363575</v>
          </cell>
          <cell r="J49">
            <v>0.95962709439762139</v>
          </cell>
          <cell r="K49">
            <v>0.95962823727524427</v>
          </cell>
          <cell r="L49">
            <v>0.32781494675726502</v>
          </cell>
          <cell r="M49">
            <v>1.2193810587017E-5</v>
          </cell>
          <cell r="N49">
            <v>7.3280255334453201E-6</v>
          </cell>
          <cell r="O49">
            <v>4.8694497942216502E-6</v>
          </cell>
          <cell r="P49">
            <v>4.3971406711242704E-6</v>
          </cell>
        </row>
        <row r="50">
          <cell r="A50" t="str">
            <v>-</v>
          </cell>
          <cell r="B50" t="str">
            <v>VAR_cap</v>
          </cell>
          <cell r="C50" t="str">
            <v>SUP_ELCH2_D</v>
          </cell>
          <cell r="H50">
            <v>2.4442632804837201E-5</v>
          </cell>
          <cell r="I50">
            <v>5.44833425115793E-5</v>
          </cell>
          <cell r="J50">
            <v>0.35147715762128001</v>
          </cell>
          <cell r="K50">
            <v>0.47201857094465599</v>
          </cell>
          <cell r="L50">
            <v>0.48538428234832898</v>
          </cell>
          <cell r="M50">
            <v>0.48535064591503102</v>
          </cell>
          <cell r="N50">
            <v>0.48538861890784801</v>
          </cell>
          <cell r="O50">
            <v>0.48537397758175399</v>
          </cell>
          <cell r="P50">
            <v>0.48545904132915901</v>
          </cell>
        </row>
        <row r="51">
          <cell r="A51" t="str">
            <v>-</v>
          </cell>
          <cell r="B51" t="str">
            <v>VAR_cap</v>
          </cell>
          <cell r="C51" t="str">
            <v>SUP_H2GSL</v>
          </cell>
          <cell r="H51">
            <v>6.49563977615269E-6</v>
          </cell>
          <cell r="I51">
            <v>3.7429116972084169E-5</v>
          </cell>
          <cell r="J51">
            <v>0.20084392003238902</v>
          </cell>
          <cell r="K51">
            <v>0.20085813230395375</v>
          </cell>
          <cell r="L51">
            <v>3.7237323450739018E-2</v>
          </cell>
          <cell r="M51">
            <v>2.7255107351488977E-2</v>
          </cell>
          <cell r="N51">
            <v>1.7840632877567181E-2</v>
          </cell>
          <cell r="O51">
            <v>2.3295020952084796E-2</v>
          </cell>
          <cell r="P51">
            <v>2.3406540920250095E-2</v>
          </cell>
        </row>
        <row r="52">
          <cell r="A52" t="str">
            <v>-</v>
          </cell>
          <cell r="B52" t="str">
            <v>VAR_cap</v>
          </cell>
          <cell r="C52" t="str">
            <v>ESOL-PV_E</v>
          </cell>
          <cell r="H52">
            <v>2.8458261746776198E-6</v>
          </cell>
          <cell r="I52">
            <v>3.8186711023455902E-5</v>
          </cell>
          <cell r="J52">
            <v>0.97346736425378</v>
          </cell>
          <cell r="K52">
            <v>1.2704572002337899</v>
          </cell>
          <cell r="L52">
            <v>1.27046205889408</v>
          </cell>
          <cell r="M52">
            <v>1.2704629314870499</v>
          </cell>
          <cell r="N52">
            <v>1.2704638686434699</v>
          </cell>
          <cell r="O52">
            <v>1.2704641943908399</v>
          </cell>
          <cell r="P52">
            <v>1.2704675805060599</v>
          </cell>
        </row>
        <row r="53">
          <cell r="A53" t="str">
            <v>-</v>
          </cell>
          <cell r="B53" t="str">
            <v>VAR_cap</v>
          </cell>
          <cell r="C53" t="str">
            <v>D-SNGA</v>
          </cell>
          <cell r="E53">
            <v>2.2351072591060603</v>
          </cell>
          <cell r="F53">
            <v>2.2351079815447998</v>
          </cell>
          <cell r="G53">
            <v>2.2351092028191424</v>
          </cell>
          <cell r="H53">
            <v>2.2351106622675654</v>
          </cell>
          <cell r="I53">
            <v>2.2351130448302952</v>
          </cell>
          <cell r="J53">
            <v>2.235116431263604</v>
          </cell>
          <cell r="K53">
            <v>2.2351226887285756</v>
          </cell>
          <cell r="L53">
            <v>0.76359523625675196</v>
          </cell>
          <cell r="M53">
            <v>0.34912870319266398</v>
          </cell>
          <cell r="N53">
            <v>0.34913753652354901</v>
          </cell>
          <cell r="O53">
            <v>0.34915740318788502</v>
          </cell>
          <cell r="P53">
            <v>0.34935275672798699</v>
          </cell>
        </row>
        <row r="54">
          <cell r="A54" t="str">
            <v>-</v>
          </cell>
          <cell r="B54" t="str">
            <v>VAR_cap</v>
          </cell>
          <cell r="C54" t="str">
            <v>SUP_MNRBIO</v>
          </cell>
          <cell r="E54">
            <v>5.36906086341742E-2</v>
          </cell>
          <cell r="F54">
            <v>0.16241154656204237</v>
          </cell>
          <cell r="G54">
            <v>0.16241576488992243</v>
          </cell>
          <cell r="H54">
            <v>0.16241411666294508</v>
          </cell>
          <cell r="I54">
            <v>0.16244874670052495</v>
          </cell>
          <cell r="J54">
            <v>0.16274712775125413</v>
          </cell>
          <cell r="K54">
            <v>0.18988369785910564</v>
          </cell>
          <cell r="L54">
            <v>0.25520997546383994</v>
          </cell>
          <cell r="M54">
            <v>0.25518892747616934</v>
          </cell>
          <cell r="N54">
            <v>0.340450871915075</v>
          </cell>
          <cell r="O54">
            <v>0.34044256744165174</v>
          </cell>
          <cell r="P54">
            <v>0.34049474490556364</v>
          </cell>
        </row>
        <row r="55">
          <cell r="A55" t="str">
            <v>-</v>
          </cell>
          <cell r="B55" t="str">
            <v>VAR_cap</v>
          </cell>
          <cell r="C55" t="str">
            <v>D-RNGA</v>
          </cell>
          <cell r="E55">
            <v>3.0972418213923971</v>
          </cell>
          <cell r="F55">
            <v>3.097242226650931</v>
          </cell>
          <cell r="G55">
            <v>3.0972427401485683</v>
          </cell>
          <cell r="H55">
            <v>3.0972432011601123</v>
          </cell>
          <cell r="I55">
            <v>3.097243853353024</v>
          </cell>
          <cell r="J55">
            <v>3.0972447408622301</v>
          </cell>
          <cell r="K55">
            <v>3.0972463248933817</v>
          </cell>
          <cell r="L55">
            <v>1.0580286007968607</v>
          </cell>
          <cell r="M55">
            <v>0.60244864532997899</v>
          </cell>
          <cell r="N55">
            <v>0.60250496588886904</v>
          </cell>
          <cell r="O55">
            <v>0.61591005396666099</v>
          </cell>
          <cell r="P55">
            <v>0.61598066838661403</v>
          </cell>
        </row>
        <row r="56">
          <cell r="A56" t="str">
            <v>-</v>
          </cell>
          <cell r="B56" t="str">
            <v>VAR_cap</v>
          </cell>
          <cell r="C56" t="str">
            <v>SUP_WSTHTGBIOCCS</v>
          </cell>
          <cell r="J56">
            <v>2.24092664628395E-5</v>
          </cell>
          <cell r="K56">
            <v>6.1975833590530873E-5</v>
          </cell>
          <cell r="L56">
            <v>2.7635569448188432E-4</v>
          </cell>
          <cell r="M56">
            <v>1.8247473072644242E-4</v>
          </cell>
          <cell r="N56">
            <v>3.0212346198652207E-4</v>
          </cell>
          <cell r="O56">
            <v>2.6220394087140837E-4</v>
          </cell>
          <cell r="P56">
            <v>2.676754109339423E-4</v>
          </cell>
        </row>
        <row r="57">
          <cell r="A57" t="str">
            <v>-</v>
          </cell>
          <cell r="B57" t="str">
            <v>VAR_cap</v>
          </cell>
          <cell r="C57" t="str">
            <v>SUP_WODBIO</v>
          </cell>
          <cell r="E57">
            <v>5.2671933479938998E-6</v>
          </cell>
          <cell r="F57">
            <v>8.3565989675975317E-5</v>
          </cell>
          <cell r="G57">
            <v>8.6940042898226669E-5</v>
          </cell>
          <cell r="H57">
            <v>8.875338002851748E-5</v>
          </cell>
          <cell r="I57">
            <v>1.434781672655791E-4</v>
          </cell>
          <cell r="J57">
            <v>1.1614485643138115E-4</v>
          </cell>
          <cell r="K57">
            <v>1.0343297715432272E-4</v>
          </cell>
          <cell r="L57">
            <v>1.5637081106036605E-4</v>
          </cell>
          <cell r="M57">
            <v>1.1942653230182559E-4</v>
          </cell>
          <cell r="N57">
            <v>2.1420754167666343E-4</v>
          </cell>
          <cell r="O57">
            <v>2.377748000616823E-4</v>
          </cell>
          <cell r="P57">
            <v>5.6079992057509354E-4</v>
          </cell>
        </row>
        <row r="58">
          <cell r="A58" t="str">
            <v>-</v>
          </cell>
          <cell r="B58" t="str">
            <v>VAR_cap</v>
          </cell>
          <cell r="C58" t="str">
            <v>SUP_ELCH2_SOEC</v>
          </cell>
          <cell r="J58">
            <v>2.1707992239723898E-3</v>
          </cell>
          <cell r="K58">
            <v>4.1198878532246325E-3</v>
          </cell>
          <cell r="L58">
            <v>3.4188786550976859E-3</v>
          </cell>
          <cell r="M58">
            <v>2.2447227576106871E-3</v>
          </cell>
          <cell r="N58">
            <v>3.1062561538767733E-3</v>
          </cell>
          <cell r="O58">
            <v>3.3986622896388834E-3</v>
          </cell>
          <cell r="P58">
            <v>5.7442760540999619E-3</v>
          </cell>
        </row>
        <row r="59">
          <cell r="A59" t="str">
            <v>-</v>
          </cell>
          <cell r="B59" t="str">
            <v>VAR_cap</v>
          </cell>
          <cell r="C59" t="str">
            <v>SUP_WODH2CCS</v>
          </cell>
          <cell r="L59">
            <v>0.14051879471418899</v>
          </cell>
          <cell r="M59">
            <v>0.20082470741118338</v>
          </cell>
          <cell r="N59">
            <v>0.20083400447913771</v>
          </cell>
          <cell r="O59">
            <v>0.30622279837349231</v>
          </cell>
          <cell r="P59">
            <v>0.33113908503266959</v>
          </cell>
        </row>
        <row r="60">
          <cell r="A60" t="str">
            <v>-</v>
          </cell>
          <cell r="B60" t="str">
            <v>VAR_cap</v>
          </cell>
          <cell r="C60" t="str">
            <v>SUP_WODBIOCCS</v>
          </cell>
          <cell r="J60">
            <v>8.4969344212342202E-5</v>
          </cell>
          <cell r="K60">
            <v>1.1344010406429001E-4</v>
          </cell>
          <cell r="L60">
            <v>2.10329558915238E-4</v>
          </cell>
          <cell r="M60">
            <v>3.08431293362773E-4</v>
          </cell>
          <cell r="N60">
            <v>6.0393507859486195E-4</v>
          </cell>
          <cell r="O60">
            <v>5.8410906640109196E-4</v>
          </cell>
          <cell r="P60">
            <v>7.9046096028438997E-4</v>
          </cell>
        </row>
        <row r="61">
          <cell r="A61" t="str">
            <v>-</v>
          </cell>
          <cell r="B61" t="str">
            <v>VAR_cap</v>
          </cell>
          <cell r="C61" t="str">
            <v>SUP_NGAH2CCS</v>
          </cell>
          <cell r="J61">
            <v>4.2112085471152102E-6</v>
          </cell>
          <cell r="K61">
            <v>4.3561716175092902E-6</v>
          </cell>
          <cell r="L61">
            <v>4.0503349158944527E-4</v>
          </cell>
          <cell r="M61">
            <v>4.0893054643523214E-4</v>
          </cell>
          <cell r="N61">
            <v>5.0664295098033893E-4</v>
          </cell>
          <cell r="O61">
            <v>5.1516382873543955E-4</v>
          </cell>
          <cell r="P61">
            <v>9.4134625951834445E-4</v>
          </cell>
        </row>
        <row r="62">
          <cell r="A62" t="str">
            <v>-</v>
          </cell>
          <cell r="B62" t="str">
            <v>VAR_cap</v>
          </cell>
          <cell r="C62" t="str">
            <v>SUP_ELCH2</v>
          </cell>
          <cell r="E62">
            <v>7.7249490318217302E-4</v>
          </cell>
          <cell r="F62">
            <v>1.2073228425651832E-3</v>
          </cell>
          <cell r="G62">
            <v>1.2299246397487519E-3</v>
          </cell>
          <cell r="H62">
            <v>1.999381923377256E-2</v>
          </cell>
          <cell r="I62">
            <v>0.30712394158713563</v>
          </cell>
          <cell r="J62">
            <v>1.0231847954071964</v>
          </cell>
          <cell r="K62">
            <v>1.6945339334321678</v>
          </cell>
          <cell r="L62">
            <v>3.0472171325655797</v>
          </cell>
          <cell r="M62">
            <v>2.7533038164098693</v>
          </cell>
          <cell r="N62">
            <v>2.7677235212736959</v>
          </cell>
          <cell r="O62">
            <v>2.7770991806433156</v>
          </cell>
          <cell r="P62">
            <v>2.7614431728269824</v>
          </cell>
        </row>
        <row r="63">
          <cell r="A63" t="str">
            <v>-</v>
          </cell>
          <cell r="B63" t="str">
            <v>VAR_cap</v>
          </cell>
          <cell r="C63" t="str">
            <v>CT_CWODBDS</v>
          </cell>
          <cell r="E63">
            <v>6.2402495728577825E-2</v>
          </cell>
          <cell r="F63">
            <v>6.2363346396645321E-2</v>
          </cell>
          <cell r="G63">
            <v>2.9851634466653704E-4</v>
          </cell>
          <cell r="H63">
            <v>2.839710839370041E-4</v>
          </cell>
          <cell r="I63">
            <v>2.2255700707050734E-4</v>
          </cell>
          <cell r="J63">
            <v>1.6406450138061515E-4</v>
          </cell>
          <cell r="K63">
            <v>1.6871349411706605E-4</v>
          </cell>
          <cell r="L63">
            <v>2.5350810179908452E-4</v>
          </cell>
          <cell r="M63">
            <v>1.6180744160155839E-4</v>
          </cell>
          <cell r="N63">
            <v>2.7593224996680621E-4</v>
          </cell>
          <cell r="O63">
            <v>2.7119328406312868E-4</v>
          </cell>
          <cell r="P63">
            <v>4.9377980552918704E-4</v>
          </cell>
        </row>
        <row r="64">
          <cell r="A64" t="str">
            <v>-</v>
          </cell>
          <cell r="B64" t="str">
            <v>VAR_cap</v>
          </cell>
          <cell r="C64" t="str">
            <v>CT_CWODETHCCS</v>
          </cell>
          <cell r="J64">
            <v>5.9314049147564702E-5</v>
          </cell>
          <cell r="K64">
            <v>1.03575017586402E-4</v>
          </cell>
          <cell r="L64">
            <v>1.5702263786055199E-4</v>
          </cell>
          <cell r="M64">
            <v>2.5861290265058999E-4</v>
          </cell>
          <cell r="N64">
            <v>3.8981696550828099E-4</v>
          </cell>
          <cell r="O64">
            <v>3.4994657600194602E-4</v>
          </cell>
          <cell r="P64">
            <v>5.3589258772335896E-4</v>
          </cell>
        </row>
        <row r="65">
          <cell r="A65" t="str">
            <v>-</v>
          </cell>
          <cell r="B65" t="str">
            <v>VAR_cap</v>
          </cell>
          <cell r="C65" t="str">
            <v>CT_CWODPLT</v>
          </cell>
          <cell r="E65">
            <v>0.35882791049715296</v>
          </cell>
          <cell r="F65">
            <v>0.40971627845689979</v>
          </cell>
          <cell r="G65">
            <v>0.39358047977507848</v>
          </cell>
          <cell r="H65">
            <v>0.39357417106050274</v>
          </cell>
          <cell r="I65">
            <v>0.41434162772559985</v>
          </cell>
          <cell r="J65">
            <v>0.43613788330932174</v>
          </cell>
          <cell r="K65">
            <v>0.43718451615331644</v>
          </cell>
          <cell r="L65">
            <v>0.43733422012892159</v>
          </cell>
          <cell r="M65">
            <v>0.42501771285245338</v>
          </cell>
          <cell r="N65">
            <v>0.44341522905839725</v>
          </cell>
          <cell r="O65">
            <v>0.43482224388460994</v>
          </cell>
          <cell r="P65">
            <v>0.43493745878406564</v>
          </cell>
        </row>
        <row r="66">
          <cell r="A66" t="str">
            <v>-</v>
          </cell>
          <cell r="B66" t="str">
            <v>VAR_cap</v>
          </cell>
          <cell r="C66" t="str">
            <v>D-DH2</v>
          </cell>
          <cell r="H66">
            <v>1.4419896392701601E-4</v>
          </cell>
          <cell r="I66">
            <v>2.8453871806750799E-4</v>
          </cell>
          <cell r="J66">
            <v>0.34807982862508302</v>
          </cell>
          <cell r="K66">
            <v>0.46741590069786998</v>
          </cell>
          <cell r="L66">
            <v>0.48067901256669898</v>
          </cell>
          <cell r="M66">
            <v>0.480703941762746</v>
          </cell>
          <cell r="N66">
            <v>0.48084315708803999</v>
          </cell>
          <cell r="O66">
            <v>0.48085320868254</v>
          </cell>
          <cell r="P66">
            <v>0.48138334606039401</v>
          </cell>
        </row>
        <row r="67">
          <cell r="A67" t="str">
            <v>-</v>
          </cell>
          <cell r="B67" t="str">
            <v>VAR_cap</v>
          </cell>
          <cell r="C67" t="str">
            <v>CT_CWODETH</v>
          </cell>
          <cell r="E67">
            <v>1.0235951943660103E-2</v>
          </cell>
          <cell r="F67">
            <v>1.0238028617856025E-2</v>
          </cell>
          <cell r="G67">
            <v>4.0364477261566237E-2</v>
          </cell>
          <cell r="H67">
            <v>1.4526729318312059E-2</v>
          </cell>
          <cell r="I67">
            <v>1.919424673239023E-4</v>
          </cell>
          <cell r="J67">
            <v>1.6475502565840155E-4</v>
          </cell>
          <cell r="K67">
            <v>7.5285964794700316E-5</v>
          </cell>
          <cell r="L67">
            <v>1.2587623521557724E-4</v>
          </cell>
          <cell r="M67">
            <v>1.2400367534650748E-4</v>
          </cell>
          <cell r="N67">
            <v>2.2739496455498293E-4</v>
          </cell>
          <cell r="O67">
            <v>1.8841874214236808E-4</v>
          </cell>
          <cell r="P67">
            <v>3.4959347270308076E-4</v>
          </cell>
        </row>
        <row r="68">
          <cell r="A68" t="str">
            <v>-</v>
          </cell>
          <cell r="B68" t="str">
            <v>VAR_cap</v>
          </cell>
          <cell r="C68" t="str">
            <v>D-INGA</v>
          </cell>
          <cell r="E68">
            <v>1.9844877228416764</v>
          </cell>
          <cell r="F68">
            <v>1.9844897800398376</v>
          </cell>
          <cell r="G68">
            <v>1.9844924885795567</v>
          </cell>
          <cell r="H68">
            <v>1.9844960239744698</v>
          </cell>
          <cell r="I68">
            <v>1.984506175869722</v>
          </cell>
          <cell r="J68">
            <v>1.9845167889795836</v>
          </cell>
          <cell r="K68">
            <v>1.984536166089331</v>
          </cell>
          <cell r="L68">
            <v>0.99290292844963401</v>
          </cell>
          <cell r="M68">
            <v>0.33311509805249601</v>
          </cell>
          <cell r="N68">
            <v>0.23621369290198599</v>
          </cell>
          <cell r="O68">
            <v>0.27532038798012298</v>
          </cell>
          <cell r="P68">
            <v>0.293023093831141</v>
          </cell>
        </row>
        <row r="69">
          <cell r="A69" t="str">
            <v>-</v>
          </cell>
          <cell r="B69" t="str">
            <v>VAR_cap</v>
          </cell>
          <cell r="C69" t="str">
            <v>SUP_H2DSL</v>
          </cell>
          <cell r="H69">
            <v>6.73997659275475E-6</v>
          </cell>
          <cell r="I69">
            <v>3.832203038460325E-5</v>
          </cell>
          <cell r="J69">
            <v>0.21328376131081017</v>
          </cell>
          <cell r="K69">
            <v>0.21331459534806801</v>
          </cell>
          <cell r="L69">
            <v>0.11878958593584592</v>
          </cell>
          <cell r="M69">
            <v>0.10289943572021422</v>
          </cell>
          <cell r="N69">
            <v>2.1972429967605065E-3</v>
          </cell>
          <cell r="O69">
            <v>1.5216524497750395E-2</v>
          </cell>
          <cell r="P69">
            <v>1.5410051218263681E-2</v>
          </cell>
        </row>
        <row r="70">
          <cell r="A70" t="str">
            <v>-</v>
          </cell>
          <cell r="B70" t="str">
            <v>VAR_cap</v>
          </cell>
          <cell r="C70" t="str">
            <v>SUP_DAC</v>
          </cell>
          <cell r="J70">
            <v>6.2021861010206E-3</v>
          </cell>
          <cell r="K70">
            <v>7.1795040534671662E-3</v>
          </cell>
          <cell r="L70">
            <v>2.7675049866108243</v>
          </cell>
          <cell r="M70">
            <v>27.823974132844427</v>
          </cell>
          <cell r="N70">
            <v>200.32200994212343</v>
          </cell>
          <cell r="O70">
            <v>221.86708589228135</v>
          </cell>
          <cell r="P70">
            <v>306.16122965057588</v>
          </cell>
        </row>
        <row r="71">
          <cell r="A71" t="str">
            <v>-</v>
          </cell>
          <cell r="B71" t="str">
            <v>VAR_cap</v>
          </cell>
          <cell r="C71" t="str">
            <v>CT_CWODBDSCCS</v>
          </cell>
          <cell r="J71">
            <v>1.20812649421253E-4</v>
          </cell>
          <cell r="K71">
            <v>1.3125341090659099E-4</v>
          </cell>
          <cell r="L71">
            <v>0.232668635512817</v>
          </cell>
          <cell r="M71">
            <v>0.23265685203259201</v>
          </cell>
          <cell r="N71">
            <v>0.23255669031599399</v>
          </cell>
          <cell r="O71">
            <v>0.23255371659804</v>
          </cell>
          <cell r="P71">
            <v>0.20722252304599401</v>
          </cell>
        </row>
        <row r="72">
          <cell r="A72" t="str">
            <v>CO2_M</v>
          </cell>
          <cell r="B72" t="str">
            <v>VAR_fin</v>
          </cell>
          <cell r="C72" t="str">
            <v>SUP_H2NGA</v>
          </cell>
          <cell r="J72">
            <v>95.167521282867739</v>
          </cell>
          <cell r="K72">
            <v>308.14522583050064</v>
          </cell>
          <cell r="L72">
            <v>743.85016834161672</v>
          </cell>
          <cell r="M72">
            <v>656.37266697339282</v>
          </cell>
          <cell r="N72">
            <v>632.59804811740025</v>
          </cell>
          <cell r="O72">
            <v>649.81652672734117</v>
          </cell>
          <cell r="P72">
            <v>650.36532974022316</v>
          </cell>
        </row>
        <row r="73">
          <cell r="A73" t="str">
            <v>CO2_M</v>
          </cell>
          <cell r="B73" t="str">
            <v>VAR_fin</v>
          </cell>
          <cell r="C73" t="str">
            <v>SUP_H2GSL</v>
          </cell>
          <cell r="J73">
            <v>170.11698066716022</v>
          </cell>
          <cell r="K73">
            <v>77.863922104010584</v>
          </cell>
          <cell r="L73">
            <v>16.772129633304772</v>
          </cell>
          <cell r="M73">
            <v>15.217614897426694</v>
          </cell>
          <cell r="N73">
            <v>14.14537578218609</v>
          </cell>
          <cell r="O73">
            <v>17.198411204666332</v>
          </cell>
          <cell r="P73">
            <v>14.040520237027396</v>
          </cell>
        </row>
        <row r="74">
          <cell r="A74" t="str">
            <v>CO2_M</v>
          </cell>
          <cell r="B74" t="str">
            <v>VAR_fin</v>
          </cell>
          <cell r="C74" t="str">
            <v>SUP_H2DSL</v>
          </cell>
          <cell r="J74">
            <v>117.57419859277715</v>
          </cell>
          <cell r="K74">
            <v>95.545943625989594</v>
          </cell>
          <cell r="L74">
            <v>9.5819729684447861</v>
          </cell>
          <cell r="M74">
            <v>23.6539994511187</v>
          </cell>
          <cell r="N74">
            <v>0.43757974567207775</v>
          </cell>
          <cell r="O74">
            <v>3.9468451078561131</v>
          </cell>
          <cell r="P74">
            <v>3.4905446473001476</v>
          </cell>
        </row>
        <row r="75">
          <cell r="A75" t="str">
            <v>ELC35</v>
          </cell>
          <cell r="B75" t="str">
            <v>VAR_fout</v>
          </cell>
          <cell r="C75" t="str">
            <v>SUP_WSTBIO</v>
          </cell>
          <cell r="E75">
            <v>0.11258879108871515</v>
          </cell>
          <cell r="F75">
            <v>0.11491213868315288</v>
          </cell>
          <cell r="G75">
            <v>0.10611011734673481</v>
          </cell>
          <cell r="H75">
            <v>0.1160972251050385</v>
          </cell>
          <cell r="I75">
            <v>0.11585429857640057</v>
          </cell>
          <cell r="J75">
            <v>0.16819450844987233</v>
          </cell>
          <cell r="K75">
            <v>0.18431636233154799</v>
          </cell>
          <cell r="L75">
            <v>0.19691313795887808</v>
          </cell>
          <cell r="M75">
            <v>0.21192454424476781</v>
          </cell>
          <cell r="N75">
            <v>0.22637267530581551</v>
          </cell>
          <cell r="O75">
            <v>0.22816987521385573</v>
          </cell>
          <cell r="P75">
            <v>0.22832487766381648</v>
          </cell>
        </row>
        <row r="76">
          <cell r="A76" t="str">
            <v>ELC35</v>
          </cell>
          <cell r="B76" t="str">
            <v>VAR_fout</v>
          </cell>
          <cell r="C76" t="str">
            <v>ESOL-PV_A</v>
          </cell>
          <cell r="H76">
            <v>0.34128034969337179</v>
          </cell>
          <cell r="I76">
            <v>1.2719948686195113</v>
          </cell>
          <cell r="J76">
            <v>10.761586081621257</v>
          </cell>
          <cell r="K76">
            <v>14.399989357262127</v>
          </cell>
          <cell r="L76">
            <v>17.999989264038774</v>
          </cell>
          <cell r="M76">
            <v>17.658709764962321</v>
          </cell>
          <cell r="N76">
            <v>16.727996940883934</v>
          </cell>
          <cell r="O76">
            <v>6.7734892886193512</v>
          </cell>
          <cell r="P76">
            <v>4.2683526343465505</v>
          </cell>
        </row>
        <row r="77">
          <cell r="A77" t="str">
            <v>ELC35</v>
          </cell>
          <cell r="B77" t="str">
            <v>VAR_fout</v>
          </cell>
          <cell r="C77" t="str">
            <v>SUP_WODBIO</v>
          </cell>
          <cell r="F77">
            <v>1.7071424611563513E-5</v>
          </cell>
          <cell r="H77">
            <v>7.322234341238395E-5</v>
          </cell>
          <cell r="I77">
            <v>8.7307297601505094E-5</v>
          </cell>
          <cell r="J77">
            <v>5.2072831807632544E-5</v>
          </cell>
          <cell r="K77">
            <v>5.6656199768045795E-5</v>
          </cell>
          <cell r="L77">
            <v>4.7839179743308068E-5</v>
          </cell>
          <cell r="M77">
            <v>5.1606683946431141E-5</v>
          </cell>
          <cell r="N77">
            <v>5.4508515619824005E-5</v>
          </cell>
          <cell r="O77">
            <v>1.4191702244131519E-4</v>
          </cell>
          <cell r="P77">
            <v>3.2945092533024159E-4</v>
          </cell>
        </row>
        <row r="78">
          <cell r="A78" t="str">
            <v>ELC35</v>
          </cell>
          <cell r="B78" t="str">
            <v>VAR_fout</v>
          </cell>
          <cell r="C78" t="str">
            <v>SUP_WODBIOCCS</v>
          </cell>
          <cell r="J78">
            <v>6.9205191373011417E-5</v>
          </cell>
          <cell r="K78">
            <v>7.7154332553130108E-5</v>
          </cell>
          <cell r="L78">
            <v>1.5906108371502306E-4</v>
          </cell>
          <cell r="M78">
            <v>1.5329784902269296E-4</v>
          </cell>
          <cell r="N78">
            <v>4.6033396451282573E-4</v>
          </cell>
          <cell r="O78">
            <v>4.2902633604466621E-4</v>
          </cell>
          <cell r="P78">
            <v>5.6669701141595413E-4</v>
          </cell>
        </row>
        <row r="79">
          <cell r="A79" t="str">
            <v>ELC35</v>
          </cell>
          <cell r="B79" t="str">
            <v>VAR_fin</v>
          </cell>
          <cell r="C79" t="str">
            <v>D-CELC</v>
          </cell>
          <cell r="E79">
            <v>0.5409104020443456</v>
          </cell>
          <cell r="F79">
            <v>0.20188933535860393</v>
          </cell>
          <cell r="G79">
            <v>1.7268180603455541</v>
          </cell>
          <cell r="H79">
            <v>1.0910413892175614</v>
          </cell>
          <cell r="I79">
            <v>7.6770898409586863</v>
          </cell>
          <cell r="J79">
            <v>18.082145484399096</v>
          </cell>
          <cell r="K79">
            <v>17.897105411066828</v>
          </cell>
          <cell r="L79">
            <v>28.809355287539326</v>
          </cell>
          <cell r="M79">
            <v>29.08776380374356</v>
          </cell>
          <cell r="N79">
            <v>30.237745422972427</v>
          </cell>
          <cell r="O79">
            <v>30.469127749442411</v>
          </cell>
          <cell r="P79">
            <v>31.075156459047712</v>
          </cell>
        </row>
        <row r="80">
          <cell r="A80" t="str">
            <v>CO2_O</v>
          </cell>
          <cell r="B80" t="str">
            <v>VAR_fout</v>
          </cell>
          <cell r="C80" t="str">
            <v>SUP_WSTHTGBIOCCS</v>
          </cell>
          <cell r="J80">
            <v>4.2024273105637749E-2</v>
          </cell>
          <cell r="K80">
            <v>2.715968113634535E-2</v>
          </cell>
          <cell r="L80">
            <v>0.32436888983336859</v>
          </cell>
          <cell r="M80">
            <v>0.18503741254593914</v>
          </cell>
          <cell r="N80">
            <v>0.36766910198164288</v>
          </cell>
          <cell r="O80">
            <v>0.27984359890567267</v>
          </cell>
          <cell r="P80">
            <v>0.24384830552270184</v>
          </cell>
        </row>
        <row r="81">
          <cell r="A81" t="str">
            <v>CO2_O</v>
          </cell>
          <cell r="B81" t="str">
            <v>VAR_fout</v>
          </cell>
          <cell r="C81" t="str">
            <v>SUP_WODH2CCS</v>
          </cell>
          <cell r="L81">
            <v>344.27704971714587</v>
          </cell>
          <cell r="M81">
            <v>977.13377296821636</v>
          </cell>
          <cell r="N81">
            <v>971.37153852352924</v>
          </cell>
          <cell r="O81">
            <v>1539.8835625700981</v>
          </cell>
          <cell r="P81">
            <v>1674.253864315612</v>
          </cell>
        </row>
        <row r="82">
          <cell r="A82" t="str">
            <v>CO2_O</v>
          </cell>
          <cell r="B82" t="str">
            <v>VAR_fout</v>
          </cell>
          <cell r="C82" t="str">
            <v>SUP_WODBIOCCS</v>
          </cell>
          <cell r="J82">
            <v>7.889488047794703E-2</v>
          </cell>
          <cell r="K82">
            <v>0.10196876710280767</v>
          </cell>
          <cell r="L82">
            <v>0.25017401021219154</v>
          </cell>
          <cell r="M82">
            <v>0.23116523995043364</v>
          </cell>
          <cell r="N82">
            <v>0.70848233556631857</v>
          </cell>
          <cell r="O82">
            <v>0.68213845324707312</v>
          </cell>
          <cell r="P82">
            <v>0.90280397852855043</v>
          </cell>
        </row>
        <row r="83">
          <cell r="A83" t="str">
            <v>CO2_O</v>
          </cell>
          <cell r="B83" t="str">
            <v>VAR_fout</v>
          </cell>
          <cell r="C83" t="str">
            <v>SUP_NGAH2CCS</v>
          </cell>
          <cell r="L83">
            <v>3.2463201656946397E-2</v>
          </cell>
          <cell r="M83">
            <v>5.6930328411437504E-2</v>
          </cell>
          <cell r="N83">
            <v>6.6113336390507524E-2</v>
          </cell>
          <cell r="O83">
            <v>5.7881647054901543E-2</v>
          </cell>
          <cell r="P83">
            <v>7.2064270136206796E-2</v>
          </cell>
        </row>
        <row r="84">
          <cell r="A84" t="str">
            <v>CO2_O</v>
          </cell>
          <cell r="B84" t="str">
            <v>VAR_fout</v>
          </cell>
          <cell r="C84" t="str">
            <v>CT_CWODETHCCS</v>
          </cell>
          <cell r="J84">
            <v>1.0965110613234406E-2</v>
          </cell>
          <cell r="K84">
            <v>1.4919095850787049E-2</v>
          </cell>
          <cell r="L84">
            <v>2.2044112945867576E-2</v>
          </cell>
          <cell r="M84">
            <v>1.7527852723020359E-2</v>
          </cell>
          <cell r="N84">
            <v>6.0147140381685803E-2</v>
          </cell>
          <cell r="O84">
            <v>1.7933015347928613E-2</v>
          </cell>
          <cell r="P84">
            <v>5.9224783692396671E-2</v>
          </cell>
        </row>
        <row r="85">
          <cell r="A85" t="str">
            <v>CO2_O</v>
          </cell>
          <cell r="B85" t="str">
            <v>VAR_fout</v>
          </cell>
          <cell r="C85" t="str">
            <v>SUP_DAC</v>
          </cell>
          <cell r="J85">
            <v>2.072429233341741E-2</v>
          </cell>
          <cell r="K85">
            <v>2.6468371680148019E-2</v>
          </cell>
          <cell r="L85">
            <v>21.81453697128013</v>
          </cell>
          <cell r="M85">
            <v>219.36350943276329</v>
          </cell>
          <cell r="N85">
            <v>1579.3373942402559</v>
          </cell>
          <cell r="O85">
            <v>1749.199141600393</v>
          </cell>
          <cell r="P85">
            <v>2413.7728765842658</v>
          </cell>
        </row>
        <row r="86">
          <cell r="A86" t="str">
            <v>CO2_O</v>
          </cell>
          <cell r="B86" t="str">
            <v>VAR_fout</v>
          </cell>
          <cell r="C86" t="str">
            <v>CT_CWODBDSCCS</v>
          </cell>
          <cell r="J86">
            <v>0.12873107397199357</v>
          </cell>
          <cell r="K86">
            <v>0.19999003452981245</v>
          </cell>
          <cell r="L86">
            <v>542.15581196523146</v>
          </cell>
          <cell r="M86">
            <v>717.53964835653312</v>
          </cell>
          <cell r="N86">
            <v>604.31595485824334</v>
          </cell>
          <cell r="O86">
            <v>709.82589400666541</v>
          </cell>
          <cell r="P86">
            <v>709.06486839441379</v>
          </cell>
        </row>
        <row r="87">
          <cell r="A87" t="str">
            <v>SCH2S</v>
          </cell>
          <cell r="B87" t="str">
            <v>VAR_fin</v>
          </cell>
          <cell r="C87" t="str">
            <v>SUP_NGAH2</v>
          </cell>
          <cell r="L87">
            <v>4.1825567249681271E-4</v>
          </cell>
          <cell r="M87">
            <v>4.2586460098857398E-4</v>
          </cell>
          <cell r="N87">
            <v>4.8167581629904251E-4</v>
          </cell>
          <cell r="O87">
            <v>4.7793371888560208E-4</v>
          </cell>
          <cell r="P87">
            <v>8.3581379936763982E-4</v>
          </cell>
        </row>
        <row r="88">
          <cell r="A88" t="str">
            <v>SCH2S</v>
          </cell>
          <cell r="B88" t="str">
            <v>VAR_fin</v>
          </cell>
          <cell r="C88" t="str">
            <v>SUP_WODH2</v>
          </cell>
          <cell r="H88">
            <v>5.7709639093511097E-3</v>
          </cell>
          <cell r="I88">
            <v>0.37336069609086125</v>
          </cell>
          <cell r="J88">
            <v>0.16419265111552192</v>
          </cell>
          <cell r="K88">
            <v>0.45740185819809392</v>
          </cell>
          <cell r="L88">
            <v>1.0215497995129568E-3</v>
          </cell>
          <cell r="M88">
            <v>3.8376974711233999E-4</v>
          </cell>
          <cell r="N88">
            <v>9.0633891885336982E-4</v>
          </cell>
          <cell r="O88">
            <v>4.4972291499403242E-4</v>
          </cell>
          <cell r="P88">
            <v>1.3475843519088128E-3</v>
          </cell>
        </row>
        <row r="89">
          <cell r="A89" t="str">
            <v>SCH2S</v>
          </cell>
          <cell r="B89" t="str">
            <v>VAR_fin</v>
          </cell>
          <cell r="C89" t="str">
            <v>SUP_WODH2CCS</v>
          </cell>
          <cell r="L89">
            <v>1.9809592146423058</v>
          </cell>
          <cell r="M89">
            <v>5.6223967095393315</v>
          </cell>
          <cell r="N89">
            <v>5.5892409954726787</v>
          </cell>
          <cell r="O89">
            <v>8.8604411338358808</v>
          </cell>
          <cell r="P89">
            <v>9.6336035843556989</v>
          </cell>
        </row>
        <row r="90">
          <cell r="A90" t="str">
            <v>SCH2S</v>
          </cell>
          <cell r="B90" t="str">
            <v>VAR_fin</v>
          </cell>
          <cell r="C90" t="str">
            <v>SUP_NGAH2CCS</v>
          </cell>
          <cell r="L90">
            <v>4.4624291065608799E-4</v>
          </cell>
          <cell r="M90">
            <v>7.8257085432886808E-4</v>
          </cell>
          <cell r="N90">
            <v>9.0880154015160941E-4</v>
          </cell>
          <cell r="O90">
            <v>7.9564779002075999E-4</v>
          </cell>
          <cell r="P90">
            <v>9.9060376113600172E-4</v>
          </cell>
        </row>
        <row r="91">
          <cell r="A91" t="str">
            <v>CWST</v>
          </cell>
          <cell r="B91" t="str">
            <v>VAR_fout</v>
          </cell>
          <cell r="C91" t="str">
            <v>D-CWST</v>
          </cell>
          <cell r="E91">
            <v>9.6794192110269748</v>
          </cell>
          <cell r="F91">
            <v>9.8791607227887663</v>
          </cell>
          <cell r="G91">
            <v>9.1224383741807173</v>
          </cell>
          <cell r="H91">
            <v>9.9810442954588758</v>
          </cell>
          <cell r="I91">
            <v>9.9601595547539699</v>
          </cell>
          <cell r="J91">
            <v>14.461292377551379</v>
          </cell>
          <cell r="K91">
            <v>15.849047816467404</v>
          </cell>
          <cell r="L91">
            <v>17.096552539102287</v>
          </cell>
          <cell r="M91">
            <v>18.37580572560228</v>
          </cell>
          <cell r="N91">
            <v>19.624691802640061</v>
          </cell>
          <cell r="O91">
            <v>19.655040627469997</v>
          </cell>
          <cell r="P91">
            <v>19.660854211642675</v>
          </cell>
        </row>
        <row r="92">
          <cell r="A92" t="str">
            <v>CWST</v>
          </cell>
          <cell r="B92" t="str">
            <v>VAR_fin</v>
          </cell>
          <cell r="C92" t="str">
            <v>SUP_WSTHTGBIO</v>
          </cell>
          <cell r="J92">
            <v>5.3750791686024259E-3</v>
          </cell>
          <cell r="K92">
            <v>6.0986810225566908E-3</v>
          </cell>
          <cell r="L92">
            <v>0.15877619089958853</v>
          </cell>
          <cell r="M92">
            <v>0.15374355828933045</v>
          </cell>
          <cell r="N92">
            <v>0.15296598409355822</v>
          </cell>
          <cell r="O92">
            <v>3.218269171820895E-2</v>
          </cell>
          <cell r="P92">
            <v>2.2377349777160684E-2</v>
          </cell>
        </row>
        <row r="93">
          <cell r="A93" t="str">
            <v>CWST</v>
          </cell>
          <cell r="B93" t="str">
            <v>VAR_fin</v>
          </cell>
          <cell r="C93" t="str">
            <v>SUP_WSTBIO</v>
          </cell>
          <cell r="E93">
            <v>9.6794192110269748</v>
          </cell>
          <cell r="F93">
            <v>9.8791607227887663</v>
          </cell>
          <cell r="G93">
            <v>9.1224383741807173</v>
          </cell>
          <cell r="H93">
            <v>9.9810442954588758</v>
          </cell>
          <cell r="I93">
            <v>9.9601595547539699</v>
          </cell>
          <cell r="J93">
            <v>14.459922169304722</v>
          </cell>
          <cell r="K93">
            <v>15.845940978732221</v>
          </cell>
          <cell r="L93">
            <v>16.928903774807541</v>
          </cell>
          <cell r="M93">
            <v>18.219455818071605</v>
          </cell>
          <cell r="N93">
            <v>19.46158228557708</v>
          </cell>
          <cell r="O93">
            <v>19.616090129099767</v>
          </cell>
          <cell r="P93">
            <v>19.629415911154972</v>
          </cell>
        </row>
        <row r="94">
          <cell r="A94" t="str">
            <v>CWST</v>
          </cell>
          <cell r="B94" t="str">
            <v>VAR_fin</v>
          </cell>
          <cell r="C94" t="str">
            <v>SUP_WSTHTGBIOCCS</v>
          </cell>
          <cell r="J94">
            <v>1.5615440363272047E-3</v>
          </cell>
          <cell r="K94">
            <v>1.0092033715942837E-3</v>
          </cell>
          <cell r="L94">
            <v>1.2052946263130519E-2</v>
          </cell>
          <cell r="M94">
            <v>6.8756470179079775E-3</v>
          </cell>
          <cell r="N94">
            <v>1.3661901827498638E-2</v>
          </cell>
          <cell r="O94">
            <v>1.0398469043760144E-2</v>
          </cell>
          <cell r="P94">
            <v>9.0609507105641265E-3</v>
          </cell>
        </row>
        <row r="95">
          <cell r="A95" t="str">
            <v>NGA</v>
          </cell>
          <cell r="B95" t="str">
            <v>VAR_fout</v>
          </cell>
          <cell r="C95" t="str">
            <v>SUP_H2NGA</v>
          </cell>
          <cell r="J95">
            <v>1.6873673986324054</v>
          </cell>
          <cell r="K95">
            <v>5.4635678338741265</v>
          </cell>
          <cell r="L95">
            <v>13.188832772014479</v>
          </cell>
          <cell r="M95">
            <v>11.637813244209084</v>
          </cell>
          <cell r="N95">
            <v>11.216277448890084</v>
          </cell>
          <cell r="O95">
            <v>11.521569622825195</v>
          </cell>
          <cell r="P95">
            <v>11.531300172698977</v>
          </cell>
        </row>
        <row r="96">
          <cell r="A96" t="str">
            <v>NGA</v>
          </cell>
          <cell r="B96" t="str">
            <v>VAR_fout</v>
          </cell>
          <cell r="C96" t="str">
            <v>D-LNGA</v>
          </cell>
          <cell r="H96">
            <v>4.0428952711644463E-3</v>
          </cell>
          <cell r="I96">
            <v>7.1419791280556196E-3</v>
          </cell>
          <cell r="J96">
            <v>7.9670428299747076E-3</v>
          </cell>
          <cell r="K96">
            <v>7.4527640596762741E-3</v>
          </cell>
          <cell r="L96">
            <v>2.0671920988131552E-5</v>
          </cell>
          <cell r="M96">
            <v>8.0500778299064796E-5</v>
          </cell>
          <cell r="N96">
            <v>1.1181197571221296E-4</v>
          </cell>
          <cell r="O96">
            <v>1.1196650810757302E-4</v>
          </cell>
          <cell r="P96">
            <v>1.4395802666326623E-4</v>
          </cell>
        </row>
        <row r="97">
          <cell r="A97" t="str">
            <v>NGA</v>
          </cell>
          <cell r="B97" t="str">
            <v>VAR_fin</v>
          </cell>
          <cell r="C97" t="str">
            <v>D-ENGA</v>
          </cell>
          <cell r="E97">
            <v>5.5555905491023552</v>
          </cell>
          <cell r="F97">
            <v>2.5189187757900529</v>
          </cell>
          <cell r="G97">
            <v>1.2301053296485818</v>
          </cell>
        </row>
        <row r="98">
          <cell r="A98" t="str">
            <v>NGA</v>
          </cell>
          <cell r="B98" t="str">
            <v>VAR_fin</v>
          </cell>
          <cell r="C98" t="str">
            <v>D-TNGA</v>
          </cell>
          <cell r="E98">
            <v>0.28087828676661791</v>
          </cell>
          <cell r="F98">
            <v>0.19041746721636083</v>
          </cell>
          <cell r="G98">
            <v>0.35791961990814747</v>
          </cell>
          <cell r="H98">
            <v>0.14064162366506244</v>
          </cell>
          <cell r="I98">
            <v>5.4723245953498867E-2</v>
          </cell>
          <cell r="J98">
            <v>4.6898123721302164E-2</v>
          </cell>
          <cell r="K98">
            <v>1.1534856331208621E-2</v>
          </cell>
          <cell r="L98">
            <v>7.2139711403443037E-4</v>
          </cell>
        </row>
        <row r="99">
          <cell r="A99" t="str">
            <v>NGA</v>
          </cell>
          <cell r="B99" t="str">
            <v>VAR_fin</v>
          </cell>
          <cell r="C99" t="str">
            <v>D-SNGA</v>
          </cell>
          <cell r="E99">
            <v>27.039180683251807</v>
          </cell>
          <cell r="F99">
            <v>25.55029083430847</v>
          </cell>
          <cell r="G99">
            <v>24.415419264302354</v>
          </cell>
          <cell r="H99">
            <v>24.697069920730673</v>
          </cell>
          <cell r="I99">
            <v>24.725881868737815</v>
          </cell>
          <cell r="J99">
            <v>18.723563795527962</v>
          </cell>
          <cell r="K99">
            <v>5.764842455753949</v>
          </cell>
          <cell r="L99">
            <v>3.1940363043449342</v>
          </cell>
          <cell r="M99">
            <v>3.4992484452686168</v>
          </cell>
          <cell r="N99">
            <v>3.4542250540826647</v>
          </cell>
          <cell r="O99">
            <v>3.4033186793102201</v>
          </cell>
          <cell r="P99">
            <v>3.4721441024008914</v>
          </cell>
        </row>
        <row r="100">
          <cell r="A100" t="str">
            <v>NGA</v>
          </cell>
          <cell r="B100" t="str">
            <v>VAR_fin</v>
          </cell>
          <cell r="C100" t="str">
            <v>D-RNGA</v>
          </cell>
          <cell r="E100">
            <v>47.113358103418577</v>
          </cell>
          <cell r="F100">
            <v>48.429730216669299</v>
          </cell>
          <cell r="G100">
            <v>53.053944001540913</v>
          </cell>
          <cell r="H100">
            <v>53.01265610675685</v>
          </cell>
          <cell r="I100">
            <v>47.266778671203873</v>
          </cell>
          <cell r="J100">
            <v>30.198123357207397</v>
          </cell>
          <cell r="K100">
            <v>20.130302364701315</v>
          </cell>
          <cell r="L100">
            <v>9.7125251316382446</v>
          </cell>
          <cell r="M100">
            <v>7.8742246161814711</v>
          </cell>
          <cell r="N100">
            <v>7.6994702205489718</v>
          </cell>
          <cell r="O100">
            <v>7.8823112462823737</v>
          </cell>
          <cell r="P100">
            <v>7.3980888541039729</v>
          </cell>
        </row>
        <row r="101">
          <cell r="A101" t="str">
            <v>NGA</v>
          </cell>
          <cell r="B101" t="str">
            <v>VAR_fin</v>
          </cell>
          <cell r="C101" t="str">
            <v>D-INGA</v>
          </cell>
          <cell r="E101">
            <v>37.289977457088298</v>
          </cell>
          <cell r="F101">
            <v>30.030355338378069</v>
          </cell>
          <cell r="G101">
            <v>33.881945662389242</v>
          </cell>
          <cell r="H101">
            <v>23.781635123034043</v>
          </cell>
          <cell r="I101">
            <v>11.501743069322078</v>
          </cell>
          <cell r="J101">
            <v>6.0116834356321789</v>
          </cell>
          <cell r="K101">
            <v>2.1943560479361635</v>
          </cell>
          <cell r="L101">
            <v>0.27388148682434682</v>
          </cell>
          <cell r="M101">
            <v>4.8088412984290022E-2</v>
          </cell>
          <cell r="N101">
            <v>3.9262786637537629E-3</v>
          </cell>
          <cell r="O101">
            <v>1.6864777326228417E-2</v>
          </cell>
          <cell r="P101">
            <v>1.3240401628336869E-3</v>
          </cell>
        </row>
        <row r="102">
          <cell r="A102" t="str">
            <v>CO2</v>
          </cell>
          <cell r="B102" t="str">
            <v>VAR_fout</v>
          </cell>
          <cell r="C102" t="str">
            <v>D-ENGA</v>
          </cell>
          <cell r="E102">
            <v>313.33530696937299</v>
          </cell>
          <cell r="F102">
            <v>142.06701895455899</v>
          </cell>
          <cell r="G102">
            <v>69.377940592179996</v>
          </cell>
        </row>
        <row r="103">
          <cell r="A103" t="str">
            <v>CO2</v>
          </cell>
          <cell r="B103" t="str">
            <v>VAR_fout</v>
          </cell>
          <cell r="C103" t="str">
            <v>D-ILFO</v>
          </cell>
          <cell r="E103">
            <v>690.34145766029906</v>
          </cell>
          <cell r="F103">
            <v>659.57743359546396</v>
          </cell>
          <cell r="G103">
            <v>602.559182724886</v>
          </cell>
          <cell r="H103">
            <v>518.827545680399</v>
          </cell>
          <cell r="I103">
            <v>359.98516456246699</v>
          </cell>
          <cell r="J103">
            <v>204.20776220591301</v>
          </cell>
          <cell r="K103">
            <v>100.281335936876</v>
          </cell>
          <cell r="L103">
            <v>1.1459695964495999E-3</v>
          </cell>
          <cell r="M103">
            <v>5.2555591769742503E-3</v>
          </cell>
          <cell r="N103">
            <v>6.3827571497409204E-3</v>
          </cell>
          <cell r="O103">
            <v>5.9861755070158198E-3</v>
          </cell>
          <cell r="P103">
            <v>6.6505710985618896E-3</v>
          </cell>
        </row>
        <row r="104">
          <cell r="A104" t="str">
            <v>CO2</v>
          </cell>
          <cell r="B104" t="str">
            <v>VAR_fout</v>
          </cell>
          <cell r="C104" t="str">
            <v>D-TNGA</v>
          </cell>
          <cell r="E104">
            <v>15.8415353736372</v>
          </cell>
          <cell r="F104">
            <v>10.7395451510027</v>
          </cell>
          <cell r="G104">
            <v>20.1866665628195</v>
          </cell>
          <cell r="H104">
            <v>7.9321875747095199</v>
          </cell>
          <cell r="I104">
            <v>3.08639107177734</v>
          </cell>
          <cell r="J104">
            <v>2.6450541778814398</v>
          </cell>
          <cell r="K104">
            <v>0.65056589708016599</v>
          </cell>
          <cell r="L104">
            <v>4.0686797231541803E-2</v>
          </cell>
        </row>
        <row r="105">
          <cell r="A105" t="str">
            <v>CO2</v>
          </cell>
          <cell r="B105" t="str">
            <v>VAR_fout</v>
          </cell>
          <cell r="C105" t="str">
            <v>D-SNGA</v>
          </cell>
          <cell r="E105">
            <v>1525.0097905354</v>
          </cell>
          <cell r="F105">
            <v>1441.0364030549999</v>
          </cell>
          <cell r="G105">
            <v>1377.0296465066499</v>
          </cell>
          <cell r="H105">
            <v>1392.91474352921</v>
          </cell>
          <cell r="I105">
            <v>1394.5397373968101</v>
          </cell>
          <cell r="J105">
            <v>1056.0089980677801</v>
          </cell>
          <cell r="K105">
            <v>325.13711450452303</v>
          </cell>
          <cell r="L105">
            <v>180.14364756505401</v>
          </cell>
          <cell r="M105">
            <v>197.35761231315001</v>
          </cell>
          <cell r="N105">
            <v>194.81829305026201</v>
          </cell>
          <cell r="O105">
            <v>191.947173513096</v>
          </cell>
          <cell r="P105">
            <v>195.82892737540999</v>
          </cell>
        </row>
        <row r="106">
          <cell r="A106" t="str">
            <v>CO2</v>
          </cell>
          <cell r="B106" t="str">
            <v>VAR_fout</v>
          </cell>
          <cell r="C106" t="str">
            <v>D-RNGA</v>
          </cell>
          <cell r="E106">
            <v>2657.19339703281</v>
          </cell>
          <cell r="F106">
            <v>2731.43678422015</v>
          </cell>
          <cell r="G106">
            <v>2992.2424416869098</v>
          </cell>
          <cell r="H106">
            <v>2989.9138044210799</v>
          </cell>
          <cell r="I106">
            <v>2665.8463170558998</v>
          </cell>
          <cell r="J106">
            <v>1703.1741573464999</v>
          </cell>
          <cell r="K106">
            <v>1135.3490533691499</v>
          </cell>
          <cell r="L106">
            <v>547.78641742439697</v>
          </cell>
          <cell r="M106">
            <v>444.10626835263503</v>
          </cell>
          <cell r="N106">
            <v>434.25012043896203</v>
          </cell>
          <cell r="O106">
            <v>444.56235429032603</v>
          </cell>
          <cell r="P106">
            <v>417.252211371464</v>
          </cell>
        </row>
        <row r="107">
          <cell r="A107" t="str">
            <v>CO2</v>
          </cell>
          <cell r="B107" t="str">
            <v>VAR_fout</v>
          </cell>
          <cell r="C107" t="str">
            <v>SUP_WSTHTGBIOCCS</v>
          </cell>
          <cell r="J107">
            <v>-4.2024273105637701E-2</v>
          </cell>
          <cell r="K107">
            <v>-2.7159681136345301E-2</v>
          </cell>
          <cell r="L107">
            <v>-0.32436888983336898</v>
          </cell>
          <cell r="M107">
            <v>-0.185037412545939</v>
          </cell>
          <cell r="N107">
            <v>-0.36766910198164299</v>
          </cell>
          <cell r="O107">
            <v>-0.27984359890567301</v>
          </cell>
          <cell r="P107">
            <v>-0.24384830552270201</v>
          </cell>
        </row>
        <row r="108">
          <cell r="A108" t="str">
            <v>CO2</v>
          </cell>
          <cell r="B108" t="str">
            <v>VAR_fout</v>
          </cell>
          <cell r="C108" t="str">
            <v>D-SLFO</v>
          </cell>
          <cell r="E108">
            <v>2267.7912033932098</v>
          </cell>
          <cell r="F108">
            <v>1917.10179578306</v>
          </cell>
          <cell r="G108">
            <v>1421.14650759299</v>
          </cell>
          <cell r="H108">
            <v>1183.84724745722</v>
          </cell>
          <cell r="I108">
            <v>654.287672917892</v>
          </cell>
          <cell r="J108">
            <v>446.98079735812797</v>
          </cell>
          <cell r="K108">
            <v>236.530616007188</v>
          </cell>
          <cell r="L108">
            <v>1.14858267641788E-3</v>
          </cell>
          <cell r="M108">
            <v>4.5606776941552601E-3</v>
          </cell>
          <cell r="N108">
            <v>6.2137141471691497E-3</v>
          </cell>
          <cell r="O108">
            <v>6.17023845911831E-3</v>
          </cell>
          <cell r="P108">
            <v>7.7788023958315902E-3</v>
          </cell>
        </row>
        <row r="109">
          <cell r="A109" t="str">
            <v>CO2</v>
          </cell>
          <cell r="B109" t="str">
            <v>VAR_fout</v>
          </cell>
          <cell r="C109" t="str">
            <v>D-RLFO</v>
          </cell>
          <cell r="E109">
            <v>4514.4896212429103</v>
          </cell>
          <cell r="F109">
            <v>3846.5309414855101</v>
          </cell>
          <cell r="G109">
            <v>3605.5646095942602</v>
          </cell>
          <cell r="H109">
            <v>2976.7361259343202</v>
          </cell>
          <cell r="I109">
            <v>995.90287174976504</v>
          </cell>
          <cell r="J109">
            <v>2.66869163500116</v>
          </cell>
          <cell r="K109">
            <v>2.4473680164971698</v>
          </cell>
          <cell r="L109">
            <v>1.1849383209839399E-3</v>
          </cell>
          <cell r="M109">
            <v>4.5661725774371201E-3</v>
          </cell>
          <cell r="N109">
            <v>6.1397791718907999E-3</v>
          </cell>
          <cell r="O109">
            <v>6.2544257923190204E-3</v>
          </cell>
          <cell r="P109">
            <v>7.7950717681096598E-3</v>
          </cell>
        </row>
        <row r="110">
          <cell r="A110" t="str">
            <v>CO2</v>
          </cell>
          <cell r="B110" t="str">
            <v>VAR_fout</v>
          </cell>
          <cell r="C110" t="str">
            <v>D-TGSL</v>
          </cell>
          <cell r="E110">
            <v>5858.3330960201001</v>
          </cell>
          <cell r="F110">
            <v>5579.1603148818003</v>
          </cell>
          <cell r="G110">
            <v>5058.08617791704</v>
          </cell>
          <cell r="H110">
            <v>3416.8320787877801</v>
          </cell>
          <cell r="I110">
            <v>1603.71521030709</v>
          </cell>
          <cell r="J110">
            <v>658.76144644546002</v>
          </cell>
          <cell r="K110">
            <v>380.654114346315</v>
          </cell>
          <cell r="L110">
            <v>16.7721296333048</v>
          </cell>
          <cell r="M110">
            <v>15.2072682491828</v>
          </cell>
          <cell r="N110">
            <v>14.1495370752278</v>
          </cell>
          <cell r="O110">
            <v>17.195977808835</v>
          </cell>
          <cell r="P110">
            <v>14.025518471956101</v>
          </cell>
        </row>
        <row r="111">
          <cell r="A111" t="str">
            <v>CO2</v>
          </cell>
          <cell r="B111" t="str">
            <v>VAR_fout</v>
          </cell>
          <cell r="C111" t="str">
            <v>SUP_WODH2CCS</v>
          </cell>
          <cell r="L111">
            <v>-344.27704971714599</v>
          </cell>
          <cell r="M111">
            <v>-977.13377296821602</v>
          </cell>
          <cell r="N111">
            <v>-971.37153852352799</v>
          </cell>
          <cell r="O111">
            <v>-1539.8835625700999</v>
          </cell>
          <cell r="P111">
            <v>-1674.2538643156099</v>
          </cell>
        </row>
        <row r="112">
          <cell r="A112" t="str">
            <v>CO2</v>
          </cell>
          <cell r="B112" t="str">
            <v>VAR_fout</v>
          </cell>
          <cell r="C112" t="str">
            <v>SUP_WODBIOCCS</v>
          </cell>
          <cell r="J112">
            <v>-7.8894880477947002E-2</v>
          </cell>
          <cell r="K112">
            <v>-0.101968767102808</v>
          </cell>
          <cell r="L112">
            <v>-0.25017401021219099</v>
          </cell>
          <cell r="M112">
            <v>-0.231165239950434</v>
          </cell>
          <cell r="N112">
            <v>-0.70848233556631801</v>
          </cell>
          <cell r="O112">
            <v>-0.68213845324707301</v>
          </cell>
          <cell r="P112">
            <v>-0.90280397852855099</v>
          </cell>
        </row>
        <row r="113">
          <cell r="A113" t="str">
            <v>CO2</v>
          </cell>
          <cell r="B113" t="str">
            <v>VAR_fout</v>
          </cell>
          <cell r="C113" t="str">
            <v>SUP_NGAH2CCS</v>
          </cell>
          <cell r="L113">
            <v>-3.2463201656946397E-2</v>
          </cell>
          <cell r="M113">
            <v>-5.6930328411437497E-2</v>
          </cell>
          <cell r="N113">
            <v>-6.6113336390507496E-2</v>
          </cell>
          <cell r="O113">
            <v>-5.7881647054901599E-2</v>
          </cell>
          <cell r="P113">
            <v>-7.2064270136206796E-2</v>
          </cell>
        </row>
        <row r="114">
          <cell r="A114" t="str">
            <v>CO2</v>
          </cell>
          <cell r="B114" t="str">
            <v>VAR_fout</v>
          </cell>
          <cell r="C114" t="str">
            <v>CT_CWODETHCCS</v>
          </cell>
          <cell r="J114">
            <v>-1.0965110613234399E-2</v>
          </cell>
          <cell r="K114">
            <v>-1.4919095850787E-2</v>
          </cell>
          <cell r="L114">
            <v>-2.2044112945867601E-2</v>
          </cell>
          <cell r="M114">
            <v>-1.7527852723020401E-2</v>
          </cell>
          <cell r="N114">
            <v>-6.0147140381685803E-2</v>
          </cell>
          <cell r="O114">
            <v>-1.7933015347928599E-2</v>
          </cell>
          <cell r="P114">
            <v>-5.9224783692396699E-2</v>
          </cell>
        </row>
        <row r="115">
          <cell r="A115" t="str">
            <v>CO2</v>
          </cell>
          <cell r="B115" t="str">
            <v>VAR_fout</v>
          </cell>
          <cell r="C115" t="str">
            <v>D-INGA</v>
          </cell>
          <cell r="E115">
            <v>2103.1547285797801</v>
          </cell>
          <cell r="F115">
            <v>1693.71204108452</v>
          </cell>
          <cell r="G115">
            <v>1910.9417353587501</v>
          </cell>
          <cell r="H115">
            <v>1341.2842209391199</v>
          </cell>
          <cell r="I115">
            <v>648.69830910976498</v>
          </cell>
          <cell r="J115">
            <v>339.058945769655</v>
          </cell>
          <cell r="K115">
            <v>123.7616811036</v>
          </cell>
          <cell r="L115">
            <v>15.446915856893201</v>
          </cell>
          <cell r="M115">
            <v>2.7121864923139598</v>
          </cell>
          <cell r="N115">
            <v>0.22144211663571201</v>
          </cell>
          <cell r="O115">
            <v>0.95117344119928304</v>
          </cell>
          <cell r="P115">
            <v>7.4675865183819898E-2</v>
          </cell>
        </row>
        <row r="116">
          <cell r="A116" t="str">
            <v>CO2</v>
          </cell>
          <cell r="B116" t="str">
            <v>VAR_fout</v>
          </cell>
          <cell r="C116" t="str">
            <v>SUP_DAC</v>
          </cell>
          <cell r="J116">
            <v>-2.07242923334174E-2</v>
          </cell>
          <cell r="K116">
            <v>-2.6468371680148001E-2</v>
          </cell>
          <cell r="L116">
            <v>-21.814536971280098</v>
          </cell>
          <cell r="M116">
            <v>-219.363509432764</v>
          </cell>
          <cell r="N116">
            <v>-1579.33739424025</v>
          </cell>
          <cell r="O116">
            <v>-1749.19914160039</v>
          </cell>
          <cell r="P116">
            <v>-2413.7728765842699</v>
          </cell>
        </row>
        <row r="117">
          <cell r="A117" t="str">
            <v>CO2</v>
          </cell>
          <cell r="B117" t="str">
            <v>VAR_fout</v>
          </cell>
          <cell r="C117" t="str">
            <v>CT_CWODBDSCCS</v>
          </cell>
          <cell r="J117">
            <v>-0.12873107397199399</v>
          </cell>
          <cell r="K117">
            <v>-0.19999003452981301</v>
          </cell>
          <cell r="L117">
            <v>-542.15581196523101</v>
          </cell>
          <cell r="M117">
            <v>-717.53964835653301</v>
          </cell>
          <cell r="N117">
            <v>-604.315954858243</v>
          </cell>
          <cell r="O117">
            <v>-709.82589400666598</v>
          </cell>
          <cell r="P117">
            <v>-709.06486839441402</v>
          </cell>
        </row>
        <row r="118">
          <cell r="A118" t="str">
            <v>ENGA</v>
          </cell>
          <cell r="B118" t="str">
            <v>VAR_fout</v>
          </cell>
          <cell r="C118" t="str">
            <v>D-ENGA</v>
          </cell>
          <cell r="E118">
            <v>5.7508614639567304</v>
          </cell>
          <cell r="F118">
            <v>2.5113539902040909</v>
          </cell>
          <cell r="G118">
            <v>1.3469702403092421</v>
          </cell>
          <cell r="J118">
            <v>4.2557783379278477E-4</v>
          </cell>
          <cell r="K118">
            <v>7.6867200116315581E-4</v>
          </cell>
          <cell r="L118">
            <v>5.1210448067548792E-2</v>
          </cell>
          <cell r="M118">
            <v>2.1879372187680257</v>
          </cell>
          <cell r="N118">
            <v>4.3000934341156958</v>
          </cell>
          <cell r="O118">
            <v>4.3018153015349849</v>
          </cell>
          <cell r="P118">
            <v>4.3019013843639744</v>
          </cell>
        </row>
        <row r="119">
          <cell r="A119" t="str">
            <v>ILFO</v>
          </cell>
          <cell r="B119" t="str">
            <v>VAR_fout</v>
          </cell>
          <cell r="C119" t="str">
            <v>D-ILFO</v>
          </cell>
          <cell r="E119">
            <v>9.2104742306187894</v>
          </cell>
          <cell r="F119">
            <v>8.8000233620882522</v>
          </cell>
          <cell r="G119">
            <v>8.0393030165742747</v>
          </cell>
          <cell r="H119">
            <v>7.1487503878603542</v>
          </cell>
          <cell r="I119">
            <v>5.0295511304600033</v>
          </cell>
          <cell r="J119">
            <v>2.95116459785228</v>
          </cell>
          <cell r="K119">
            <v>1.564587070639905</v>
          </cell>
          <cell r="L119">
            <v>0.22671585700284247</v>
          </cell>
          <cell r="M119">
            <v>0.23684265087664694</v>
          </cell>
          <cell r="N119">
            <v>0.2409317733568771</v>
          </cell>
          <cell r="O119">
            <v>0.24098469656173552</v>
          </cell>
          <cell r="P119">
            <v>0.25176990743495198</v>
          </cell>
        </row>
        <row r="120">
          <cell r="A120" t="str">
            <v>CHEAT</v>
          </cell>
          <cell r="B120" t="str">
            <v>VAR_fout</v>
          </cell>
          <cell r="C120" t="str">
            <v>D-CHEAT</v>
          </cell>
          <cell r="J120">
            <v>6.3957541760598906E-3</v>
          </cell>
          <cell r="K120">
            <v>1.1575154604315949E-2</v>
          </cell>
          <cell r="L120">
            <v>0.1431632396590134</v>
          </cell>
          <cell r="M120">
            <v>1.4006534254096668</v>
          </cell>
          <cell r="N120">
            <v>10.069038926360308</v>
          </cell>
          <cell r="O120">
            <v>11.153021752367795</v>
          </cell>
          <cell r="P120">
            <v>15.390346389334576</v>
          </cell>
        </row>
        <row r="121">
          <cell r="A121" t="str">
            <v>CHEAT</v>
          </cell>
          <cell r="B121" t="str">
            <v>VAR_fin</v>
          </cell>
          <cell r="C121" t="str">
            <v>SUP_ELCH2_SOEC</v>
          </cell>
          <cell r="J121">
            <v>6.2579546191675302E-3</v>
          </cell>
          <cell r="K121">
            <v>1.1402806452982252E-2</v>
          </cell>
          <cell r="L121">
            <v>4.1223876191163519E-3</v>
          </cell>
          <cell r="M121">
            <v>2.4807620087078232E-3</v>
          </cell>
          <cell r="N121">
            <v>2.7048463502888399E-3</v>
          </cell>
          <cell r="O121">
            <v>4.027879347579995E-3</v>
          </cell>
          <cell r="P121">
            <v>5.5120546466470612E-3</v>
          </cell>
        </row>
        <row r="122">
          <cell r="A122" t="str">
            <v>CHEAT</v>
          </cell>
          <cell r="B122" t="str">
            <v>VAR_fin</v>
          </cell>
          <cell r="C122" t="str">
            <v>SUP_DAC</v>
          </cell>
          <cell r="J122">
            <v>1.3779955689236233E-4</v>
          </cell>
          <cell r="K122">
            <v>1.7234815133368539E-4</v>
          </cell>
          <cell r="L122">
            <v>0.13904085203989713</v>
          </cell>
          <cell r="M122">
            <v>1.398172663400959</v>
          </cell>
          <cell r="N122">
            <v>10.066334080010009</v>
          </cell>
          <cell r="O122">
            <v>11.14899387302021</v>
          </cell>
          <cell r="P122">
            <v>15.384834334687916</v>
          </cell>
        </row>
        <row r="123">
          <cell r="A123" t="str">
            <v>EH2</v>
          </cell>
          <cell r="B123" t="str">
            <v>VAR_fout</v>
          </cell>
          <cell r="C123" t="str">
            <v>D-ENGA</v>
          </cell>
          <cell r="J123">
            <v>4.7753448199801134E-5</v>
          </cell>
          <cell r="K123">
            <v>8.1785183413239475E-5</v>
          </cell>
          <cell r="L123">
            <v>1.1204033645138931E-3</v>
          </cell>
          <cell r="M123">
            <v>6.0462340623810305E-2</v>
          </cell>
          <cell r="N123">
            <v>8.3906614171854702E-2</v>
          </cell>
          <cell r="O123">
            <v>7.8171891413736191E-2</v>
          </cell>
          <cell r="P123">
            <v>7.0122278465732643E-2</v>
          </cell>
        </row>
        <row r="124">
          <cell r="A124" t="str">
            <v>TDSL</v>
          </cell>
          <cell r="B124" t="str">
            <v>VAR_fout</v>
          </cell>
          <cell r="C124" t="str">
            <v>D-TBDS1</v>
          </cell>
          <cell r="E124">
            <v>2.9711298793761745</v>
          </cell>
          <cell r="F124">
            <v>2.9710814261880061</v>
          </cell>
          <cell r="G124">
            <v>3.1561190602749001</v>
          </cell>
          <cell r="H124">
            <v>2.9698265011178551</v>
          </cell>
          <cell r="I124">
            <v>2.974744274988117</v>
          </cell>
          <cell r="J124">
            <v>2.9725848554614194</v>
          </cell>
          <cell r="K124">
            <v>2.9719254007993041</v>
          </cell>
          <cell r="L124">
            <v>2.9296630314005019</v>
          </cell>
          <cell r="M124">
            <v>2.6560114069163778</v>
          </cell>
          <cell r="N124">
            <v>2.8920237525849917</v>
          </cell>
          <cell r="O124">
            <v>2.7699284539964522</v>
          </cell>
          <cell r="P124">
            <v>2.7412021252953185</v>
          </cell>
        </row>
        <row r="125">
          <cell r="A125" t="str">
            <v>CNGA</v>
          </cell>
          <cell r="B125" t="str">
            <v>VAR_fout</v>
          </cell>
          <cell r="C125" t="str">
            <v>D-CNGA</v>
          </cell>
          <cell r="L125">
            <v>1.1970652672033337E-3</v>
          </cell>
          <cell r="M125">
            <v>1.6945088176431289E-3</v>
          </cell>
          <cell r="N125">
            <v>1.9508876501936755E-3</v>
          </cell>
          <cell r="O125">
            <v>1.781972895588946E-3</v>
          </cell>
          <cell r="P125">
            <v>2.5354126240027335E-3</v>
          </cell>
        </row>
        <row r="126">
          <cell r="A126" t="str">
            <v>CNGA</v>
          </cell>
          <cell r="B126" t="str">
            <v>VAR_fin</v>
          </cell>
          <cell r="C126" t="str">
            <v>SUP_NGAH2</v>
          </cell>
          <cell r="L126">
            <v>5.5033641118001659E-4</v>
          </cell>
          <cell r="M126">
            <v>5.6034815919549208E-4</v>
          </cell>
          <cell r="N126">
            <v>6.3378396881452975E-4</v>
          </cell>
          <cell r="O126">
            <v>6.2886015642842367E-4</v>
          </cell>
          <cell r="P126">
            <v>1.0997549991679466E-3</v>
          </cell>
        </row>
        <row r="127">
          <cell r="A127" t="str">
            <v>CNGA</v>
          </cell>
          <cell r="B127" t="str">
            <v>VAR_fin</v>
          </cell>
          <cell r="C127" t="str">
            <v>SUP_NGAH2CCS</v>
          </cell>
          <cell r="L127">
            <v>6.4672885602331653E-4</v>
          </cell>
          <cell r="M127">
            <v>1.1341606584476353E-3</v>
          </cell>
          <cell r="N127">
            <v>1.3171036813791452E-3</v>
          </cell>
          <cell r="O127">
            <v>1.1531127391605214E-3</v>
          </cell>
          <cell r="P127">
            <v>1.4356576248347845E-3</v>
          </cell>
        </row>
        <row r="128">
          <cell r="A128" t="str">
            <v>LBIO</v>
          </cell>
          <cell r="B128" t="str">
            <v>VAR_fin</v>
          </cell>
          <cell r="C128" t="str">
            <v>D-LBIO</v>
          </cell>
          <cell r="H128">
            <v>2.1133492514083652</v>
          </cell>
          <cell r="I128">
            <v>1.5507907945752775</v>
          </cell>
          <cell r="J128">
            <v>3.025990675591866E-3</v>
          </cell>
          <cell r="K128">
            <v>2.333036070992776E-3</v>
          </cell>
          <cell r="L128">
            <v>1.8782526901403975E-5</v>
          </cell>
          <cell r="M128">
            <v>8.7051924928455539E-5</v>
          </cell>
          <cell r="N128">
            <v>1.2477686567755733E-4</v>
          </cell>
          <cell r="O128">
            <v>1.2059399137360704E-4</v>
          </cell>
          <cell r="P128">
            <v>1.471290004915553E-4</v>
          </cell>
        </row>
        <row r="129">
          <cell r="A129" t="str">
            <v>H2_E</v>
          </cell>
          <cell r="B129" t="str">
            <v>VAR_fout</v>
          </cell>
          <cell r="C129" t="str">
            <v>SUP_ELCH2_D</v>
          </cell>
          <cell r="H129">
            <v>6.992510777563459E-6</v>
          </cell>
          <cell r="I129">
            <v>9.9650545360584528E-5</v>
          </cell>
          <cell r="J129">
            <v>2.6171244241170579</v>
          </cell>
          <cell r="K129">
            <v>3.5147201974439506</v>
          </cell>
          <cell r="L129">
            <v>3.6138904576192439</v>
          </cell>
          <cell r="M129">
            <v>3.6138927430230163</v>
          </cell>
          <cell r="N129">
            <v>3.6138948652758325</v>
          </cell>
          <cell r="O129">
            <v>3.6138967954692265</v>
          </cell>
          <cell r="P129">
            <v>3.6139084790614033</v>
          </cell>
        </row>
        <row r="130">
          <cell r="A130" t="str">
            <v>H2_E</v>
          </cell>
          <cell r="B130" t="str">
            <v>VAR_fin</v>
          </cell>
          <cell r="C130" t="str">
            <v>D-DH2</v>
          </cell>
          <cell r="H130">
            <v>6.9925107775634599E-6</v>
          </cell>
          <cell r="I130">
            <v>9.9650545360584528E-5</v>
          </cell>
          <cell r="J130">
            <v>2.6171244241170579</v>
          </cell>
          <cell r="K130">
            <v>3.5147201974439506</v>
          </cell>
          <cell r="L130">
            <v>3.6138904576192439</v>
          </cell>
          <cell r="M130">
            <v>3.6138927430230163</v>
          </cell>
          <cell r="N130">
            <v>3.6138948652758325</v>
          </cell>
          <cell r="O130">
            <v>3.6138967954692265</v>
          </cell>
          <cell r="P130">
            <v>3.6139084790614033</v>
          </cell>
        </row>
        <row r="131">
          <cell r="A131" t="str">
            <v>BNGA</v>
          </cell>
          <cell r="B131" t="str">
            <v>VAR_fout</v>
          </cell>
          <cell r="C131" t="str">
            <v>SUP_BIONGA</v>
          </cell>
          <cell r="E131">
            <v>1.1764981707976323</v>
          </cell>
          <cell r="F131">
            <v>3.0642984180177137</v>
          </cell>
          <cell r="G131">
            <v>2.6138935705884947</v>
          </cell>
          <cell r="H131">
            <v>2.6138792647889129</v>
          </cell>
          <cell r="I131">
            <v>2.6140022441544319</v>
          </cell>
          <cell r="J131">
            <v>2.8160466343962098</v>
          </cell>
          <cell r="K131">
            <v>4.3867205238062565</v>
          </cell>
          <cell r="L131">
            <v>6.302439230273249</v>
          </cell>
          <cell r="M131">
            <v>8.437897847980306</v>
          </cell>
          <cell r="N131">
            <v>10.557602494923849</v>
          </cell>
          <cell r="O131">
            <v>10.559282369610598</v>
          </cell>
          <cell r="P131">
            <v>10.561828988489347</v>
          </cell>
        </row>
        <row r="132">
          <cell r="A132" t="str">
            <v>BNGA</v>
          </cell>
          <cell r="B132" t="str">
            <v>VAR_fin</v>
          </cell>
          <cell r="C132" t="str">
            <v>D-ENGA</v>
          </cell>
          <cell r="E132">
            <v>0.21364272953536623</v>
          </cell>
          <cell r="F132">
            <v>3.8059408409726295E-4</v>
          </cell>
          <cell r="G132">
            <v>0.12105953230824015</v>
          </cell>
          <cell r="J132">
            <v>9.7835502041610677E-5</v>
          </cell>
          <cell r="K132">
            <v>1.4864391288087298E-4</v>
          </cell>
          <cell r="L132">
            <v>5.1321064838341833E-2</v>
          </cell>
          <cell r="M132">
            <v>2.1949360326962815</v>
          </cell>
          <cell r="N132">
            <v>4.3139929660975165</v>
          </cell>
          <cell r="O132">
            <v>4.3156318381100798</v>
          </cell>
          <cell r="P132">
            <v>4.3157360809705594</v>
          </cell>
        </row>
        <row r="133">
          <cell r="A133" t="str">
            <v>BNGA</v>
          </cell>
          <cell r="B133" t="str">
            <v>VAR_fin</v>
          </cell>
          <cell r="C133" t="str">
            <v>D-CNGA</v>
          </cell>
          <cell r="L133">
            <v>1.2008894353541298E-3</v>
          </cell>
          <cell r="M133">
            <v>1.6999221287041157E-3</v>
          </cell>
          <cell r="N133">
            <v>1.9571199940950916E-3</v>
          </cell>
          <cell r="O133">
            <v>1.7876656211065914E-3</v>
          </cell>
          <cell r="P133">
            <v>2.5435123028351913E-3</v>
          </cell>
        </row>
        <row r="134">
          <cell r="A134" t="str">
            <v>BNGA</v>
          </cell>
          <cell r="B134" t="str">
            <v>VAR_fin</v>
          </cell>
          <cell r="C134" t="str">
            <v>D-TNGA</v>
          </cell>
          <cell r="E134">
            <v>2.318685428109709E-2</v>
          </cell>
          <cell r="F134">
            <v>2.6544677386875985E-2</v>
          </cell>
          <cell r="G134">
            <v>2.2070634069795698E-3</v>
          </cell>
          <cell r="H134">
            <v>7.994285278025814E-4</v>
          </cell>
          <cell r="I134">
            <v>6.110496084533153E-4</v>
          </cell>
          <cell r="J134">
            <v>6.058451678949129E-3</v>
          </cell>
          <cell r="K134">
            <v>5.8758852260446769E-3</v>
          </cell>
          <cell r="L134">
            <v>8.1615407111998422E-3</v>
          </cell>
        </row>
        <row r="135">
          <cell r="A135" t="str">
            <v>BNGA</v>
          </cell>
          <cell r="B135" t="str">
            <v>VAR_fin</v>
          </cell>
          <cell r="C135" t="str">
            <v>D-SNGA</v>
          </cell>
          <cell r="E135">
            <v>0.30452329850901905</v>
          </cell>
          <cell r="F135">
            <v>3.029529383864983</v>
          </cell>
          <cell r="G135">
            <v>3.5035248526675195E-3</v>
          </cell>
          <cell r="H135">
            <v>1.3154841501427979E-3</v>
          </cell>
          <cell r="I135">
            <v>1.5195540258411036E-3</v>
          </cell>
          <cell r="J135">
            <v>9.2335130949904462E-2</v>
          </cell>
          <cell r="K135">
            <v>0.566534538479329</v>
          </cell>
          <cell r="L135">
            <v>1.2788075722517753</v>
          </cell>
          <cell r="M135">
            <v>1.2788392099082626</v>
          </cell>
          <cell r="N135">
            <v>1.2788445958600334</v>
          </cell>
          <cell r="O135">
            <v>1.2788440718999619</v>
          </cell>
          <cell r="P135">
            <v>1.2788567427796669</v>
          </cell>
        </row>
        <row r="136">
          <cell r="A136" t="str">
            <v>BNGA</v>
          </cell>
          <cell r="B136" t="str">
            <v>VAR_fin</v>
          </cell>
          <cell r="C136" t="str">
            <v>D-RNGA</v>
          </cell>
          <cell r="E136">
            <v>0.30928283384692734</v>
          </cell>
          <cell r="F136">
            <v>7.5670601300430263E-3</v>
          </cell>
          <cell r="G136">
            <v>7.5699250461672739E-3</v>
          </cell>
          <cell r="H136">
            <v>7.5738777844855292E-3</v>
          </cell>
          <cell r="I136">
            <v>7.5963658768529044E-3</v>
          </cell>
          <cell r="J136">
            <v>0.11338871630919954</v>
          </cell>
          <cell r="K136">
            <v>1.2098483376622262</v>
          </cell>
          <cell r="L136">
            <v>2.3588452517231113</v>
          </cell>
          <cell r="M136">
            <v>2.3588777613015961</v>
          </cell>
          <cell r="N136">
            <v>2.3588827923008626</v>
          </cell>
          <cell r="O136">
            <v>2.3588820051912398</v>
          </cell>
          <cell r="P136">
            <v>2.358896015097351</v>
          </cell>
        </row>
        <row r="137">
          <cell r="A137" t="str">
            <v>BNGA</v>
          </cell>
          <cell r="B137" t="str">
            <v>VAR_fin</v>
          </cell>
          <cell r="C137" t="str">
            <v>D-INGA</v>
          </cell>
          <cell r="E137">
            <v>0.32597574778755739</v>
          </cell>
          <cell r="F137">
            <v>3.89995714045916E-4</v>
          </cell>
          <cell r="G137">
            <v>2.4796668181367765</v>
          </cell>
          <cell r="H137">
            <v>2.6041450484817266</v>
          </cell>
          <cell r="I137">
            <v>2.6041478722223279</v>
          </cell>
          <cell r="J137">
            <v>2.6041484976495886</v>
          </cell>
          <cell r="K137">
            <v>2.6041481859946161</v>
          </cell>
          <cell r="L137">
            <v>2.6041475216069778</v>
          </cell>
          <cell r="M137">
            <v>2.6041580134914408</v>
          </cell>
          <cell r="N137">
            <v>2.6041650427994463</v>
          </cell>
          <cell r="O137">
            <v>2.604173333111063</v>
          </cell>
          <cell r="P137">
            <v>2.6062462333022434</v>
          </cell>
        </row>
        <row r="138">
          <cell r="A138" t="str">
            <v>LFO</v>
          </cell>
          <cell r="B138" t="str">
            <v>VAR_fin</v>
          </cell>
          <cell r="C138" t="str">
            <v>D-ILFO</v>
          </cell>
          <cell r="E138">
            <v>9.3669125869782857</v>
          </cell>
          <cell r="F138">
            <v>8.9494902794499804</v>
          </cell>
          <cell r="G138">
            <v>8.1758369433498839</v>
          </cell>
          <cell r="H138">
            <v>7.0397224651342993</v>
          </cell>
          <cell r="I138">
            <v>4.884466276288558</v>
          </cell>
          <cell r="J138">
            <v>2.7707973162267687</v>
          </cell>
          <cell r="K138">
            <v>1.3606694156971029</v>
          </cell>
          <cell r="L138">
            <v>1.554911257055092E-5</v>
          </cell>
          <cell r="M138">
            <v>7.1310165223531247E-5</v>
          </cell>
          <cell r="N138">
            <v>8.6604574623350326E-5</v>
          </cell>
          <cell r="O138">
            <v>8.122354826344394E-5</v>
          </cell>
          <cell r="P138">
            <v>9.0238413820378395E-5</v>
          </cell>
        </row>
        <row r="139">
          <cell r="A139" t="str">
            <v>LFO</v>
          </cell>
          <cell r="B139" t="str">
            <v>VAR_fin</v>
          </cell>
          <cell r="C139" t="str">
            <v>D-SLFO</v>
          </cell>
          <cell r="E139">
            <v>30.770572637628316</v>
          </cell>
          <cell r="F139">
            <v>26.012236035048272</v>
          </cell>
          <cell r="G139">
            <v>19.282856276702667</v>
          </cell>
          <cell r="H139">
            <v>16.063056274860561</v>
          </cell>
          <cell r="I139">
            <v>8.8777160504463097</v>
          </cell>
          <cell r="J139">
            <v>6.0648683494997</v>
          </cell>
          <cell r="K139">
            <v>3.2093706378180151</v>
          </cell>
          <cell r="L139">
            <v>1.558456820105671E-5</v>
          </cell>
          <cell r="M139">
            <v>6.188165120970507E-5</v>
          </cell>
          <cell r="N139">
            <v>8.4310911087776753E-5</v>
          </cell>
          <cell r="O139">
            <v>8.372101030011278E-5</v>
          </cell>
          <cell r="P139">
            <v>1.055468439054491E-4</v>
          </cell>
        </row>
        <row r="140">
          <cell r="A140" t="str">
            <v>LFO</v>
          </cell>
          <cell r="B140" t="str">
            <v>VAR_fin</v>
          </cell>
          <cell r="C140" t="str">
            <v>D-RLFO</v>
          </cell>
          <cell r="E140">
            <v>61.254947371002807</v>
          </cell>
          <cell r="F140">
            <v>52.191735976736929</v>
          </cell>
          <cell r="G140">
            <v>48.922179234657563</v>
          </cell>
          <cell r="H140">
            <v>40.389906729095244</v>
          </cell>
          <cell r="I140">
            <v>13.512929060376738</v>
          </cell>
          <cell r="J140">
            <v>3.6210198575320963E-2</v>
          </cell>
          <cell r="K140">
            <v>3.3207164402946666E-2</v>
          </cell>
          <cell r="L140">
            <v>1.6077860528954394E-5</v>
          </cell>
          <cell r="M140">
            <v>6.1956208649079013E-5</v>
          </cell>
          <cell r="N140">
            <v>8.3307722820770734E-5</v>
          </cell>
          <cell r="O140">
            <v>8.4863307901207816E-5</v>
          </cell>
          <cell r="P140">
            <v>1.0576759522536855E-4</v>
          </cell>
        </row>
        <row r="141">
          <cell r="A141" t="str">
            <v>MNR</v>
          </cell>
          <cell r="B141" t="str">
            <v>VAR_fin</v>
          </cell>
          <cell r="C141" t="str">
            <v>SUP_MNRBIO</v>
          </cell>
          <cell r="E141">
            <v>3.7981634609877606</v>
          </cell>
          <cell r="F141">
            <v>11.252286127554454</v>
          </cell>
          <cell r="G141">
            <v>12.540446220780618</v>
          </cell>
          <cell r="H141">
            <v>12.540493368836378</v>
          </cell>
          <cell r="I141">
            <v>12.540499869310899</v>
          </cell>
          <cell r="J141">
            <v>12.566494609810112</v>
          </cell>
          <cell r="K141">
            <v>14.662043630112279</v>
          </cell>
          <cell r="L141">
            <v>19.704721262425917</v>
          </cell>
          <cell r="M141">
            <v>19.704732848406955</v>
          </cell>
          <cell r="N141">
            <v>26.287343923222494</v>
          </cell>
          <cell r="O141">
            <v>26.287369045745859</v>
          </cell>
          <cell r="P141">
            <v>26.288441662101626</v>
          </cell>
        </row>
        <row r="142">
          <cell r="A142" t="str">
            <v>TNGA</v>
          </cell>
          <cell r="B142" t="str">
            <v>VAR_fout</v>
          </cell>
          <cell r="C142" t="str">
            <v>D-TNGA</v>
          </cell>
          <cell r="E142">
            <v>0.30309832024947059</v>
          </cell>
          <cell r="F142">
            <v>0.21877950155219639</v>
          </cell>
          <cell r="G142">
            <v>0.36124304354725961</v>
          </cell>
          <cell r="H142">
            <v>0.14183914158273572</v>
          </cell>
          <cell r="I142">
            <v>5.556396182100419E-2</v>
          </cell>
          <cell r="J142">
            <v>5.363402550127238E-2</v>
          </cell>
          <cell r="K142">
            <v>1.7653127143415954E-2</v>
          </cell>
          <cell r="L142">
            <v>9.0469455540242907E-3</v>
          </cell>
        </row>
        <row r="143">
          <cell r="A143" t="str">
            <v>WOD</v>
          </cell>
          <cell r="B143" t="str">
            <v>VAR_fin</v>
          </cell>
          <cell r="C143" t="str">
            <v>D-CWOD</v>
          </cell>
          <cell r="E143">
            <v>11.120988834464288</v>
          </cell>
          <cell r="F143">
            <v>11.841983974824068</v>
          </cell>
          <cell r="G143">
            <v>9.8767272732769804</v>
          </cell>
          <cell r="H143">
            <v>8.758036916953051</v>
          </cell>
          <cell r="I143">
            <v>9.0388117172786</v>
          </cell>
          <cell r="J143">
            <v>8.9892707209136855</v>
          </cell>
          <cell r="K143">
            <v>9.5349608460647897</v>
          </cell>
          <cell r="L143">
            <v>20.965623698036676</v>
          </cell>
          <cell r="M143">
            <v>30.065939832416198</v>
          </cell>
          <cell r="N143">
            <v>28.332175414074474</v>
          </cell>
          <cell r="O143">
            <v>35.649910932440768</v>
          </cell>
          <cell r="P143">
            <v>36.991800726073983</v>
          </cell>
        </row>
        <row r="144">
          <cell r="A144" t="str">
            <v>GSL</v>
          </cell>
          <cell r="B144" t="str">
            <v>VAR_fout</v>
          </cell>
          <cell r="C144" t="str">
            <v>SUP_H2GSL</v>
          </cell>
          <cell r="J144">
            <v>2.3051081391214114</v>
          </cell>
          <cell r="K144">
            <v>1.055066695176295</v>
          </cell>
          <cell r="L144">
            <v>0.22726462917757143</v>
          </cell>
          <cell r="M144">
            <v>0.20620074386757026</v>
          </cell>
          <cell r="N144">
            <v>0.19167175856620736</v>
          </cell>
          <cell r="O144">
            <v>0.23304080223125126</v>
          </cell>
          <cell r="P144">
            <v>0.1902509517212384</v>
          </cell>
        </row>
        <row r="145">
          <cell r="A145" t="str">
            <v>GSL</v>
          </cell>
          <cell r="B145" t="str">
            <v>VAR_fin</v>
          </cell>
          <cell r="C145" t="str">
            <v>D-TGSL</v>
          </cell>
          <cell r="E145">
            <v>79.381207263144987</v>
          </cell>
          <cell r="F145">
            <v>75.598378250430841</v>
          </cell>
          <cell r="G145">
            <v>68.537753088306715</v>
          </cell>
          <cell r="H145">
            <v>46.298537652950955</v>
          </cell>
          <cell r="I145">
            <v>21.730558405245123</v>
          </cell>
          <cell r="J145">
            <v>8.9263068624046031</v>
          </cell>
          <cell r="K145">
            <v>5.1579148285408509</v>
          </cell>
          <cell r="L145">
            <v>0.22726462917757143</v>
          </cell>
          <cell r="M145">
            <v>0.20606054538188004</v>
          </cell>
          <cell r="N145">
            <v>0.1917281446507835</v>
          </cell>
          <cell r="O145">
            <v>0.23300782938800807</v>
          </cell>
          <cell r="P145">
            <v>0.19004767577176326</v>
          </cell>
        </row>
        <row r="146">
          <cell r="A146" t="str">
            <v>IBIO</v>
          </cell>
          <cell r="B146" t="str">
            <v>VAR_fout</v>
          </cell>
          <cell r="C146" t="str">
            <v>D-IBIO</v>
          </cell>
          <cell r="E146">
            <v>0.436763689109471</v>
          </cell>
          <cell r="F146">
            <v>0.55210468653848932</v>
          </cell>
          <cell r="G146">
            <v>1.1410857474177907</v>
          </cell>
          <cell r="H146">
            <v>4.3234039391004639</v>
          </cell>
          <cell r="I146">
            <v>4.3234252298574729</v>
          </cell>
          <cell r="J146">
            <v>4.3234316183412229</v>
          </cell>
          <cell r="K146">
            <v>4.3234334131436638</v>
          </cell>
          <cell r="L146">
            <v>4.3234351208762805</v>
          </cell>
          <cell r="M146">
            <v>4.3234484288362891</v>
          </cell>
          <cell r="N146">
            <v>4.3234506915264861</v>
          </cell>
          <cell r="O146">
            <v>4.3234640529744084</v>
          </cell>
          <cell r="P146">
            <v>4.3236152736308444</v>
          </cell>
        </row>
        <row r="147">
          <cell r="A147" t="str">
            <v>SNGA</v>
          </cell>
          <cell r="B147" t="str">
            <v>VAR_fout</v>
          </cell>
          <cell r="C147" t="str">
            <v>D-SNGA</v>
          </cell>
          <cell r="E147">
            <v>27.256629419512684</v>
          </cell>
          <cell r="F147">
            <v>28.488809309911428</v>
          </cell>
          <cell r="G147">
            <v>24.341162036118231</v>
          </cell>
          <cell r="H147">
            <v>24.619007265769312</v>
          </cell>
          <cell r="I147">
            <v>24.648182069649042</v>
          </cell>
          <cell r="J147">
            <v>18.755355620922451</v>
          </cell>
          <cell r="K147">
            <v>6.3111011109928823</v>
          </cell>
          <cell r="L147">
            <v>4.4584731935437381</v>
          </cell>
          <cell r="M147">
            <v>4.762429086730477</v>
          </cell>
          <cell r="N147">
            <v>4.7176763121647189</v>
          </cell>
          <cell r="O147">
            <v>4.6669299967830886</v>
          </cell>
          <cell r="P147">
            <v>4.7354768998448753</v>
          </cell>
        </row>
        <row r="148">
          <cell r="A148" t="str">
            <v>AUX_H2STG_IN</v>
          </cell>
          <cell r="B148" t="str">
            <v>VAR_fin</v>
          </cell>
          <cell r="C148" t="str">
            <v>STG-H2</v>
          </cell>
          <cell r="H148">
            <v>3.2227911919857784E-5</v>
          </cell>
          <cell r="I148">
            <v>5.8890318615908836E-4</v>
          </cell>
          <cell r="J148">
            <v>3.9942538040499821E-4</v>
          </cell>
          <cell r="K148">
            <v>2.4898746998662085E-4</v>
          </cell>
          <cell r="L148">
            <v>2.1607327333178245E-4</v>
          </cell>
          <cell r="M148">
            <v>5.4479394125858097E-4</v>
          </cell>
          <cell r="N148">
            <v>4.9917353846920737E-4</v>
          </cell>
          <cell r="O148">
            <v>6.326047833458444E-4</v>
          </cell>
          <cell r="P148">
            <v>1.3819789670704088E-3</v>
          </cell>
        </row>
        <row r="149">
          <cell r="A149" t="str">
            <v>AUX_H2STG_IN</v>
          </cell>
          <cell r="B149" t="str">
            <v>VAR_fin</v>
          </cell>
          <cell r="C149" t="str">
            <v>STG-H2</v>
          </cell>
          <cell r="H149">
            <v>1.4113104045504449E-4</v>
          </cell>
          <cell r="I149">
            <v>0.74724010921602346</v>
          </cell>
          <cell r="J149">
            <v>0.82269525636701557</v>
          </cell>
          <cell r="K149">
            <v>1.3290998249028698</v>
          </cell>
          <cell r="L149">
            <v>5.3667346863156418</v>
          </cell>
          <cell r="M149">
            <v>4.6914937515907909</v>
          </cell>
          <cell r="N149">
            <v>5.7344865877866669</v>
          </cell>
          <cell r="O149">
            <v>5.3802819904089603</v>
          </cell>
          <cell r="P149">
            <v>8.8864806531898921</v>
          </cell>
        </row>
        <row r="150">
          <cell r="A150" t="str">
            <v>AUX_H2STG_IN</v>
          </cell>
          <cell r="B150" t="str">
            <v>VAR_fin</v>
          </cell>
          <cell r="C150" t="str">
            <v>STG-H2</v>
          </cell>
          <cell r="H150">
            <v>2.3365148117815174E-5</v>
          </cell>
          <cell r="I150">
            <v>9.3476768901022751E-5</v>
          </cell>
          <cell r="J150">
            <v>1.2857779621943427E-4</v>
          </cell>
          <cell r="K150">
            <v>1.0567877532609773E-4</v>
          </cell>
          <cell r="L150">
            <v>1.5870609101636786E-4</v>
          </cell>
          <cell r="M150">
            <v>1.9655087172135266E-4</v>
          </cell>
          <cell r="N150">
            <v>2.3628661887844821E-4</v>
          </cell>
          <cell r="O150">
            <v>2.5477131684239622E-4</v>
          </cell>
          <cell r="P150">
            <v>5.4744093860224026E-4</v>
          </cell>
        </row>
        <row r="151">
          <cell r="A151" t="str">
            <v>AUX_H2STG_IN</v>
          </cell>
          <cell r="B151" t="str">
            <v>VAR_fin</v>
          </cell>
          <cell r="C151" t="str">
            <v>STG-H2</v>
          </cell>
          <cell r="H151">
            <v>3.362864170754114E-5</v>
          </cell>
          <cell r="I151">
            <v>4.9699779474832693E-4</v>
          </cell>
          <cell r="J151">
            <v>3.0627911480096427E-4</v>
          </cell>
          <cell r="K151">
            <v>1.6087827283773538E-4</v>
          </cell>
          <cell r="L151">
            <v>2.4160112041365445E-4</v>
          </cell>
          <cell r="M151">
            <v>2.4196194730634693E-4</v>
          </cell>
          <cell r="N151">
            <v>3.09359263573676E-4</v>
          </cell>
          <cell r="O151">
            <v>3.7129783190463034E-4</v>
          </cell>
          <cell r="P151">
            <v>8.471753122243857E-4</v>
          </cell>
        </row>
        <row r="152">
          <cell r="A152" t="str">
            <v>AUX_H2STG_IN</v>
          </cell>
          <cell r="B152" t="str">
            <v>VAR_fin</v>
          </cell>
          <cell r="C152" t="str">
            <v>STG-H2</v>
          </cell>
          <cell r="H152">
            <v>5.1909338709830278E-5</v>
          </cell>
          <cell r="I152">
            <v>0.74606073146621465</v>
          </cell>
          <cell r="J152">
            <v>0.821860974075589</v>
          </cell>
          <cell r="K152">
            <v>1.3285842803847203</v>
          </cell>
          <cell r="L152">
            <v>5.3661183058308817</v>
          </cell>
          <cell r="M152">
            <v>4.6905104448304993</v>
          </cell>
          <cell r="N152">
            <v>5.733441768365747</v>
          </cell>
          <cell r="O152">
            <v>5.3790233164768733</v>
          </cell>
          <cell r="P152">
            <v>8.8837040579720092</v>
          </cell>
        </row>
        <row r="153">
          <cell r="A153" t="str">
            <v>H2</v>
          </cell>
          <cell r="B153" t="str">
            <v>VAR_fout</v>
          </cell>
          <cell r="C153" t="str">
            <v>SUP_NGAH2</v>
          </cell>
          <cell r="L153">
            <v>4.1825567249681271E-4</v>
          </cell>
          <cell r="M153">
            <v>4.2586460098857398E-4</v>
          </cell>
          <cell r="N153">
            <v>4.8167581629904251E-4</v>
          </cell>
          <cell r="O153">
            <v>4.7793371888560208E-4</v>
          </cell>
          <cell r="P153">
            <v>8.3581379936763982E-4</v>
          </cell>
        </row>
        <row r="154">
          <cell r="A154" t="str">
            <v>H2</v>
          </cell>
          <cell r="B154" t="str">
            <v>VAR_fout</v>
          </cell>
          <cell r="C154" t="str">
            <v>STG-H2</v>
          </cell>
          <cell r="H154">
            <v>3.2187314360119697E-5</v>
          </cell>
          <cell r="I154">
            <v>5.6585692194004655E-4</v>
          </cell>
          <cell r="J154">
            <v>3.9325034202732681E-4</v>
          </cell>
          <cell r="K154">
            <v>2.5441222412767359E-4</v>
          </cell>
          <cell r="L154">
            <v>1.0981378277237139</v>
          </cell>
          <cell r="M154">
            <v>5.4406969397182326E-4</v>
          </cell>
          <cell r="N154">
            <v>5.6926012579661415E-4</v>
          </cell>
          <cell r="O154">
            <v>6.5368906585116441E-4</v>
          </cell>
          <cell r="P154">
            <v>1.3905569582202005E-3</v>
          </cell>
        </row>
        <row r="155">
          <cell r="A155" t="str">
            <v>H2</v>
          </cell>
          <cell r="B155" t="str">
            <v>VAR_fout</v>
          </cell>
          <cell r="C155" t="str">
            <v>STG-H2</v>
          </cell>
          <cell r="H155">
            <v>1.3971982160047755E-4</v>
          </cell>
          <cell r="I155">
            <v>0.73976769798822362</v>
          </cell>
          <cell r="J155">
            <v>0.8144682667319576</v>
          </cell>
          <cell r="K155">
            <v>1.3158087753883585</v>
          </cell>
          <cell r="L155">
            <v>5.3130671770092448</v>
          </cell>
          <cell r="M155">
            <v>4.6445784766065445</v>
          </cell>
          <cell r="N155">
            <v>5.6771411794887729</v>
          </cell>
          <cell r="O155">
            <v>5.3264790345695392</v>
          </cell>
          <cell r="P155">
            <v>8.7976154554547144</v>
          </cell>
        </row>
        <row r="156">
          <cell r="A156" t="str">
            <v>H2</v>
          </cell>
          <cell r="B156" t="str">
            <v>VAR_fout</v>
          </cell>
          <cell r="C156" t="str">
            <v>STG-H2</v>
          </cell>
          <cell r="H156">
            <v>4.7015983428628045E-5</v>
          </cell>
          <cell r="I156">
            <v>0.7381503270084101</v>
          </cell>
          <cell r="J156">
            <v>0.81350054068476796</v>
          </cell>
          <cell r="K156">
            <v>1.3145113968131532</v>
          </cell>
          <cell r="L156">
            <v>2.606428193127321</v>
          </cell>
          <cell r="M156">
            <v>3.3655660476923175</v>
          </cell>
          <cell r="N156">
            <v>3.9623984500638394</v>
          </cell>
          <cell r="O156">
            <v>3.8608466846987302</v>
          </cell>
          <cell r="P156">
            <v>3.9228877533848898</v>
          </cell>
        </row>
        <row r="157">
          <cell r="A157" t="str">
            <v>H2</v>
          </cell>
          <cell r="B157" t="str">
            <v>VAR_fout</v>
          </cell>
          <cell r="C157" t="str">
            <v>STG-H2</v>
          </cell>
          <cell r="H157">
            <v>3.273806637669743E-5</v>
          </cell>
          <cell r="I157">
            <v>4.8643092935144583E-4</v>
          </cell>
          <cell r="J157">
            <v>3.1509572587629813E-4</v>
          </cell>
          <cell r="K157">
            <v>7.1635491585732324E-4</v>
          </cell>
          <cell r="L157">
            <v>1.6080948976037479</v>
          </cell>
          <cell r="M157">
            <v>1.2756102263929847</v>
          </cell>
          <cell r="N157">
            <v>1.7134868528356937</v>
          </cell>
          <cell r="O157">
            <v>1.4619871434942948</v>
          </cell>
          <cell r="P157">
            <v>1.3191694757456507</v>
          </cell>
        </row>
        <row r="158">
          <cell r="A158" t="str">
            <v>H2</v>
          </cell>
          <cell r="B158" t="str">
            <v>VAR_fout</v>
          </cell>
          <cell r="C158" t="str">
            <v>STG-H2</v>
          </cell>
          <cell r="H158">
            <v>2.7778457435032094E-5</v>
          </cell>
          <cell r="I158">
            <v>5.6508312852334244E-4</v>
          </cell>
          <cell r="J158">
            <v>2.593799792864821E-4</v>
          </cell>
          <cell r="K158">
            <v>3.2661143522088806E-4</v>
          </cell>
          <cell r="L158">
            <v>4.062585544641327E-4</v>
          </cell>
          <cell r="M158">
            <v>2.8581328272737705E-3</v>
          </cell>
          <cell r="N158">
            <v>6.8661646343797021E-4</v>
          </cell>
          <cell r="O158">
            <v>2.9915173106667497E-3</v>
          </cell>
          <cell r="P158">
            <v>3.5541676693659583</v>
          </cell>
        </row>
        <row r="159">
          <cell r="A159" t="str">
            <v>H2</v>
          </cell>
          <cell r="B159" t="str">
            <v>VAR_fout</v>
          </cell>
          <cell r="C159" t="str">
            <v>IMPH2</v>
          </cell>
          <cell r="J159">
            <v>0.80857557047202255</v>
          </cell>
          <cell r="K159">
            <v>1.5698389320461521</v>
          </cell>
          <cell r="L159">
            <v>2.3378154708861606E-5</v>
          </cell>
          <cell r="M159">
            <v>5.69692420270985E-5</v>
          </cell>
          <cell r="N159">
            <v>8.3549955596580024E-5</v>
          </cell>
          <cell r="O159">
            <v>8.0923795820748884E-5</v>
          </cell>
          <cell r="P159">
            <v>1.0424603246943406E-4</v>
          </cell>
        </row>
        <row r="160">
          <cell r="A160" t="str">
            <v>H2</v>
          </cell>
          <cell r="B160" t="str">
            <v>VAR_fout</v>
          </cell>
          <cell r="C160" t="str">
            <v>SUP_WODH2</v>
          </cell>
          <cell r="H160">
            <v>5.7709639093511097E-3</v>
          </cell>
          <cell r="I160">
            <v>0.37336069609086125</v>
          </cell>
          <cell r="J160">
            <v>0.16419265111552192</v>
          </cell>
          <cell r="K160">
            <v>0.45740185819809392</v>
          </cell>
          <cell r="L160">
            <v>1.0215497995129568E-3</v>
          </cell>
          <cell r="M160">
            <v>3.8376974711233999E-4</v>
          </cell>
          <cell r="N160">
            <v>9.0633891885336982E-4</v>
          </cell>
          <cell r="O160">
            <v>4.4972291499403242E-4</v>
          </cell>
          <cell r="P160">
            <v>1.3475843519088128E-3</v>
          </cell>
        </row>
        <row r="161">
          <cell r="A161" t="str">
            <v>H2</v>
          </cell>
          <cell r="B161" t="str">
            <v>VAR_fout</v>
          </cell>
          <cell r="C161" t="str">
            <v>SUP_ELCH2_SOEC</v>
          </cell>
          <cell r="J161">
            <v>4.1880157835967269E-2</v>
          </cell>
          <cell r="K161">
            <v>8.7533308359657905E-2</v>
          </cell>
          <cell r="L161">
            <v>3.7101488572047189E-2</v>
          </cell>
          <cell r="M161">
            <v>2.2326858078370433E-2</v>
          </cell>
          <cell r="N161">
            <v>2.4343617152599584E-2</v>
          </cell>
          <cell r="O161">
            <v>3.6250914128220013E-2</v>
          </cell>
          <cell r="P161">
            <v>4.9608491819823616E-2</v>
          </cell>
        </row>
        <row r="162">
          <cell r="A162" t="str">
            <v>H2</v>
          </cell>
          <cell r="B162" t="str">
            <v>VAR_fout</v>
          </cell>
          <cell r="C162" t="str">
            <v>SUP_WODH2CCS</v>
          </cell>
          <cell r="L162">
            <v>1.9809592146423058</v>
          </cell>
          <cell r="M162">
            <v>5.6223967095393315</v>
          </cell>
          <cell r="N162">
            <v>5.5892409954726787</v>
          </cell>
          <cell r="O162">
            <v>8.8604411338358808</v>
          </cell>
          <cell r="P162">
            <v>9.6336035843556989</v>
          </cell>
        </row>
        <row r="163">
          <cell r="A163" t="str">
            <v>H2</v>
          </cell>
          <cell r="B163" t="str">
            <v>VAR_fout</v>
          </cell>
          <cell r="C163" t="str">
            <v>SUP_NGAH2CCS</v>
          </cell>
          <cell r="L163">
            <v>4.4624291065608799E-4</v>
          </cell>
          <cell r="M163">
            <v>7.8257085432886808E-4</v>
          </cell>
          <cell r="N163">
            <v>9.0880154015160941E-4</v>
          </cell>
          <cell r="O163">
            <v>7.9564779002075999E-4</v>
          </cell>
          <cell r="P163">
            <v>9.9060376113600172E-4</v>
          </cell>
        </row>
        <row r="164">
          <cell r="A164" t="str">
            <v>H2</v>
          </cell>
          <cell r="B164" t="str">
            <v>VAR_fout</v>
          </cell>
          <cell r="C164" t="str">
            <v>SUP_ELCH2</v>
          </cell>
          <cell r="E164">
            <v>5.027796464448047E-3</v>
          </cell>
          <cell r="F164">
            <v>1.8326936596343157E-2</v>
          </cell>
          <cell r="G164">
            <v>1.8377271591429024E-2</v>
          </cell>
          <cell r="H164">
            <v>0.42838047310604715</v>
          </cell>
          <cell r="I164">
            <v>5.7759598835261539</v>
          </cell>
          <cell r="J164">
            <v>13.949709778042807</v>
          </cell>
          <cell r="K164">
            <v>14.101325573863717</v>
          </cell>
          <cell r="L164">
            <v>23.005397293546963</v>
          </cell>
          <cell r="M164">
            <v>23.024081104647319</v>
          </cell>
          <cell r="N164">
            <v>23.022402314328708</v>
          </cell>
          <cell r="O164">
            <v>23.010529258036897</v>
          </cell>
          <cell r="P164">
            <v>22.997657588593054</v>
          </cell>
        </row>
        <row r="165">
          <cell r="A165" t="str">
            <v>H2</v>
          </cell>
          <cell r="B165" t="str">
            <v>VAR_fout</v>
          </cell>
          <cell r="C165" t="str">
            <v>D-DH2</v>
          </cell>
          <cell r="H165">
            <v>6.9225856697878245E-6</v>
          </cell>
          <cell r="I165">
            <v>9.8654039906978636E-5</v>
          </cell>
          <cell r="J165">
            <v>2.5909531798758878</v>
          </cell>
          <cell r="K165">
            <v>3.4795729954695087</v>
          </cell>
          <cell r="L165">
            <v>3.5777515530430493</v>
          </cell>
          <cell r="M165">
            <v>3.5777538155927866</v>
          </cell>
          <cell r="N165">
            <v>3.5777559166230746</v>
          </cell>
          <cell r="O165">
            <v>3.5777578275145361</v>
          </cell>
          <cell r="P165">
            <v>3.5777693942707889</v>
          </cell>
        </row>
        <row r="166">
          <cell r="A166" t="str">
            <v>H2</v>
          </cell>
          <cell r="B166" t="str">
            <v>VAR_fin</v>
          </cell>
          <cell r="C166" t="str">
            <v>STG-H2</v>
          </cell>
          <cell r="H166">
            <v>3.2227911919857784E-5</v>
          </cell>
          <cell r="I166">
            <v>5.8890318615908836E-4</v>
          </cell>
          <cell r="J166">
            <v>3.9942538040499821E-4</v>
          </cell>
          <cell r="K166">
            <v>2.4898746998662085E-4</v>
          </cell>
          <cell r="L166">
            <v>2.1607327333178245E-4</v>
          </cell>
          <cell r="M166">
            <v>5.4479394125858097E-4</v>
          </cell>
          <cell r="N166">
            <v>4.9917353846920737E-4</v>
          </cell>
          <cell r="O166">
            <v>6.326047833458444E-4</v>
          </cell>
          <cell r="P166">
            <v>1.3819789670704088E-3</v>
          </cell>
        </row>
        <row r="167">
          <cell r="A167" t="str">
            <v>H2</v>
          </cell>
          <cell r="B167" t="str">
            <v>VAR_fin</v>
          </cell>
          <cell r="C167" t="str">
            <v>STG-H2</v>
          </cell>
          <cell r="H167">
            <v>1.4113104045504449E-4</v>
          </cell>
          <cell r="I167">
            <v>0.74724010921602346</v>
          </cell>
          <cell r="J167">
            <v>0.82269525636701557</v>
          </cell>
          <cell r="K167">
            <v>1.3290998249028698</v>
          </cell>
          <cell r="L167">
            <v>5.3667346863156418</v>
          </cell>
          <cell r="M167">
            <v>4.6914937515907909</v>
          </cell>
          <cell r="N167">
            <v>5.7344865877866669</v>
          </cell>
          <cell r="O167">
            <v>5.3802819904089603</v>
          </cell>
          <cell r="P167">
            <v>8.8864806531898921</v>
          </cell>
        </row>
        <row r="168">
          <cell r="A168" t="str">
            <v>H2</v>
          </cell>
          <cell r="B168" t="str">
            <v>VAR_fin</v>
          </cell>
          <cell r="C168" t="str">
            <v>STG-H2</v>
          </cell>
          <cell r="H168">
            <v>2.3365148117815174E-5</v>
          </cell>
          <cell r="I168">
            <v>9.3476768901022751E-5</v>
          </cell>
          <cell r="J168">
            <v>1.2857779621943427E-4</v>
          </cell>
          <cell r="K168">
            <v>1.0567877532609773E-4</v>
          </cell>
          <cell r="L168">
            <v>1.5870609101636786E-4</v>
          </cell>
          <cell r="M168">
            <v>1.9655087172135266E-4</v>
          </cell>
          <cell r="N168">
            <v>2.3628661887844821E-4</v>
          </cell>
          <cell r="O168">
            <v>2.5477131684239622E-4</v>
          </cell>
          <cell r="P168">
            <v>5.4744093860224026E-4</v>
          </cell>
        </row>
        <row r="169">
          <cell r="A169" t="str">
            <v>H2</v>
          </cell>
          <cell r="B169" t="str">
            <v>VAR_fin</v>
          </cell>
          <cell r="C169" t="str">
            <v>STG-H2</v>
          </cell>
          <cell r="H169">
            <v>3.362864170754114E-5</v>
          </cell>
          <cell r="I169">
            <v>4.9699779474832693E-4</v>
          </cell>
          <cell r="J169">
            <v>3.0627911480096427E-4</v>
          </cell>
          <cell r="K169">
            <v>1.6087827283773538E-4</v>
          </cell>
          <cell r="L169">
            <v>2.4160112041365445E-4</v>
          </cell>
          <cell r="M169">
            <v>2.4196194730634693E-4</v>
          </cell>
          <cell r="N169">
            <v>3.09359263573676E-4</v>
          </cell>
          <cell r="O169">
            <v>3.7129783190463034E-4</v>
          </cell>
          <cell r="P169">
            <v>8.471753122243857E-4</v>
          </cell>
        </row>
        <row r="170">
          <cell r="A170" t="str">
            <v>H2</v>
          </cell>
          <cell r="B170" t="str">
            <v>VAR_fin</v>
          </cell>
          <cell r="C170" t="str">
            <v>STG-H2</v>
          </cell>
          <cell r="H170">
            <v>5.1909338709830278E-5</v>
          </cell>
          <cell r="I170">
            <v>0.74606073146621465</v>
          </cell>
          <cell r="J170">
            <v>0.821860974075589</v>
          </cell>
          <cell r="K170">
            <v>1.3285842803847203</v>
          </cell>
          <cell r="L170">
            <v>5.3661183058308817</v>
          </cell>
          <cell r="M170">
            <v>4.6905104448304993</v>
          </cell>
          <cell r="N170">
            <v>5.733441768365747</v>
          </cell>
          <cell r="O170">
            <v>5.3790233164768733</v>
          </cell>
          <cell r="P170">
            <v>8.8837040579720092</v>
          </cell>
        </row>
        <row r="171">
          <cell r="A171" t="str">
            <v>H2</v>
          </cell>
          <cell r="B171" t="str">
            <v>VAR_fin</v>
          </cell>
          <cell r="C171" t="str">
            <v>SUP_H2NGA</v>
          </cell>
          <cell r="J171">
            <v>2.1913862319901396</v>
          </cell>
          <cell r="K171">
            <v>7.0955426413949692</v>
          </cell>
          <cell r="L171">
            <v>17.128354249369465</v>
          </cell>
          <cell r="M171">
            <v>15.11404317429753</v>
          </cell>
          <cell r="N171">
            <v>14.56659408946765</v>
          </cell>
          <cell r="O171">
            <v>14.963077432240514</v>
          </cell>
          <cell r="P171">
            <v>14.975714509998697</v>
          </cell>
        </row>
        <row r="172">
          <cell r="A172" t="str">
            <v>H2</v>
          </cell>
          <cell r="B172" t="str">
            <v>VAR_fin</v>
          </cell>
          <cell r="C172" t="str">
            <v>D-ENGA</v>
          </cell>
          <cell r="J172">
            <v>5.2018709383344203E-5</v>
          </cell>
          <cell r="K172">
            <v>5.3135456773157823E-5</v>
          </cell>
          <cell r="L172">
            <v>1.1215825258404223E-3</v>
          </cell>
          <cell r="M172">
            <v>6.0459772239856532E-2</v>
          </cell>
          <cell r="N172">
            <v>8.390654677053018E-2</v>
          </cell>
          <cell r="O172">
            <v>7.8172001180978487E-2</v>
          </cell>
          <cell r="P172">
            <v>7.0125412104488846E-2</v>
          </cell>
        </row>
        <row r="173">
          <cell r="A173" t="str">
            <v>H2</v>
          </cell>
          <cell r="B173" t="str">
            <v>VAR_fin</v>
          </cell>
          <cell r="C173" t="str">
            <v>D-TNGA</v>
          </cell>
          <cell r="F173">
            <v>2.5152181979299208E-3</v>
          </cell>
          <cell r="G173">
            <v>2.2686506421719468E-3</v>
          </cell>
          <cell r="H173">
            <v>8.5052684308515572E-4</v>
          </cell>
          <cell r="I173">
            <v>4.069037768223583E-4</v>
          </cell>
          <cell r="J173">
            <v>8.4853152207782924E-4</v>
          </cell>
          <cell r="K173">
            <v>2.9498336829425801E-4</v>
          </cell>
          <cell r="L173">
            <v>1.9264319261539625E-4</v>
          </cell>
        </row>
        <row r="174">
          <cell r="A174" t="str">
            <v>H2</v>
          </cell>
          <cell r="B174" t="str">
            <v>VAR_fin</v>
          </cell>
          <cell r="C174" t="str">
            <v>SUP_H2GSL</v>
          </cell>
          <cell r="J174">
            <v>3.2930116273163059</v>
          </cell>
          <cell r="K174">
            <v>1.5072381359661366</v>
          </cell>
          <cell r="L174">
            <v>0.32466375596795938</v>
          </cell>
          <cell r="M174">
            <v>0.29457249123938661</v>
          </cell>
          <cell r="N174">
            <v>0.27381679795172487</v>
          </cell>
          <cell r="O174">
            <v>0.33291543175893074</v>
          </cell>
          <cell r="P174">
            <v>0.27178707388748374</v>
          </cell>
        </row>
        <row r="175">
          <cell r="A175" t="str">
            <v>H2</v>
          </cell>
          <cell r="B175" t="str">
            <v>VAR_fin</v>
          </cell>
          <cell r="C175" t="str">
            <v>D-SNGA</v>
          </cell>
          <cell r="H175">
            <v>0.23097636594551157</v>
          </cell>
          <cell r="I175">
            <v>0.15205569859998208</v>
          </cell>
          <cell r="J175">
            <v>0.1987334454045053</v>
          </cell>
          <cell r="K175">
            <v>3.1435981115326118E-2</v>
          </cell>
          <cell r="L175">
            <v>3.326611298266742E-2</v>
          </cell>
          <cell r="M175">
            <v>0.14582311671563711</v>
          </cell>
          <cell r="N175">
            <v>0.10467903057828547</v>
          </cell>
          <cell r="O175">
            <v>0.1080709692824605</v>
          </cell>
          <cell r="P175">
            <v>0.13026948211350259</v>
          </cell>
        </row>
        <row r="176">
          <cell r="A176" t="str">
            <v>H2</v>
          </cell>
          <cell r="B176" t="str">
            <v>VAR_fin</v>
          </cell>
          <cell r="C176" t="str">
            <v>D-RNGA</v>
          </cell>
          <cell r="H176">
            <v>0.19284284614888647</v>
          </cell>
          <cell r="I176">
            <v>0.2874336299389042</v>
          </cell>
          <cell r="J176">
            <v>0.32791428286658553</v>
          </cell>
          <cell r="K176">
            <v>0.10543108564342725</v>
          </cell>
          <cell r="L176">
            <v>8.7944666870531596E-2</v>
          </cell>
          <cell r="M176">
            <v>0.2134270064059467</v>
          </cell>
          <cell r="N176">
            <v>0.2125890541508772</v>
          </cell>
          <cell r="O176">
            <v>0.1674654279032915</v>
          </cell>
          <cell r="P176">
            <v>0.22415935875262755</v>
          </cell>
        </row>
        <row r="177">
          <cell r="A177" t="str">
            <v>H2</v>
          </cell>
          <cell r="B177" t="str">
            <v>VAR_fin</v>
          </cell>
          <cell r="C177" t="str">
            <v>D-INGA</v>
          </cell>
          <cell r="I177">
            <v>0.29437715112044727</v>
          </cell>
          <cell r="J177">
            <v>0.2100534258504296</v>
          </cell>
          <cell r="K177">
            <v>0.14430686617924751</v>
          </cell>
          <cell r="L177">
            <v>8.8429840144450406E-2</v>
          </cell>
          <cell r="M177">
            <v>7.9927267651515185E-2</v>
          </cell>
          <cell r="N177">
            <v>7.7995195341659856E-2</v>
          </cell>
          <cell r="O177">
            <v>8.0318115659984035E-2</v>
          </cell>
          <cell r="P177">
            <v>4.4719907939274453E-2</v>
          </cell>
        </row>
        <row r="178">
          <cell r="A178" t="str">
            <v>H2</v>
          </cell>
          <cell r="B178" t="str">
            <v>VAR_fin</v>
          </cell>
          <cell r="C178" t="str">
            <v>SUP_H2DSL</v>
          </cell>
          <cell r="J178">
            <v>2.7655407299425354</v>
          </cell>
          <cell r="K178">
            <v>2.2473995301780478</v>
          </cell>
          <cell r="L178">
            <v>0.22538394337029621</v>
          </cell>
          <cell r="M178">
            <v>0.55638141438393618</v>
          </cell>
          <cell r="N178">
            <v>1.029260351112756E-2</v>
          </cell>
          <cell r="O178">
            <v>9.2836362324319105E-2</v>
          </cell>
          <cell r="P178">
            <v>8.2103416458111242E-2</v>
          </cell>
        </row>
        <row r="179">
          <cell r="A179" t="str">
            <v>AUX_H2STG_OUT</v>
          </cell>
          <cell r="B179" t="str">
            <v>VAR_fout</v>
          </cell>
          <cell r="C179" t="str">
            <v>STG-H2</v>
          </cell>
          <cell r="H179">
            <v>3.2187314360119697E-5</v>
          </cell>
          <cell r="I179">
            <v>5.6585692194004655E-4</v>
          </cell>
          <cell r="J179">
            <v>3.9325034202732681E-4</v>
          </cell>
          <cell r="K179">
            <v>2.5441222412767359E-4</v>
          </cell>
          <cell r="L179">
            <v>1.0981378277237139</v>
          </cell>
          <cell r="M179">
            <v>5.4406969397182326E-4</v>
          </cell>
          <cell r="N179">
            <v>5.6926012579661415E-4</v>
          </cell>
          <cell r="O179">
            <v>6.5368906585116441E-4</v>
          </cell>
          <cell r="P179">
            <v>1.3905569582202005E-3</v>
          </cell>
        </row>
        <row r="180">
          <cell r="A180" t="str">
            <v>AUX_H2STG_OUT</v>
          </cell>
          <cell r="B180" t="str">
            <v>VAR_fout</v>
          </cell>
          <cell r="C180" t="str">
            <v>STG-H2</v>
          </cell>
          <cell r="H180">
            <v>1.3971982160047771E-4</v>
          </cell>
          <cell r="I180">
            <v>0.73976769798822362</v>
          </cell>
          <cell r="J180">
            <v>0.8144682667319576</v>
          </cell>
          <cell r="K180">
            <v>1.3158087753883585</v>
          </cell>
          <cell r="L180">
            <v>5.3130671770092448</v>
          </cell>
          <cell r="M180">
            <v>4.6445784766065445</v>
          </cell>
          <cell r="N180">
            <v>5.6771411794887729</v>
          </cell>
          <cell r="O180">
            <v>5.3264790345695401</v>
          </cell>
          <cell r="P180">
            <v>8.7976154554547144</v>
          </cell>
        </row>
        <row r="181">
          <cell r="A181" t="str">
            <v>AUX_H2STG_OUT</v>
          </cell>
          <cell r="B181" t="str">
            <v>VAR_fout</v>
          </cell>
          <cell r="C181" t="str">
            <v>STG-H2</v>
          </cell>
          <cell r="H181">
            <v>4.7015983428628309E-5</v>
          </cell>
          <cell r="I181">
            <v>0.7381503270084101</v>
          </cell>
          <cell r="J181">
            <v>0.81350054068476796</v>
          </cell>
          <cell r="K181">
            <v>1.3145113968131532</v>
          </cell>
          <cell r="L181">
            <v>2.606428193127321</v>
          </cell>
          <cell r="M181">
            <v>3.3655660476923175</v>
          </cell>
          <cell r="N181">
            <v>3.9623984500638394</v>
          </cell>
          <cell r="O181">
            <v>3.860846684698731</v>
          </cell>
          <cell r="P181">
            <v>3.9228877533848898</v>
          </cell>
        </row>
        <row r="182">
          <cell r="A182" t="str">
            <v>AUX_H2STG_OUT</v>
          </cell>
          <cell r="B182" t="str">
            <v>VAR_fout</v>
          </cell>
          <cell r="C182" t="str">
            <v>STG-H2</v>
          </cell>
          <cell r="H182">
            <v>3.273806637669743E-5</v>
          </cell>
          <cell r="I182">
            <v>4.8643092935144583E-4</v>
          </cell>
          <cell r="J182">
            <v>3.1509572587629813E-4</v>
          </cell>
          <cell r="K182">
            <v>7.1635491585732324E-4</v>
          </cell>
          <cell r="L182">
            <v>1.6080948976037479</v>
          </cell>
          <cell r="M182">
            <v>1.2756102263929849</v>
          </cell>
          <cell r="N182">
            <v>1.7134868528356937</v>
          </cell>
          <cell r="O182">
            <v>1.4619871434942948</v>
          </cell>
          <cell r="P182">
            <v>1.3191694757456507</v>
          </cell>
        </row>
        <row r="183">
          <cell r="A183" t="str">
            <v>AUX_H2STG_OUT</v>
          </cell>
          <cell r="B183" t="str">
            <v>VAR_fout</v>
          </cell>
          <cell r="C183" t="str">
            <v>STG-H2</v>
          </cell>
          <cell r="H183">
            <v>2.7778457435032094E-5</v>
          </cell>
          <cell r="I183">
            <v>5.6508312852334244E-4</v>
          </cell>
          <cell r="J183">
            <v>2.593799792864821E-4</v>
          </cell>
          <cell r="K183">
            <v>3.2661143522088806E-4</v>
          </cell>
          <cell r="L183">
            <v>4.062585544641327E-4</v>
          </cell>
          <cell r="M183">
            <v>2.8581328272737705E-3</v>
          </cell>
          <cell r="N183">
            <v>6.8661646343797021E-4</v>
          </cell>
          <cell r="O183">
            <v>2.9915173106667497E-3</v>
          </cell>
          <cell r="P183">
            <v>3.5541676693659583</v>
          </cell>
        </row>
        <row r="184">
          <cell r="A184" t="str">
            <v>RNGA</v>
          </cell>
          <cell r="B184" t="str">
            <v>VAR_fout</v>
          </cell>
          <cell r="C184" t="str">
            <v>D-RNGA</v>
          </cell>
          <cell r="E184">
            <v>47.271626074647855</v>
          </cell>
          <cell r="F184">
            <v>48.283051295359691</v>
          </cell>
          <cell r="G184">
            <v>52.892542374654603</v>
          </cell>
          <cell r="H184">
            <v>52.850747650935141</v>
          </cell>
          <cell r="I184">
            <v>47.122888851820896</v>
          </cell>
          <cell r="J184">
            <v>30.213919133471997</v>
          </cell>
          <cell r="K184">
            <v>21.27183019270873</v>
          </cell>
          <cell r="L184">
            <v>12.032620527356265</v>
          </cell>
          <cell r="M184">
            <v>10.199813748964319</v>
          </cell>
          <cell r="N184">
            <v>10.025611069203272</v>
          </cell>
          <cell r="O184">
            <v>10.208022741535647</v>
          </cell>
          <cell r="P184">
            <v>9.7251756660639348</v>
          </cell>
        </row>
        <row r="185">
          <cell r="A185" t="str">
            <v>CWOD</v>
          </cell>
          <cell r="B185" t="str">
            <v>VAR_fout</v>
          </cell>
          <cell r="C185" t="str">
            <v>D-CWOD</v>
          </cell>
          <cell r="E185">
            <v>11.120988834464288</v>
          </cell>
          <cell r="F185">
            <v>11.841983974824068</v>
          </cell>
          <cell r="G185">
            <v>9.8767272732769804</v>
          </cell>
          <cell r="H185">
            <v>8.758036916953051</v>
          </cell>
          <cell r="I185">
            <v>9.0388117172786</v>
          </cell>
          <cell r="J185">
            <v>8.9892707209136855</v>
          </cell>
          <cell r="K185">
            <v>9.5349608460647897</v>
          </cell>
          <cell r="L185">
            <v>20.965623698036676</v>
          </cell>
          <cell r="M185">
            <v>30.065939832416198</v>
          </cell>
          <cell r="N185">
            <v>28.332175414074474</v>
          </cell>
          <cell r="O185">
            <v>35.649910932440768</v>
          </cell>
          <cell r="P185">
            <v>36.991800726073983</v>
          </cell>
        </row>
        <row r="186">
          <cell r="A186" t="str">
            <v>CWOD</v>
          </cell>
          <cell r="B186" t="str">
            <v>VAR_fin</v>
          </cell>
          <cell r="C186" t="str">
            <v>SUP_WODH2</v>
          </cell>
          <cell r="H186">
            <v>9.6182731822518526E-3</v>
          </cell>
          <cell r="I186">
            <v>0.62226782681810189</v>
          </cell>
          <cell r="J186">
            <v>0.27365441852586991</v>
          </cell>
          <cell r="K186">
            <v>0.76233643033015608</v>
          </cell>
          <cell r="L186">
            <v>1.7025829991882619E-3</v>
          </cell>
          <cell r="M186">
            <v>6.3961624518723247E-4</v>
          </cell>
          <cell r="N186">
            <v>1.5105648647556159E-3</v>
          </cell>
          <cell r="O186">
            <v>7.4953819165672131E-4</v>
          </cell>
          <cell r="P186">
            <v>2.2459739198480203E-3</v>
          </cell>
        </row>
        <row r="187">
          <cell r="A187" t="str">
            <v>CWOD</v>
          </cell>
          <cell r="B187" t="str">
            <v>VAR_fin</v>
          </cell>
          <cell r="C187" t="str">
            <v>SUP_WODBIO</v>
          </cell>
          <cell r="F187">
            <v>5.7616058064026833E-4</v>
          </cell>
          <cell r="G187">
            <v>2.9311921123547874E-5</v>
          </cell>
          <cell r="H187">
            <v>2.471254090167956E-3</v>
          </cell>
          <cell r="I187">
            <v>2.9466212940507937E-3</v>
          </cell>
          <cell r="J187">
            <v>1.7574580735075956E-3</v>
          </cell>
          <cell r="K187">
            <v>1.9121467421715427E-3</v>
          </cell>
          <cell r="L187">
            <v>1.6145723163366458E-3</v>
          </cell>
          <cell r="M187">
            <v>1.7417255831920497E-3</v>
          </cell>
          <cell r="N187">
            <v>1.8396624021690575E-3</v>
          </cell>
          <cell r="O187">
            <v>4.7896995073943797E-3</v>
          </cell>
          <cell r="P187">
            <v>1.1118968729895654E-2</v>
          </cell>
        </row>
        <row r="188">
          <cell r="A188" t="str">
            <v>CWOD</v>
          </cell>
          <cell r="B188" t="str">
            <v>VAR_fin</v>
          </cell>
          <cell r="C188" t="str">
            <v>SUP_WODH2CCS</v>
          </cell>
          <cell r="L188">
            <v>3.4154469217970815</v>
          </cell>
          <cell r="M188">
            <v>9.6937874302402243</v>
          </cell>
          <cell r="N188">
            <v>9.6366224059873815</v>
          </cell>
          <cell r="O188">
            <v>15.27662264454462</v>
          </cell>
          <cell r="P188">
            <v>16.60966135233739</v>
          </cell>
        </row>
        <row r="189">
          <cell r="A189" t="str">
            <v>CWOD</v>
          </cell>
          <cell r="B189" t="str">
            <v>VAR_fin</v>
          </cell>
          <cell r="C189" t="str">
            <v>SUP_WODBIOCCS</v>
          </cell>
          <cell r="J189">
            <v>1.8174137451396379E-3</v>
          </cell>
          <cell r="K189">
            <v>2.3738802070726378E-3</v>
          </cell>
          <cell r="L189">
            <v>5.8754417065731736E-3</v>
          </cell>
          <cell r="M189">
            <v>5.4205604138761153E-3</v>
          </cell>
          <cell r="N189">
            <v>1.6624644078551278E-2</v>
          </cell>
          <cell r="O189">
            <v>1.6027689221030844E-2</v>
          </cell>
          <cell r="P189">
            <v>2.1212499495501667E-2</v>
          </cell>
        </row>
        <row r="190">
          <cell r="A190" t="str">
            <v>CWOD</v>
          </cell>
          <cell r="B190" t="str">
            <v>VAR_fin</v>
          </cell>
          <cell r="C190" t="str">
            <v>CT_CWODBDS</v>
          </cell>
          <cell r="E190">
            <v>3.4287623110294527</v>
          </cell>
          <cell r="F190">
            <v>3.4268595090565181</v>
          </cell>
          <cell r="G190">
            <v>5.3475844498553755E-5</v>
          </cell>
          <cell r="H190">
            <v>1.1226608150778306E-2</v>
          </cell>
          <cell r="I190">
            <v>8.7231349490326064E-3</v>
          </cell>
          <cell r="J190">
            <v>6.2956320664754855E-3</v>
          </cell>
          <cell r="K190">
            <v>4.8058406066016426E-3</v>
          </cell>
          <cell r="L190">
            <v>1.9131350392798104E-3</v>
          </cell>
          <cell r="M190">
            <v>8.1686135951450887E-4</v>
          </cell>
          <cell r="N190">
            <v>3.526610776150975E-3</v>
          </cell>
          <cell r="O190">
            <v>1.0454106130443537E-3</v>
          </cell>
          <cell r="P190">
            <v>3.0252421031980565E-3</v>
          </cell>
        </row>
        <row r="191">
          <cell r="A191" t="str">
            <v>CWOD</v>
          </cell>
          <cell r="B191" t="str">
            <v>VAR_fin</v>
          </cell>
          <cell r="C191" t="str">
            <v>CT_CWODETHCCS</v>
          </cell>
          <cell r="J191">
            <v>6.9930552380321489E-4</v>
          </cell>
          <cell r="K191">
            <v>9.5147294966754033E-4</v>
          </cell>
          <cell r="L191">
            <v>1.4058745501191068E-3</v>
          </cell>
          <cell r="M191">
            <v>1.1178477501926252E-3</v>
          </cell>
          <cell r="N191">
            <v>3.8359145651585339E-3</v>
          </cell>
          <cell r="O191">
            <v>1.1436872033117741E-3</v>
          </cell>
          <cell r="P191">
            <v>3.7770907967089721E-3</v>
          </cell>
        </row>
        <row r="192">
          <cell r="A192" t="str">
            <v>CWOD</v>
          </cell>
          <cell r="B192" t="str">
            <v>VAR_fin</v>
          </cell>
          <cell r="C192" t="str">
            <v>CT_CWODPLT</v>
          </cell>
          <cell r="E192">
            <v>7.118824568156775</v>
          </cell>
          <cell r="F192">
            <v>8.297432215814446</v>
          </cell>
          <cell r="G192">
            <v>7.7091082714839541</v>
          </cell>
          <cell r="H192">
            <v>8.092498185468596</v>
          </cell>
          <cell r="I192">
            <v>8.4033666781425342</v>
          </cell>
          <cell r="J192">
            <v>8.7019076715913712</v>
          </cell>
          <cell r="K192">
            <v>8.7584379026654666</v>
          </cell>
          <cell r="L192">
            <v>8.8927141666302347</v>
          </cell>
          <cell r="M192">
            <v>8.9212218907417</v>
          </cell>
          <cell r="N192">
            <v>9.0308396802409643</v>
          </cell>
          <cell r="O192">
            <v>9.0317073636086569</v>
          </cell>
          <cell r="P192">
            <v>9.0338570442660906</v>
          </cell>
        </row>
        <row r="193">
          <cell r="A193" t="str">
            <v>CWOD</v>
          </cell>
          <cell r="B193" t="str">
            <v>VAR_fin</v>
          </cell>
          <cell r="C193" t="str">
            <v>CT_CWODETH</v>
          </cell>
          <cell r="E193">
            <v>0.57340195527806292</v>
          </cell>
          <cell r="F193">
            <v>0.11711608937247268</v>
          </cell>
          <cell r="G193">
            <v>2.1675362140274057</v>
          </cell>
          <cell r="H193">
            <v>0.64222259606125165</v>
          </cell>
          <cell r="I193">
            <v>1.5074560748811056E-3</v>
          </cell>
          <cell r="J193">
            <v>1.0863489071032276E-3</v>
          </cell>
          <cell r="K193">
            <v>9.5455594169413993E-4</v>
          </cell>
          <cell r="L193">
            <v>8.8512345017269136E-4</v>
          </cell>
          <cell r="M193">
            <v>8.2960868348830644E-4</v>
          </cell>
          <cell r="N193">
            <v>2.2363447715348923E-3</v>
          </cell>
          <cell r="O193">
            <v>8.6659040621911215E-4</v>
          </cell>
          <cell r="P193">
            <v>2.4439110782446126E-3</v>
          </cell>
        </row>
        <row r="194">
          <cell r="A194" t="str">
            <v>CWOD</v>
          </cell>
          <cell r="B194" t="str">
            <v>VAR_fin</v>
          </cell>
          <cell r="C194" t="str">
            <v>CT_CWODBDSCCS</v>
          </cell>
          <cell r="J194">
            <v>2.0524724804208178E-3</v>
          </cell>
          <cell r="K194">
            <v>3.1886166219676731E-3</v>
          </cell>
          <cell r="L194">
            <v>8.6440658795476892</v>
          </cell>
          <cell r="M194">
            <v>11.440364291398813</v>
          </cell>
          <cell r="N194">
            <v>9.6351395863878064</v>
          </cell>
          <cell r="O194">
            <v>11.317377136585863</v>
          </cell>
          <cell r="P194">
            <v>11.305243437410942</v>
          </cell>
        </row>
        <row r="195">
          <cell r="A195" t="str">
            <v>KER</v>
          </cell>
          <cell r="B195" t="str">
            <v>VAR_fout</v>
          </cell>
          <cell r="C195" t="str">
            <v>SUP_H2DSL</v>
          </cell>
          <cell r="J195">
            <v>0.4684383542917448</v>
          </cell>
          <cell r="K195">
            <v>0.37360829922946281</v>
          </cell>
          <cell r="L195">
            <v>1.1934083356758452E-6</v>
          </cell>
          <cell r="M195">
            <v>4.7160587215693456E-4</v>
          </cell>
          <cell r="N195">
            <v>4.1103254729710621E-4</v>
          </cell>
          <cell r="O195">
            <v>4.1112187122113855E-4</v>
          </cell>
          <cell r="P195">
            <v>7.1020210678876484E-4</v>
          </cell>
        </row>
        <row r="196">
          <cell r="A196" t="str">
            <v>BDS</v>
          </cell>
          <cell r="B196" t="str">
            <v>VAR_fout</v>
          </cell>
          <cell r="C196" t="str">
            <v>IMPBDS</v>
          </cell>
          <cell r="E196">
            <v>1.81234129756637</v>
          </cell>
          <cell r="F196">
            <v>1.8129150148864632</v>
          </cell>
          <cell r="G196">
            <v>3.2032183899994968</v>
          </cell>
          <cell r="H196">
            <v>3.244088113293877</v>
          </cell>
          <cell r="I196">
            <v>3.2566448248378803</v>
          </cell>
          <cell r="J196">
            <v>3.2491914367016306</v>
          </cell>
          <cell r="K196">
            <v>3.2518987483604351</v>
          </cell>
          <cell r="L196">
            <v>2.7893651790102738</v>
          </cell>
          <cell r="M196">
            <v>1.3219331539883177</v>
          </cell>
          <cell r="N196">
            <v>2.0406819784450421</v>
          </cell>
          <cell r="O196">
            <v>1.1816898666525368</v>
          </cell>
          <cell r="P196">
            <v>1.0352658898435116</v>
          </cell>
        </row>
        <row r="197">
          <cell r="A197" t="str">
            <v>BDS</v>
          </cell>
          <cell r="B197" t="str">
            <v>VAR_fout</v>
          </cell>
          <cell r="C197" t="str">
            <v>CT_CWODBDS</v>
          </cell>
          <cell r="E197">
            <v>1.2032855978345156</v>
          </cell>
          <cell r="F197">
            <v>1.2026178308673523</v>
          </cell>
          <cell r="G197">
            <v>1.8766746621706886E-5</v>
          </cell>
          <cell r="H197">
            <v>3.9398519567567349E-3</v>
          </cell>
          <cell r="I197">
            <v>3.0612861726733139E-3</v>
          </cell>
          <cell r="J197">
            <v>2.2093813182928555E-3</v>
          </cell>
          <cell r="K197">
            <v>1.6865557489389885E-3</v>
          </cell>
          <cell r="L197">
            <v>6.713932406667173E-4</v>
          </cell>
          <cell r="M197">
            <v>2.8666831356887504E-4</v>
          </cell>
          <cell r="N197">
            <v>1.2376244169682311E-3</v>
          </cell>
          <cell r="O197">
            <v>3.6687510547266366E-4</v>
          </cell>
          <cell r="P197">
            <v>1.0616747159845783E-3</v>
          </cell>
        </row>
        <row r="198">
          <cell r="A198" t="str">
            <v>BDS</v>
          </cell>
          <cell r="B198" t="str">
            <v>VAR_fout</v>
          </cell>
          <cell r="C198" t="str">
            <v>CT_CWODBDSCCS</v>
          </cell>
          <cell r="J198">
            <v>7.2029214964759367E-4</v>
          </cell>
          <cell r="K198">
            <v>1.1190091672109758E-3</v>
          </cell>
          <cell r="L198">
            <v>3.0335377713801326</v>
          </cell>
          <cell r="M198">
            <v>4.0148672719420331</v>
          </cell>
          <cell r="N198">
            <v>3.3813439503027931</v>
          </cell>
          <cell r="O198">
            <v>3.9717063121901646</v>
          </cell>
          <cell r="P198">
            <v>3.9674481268331099</v>
          </cell>
        </row>
        <row r="199">
          <cell r="A199" t="str">
            <v>BDS</v>
          </cell>
          <cell r="B199" t="str">
            <v>VAR_fin</v>
          </cell>
          <cell r="C199" t="str">
            <v>D-ILFO</v>
          </cell>
          <cell r="G199">
            <v>1.2283408439757694E-5</v>
          </cell>
          <cell r="H199">
            <v>0.23047618546490381</v>
          </cell>
          <cell r="I199">
            <v>0.23051093456365007</v>
          </cell>
          <cell r="J199">
            <v>0.23052186442714218</v>
          </cell>
          <cell r="K199">
            <v>0.23053119399446634</v>
          </cell>
          <cell r="L199">
            <v>0.23057838883868337</v>
          </cell>
          <cell r="M199">
            <v>0.24081846923572608</v>
          </cell>
          <cell r="N199">
            <v>0.24493735444772466</v>
          </cell>
          <cell r="O199">
            <v>0.2449965575706804</v>
          </cell>
          <cell r="P199">
            <v>0.25594516821857299</v>
          </cell>
        </row>
        <row r="200">
          <cell r="A200" t="str">
            <v>BDS</v>
          </cell>
          <cell r="B200" t="str">
            <v>VAR_fin</v>
          </cell>
          <cell r="C200" t="str">
            <v>D-SLFO</v>
          </cell>
          <cell r="G200">
            <v>7.503948678514055E-6</v>
          </cell>
          <cell r="H200">
            <v>4.103465119364821E-4</v>
          </cell>
          <cell r="I200">
            <v>2.1171086340652989E-3</v>
          </cell>
          <cell r="J200">
            <v>1.2281358062012837E-3</v>
          </cell>
          <cell r="K200">
            <v>1.5863369025985344E-3</v>
          </cell>
          <cell r="L200">
            <v>0.86957417096163292</v>
          </cell>
          <cell r="M200">
            <v>0.85615631816823901</v>
          </cell>
          <cell r="N200">
            <v>0.86242381878287389</v>
          </cell>
          <cell r="O200">
            <v>0.86273818498879129</v>
          </cell>
          <cell r="P200">
            <v>0.86327016561600545</v>
          </cell>
        </row>
        <row r="201">
          <cell r="A201" t="str">
            <v>BDS</v>
          </cell>
          <cell r="B201" t="str">
            <v>VAR_fin</v>
          </cell>
          <cell r="C201" t="str">
            <v>D-RLFO</v>
          </cell>
          <cell r="G201">
            <v>7.5377958832545576E-6</v>
          </cell>
          <cell r="H201">
            <v>4.1140520065399304E-4</v>
          </cell>
          <cell r="I201">
            <v>2.1134797785696152E-3</v>
          </cell>
          <cell r="J201">
            <v>9.4265594430220558E-4</v>
          </cell>
          <cell r="K201">
            <v>1.3954205427634887E-3</v>
          </cell>
          <cell r="L201">
            <v>3.3892345545401006E-2</v>
          </cell>
          <cell r="M201">
            <v>1.2682838485848976E-2</v>
          </cell>
          <cell r="N201">
            <v>1.3010371623973446E-2</v>
          </cell>
          <cell r="O201">
            <v>1.3458411205412359E-2</v>
          </cell>
          <cell r="P201">
            <v>1.2358477460330079E-2</v>
          </cell>
        </row>
        <row r="202">
          <cell r="A202" t="str">
            <v>BDS</v>
          </cell>
          <cell r="B202" t="str">
            <v>VAR_fin</v>
          </cell>
          <cell r="C202" t="str">
            <v>D-TBDS1</v>
          </cell>
          <cell r="E202">
            <v>3.0156268954008842</v>
          </cell>
          <cell r="F202">
            <v>3.0155328457538122</v>
          </cell>
          <cell r="G202">
            <v>3.2033040263668644</v>
          </cell>
          <cell r="H202">
            <v>3.0167953769466456</v>
          </cell>
          <cell r="I202">
            <v>3.0250587828081783</v>
          </cell>
          <cell r="J202">
            <v>3.0191258900650206</v>
          </cell>
          <cell r="K202">
            <v>3.0204412092475827</v>
          </cell>
          <cell r="L202">
            <v>4.6893896117291982</v>
          </cell>
          <cell r="M202">
            <v>4.2274377968793102</v>
          </cell>
          <cell r="N202">
            <v>4.3029176170629855</v>
          </cell>
          <cell r="O202">
            <v>4.0324923302184192</v>
          </cell>
          <cell r="P202">
            <v>3.8722271430904143</v>
          </cell>
        </row>
        <row r="203">
          <cell r="A203" t="str">
            <v>BIO</v>
          </cell>
          <cell r="B203" t="str">
            <v>VAR_fout</v>
          </cell>
          <cell r="C203" t="str">
            <v>SUP_WSTHTGBIO</v>
          </cell>
          <cell r="J203">
            <v>3.7625554180217E-3</v>
          </cell>
          <cell r="K203">
            <v>4.269076715789682E-3</v>
          </cell>
          <cell r="L203">
            <v>0.11114333362971185</v>
          </cell>
          <cell r="M203">
            <v>0.10762049080253139</v>
          </cell>
          <cell r="N203">
            <v>0.10707618886549074</v>
          </cell>
          <cell r="O203">
            <v>2.2527884202746259E-2</v>
          </cell>
          <cell r="P203">
            <v>1.5664144844012493E-2</v>
          </cell>
        </row>
        <row r="204">
          <cell r="A204" t="str">
            <v>BIO</v>
          </cell>
          <cell r="B204" t="str">
            <v>VAR_fout</v>
          </cell>
          <cell r="C204" t="str">
            <v>SUP_WSTBIO</v>
          </cell>
          <cell r="E204">
            <v>5.6294395544357654</v>
          </cell>
          <cell r="F204">
            <v>5.7456069341576494</v>
          </cell>
          <cell r="G204">
            <v>5.3055058673367395</v>
          </cell>
          <cell r="H204">
            <v>5.8048612552519234</v>
          </cell>
          <cell r="I204">
            <v>5.7927149288200299</v>
          </cell>
          <cell r="J204">
            <v>8.4097254224936151</v>
          </cell>
          <cell r="K204">
            <v>9.2158181165773918</v>
          </cell>
          <cell r="L204">
            <v>9.8456568979438988</v>
          </cell>
          <cell r="M204">
            <v>10.596227212238386</v>
          </cell>
          <cell r="N204">
            <v>11.318633765290757</v>
          </cell>
          <cell r="O204">
            <v>11.408493760692787</v>
          </cell>
          <cell r="P204">
            <v>11.416243883190836</v>
          </cell>
        </row>
        <row r="205">
          <cell r="A205" t="str">
            <v>BIO</v>
          </cell>
          <cell r="B205" t="str">
            <v>VAR_fout</v>
          </cell>
          <cell r="C205" t="str">
            <v>D-LBIO</v>
          </cell>
          <cell r="H205">
            <v>2.1133492514083652</v>
          </cell>
          <cell r="I205">
            <v>1.5507907945752775</v>
          </cell>
          <cell r="J205">
            <v>3.025990675591866E-3</v>
          </cell>
          <cell r="K205">
            <v>2.333036070992776E-3</v>
          </cell>
          <cell r="L205">
            <v>1.8782526901403975E-5</v>
          </cell>
          <cell r="M205">
            <v>8.7051924928455539E-5</v>
          </cell>
          <cell r="N205">
            <v>1.2477686567755733E-4</v>
          </cell>
          <cell r="O205">
            <v>1.2059399137360704E-4</v>
          </cell>
          <cell r="P205">
            <v>1.471290004915553E-4</v>
          </cell>
        </row>
        <row r="206">
          <cell r="A206" t="str">
            <v>BIO</v>
          </cell>
          <cell r="B206" t="str">
            <v>VAR_fout</v>
          </cell>
          <cell r="C206" t="str">
            <v>SUP_MNRBIO</v>
          </cell>
          <cell r="E206">
            <v>1.3280291821635535</v>
          </cell>
          <cell r="F206">
            <v>3.9343657788652004</v>
          </cell>
          <cell r="G206">
            <v>4.3847714058673537</v>
          </cell>
          <cell r="H206">
            <v>4.3847878912015386</v>
          </cell>
          <cell r="I206">
            <v>4.3847901640947251</v>
          </cell>
          <cell r="J206">
            <v>4.3938792341993409</v>
          </cell>
          <cell r="K206">
            <v>5.1265886818574415</v>
          </cell>
          <cell r="L206">
            <v>6.889762679169908</v>
          </cell>
          <cell r="M206">
            <v>6.8897667302122336</v>
          </cell>
          <cell r="N206">
            <v>9.1913789941337498</v>
          </cell>
          <cell r="O206">
            <v>9.1913877782328299</v>
          </cell>
          <cell r="P206">
            <v>9.1917628189166631</v>
          </cell>
        </row>
        <row r="207">
          <cell r="A207" t="str">
            <v>BIO</v>
          </cell>
          <cell r="B207" t="str">
            <v>VAR_fout</v>
          </cell>
          <cell r="C207" t="str">
            <v>SUP_WSTHTGBIOCCS</v>
          </cell>
          <cell r="J207">
            <v>9.8377274288613927E-4</v>
          </cell>
          <cell r="K207">
            <v>6.3579812410439855E-4</v>
          </cell>
          <cell r="L207">
            <v>7.5933561457722284E-3</v>
          </cell>
          <cell r="M207">
            <v>4.3316576212820259E-3</v>
          </cell>
          <cell r="N207">
            <v>8.6069981513241384E-3</v>
          </cell>
          <cell r="O207">
            <v>6.5510354975688847E-3</v>
          </cell>
          <cell r="P207">
            <v>5.708398947655402E-3</v>
          </cell>
        </row>
        <row r="208">
          <cell r="A208" t="str">
            <v>BIO</v>
          </cell>
          <cell r="B208" t="str">
            <v>VAR_fout</v>
          </cell>
          <cell r="C208" t="str">
            <v>SUP_WODBIO</v>
          </cell>
          <cell r="F208">
            <v>4.2678561528908661E-4</v>
          </cell>
          <cell r="G208">
            <v>2.171253416559103E-5</v>
          </cell>
          <cell r="H208">
            <v>1.8305585853095963E-3</v>
          </cell>
          <cell r="I208">
            <v>2.1826824400376244E-3</v>
          </cell>
          <cell r="J208">
            <v>1.3018207951908123E-3</v>
          </cell>
          <cell r="K208">
            <v>1.4164049942011426E-3</v>
          </cell>
          <cell r="L208">
            <v>1.1959794935826995E-3</v>
          </cell>
          <cell r="M208">
            <v>1.2901670986607773E-3</v>
          </cell>
          <cell r="N208">
            <v>1.362712890495597E-3</v>
          </cell>
          <cell r="O208">
            <v>3.5479255610328751E-3</v>
          </cell>
          <cell r="P208">
            <v>8.2362731332560318E-3</v>
          </cell>
        </row>
        <row r="209">
          <cell r="A209" t="str">
            <v>BIO</v>
          </cell>
          <cell r="B209" t="str">
            <v>VAR_fout</v>
          </cell>
          <cell r="C209" t="str">
            <v>SUP_WODBIOCCS</v>
          </cell>
          <cell r="J209">
            <v>1.2138161017933215E-3</v>
          </cell>
          <cell r="K209">
            <v>1.5854694764905286E-3</v>
          </cell>
          <cell r="L209">
            <v>3.9240958574562846E-3</v>
          </cell>
          <cell r="M209">
            <v>3.6202892867417866E-3</v>
          </cell>
          <cell r="N209">
            <v>1.1103283841169638E-2</v>
          </cell>
          <cell r="O209">
            <v>1.070383655920386E-2</v>
          </cell>
          <cell r="P209">
            <v>1.4167425285398811E-2</v>
          </cell>
        </row>
        <row r="210">
          <cell r="A210" t="str">
            <v>BIO</v>
          </cell>
          <cell r="B210" t="str">
            <v>VAR_fin</v>
          </cell>
          <cell r="C210" t="str">
            <v>D-IBIO</v>
          </cell>
          <cell r="E210">
            <v>0.436763689109471</v>
          </cell>
          <cell r="F210">
            <v>0.55210468653848932</v>
          </cell>
          <cell r="G210">
            <v>1.1410857474177907</v>
          </cell>
          <cell r="H210">
            <v>4.3234039391004639</v>
          </cell>
          <cell r="I210">
            <v>4.3234252298574729</v>
          </cell>
          <cell r="J210">
            <v>4.3234316183412229</v>
          </cell>
          <cell r="K210">
            <v>4.3234334131436638</v>
          </cell>
          <cell r="L210">
            <v>4.3234351208762805</v>
          </cell>
          <cell r="M210">
            <v>4.3234484288362891</v>
          </cell>
          <cell r="N210">
            <v>4.3234506915264861</v>
          </cell>
          <cell r="O210">
            <v>4.3234640529744084</v>
          </cell>
          <cell r="P210">
            <v>4.3236152736308444</v>
          </cell>
        </row>
        <row r="211">
          <cell r="A211" t="str">
            <v>BIO</v>
          </cell>
          <cell r="B211" t="str">
            <v>VAR_fin</v>
          </cell>
          <cell r="C211" t="str">
            <v>D-EBIO</v>
          </cell>
          <cell r="E211">
            <v>1.1839863991542838</v>
          </cell>
          <cell r="F211">
            <v>1.183988001088214</v>
          </cell>
          <cell r="G211">
            <v>1.1839900402719357</v>
          </cell>
          <cell r="H211">
            <v>1.1839928636471257</v>
          </cell>
          <cell r="I211">
            <v>1.1839987834892971</v>
          </cell>
          <cell r="J211">
            <v>1.1840039940839351</v>
          </cell>
          <cell r="K211">
            <v>1.1840082507879339</v>
          </cell>
          <cell r="L211">
            <v>1.1840155606532068</v>
          </cell>
          <cell r="M211">
            <v>1.1840247969044022</v>
          </cell>
          <cell r="N211">
            <v>1.1840291455915997</v>
          </cell>
          <cell r="O211">
            <v>1.1840545035596064</v>
          </cell>
          <cell r="P211">
            <v>1.3314144161976222</v>
          </cell>
        </row>
        <row r="212">
          <cell r="A212" t="str">
            <v>BIO</v>
          </cell>
          <cell r="B212" t="str">
            <v>VAR_fin</v>
          </cell>
          <cell r="C212" t="str">
            <v>D-CBIO</v>
          </cell>
          <cell r="E212">
            <v>1.2891003817930504</v>
          </cell>
          <cell r="F212">
            <v>3.3575813024140575</v>
          </cell>
          <cell r="G212">
            <v>2.8640683712474906</v>
          </cell>
          <cell r="H212">
            <v>2.8640526962450399</v>
          </cell>
          <cell r="I212">
            <v>2.8641874459207992</v>
          </cell>
          <cell r="J212">
            <v>3.0855694310906006</v>
          </cell>
          <cell r="K212">
            <v>4.8065719458145626</v>
          </cell>
          <cell r="L212">
            <v>6.9056433912384021</v>
          </cell>
          <cell r="M212">
            <v>9.2454859746935796</v>
          </cell>
          <cell r="N212">
            <v>11.56806678058711</v>
          </cell>
          <cell r="O212">
            <v>11.569907435467659</v>
          </cell>
          <cell r="P212">
            <v>11.572697790310841</v>
          </cell>
        </row>
        <row r="213">
          <cell r="A213" t="str">
            <v>BIO</v>
          </cell>
          <cell r="B213" t="str">
            <v>VAR_fin</v>
          </cell>
          <cell r="C213" t="str">
            <v>D-SBIO</v>
          </cell>
          <cell r="E213">
            <v>4.0477954772422784</v>
          </cell>
          <cell r="F213">
            <v>4.5868582615942541</v>
          </cell>
          <cell r="G213">
            <v>4.499211398842748</v>
          </cell>
          <cell r="H213">
            <v>4.4477130670830523</v>
          </cell>
          <cell r="I213">
            <v>4.6319879401937767</v>
          </cell>
          <cell r="J213">
            <v>6.5810936664337891</v>
          </cell>
          <cell r="K213">
            <v>6.5810982642922848</v>
          </cell>
          <cell r="L213">
            <v>6.5811022951826281</v>
          </cell>
          <cell r="M213">
            <v>6.5811505377229764</v>
          </cell>
          <cell r="N213">
            <v>6.5812091136849178</v>
          </cell>
          <cell r="O213">
            <v>7.5922473308497018</v>
          </cell>
          <cell r="P213">
            <v>7.5941272185460909</v>
          </cell>
        </row>
        <row r="214">
          <cell r="A214" t="str">
            <v>TKERintl_SAF</v>
          </cell>
          <cell r="B214" t="str">
            <v>VAR_fout</v>
          </cell>
          <cell r="C214" t="str">
            <v>D-TBDS1intl</v>
          </cell>
          <cell r="H214">
            <v>5.30310232486001</v>
          </cell>
          <cell r="I214">
            <v>18.522416488522602</v>
          </cell>
          <cell r="J214">
            <v>38.626683567700397</v>
          </cell>
          <cell r="K214">
            <v>68.679636225493098</v>
          </cell>
          <cell r="L214">
            <v>93.872681483388405</v>
          </cell>
          <cell r="M214">
            <v>93.872696976181999</v>
          </cell>
          <cell r="N214">
            <v>94.928440074660301</v>
          </cell>
          <cell r="O214">
            <v>96.636569791011595</v>
          </cell>
          <cell r="P214">
            <v>98.328349620665406</v>
          </cell>
        </row>
        <row r="215">
          <cell r="A215" t="str">
            <v>EBIO</v>
          </cell>
          <cell r="B215" t="str">
            <v>VAR_fout</v>
          </cell>
          <cell r="C215" t="str">
            <v>D-EBIO</v>
          </cell>
          <cell r="E215">
            <v>1.1839863991542838</v>
          </cell>
          <cell r="F215">
            <v>1.183988001088214</v>
          </cell>
          <cell r="G215">
            <v>1.1839900402719357</v>
          </cell>
          <cell r="H215">
            <v>1.1839928636471257</v>
          </cell>
          <cell r="I215">
            <v>1.1839987834892971</v>
          </cell>
          <cell r="J215">
            <v>1.1840039940839351</v>
          </cell>
          <cell r="K215">
            <v>1.1840082507879339</v>
          </cell>
          <cell r="L215">
            <v>1.1840155606532068</v>
          </cell>
          <cell r="M215">
            <v>1.1840247969044022</v>
          </cell>
          <cell r="N215">
            <v>1.1840291455915997</v>
          </cell>
          <cell r="O215">
            <v>1.1840545035596064</v>
          </cell>
          <cell r="P215">
            <v>1.3314144161976222</v>
          </cell>
        </row>
        <row r="216">
          <cell r="A216" t="str">
            <v>PLT</v>
          </cell>
          <cell r="B216" t="str">
            <v>VAR_fout</v>
          </cell>
          <cell r="C216" t="str">
            <v>CT_CWODPLT</v>
          </cell>
          <cell r="E216">
            <v>5.9798126372516922</v>
          </cell>
          <cell r="F216">
            <v>6.9698430612841298</v>
          </cell>
          <cell r="G216">
            <v>6.4756509480465203</v>
          </cell>
          <cell r="H216">
            <v>6.7976984757936245</v>
          </cell>
          <cell r="I216">
            <v>7.058828009639722</v>
          </cell>
          <cell r="J216">
            <v>7.3096024441367451</v>
          </cell>
          <cell r="K216">
            <v>7.3570878382389928</v>
          </cell>
          <cell r="L216">
            <v>7.4698798999693938</v>
          </cell>
          <cell r="M216">
            <v>7.4938263882230256</v>
          </cell>
          <cell r="N216">
            <v>7.5859053314024028</v>
          </cell>
          <cell r="O216">
            <v>7.5866341854312651</v>
          </cell>
          <cell r="P216">
            <v>7.5884399171835168</v>
          </cell>
        </row>
        <row r="217">
          <cell r="A217" t="str">
            <v>SLFO</v>
          </cell>
          <cell r="B217" t="str">
            <v>VAR_fout</v>
          </cell>
          <cell r="C217" t="str">
            <v>D-SLFO</v>
          </cell>
          <cell r="E217">
            <v>30.256668214695765</v>
          </cell>
          <cell r="F217">
            <v>25.577801378722434</v>
          </cell>
          <cell r="G217">
            <v>18.960812120930751</v>
          </cell>
          <cell r="H217">
            <v>15.795182603870595</v>
          </cell>
          <cell r="I217">
            <v>8.731524149540336</v>
          </cell>
          <cell r="J217">
            <v>5.9647793550804815</v>
          </cell>
          <cell r="K217">
            <v>3.1573232631014565</v>
          </cell>
          <cell r="L217">
            <v>0.85505935585326975</v>
          </cell>
          <cell r="M217">
            <v>0.84191286857331538</v>
          </cell>
          <cell r="N217">
            <v>0.8480977492886691</v>
          </cell>
          <cell r="O217">
            <v>0.84840575331989188</v>
          </cell>
          <cell r="P217">
            <v>0.84894854713631629</v>
          </cell>
        </row>
        <row r="218">
          <cell r="A218" t="str">
            <v>ETH</v>
          </cell>
          <cell r="B218" t="str">
            <v>VAR_fout</v>
          </cell>
          <cell r="C218" t="str">
            <v>IMPETH</v>
          </cell>
          <cell r="E218">
            <v>4.3228145692161712</v>
          </cell>
          <cell r="F218">
            <v>4.3220485482158262</v>
          </cell>
          <cell r="G218">
            <v>2.9319548243913456</v>
          </cell>
          <cell r="H218">
            <v>2.3746034615415135</v>
          </cell>
          <cell r="I218">
            <v>1.6031714337366112</v>
          </cell>
          <cell r="J218">
            <v>0.52040876213825393</v>
          </cell>
          <cell r="K218">
            <v>0.30855244062082282</v>
          </cell>
          <cell r="L218">
            <v>1.1550483951828885</v>
          </cell>
          <cell r="M218">
            <v>1.0776504066597381</v>
          </cell>
          <cell r="N218">
            <v>1.0727466273604227</v>
          </cell>
          <cell r="O218">
            <v>0.92181857646606047</v>
          </cell>
          <cell r="P218">
            <v>0.92076701748468481</v>
          </cell>
        </row>
        <row r="219">
          <cell r="A219" t="str">
            <v>ETH</v>
          </cell>
          <cell r="B219" t="str">
            <v>VAR_fout</v>
          </cell>
          <cell r="C219" t="str">
            <v>CT_CWODETHCCS</v>
          </cell>
          <cell r="J219">
            <v>3.3459594440345244E-4</v>
          </cell>
          <cell r="K219">
            <v>4.5525021515193374E-4</v>
          </cell>
          <cell r="L219">
            <v>6.7266724886081623E-4</v>
          </cell>
          <cell r="M219">
            <v>5.3485538286728506E-4</v>
          </cell>
          <cell r="N219">
            <v>1.8353658206500178E-3</v>
          </cell>
          <cell r="O219">
            <v>5.4721875756544238E-4</v>
          </cell>
          <cell r="P219">
            <v>1.8072204768942452E-3</v>
          </cell>
        </row>
        <row r="220">
          <cell r="A220" t="str">
            <v>ETH</v>
          </cell>
          <cell r="B220" t="str">
            <v>VAR_fout</v>
          </cell>
          <cell r="C220" t="str">
            <v>CT_CWODETH</v>
          </cell>
          <cell r="E220">
            <v>0.27435500252538908</v>
          </cell>
          <cell r="F220">
            <v>5.6036406398312276E-2</v>
          </cell>
          <cell r="G220">
            <v>1.037098666998759</v>
          </cell>
          <cell r="H220">
            <v>0.30728353878528752</v>
          </cell>
          <cell r="I220">
            <v>7.2127084922540938E-4</v>
          </cell>
          <cell r="J220">
            <v>5.1978416607809932E-4</v>
          </cell>
          <cell r="K220">
            <v>4.5672533095413389E-4</v>
          </cell>
          <cell r="L220">
            <v>4.2350404314482815E-4</v>
          </cell>
          <cell r="M220">
            <v>3.9694195382215634E-4</v>
          </cell>
          <cell r="N220">
            <v>1.0700214217870304E-3</v>
          </cell>
          <cell r="O220">
            <v>4.1463655799957506E-4</v>
          </cell>
          <cell r="P220">
            <v>1.1693354441361771E-3</v>
          </cell>
        </row>
        <row r="221">
          <cell r="A221" t="str">
            <v>ETH</v>
          </cell>
          <cell r="B221" t="str">
            <v>VAR_fin</v>
          </cell>
          <cell r="C221" t="str">
            <v>D-TGSL</v>
          </cell>
          <cell r="E221">
            <v>4.597169571741559</v>
          </cell>
          <cell r="F221">
            <v>4.3780849546141383</v>
          </cell>
          <cell r="G221">
            <v>3.969053491390103</v>
          </cell>
          <cell r="H221">
            <v>2.6818870003268009</v>
          </cell>
          <cell r="I221">
            <v>1.6038927045858371</v>
          </cell>
          <cell r="J221">
            <v>0.52126314224873493</v>
          </cell>
          <cell r="K221">
            <v>0.30946441616692938</v>
          </cell>
          <cell r="L221">
            <v>1.1561445664748948</v>
          </cell>
          <cell r="M221">
            <v>1.0785822039964272</v>
          </cell>
          <cell r="N221">
            <v>1.075652014602861</v>
          </cell>
          <cell r="O221">
            <v>0.92278043178162583</v>
          </cell>
          <cell r="P221">
            <v>0.92374357340571667</v>
          </cell>
        </row>
        <row r="222">
          <cell r="A222" t="str">
            <v>TGSL</v>
          </cell>
          <cell r="B222" t="str">
            <v>VAR_fout</v>
          </cell>
          <cell r="C222" t="str">
            <v>D-TGSL</v>
          </cell>
          <cell r="E222">
            <v>82.744221041786346</v>
          </cell>
          <cell r="F222">
            <v>78.801120725864138</v>
          </cell>
          <cell r="G222">
            <v>71.441238956577664</v>
          </cell>
          <cell r="H222">
            <v>48.260547611983817</v>
          </cell>
          <cell r="I222">
            <v>22.991525572508337</v>
          </cell>
          <cell r="J222">
            <v>9.3087275264227802</v>
          </cell>
          <cell r="K222">
            <v>5.3870300667299826</v>
          </cell>
          <cell r="L222">
            <v>1.3630784692289781</v>
          </cell>
          <cell r="M222">
            <v>1.2657635049930567</v>
          </cell>
          <cell r="N222">
            <v>1.2487546077007727</v>
          </cell>
          <cell r="O222">
            <v>1.1388026758380037</v>
          </cell>
          <cell r="P222">
            <v>1.0974228563324244</v>
          </cell>
        </row>
        <row r="223">
          <cell r="A223" t="str">
            <v>RLFO</v>
          </cell>
          <cell r="B223" t="str">
            <v>VAR_fout</v>
          </cell>
          <cell r="C223" t="str">
            <v>D-RLFO</v>
          </cell>
          <cell r="E223">
            <v>60.23191836367242</v>
          </cell>
          <cell r="F223">
            <v>51.320073161915737</v>
          </cell>
          <cell r="G223">
            <v>48.105129396863511</v>
          </cell>
          <cell r="H223">
            <v>39.715752899324052</v>
          </cell>
          <cell r="I223">
            <v>13.289325723744</v>
          </cell>
          <cell r="J223">
            <v>3.6532465566278177E-2</v>
          </cell>
          <cell r="K223">
            <v>3.4024796129862936E-2</v>
          </cell>
          <cell r="L223">
            <v>3.3342199752871941E-2</v>
          </cell>
          <cell r="M223">
            <v>1.2532082050402002E-2</v>
          </cell>
          <cell r="N223">
            <v>1.2875139922416238E-2</v>
          </cell>
          <cell r="O223">
            <v>1.3317204128635242E-2</v>
          </cell>
          <cell r="P223">
            <v>1.2256117146872461E-2</v>
          </cell>
        </row>
        <row r="224">
          <cell r="A224" t="str">
            <v>CELC_E</v>
          </cell>
          <cell r="B224" t="str">
            <v>VAR_fout</v>
          </cell>
          <cell r="C224" t="str">
            <v>ESOL-PV_E</v>
          </cell>
          <cell r="H224">
            <v>9.7877361831656737E-6</v>
          </cell>
          <cell r="I224">
            <v>1.3242597390110899E-4</v>
          </cell>
          <cell r="J224">
            <v>3.3769347407962034</v>
          </cell>
          <cell r="K224">
            <v>4.4071726613717228</v>
          </cell>
          <cell r="L224">
            <v>4.4071834849015188</v>
          </cell>
          <cell r="M224">
            <v>4.4071862719792891</v>
          </cell>
          <cell r="N224">
            <v>4.4071888600924813</v>
          </cell>
          <cell r="O224">
            <v>4.4071912139868639</v>
          </cell>
          <cell r="P224">
            <v>4.4072054622700056</v>
          </cell>
        </row>
        <row r="225">
          <cell r="A225" t="str">
            <v>CELC_E</v>
          </cell>
          <cell r="B225" t="str">
            <v>VAR_fin</v>
          </cell>
          <cell r="C225" t="str">
            <v>SUP_ELCH2_D</v>
          </cell>
          <cell r="H225">
            <v>9.5787818870732333E-6</v>
          </cell>
          <cell r="I225">
            <v>1.3242597390110899E-4</v>
          </cell>
          <cell r="J225">
            <v>3.3769347407962034</v>
          </cell>
          <cell r="K225">
            <v>4.4071726613717228</v>
          </cell>
          <cell r="L225">
            <v>4.4071834849015188</v>
          </cell>
          <cell r="M225">
            <v>4.4071862719792891</v>
          </cell>
          <cell r="N225">
            <v>4.4071888600924813</v>
          </cell>
          <cell r="O225">
            <v>4.4071912139868639</v>
          </cell>
          <cell r="P225">
            <v>4.4072054622700056</v>
          </cell>
        </row>
        <row r="226">
          <cell r="A226" t="str">
            <v>CBIO</v>
          </cell>
          <cell r="B226" t="str">
            <v>VAR_fout</v>
          </cell>
          <cell r="C226" t="str">
            <v>D-CBIO</v>
          </cell>
          <cell r="E226">
            <v>1.2891003817930504</v>
          </cell>
          <cell r="F226">
            <v>3.3575813024140575</v>
          </cell>
          <cell r="G226">
            <v>2.8640683712474906</v>
          </cell>
          <cell r="H226">
            <v>2.8640526962450399</v>
          </cell>
          <cell r="I226">
            <v>2.8641874459207992</v>
          </cell>
          <cell r="J226">
            <v>3.0855694310906006</v>
          </cell>
          <cell r="K226">
            <v>4.8065719458145626</v>
          </cell>
          <cell r="L226">
            <v>6.9056433912384021</v>
          </cell>
          <cell r="M226">
            <v>9.2454859746935796</v>
          </cell>
          <cell r="N226">
            <v>11.56806678058711</v>
          </cell>
          <cell r="O226">
            <v>11.569907435467659</v>
          </cell>
          <cell r="P226">
            <v>11.572697790310841</v>
          </cell>
        </row>
        <row r="227">
          <cell r="A227" t="str">
            <v>CBIO</v>
          </cell>
          <cell r="B227" t="str">
            <v>VAR_fin</v>
          </cell>
          <cell r="C227" t="str">
            <v>SUP_BIONGA</v>
          </cell>
          <cell r="E227">
            <v>1.2891003817930504</v>
          </cell>
          <cell r="F227">
            <v>3.3575813024140575</v>
          </cell>
          <cell r="G227">
            <v>2.8640683712474906</v>
          </cell>
          <cell r="H227">
            <v>2.8640526962450399</v>
          </cell>
          <cell r="I227">
            <v>2.8641874459207992</v>
          </cell>
          <cell r="J227">
            <v>3.0855694310906006</v>
          </cell>
          <cell r="K227">
            <v>4.8065719458145626</v>
          </cell>
          <cell r="L227">
            <v>6.9056433912384021</v>
          </cell>
          <cell r="M227">
            <v>9.2454859746935796</v>
          </cell>
          <cell r="N227">
            <v>11.56806678058711</v>
          </cell>
          <cell r="O227">
            <v>11.569907435467659</v>
          </cell>
          <cell r="P227">
            <v>11.572697790310841</v>
          </cell>
        </row>
        <row r="228">
          <cell r="A228" t="str">
            <v>RSH2</v>
          </cell>
          <cell r="B228" t="str">
            <v>VAR_fout</v>
          </cell>
          <cell r="C228" t="str">
            <v>D-SNGA</v>
          </cell>
          <cell r="H228">
            <v>0.23097636594551171</v>
          </cell>
          <cell r="I228">
            <v>0.15205569859998214</v>
          </cell>
          <cell r="J228">
            <v>0.19873318230473316</v>
          </cell>
          <cell r="K228">
            <v>3.1435981115326118E-2</v>
          </cell>
          <cell r="L228">
            <v>3.3264446505522925E-2</v>
          </cell>
          <cell r="M228">
            <v>0.14582335642361063</v>
          </cell>
          <cell r="N228">
            <v>0.10467903057828519</v>
          </cell>
          <cell r="O228">
            <v>0.10807111855162306</v>
          </cell>
          <cell r="P228">
            <v>0.13026451713794382</v>
          </cell>
        </row>
        <row r="229">
          <cell r="A229" t="str">
            <v>RSH2</v>
          </cell>
          <cell r="B229" t="str">
            <v>VAR_fout</v>
          </cell>
          <cell r="C229" t="str">
            <v>D-RNGA</v>
          </cell>
          <cell r="H229">
            <v>0.19284284614888622</v>
          </cell>
          <cell r="I229">
            <v>0.28743362993890403</v>
          </cell>
          <cell r="J229">
            <v>0.32791530508754263</v>
          </cell>
          <cell r="K229">
            <v>0.10543108564342747</v>
          </cell>
          <cell r="L229">
            <v>8.7943792068392701E-2</v>
          </cell>
          <cell r="M229">
            <v>0.21342704568079185</v>
          </cell>
          <cell r="N229">
            <v>0.21258905415087664</v>
          </cell>
          <cell r="O229">
            <v>0.16746467806580795</v>
          </cell>
          <cell r="P229">
            <v>0.22415659573128924</v>
          </cell>
        </row>
        <row r="230">
          <cell r="A230" t="str">
            <v>LTH</v>
          </cell>
          <cell r="B230" t="str">
            <v>VAR_fout</v>
          </cell>
          <cell r="C230" t="str">
            <v>SUP_WODBIO</v>
          </cell>
          <cell r="F230">
            <v>5.1214273834690466E-5</v>
          </cell>
          <cell r="H230">
            <v>2.1966703023715156E-4</v>
          </cell>
          <cell r="I230">
            <v>2.6192189280451519E-4</v>
          </cell>
          <cell r="J230">
            <v>1.5621849542289733E-4</v>
          </cell>
          <cell r="K230">
            <v>1.6996859930413729E-4</v>
          </cell>
          <cell r="L230">
            <v>1.4351753922992405E-4</v>
          </cell>
          <cell r="M230">
            <v>1.5482005183929326E-4</v>
          </cell>
          <cell r="N230">
            <v>1.6352554685947194E-4</v>
          </cell>
          <cell r="O230">
            <v>4.2575106732394458E-4</v>
          </cell>
          <cell r="P230">
            <v>9.8835277599072335E-4</v>
          </cell>
        </row>
        <row r="231">
          <cell r="A231" t="str">
            <v>LTH</v>
          </cell>
          <cell r="B231" t="str">
            <v>VAR_fout</v>
          </cell>
          <cell r="C231" t="str">
            <v>SUP_WODBIOCCS</v>
          </cell>
          <cell r="J231">
            <v>1.5314350820783891E-4</v>
          </cell>
          <cell r="K231">
            <v>1.9356702698286517E-4</v>
          </cell>
          <cell r="L231">
            <v>4.7089150289475354E-4</v>
          </cell>
          <cell r="M231">
            <v>4.344347144090144E-4</v>
          </cell>
          <cell r="N231">
            <v>1.3332569543994136E-3</v>
          </cell>
          <cell r="O231">
            <v>1.2844603871044634E-3</v>
          </cell>
          <cell r="P231">
            <v>1.7000910342478606E-3</v>
          </cell>
        </row>
        <row r="232">
          <cell r="A232" t="str">
            <v>LTH</v>
          </cell>
          <cell r="B232" t="str">
            <v>VAR_fout</v>
          </cell>
          <cell r="C232" t="str">
            <v>CT_CWODBDS</v>
          </cell>
          <cell r="E232">
            <v>0.4692813831554607</v>
          </cell>
          <cell r="F232">
            <v>0.46902095403826621</v>
          </cell>
          <cell r="G232">
            <v>7.3190311824656728E-6</v>
          </cell>
          <cell r="H232">
            <v>1.5365422631351232E-3</v>
          </cell>
          <cell r="I232">
            <v>1.1939016073425916E-3</v>
          </cell>
          <cell r="J232">
            <v>8.6165871413421179E-4</v>
          </cell>
          <cell r="K232">
            <v>6.5775674208620478E-4</v>
          </cell>
          <cell r="L232">
            <v>2.6184336386001958E-4</v>
          </cell>
          <cell r="M232">
            <v>1.1180064229186109E-4</v>
          </cell>
          <cell r="N232">
            <v>4.8267352261760943E-4</v>
          </cell>
          <cell r="O232">
            <v>1.430812911343386E-4</v>
          </cell>
          <cell r="P232">
            <v>4.1405313923398464E-4</v>
          </cell>
        </row>
        <row r="233">
          <cell r="A233" t="str">
            <v>LTH</v>
          </cell>
          <cell r="B233" t="str">
            <v>VAR_fout</v>
          </cell>
          <cell r="C233" t="str">
            <v>CT_CWODBDSCCS</v>
          </cell>
          <cell r="J233">
            <v>2.8091393836256109E-4</v>
          </cell>
          <cell r="K233">
            <v>4.3641357521227958E-4</v>
          </cell>
          <cell r="L233">
            <v>1.1830797308382512</v>
          </cell>
          <cell r="M233">
            <v>1.5657982360573917</v>
          </cell>
          <cell r="N233">
            <v>1.3187241406180874</v>
          </cell>
          <cell r="O233">
            <v>1.5489654617541628</v>
          </cell>
          <cell r="P233">
            <v>1.5473047694649096</v>
          </cell>
        </row>
        <row r="234">
          <cell r="A234" t="str">
            <v>LTH</v>
          </cell>
          <cell r="B234" t="str">
            <v>VAR_fin</v>
          </cell>
          <cell r="C234" t="str">
            <v>D-CHEAT</v>
          </cell>
          <cell r="J234">
            <v>6.3459311443385001E-4</v>
          </cell>
          <cell r="K234">
            <v>3.1021979075595671E-3</v>
          </cell>
          <cell r="L234">
            <v>3.7995718492870763E-2</v>
          </cell>
          <cell r="M234">
            <v>1.3372253766868671</v>
          </cell>
          <cell r="N234">
            <v>10.002209019825049</v>
          </cell>
          <cell r="O234">
            <v>11.093242614242175</v>
          </cell>
          <cell r="P234">
            <v>15.33259981998785</v>
          </cell>
        </row>
        <row r="235">
          <cell r="A235" t="str">
            <v>LNGA</v>
          </cell>
          <cell r="B235" t="str">
            <v>VAR_fin</v>
          </cell>
          <cell r="C235" t="str">
            <v>D-LNGA</v>
          </cell>
          <cell r="H235">
            <v>4.0428952711644463E-3</v>
          </cell>
          <cell r="I235">
            <v>7.1419791280556196E-3</v>
          </cell>
          <cell r="J235">
            <v>7.9670428299747076E-3</v>
          </cell>
          <cell r="K235">
            <v>7.4527640596762741E-3</v>
          </cell>
          <cell r="L235">
            <v>2.0671920988131552E-5</v>
          </cell>
          <cell r="M235">
            <v>8.0500778299064796E-5</v>
          </cell>
          <cell r="N235">
            <v>1.1181197571221296E-4</v>
          </cell>
          <cell r="O235">
            <v>1.1196650810757302E-4</v>
          </cell>
          <cell r="P235">
            <v>1.4395802666326623E-4</v>
          </cell>
        </row>
        <row r="236">
          <cell r="A236" t="str">
            <v>IH2</v>
          </cell>
          <cell r="B236" t="str">
            <v>VAR_fout</v>
          </cell>
          <cell r="C236" t="str">
            <v>D-INGA</v>
          </cell>
          <cell r="I236">
            <v>0.2943771511204451</v>
          </cell>
          <cell r="J236">
            <v>0.21006107984713024</v>
          </cell>
          <cell r="K236">
            <v>0.1443080770260575</v>
          </cell>
          <cell r="L236">
            <v>8.8426331649545553E-2</v>
          </cell>
          <cell r="M236">
            <v>7.9927267651517003E-2</v>
          </cell>
          <cell r="N236">
            <v>7.8002238567886864E-2</v>
          </cell>
          <cell r="O236">
            <v>8.0322369814917444E-2</v>
          </cell>
          <cell r="P236">
            <v>4.4719349318647898E-2</v>
          </cell>
        </row>
        <row r="237">
          <cell r="A237" t="str">
            <v>WHEAT</v>
          </cell>
          <cell r="B237" t="str">
            <v>VAR_fin</v>
          </cell>
          <cell r="C237" t="str">
            <v>D-CHEAT</v>
          </cell>
          <cell r="J237">
            <v>5.7916837633059243E-3</v>
          </cell>
          <cell r="K237">
            <v>8.5027492154649865E-3</v>
          </cell>
          <cell r="L237">
            <v>0.10519526850352526</v>
          </cell>
          <cell r="M237">
            <v>6.3459851668309183E-2</v>
          </cell>
          <cell r="N237">
            <v>6.6865344196256046E-2</v>
          </cell>
          <cell r="O237">
            <v>5.9819533102779994E-2</v>
          </cell>
          <cell r="P237">
            <v>5.777326475571716E-2</v>
          </cell>
        </row>
        <row r="238">
          <cell r="A238" t="str">
            <v>SOL</v>
          </cell>
          <cell r="B238" t="str">
            <v>VAR_fin</v>
          </cell>
          <cell r="C238" t="str">
            <v>ESOL-PV_A</v>
          </cell>
          <cell r="H238">
            <v>0.34128034969337179</v>
          </cell>
          <cell r="I238">
            <v>1.2719948686195113</v>
          </cell>
          <cell r="J238">
            <v>10.761586081621257</v>
          </cell>
          <cell r="K238">
            <v>14.399989357262127</v>
          </cell>
          <cell r="L238">
            <v>17.999989264038774</v>
          </cell>
          <cell r="M238">
            <v>17.658709764962321</v>
          </cell>
          <cell r="N238">
            <v>16.727996940883934</v>
          </cell>
          <cell r="O238">
            <v>6.7734892886193512</v>
          </cell>
          <cell r="P238">
            <v>4.2683526343465505</v>
          </cell>
        </row>
        <row r="239">
          <cell r="A239" t="str">
            <v>SOL</v>
          </cell>
          <cell r="B239" t="str">
            <v>VAR_fin</v>
          </cell>
          <cell r="C239" t="str">
            <v>ESOL-PV_E</v>
          </cell>
          <cell r="H239">
            <v>9.7877361831656737E-6</v>
          </cell>
          <cell r="I239">
            <v>1.3242597390110899E-4</v>
          </cell>
          <cell r="J239">
            <v>3.3769347407962034</v>
          </cell>
          <cell r="K239">
            <v>4.4071726613717228</v>
          </cell>
          <cell r="L239">
            <v>4.4071834849015188</v>
          </cell>
          <cell r="M239">
            <v>4.4071862719792891</v>
          </cell>
          <cell r="N239">
            <v>4.4071888600924813</v>
          </cell>
          <cell r="O239">
            <v>4.4071912139868639</v>
          </cell>
          <cell r="P239">
            <v>4.4072054622700056</v>
          </cell>
        </row>
        <row r="240">
          <cell r="A240" t="str">
            <v>TKER</v>
          </cell>
          <cell r="B240" t="str">
            <v>VAR_fout</v>
          </cell>
          <cell r="C240" t="str">
            <v>D-TBDS1</v>
          </cell>
          <cell r="E240">
            <v>2.00378267327074E-4</v>
          </cell>
          <cell r="F240">
            <v>1.4363066909150001E-4</v>
          </cell>
          <cell r="G240">
            <v>1.08874639064796E-4</v>
          </cell>
          <cell r="H240">
            <v>2.66228237805253E-3</v>
          </cell>
          <cell r="I240">
            <v>5.8580195905709896E-3</v>
          </cell>
          <cell r="J240">
            <v>2.17359012916736E-3</v>
          </cell>
          <cell r="K240">
            <v>4.1271875280630898E-3</v>
          </cell>
          <cell r="L240">
            <v>1.69081091193235</v>
          </cell>
          <cell r="M240">
            <v>1.5092996138177399</v>
          </cell>
          <cell r="N240">
            <v>1.34765782899037</v>
          </cell>
          <cell r="O240">
            <v>1.20330203907141</v>
          </cell>
          <cell r="P240">
            <v>1.07411845461911</v>
          </cell>
        </row>
        <row r="241">
          <cell r="A241" t="str">
            <v>BDS1</v>
          </cell>
          <cell r="B241" t="str">
            <v>VAR_fout</v>
          </cell>
          <cell r="C241" t="str">
            <v>IMPBDS1</v>
          </cell>
          <cell r="H241">
            <v>5.30310232486001</v>
          </cell>
          <cell r="I241">
            <v>18.522416488522602</v>
          </cell>
          <cell r="J241">
            <v>38.626683567700397</v>
          </cell>
          <cell r="K241">
            <v>68.679636225493098</v>
          </cell>
          <cell r="L241">
            <v>93.872681483388405</v>
          </cell>
          <cell r="M241">
            <v>93.872696976181999</v>
          </cell>
          <cell r="N241">
            <v>94.928440074660301</v>
          </cell>
          <cell r="O241">
            <v>96.636569791011595</v>
          </cell>
          <cell r="P241">
            <v>98.328349620665406</v>
          </cell>
        </row>
        <row r="242">
          <cell r="A242" t="str">
            <v>BDS1</v>
          </cell>
          <cell r="B242" t="str">
            <v>VAR_fin</v>
          </cell>
          <cell r="C242" t="str">
            <v>D-TBDS1intl</v>
          </cell>
          <cell r="H242">
            <v>5.30310232486001</v>
          </cell>
          <cell r="I242">
            <v>18.522416488522602</v>
          </cell>
          <cell r="J242">
            <v>38.626683567700397</v>
          </cell>
          <cell r="K242">
            <v>68.679636225493098</v>
          </cell>
          <cell r="L242">
            <v>93.872681483388405</v>
          </cell>
          <cell r="M242">
            <v>93.872696976181999</v>
          </cell>
          <cell r="N242">
            <v>94.928440074660301</v>
          </cell>
          <cell r="O242">
            <v>96.636569791011595</v>
          </cell>
          <cell r="P242">
            <v>98.328349620665406</v>
          </cell>
        </row>
        <row r="243">
          <cell r="A243" t="str">
            <v>CELC</v>
          </cell>
          <cell r="B243" t="str">
            <v>VAR_fout</v>
          </cell>
          <cell r="C243" t="str">
            <v>D-CELC</v>
          </cell>
          <cell r="E243">
            <v>0.5409104020443456</v>
          </cell>
          <cell r="F243">
            <v>0.20188933535860393</v>
          </cell>
          <cell r="G243">
            <v>1.7268180603455541</v>
          </cell>
          <cell r="H243">
            <v>1.0910413892175614</v>
          </cell>
          <cell r="I243">
            <v>7.6770898409586863</v>
          </cell>
          <cell r="J243">
            <v>18.082145484399096</v>
          </cell>
          <cell r="K243">
            <v>17.897105411066828</v>
          </cell>
          <cell r="L243">
            <v>28.809355287539326</v>
          </cell>
          <cell r="M243">
            <v>29.08776380374356</v>
          </cell>
          <cell r="N243">
            <v>30.237745422972427</v>
          </cell>
          <cell r="O243">
            <v>30.469127749442411</v>
          </cell>
          <cell r="P243">
            <v>31.075156459047712</v>
          </cell>
        </row>
        <row r="244">
          <cell r="A244" t="str">
            <v>CELC</v>
          </cell>
          <cell r="B244" t="str">
            <v>VAR_fin</v>
          </cell>
          <cell r="C244" t="str">
            <v>SUP_H2NGA</v>
          </cell>
          <cell r="J244">
            <v>3.8809450168545354E-2</v>
          </cell>
          <cell r="K244">
            <v>0.12566206017910492</v>
          </cell>
          <cell r="L244">
            <v>0.30334315375633314</v>
          </cell>
          <cell r="M244">
            <v>0.26766970461680895</v>
          </cell>
          <cell r="N244">
            <v>0.25797438132447204</v>
          </cell>
          <cell r="O244">
            <v>0.26499610132497942</v>
          </cell>
          <cell r="P244">
            <v>0.26521990397207673</v>
          </cell>
        </row>
        <row r="245">
          <cell r="A245" t="str">
            <v>CELC</v>
          </cell>
          <cell r="B245" t="str">
            <v>VAR_fin</v>
          </cell>
          <cell r="C245" t="str">
            <v>SUP_ELCH2_SOEC</v>
          </cell>
          <cell r="J245">
            <v>4.1880157835967269E-2</v>
          </cell>
          <cell r="K245">
            <v>8.7533308359657905E-2</v>
          </cell>
          <cell r="L245">
            <v>3.7101488572047189E-2</v>
          </cell>
          <cell r="M245">
            <v>2.2326858078370433E-2</v>
          </cell>
          <cell r="N245">
            <v>2.4343617152599584E-2</v>
          </cell>
          <cell r="O245">
            <v>3.6250914128220013E-2</v>
          </cell>
          <cell r="P245">
            <v>4.9608491819823616E-2</v>
          </cell>
        </row>
        <row r="246">
          <cell r="A246" t="str">
            <v>CELC</v>
          </cell>
          <cell r="B246" t="str">
            <v>VAR_fin</v>
          </cell>
          <cell r="C246" t="str">
            <v>SUP_ELCH2</v>
          </cell>
          <cell r="E246">
            <v>7.3398488532088191E-3</v>
          </cell>
          <cell r="F246">
            <v>2.6407689620091036E-2</v>
          </cell>
          <cell r="G246">
            <v>2.5974942178698272E-2</v>
          </cell>
          <cell r="H246">
            <v>0.58682256589869408</v>
          </cell>
          <cell r="I246">
            <v>7.6756941973769592</v>
          </cell>
          <cell r="J246">
            <v>17.999625520055233</v>
          </cell>
          <cell r="K246">
            <v>17.681912945283663</v>
          </cell>
          <cell r="L246">
            <v>28.05536255310605</v>
          </cell>
          <cell r="M246">
            <v>28.078147688594253</v>
          </cell>
          <cell r="N246">
            <v>28.076100383327663</v>
          </cell>
          <cell r="O246">
            <v>28.061621046386467</v>
          </cell>
          <cell r="P246">
            <v>28.045923888528105</v>
          </cell>
        </row>
        <row r="247">
          <cell r="A247" t="str">
            <v>CELC</v>
          </cell>
          <cell r="B247" t="str">
            <v>VAR_fin</v>
          </cell>
          <cell r="C247" t="str">
            <v>CT_CWODBDS</v>
          </cell>
          <cell r="E247">
            <v>8.3628349049498812E-2</v>
          </cell>
          <cell r="F247">
            <v>8.3581939245281026E-2</v>
          </cell>
          <cell r="G247">
            <v>1.3042888902086279E-6</v>
          </cell>
          <cell r="H247">
            <v>2.7381971099459281E-4</v>
          </cell>
          <cell r="I247">
            <v>2.1275938900079528E-4</v>
          </cell>
          <cell r="J247">
            <v>1.5355200162135314E-4</v>
          </cell>
          <cell r="K247">
            <v>1.1721562455125972E-4</v>
          </cell>
          <cell r="L247">
            <v>4.6661830226336809E-5</v>
          </cell>
          <cell r="M247">
            <v>1.9923447793036814E-5</v>
          </cell>
          <cell r="N247">
            <v>8.6014896979292037E-5</v>
          </cell>
          <cell r="O247">
            <v>2.5497819830350122E-5</v>
          </cell>
          <cell r="P247">
            <v>7.3786392760928111E-5</v>
          </cell>
        </row>
        <row r="248">
          <cell r="A248" t="str">
            <v>CELC</v>
          </cell>
          <cell r="B248" t="str">
            <v>VAR_fin</v>
          </cell>
          <cell r="C248" t="str">
            <v>CT_CWODETHCCS</v>
          </cell>
          <cell r="J248">
            <v>7.0265148324724939E-4</v>
          </cell>
          <cell r="K248">
            <v>9.5602545181906046E-4</v>
          </cell>
          <cell r="L248">
            <v>1.4126012226077138E-3</v>
          </cell>
          <cell r="M248">
            <v>1.123196304021297E-3</v>
          </cell>
          <cell r="N248">
            <v>3.8542682233650358E-3</v>
          </cell>
          <cell r="O248">
            <v>1.1491593908874293E-3</v>
          </cell>
          <cell r="P248">
            <v>3.7951630014779131E-3</v>
          </cell>
        </row>
        <row r="249">
          <cell r="A249" t="str">
            <v>CELC</v>
          </cell>
          <cell r="B249" t="str">
            <v>VAR_fin</v>
          </cell>
          <cell r="C249" t="str">
            <v>CT_CWODETH</v>
          </cell>
          <cell r="E249">
            <v>0.44994220414163782</v>
          </cell>
          <cell r="F249">
            <v>9.1899706493232133E-2</v>
          </cell>
          <cell r="G249">
            <v>1.7008418138779655</v>
          </cell>
          <cell r="H249">
            <v>0.50394500360787164</v>
          </cell>
          <cell r="I249">
            <v>1.1828841927296711E-3</v>
          </cell>
          <cell r="J249">
            <v>8.5244603236808291E-4</v>
          </cell>
          <cell r="K249">
            <v>7.4902954276478007E-4</v>
          </cell>
          <cell r="L249">
            <v>6.9454663075751879E-4</v>
          </cell>
          <cell r="M249">
            <v>6.5098480426833635E-4</v>
          </cell>
          <cell r="N249">
            <v>1.7548351317307294E-3</v>
          </cell>
          <cell r="O249">
            <v>6.8000395511930319E-4</v>
          </cell>
          <cell r="P249">
            <v>1.9177101283833324E-3</v>
          </cell>
        </row>
        <row r="250">
          <cell r="A250" t="str">
            <v>CELC</v>
          </cell>
          <cell r="B250" t="str">
            <v>VAR_fin</v>
          </cell>
          <cell r="C250" t="str">
            <v>SUP_DAC</v>
          </cell>
          <cell r="J250">
            <v>2.8737685369005495E-5</v>
          </cell>
          <cell r="K250">
            <v>3.039451347937E-5</v>
          </cell>
          <cell r="L250">
            <v>1.9851228643864922E-2</v>
          </cell>
          <cell r="M250">
            <v>0.19962079358381482</v>
          </cell>
          <cell r="N250">
            <v>1.4371970287586306</v>
          </cell>
          <cell r="O250">
            <v>1.5917712188563575</v>
          </cell>
          <cell r="P250">
            <v>2.1965333176916833</v>
          </cell>
        </row>
        <row r="251">
          <cell r="A251" t="str">
            <v>CELC</v>
          </cell>
          <cell r="B251" t="str">
            <v>VAR_fin</v>
          </cell>
          <cell r="C251" t="str">
            <v>CT_CWODBDSCCS</v>
          </cell>
          <cell r="J251">
            <v>9.2969136743800132E-5</v>
          </cell>
          <cell r="K251">
            <v>1.4443211179644531E-4</v>
          </cell>
          <cell r="L251">
            <v>0.39154305377742188</v>
          </cell>
          <cell r="M251">
            <v>0.51820465431423157</v>
          </cell>
          <cell r="N251">
            <v>0.43643489415693942</v>
          </cell>
          <cell r="O251">
            <v>0.51263380758054511</v>
          </cell>
          <cell r="P251">
            <v>0.51208419751338752</v>
          </cell>
        </row>
        <row r="252">
          <cell r="A252" t="str">
            <v>SBIO</v>
          </cell>
          <cell r="B252" t="str">
            <v>VAR_fout</v>
          </cell>
          <cell r="C252" t="str">
            <v>D-SBIO</v>
          </cell>
          <cell r="E252">
            <v>4.0477954772422784</v>
          </cell>
          <cell r="F252">
            <v>4.5868582615942541</v>
          </cell>
          <cell r="G252">
            <v>4.499211398842748</v>
          </cell>
          <cell r="H252">
            <v>4.4477130670830523</v>
          </cell>
          <cell r="I252">
            <v>4.6319879401937767</v>
          </cell>
          <cell r="J252">
            <v>6.5810936664337891</v>
          </cell>
          <cell r="K252">
            <v>6.5810982642922848</v>
          </cell>
          <cell r="L252">
            <v>6.5811022951826281</v>
          </cell>
          <cell r="M252">
            <v>6.5811505377229764</v>
          </cell>
          <cell r="N252">
            <v>6.5812091136849178</v>
          </cell>
          <cell r="O252">
            <v>7.5922473308497018</v>
          </cell>
          <cell r="P252">
            <v>7.5941272185460909</v>
          </cell>
        </row>
        <row r="253">
          <cell r="A253" t="str">
            <v>INGA</v>
          </cell>
          <cell r="B253" t="str">
            <v>VAR_fout</v>
          </cell>
          <cell r="C253" t="str">
            <v>D-INGA</v>
          </cell>
          <cell r="E253">
            <v>37.496167214614758</v>
          </cell>
          <cell r="F253">
            <v>29.935121067163365</v>
          </cell>
          <cell r="G253">
            <v>36.245820871185515</v>
          </cell>
          <cell r="H253">
            <v>26.301727825424198</v>
          </cell>
          <cell r="I253">
            <v>14.060065285651373</v>
          </cell>
          <cell r="J253">
            <v>8.5880313354505962</v>
          </cell>
          <cell r="K253">
            <v>4.7828708478331894</v>
          </cell>
          <cell r="L253">
            <v>2.8686872979979334</v>
          </cell>
          <cell r="M253">
            <v>2.6436179377896609</v>
          </cell>
          <cell r="N253">
            <v>2.5996274367303513</v>
          </cell>
          <cell r="O253">
            <v>2.6125287585972554</v>
          </cell>
          <cell r="P253">
            <v>2.5992339932328878</v>
          </cell>
        </row>
        <row r="254">
          <cell r="A254" t="str">
            <v>DSL</v>
          </cell>
          <cell r="B254" t="str">
            <v>VAR_fout</v>
          </cell>
          <cell r="C254" t="str">
            <v>SUP_H2DSL</v>
          </cell>
          <cell r="J254">
            <v>1.1346587426361632</v>
          </cell>
          <cell r="K254">
            <v>0.92930670908682766</v>
          </cell>
          <cell r="L254">
            <v>0.13072439156760293</v>
          </cell>
          <cell r="M254">
            <v>0.32222961447052645</v>
          </cell>
          <cell r="N254">
            <v>5.5708185423631274E-3</v>
          </cell>
          <cell r="O254">
            <v>5.3440590844935187E-2</v>
          </cell>
          <cell r="P254">
            <v>4.6909779438915847E-2</v>
          </cell>
        </row>
        <row r="255">
          <cell r="A255" t="str">
            <v>WSTREN</v>
          </cell>
          <cell r="B255" t="str">
            <v>VAR_fin</v>
          </cell>
          <cell r="C255" t="str">
            <v>D-CWST</v>
          </cell>
          <cell r="E255">
            <v>9.6794192110269748</v>
          </cell>
          <cell r="F255">
            <v>9.8791607227887663</v>
          </cell>
          <cell r="G255">
            <v>9.1224383741807173</v>
          </cell>
          <cell r="H255">
            <v>9.9810442954588758</v>
          </cell>
          <cell r="I255">
            <v>9.9601595547539699</v>
          </cell>
          <cell r="J255">
            <v>14.461292377551379</v>
          </cell>
          <cell r="K255">
            <v>15.849047816467404</v>
          </cell>
          <cell r="L255">
            <v>17.096552539102287</v>
          </cell>
          <cell r="M255">
            <v>18.37580572560228</v>
          </cell>
          <cell r="N255">
            <v>19.624691802640061</v>
          </cell>
          <cell r="O255">
            <v>19.655040627469997</v>
          </cell>
          <cell r="P255">
            <v>19.660854211642675</v>
          </cell>
        </row>
        <row r="256">
          <cell r="A256" t="str">
            <v>SOLPVC</v>
          </cell>
          <cell r="B256" t="str">
            <v>VAR_fin</v>
          </cell>
          <cell r="C256" t="str">
            <v>ESOL-PV_A</v>
          </cell>
          <cell r="H256">
            <v>0.34128034969337201</v>
          </cell>
          <cell r="I256">
            <v>1.2719948686195099</v>
          </cell>
          <cell r="J256">
            <v>10.761586081621299</v>
          </cell>
          <cell r="K256">
            <v>14.3999893572621</v>
          </cell>
          <cell r="L256">
            <v>17.999989264038799</v>
          </cell>
          <cell r="M256">
            <v>17.6587097649623</v>
          </cell>
          <cell r="N256">
            <v>16.727996940883902</v>
          </cell>
          <cell r="O256">
            <v>6.7734892886193601</v>
          </cell>
          <cell r="P256">
            <v>4.2683526343465497</v>
          </cell>
        </row>
        <row r="257">
          <cell r="A257" t="str">
            <v>SOLPVC</v>
          </cell>
          <cell r="B257" t="str">
            <v>VAR_fin</v>
          </cell>
          <cell r="C257" t="str">
            <v>ESOL-PV_E</v>
          </cell>
          <cell r="H257">
            <v>9.7877361831656805E-6</v>
          </cell>
          <cell r="I257">
            <v>1.3242597390110899E-4</v>
          </cell>
          <cell r="J257">
            <v>3.3769347407961998</v>
          </cell>
          <cell r="K257">
            <v>4.4071726613717201</v>
          </cell>
          <cell r="L257">
            <v>4.4071834849015197</v>
          </cell>
          <cell r="M257">
            <v>4.40718627197929</v>
          </cell>
          <cell r="N257">
            <v>4.4071888600924796</v>
          </cell>
          <cell r="O257">
            <v>4.4071912139868603</v>
          </cell>
          <cell r="P257">
            <v>4.4072054622700003</v>
          </cell>
        </row>
        <row r="258">
          <cell r="A258" t="str">
            <v>KERintl</v>
          </cell>
          <cell r="B258" t="str">
            <v>VAR_fout</v>
          </cell>
          <cell r="C258" t="str">
            <v>SUP_H2DSL</v>
          </cell>
          <cell r="J258">
            <v>9.5432966848818805E-4</v>
          </cell>
          <cell r="K258">
            <v>6.0914243196314496E-4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  <cell r="H3" t="str">
            <v>2035</v>
          </cell>
          <cell r="I3" t="str">
            <v>2040</v>
          </cell>
          <cell r="J3" t="str">
            <v>2045</v>
          </cell>
          <cell r="K3" t="str">
            <v>2050</v>
          </cell>
          <cell r="L3" t="str">
            <v>2055</v>
          </cell>
          <cell r="M3" t="str">
            <v>2060</v>
          </cell>
          <cell r="N3" t="str">
            <v>2065</v>
          </cell>
          <cell r="O3" t="str">
            <v>2070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1.77417268385077E-2</v>
          </cell>
          <cell r="E4">
            <v>1.8050766118973698E-2</v>
          </cell>
          <cell r="F4">
            <v>5.3549388045860701E-4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4.3941226513803536E-3</v>
          </cell>
          <cell r="E5">
            <v>3.5803874069411847E-3</v>
          </cell>
          <cell r="F5">
            <v>6.6599384537229279E-5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3.1456962479623613E-4</v>
          </cell>
          <cell r="E6">
            <v>3.2004904466265339E-4</v>
          </cell>
          <cell r="F6">
            <v>9.4945723485568587E-6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8.357353578794436E-5</v>
          </cell>
          <cell r="E7">
            <v>6.6860321384425197E-5</v>
          </cell>
          <cell r="F7">
            <v>5.9682909359559579E-7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3.4875044868369773</v>
          </cell>
          <cell r="E8">
            <v>2.5560476012772226</v>
          </cell>
          <cell r="F8">
            <v>3.5625524013329364</v>
          </cell>
          <cell r="G8">
            <v>3.3174699544989141</v>
          </cell>
          <cell r="H8">
            <v>3.0733102160132741</v>
          </cell>
          <cell r="I8">
            <v>2.9804804436337879</v>
          </cell>
          <cell r="J8">
            <v>0.69377008154330899</v>
          </cell>
          <cell r="K8">
            <v>0.21257764744330199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6.3828538126776456E-3</v>
          </cell>
          <cell r="E9">
            <v>4.6831777638614248E-3</v>
          </cell>
          <cell r="F9">
            <v>6.6336826102844403E-3</v>
          </cell>
          <cell r="G9">
            <v>6.4555539229065612E-3</v>
          </cell>
          <cell r="H9">
            <v>6.2909638408332287E-3</v>
          </cell>
          <cell r="I9">
            <v>6.2198817083865873E-3</v>
          </cell>
          <cell r="J9">
            <v>1.5126302822565704E-3</v>
          </cell>
          <cell r="K9">
            <v>4.7196062969356839E-4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6.1835185936825909E-2</v>
          </cell>
          <cell r="E10">
            <v>4.5319992930447341E-2</v>
          </cell>
          <cell r="F10">
            <v>6.3165822718669107E-2</v>
          </cell>
          <cell r="G10">
            <v>5.882038926416519E-2</v>
          </cell>
          <cell r="H10">
            <v>5.449131588676024E-2</v>
          </cell>
          <cell r="I10">
            <v>5.2845397936769255E-2</v>
          </cell>
          <cell r="J10">
            <v>1.2300887970626048E-2</v>
          </cell>
          <cell r="K10">
            <v>3.7691072241720154E-3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1.36018217544833E-6</v>
          </cell>
          <cell r="F11">
            <v>5.1547826733054601E-5</v>
          </cell>
          <cell r="G11">
            <v>7.8104542480964104E-5</v>
          </cell>
          <cell r="H11">
            <v>1.0146700929095099E-4</v>
          </cell>
          <cell r="I11">
            <v>3.90298145663557E-5</v>
          </cell>
          <cell r="J11">
            <v>1.7295032955151299E-5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1.22E-4</v>
          </cell>
          <cell r="E12">
            <v>1.2199198266466893E-4</v>
          </cell>
          <cell r="F12">
            <v>1.2219311301829271E-4</v>
          </cell>
          <cell r="G12">
            <v>1.226322084691114E-4</v>
          </cell>
          <cell r="H12">
            <v>1.217173188897704E-4</v>
          </cell>
          <cell r="I12">
            <v>1.2117368450124545E-4</v>
          </cell>
          <cell r="J12">
            <v>3.7526260430239419E-5</v>
          </cell>
          <cell r="K12">
            <v>1.163218243939498E-5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3.6284850570389595E-4</v>
          </cell>
          <cell r="E13">
            <v>2.8050182275875424E-3</v>
          </cell>
          <cell r="F13">
            <v>3.689174596665679E-3</v>
          </cell>
          <cell r="G13">
            <v>3.7042703767910141E-3</v>
          </cell>
          <cell r="H13">
            <v>4.1456958258735922E-3</v>
          </cell>
          <cell r="I13">
            <v>2.5642503054851503E-3</v>
          </cell>
          <cell r="J13">
            <v>2.370952922402178E-3</v>
          </cell>
          <cell r="K13">
            <v>1.0532956533988091E-3</v>
          </cell>
          <cell r="L13">
            <v>7.0221742353817097E-3</v>
          </cell>
          <cell r="M13">
            <v>1.2436111035150616E-2</v>
          </cell>
          <cell r="N13">
            <v>1.5159900931716876E-2</v>
          </cell>
          <cell r="O13">
            <v>1.9014543789446475E-2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3.6284850570389595E-4</v>
          </cell>
          <cell r="E14">
            <v>2.8050182275875424E-3</v>
          </cell>
          <cell r="F14">
            <v>3.689174596665679E-3</v>
          </cell>
          <cell r="G14">
            <v>3.7042703767910141E-3</v>
          </cell>
          <cell r="H14">
            <v>4.1456958258735922E-3</v>
          </cell>
          <cell r="I14">
            <v>2.5642503054851503E-3</v>
          </cell>
          <cell r="J14">
            <v>2.370952922402178E-3</v>
          </cell>
          <cell r="K14">
            <v>1.0532956533988091E-3</v>
          </cell>
          <cell r="L14">
            <v>7.0221742353817097E-3</v>
          </cell>
          <cell r="M14">
            <v>1.2436111035150616E-2</v>
          </cell>
          <cell r="N14">
            <v>1.5159900931716876E-2</v>
          </cell>
          <cell r="O14">
            <v>1.9014543789446475E-2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2.6164472270614499E-4</v>
          </cell>
          <cell r="F15">
            <v>1.0775581640460799E-4</v>
          </cell>
          <cell r="G15">
            <v>2.2178268674472501E-4</v>
          </cell>
          <cell r="H15">
            <v>2.9364678205110698E-4</v>
          </cell>
          <cell r="J15">
            <v>1.70256830533688E-4</v>
          </cell>
          <cell r="L15">
            <v>9.61126065657201E-4</v>
          </cell>
          <cell r="M15">
            <v>9.0430104311841296E-4</v>
          </cell>
          <cell r="N15">
            <v>7.1824453023040899E-4</v>
          </cell>
          <cell r="O15">
            <v>1.2429372669044601E-3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2.5931623507506696E-5</v>
          </cell>
          <cell r="E16">
            <v>2.839153206638983E-4</v>
          </cell>
          <cell r="F16">
            <v>3.7505510896272616E-4</v>
          </cell>
          <cell r="G16">
            <v>5.1762361757276153E-4</v>
          </cell>
          <cell r="H16">
            <v>5.9284437509238579E-4</v>
          </cell>
          <cell r="I16">
            <v>3.6684188485479232E-4</v>
          </cell>
          <cell r="J16">
            <v>3.4467948409142718E-4</v>
          </cell>
          <cell r="K16">
            <v>1.4244403623921625E-4</v>
          </cell>
          <cell r="L16">
            <v>1.0523222106472833E-3</v>
          </cell>
          <cell r="M16">
            <v>1.8651533857174814E-3</v>
          </cell>
          <cell r="N16">
            <v>2.2776716246384748E-3</v>
          </cell>
          <cell r="O16">
            <v>2.8640435500150501E-3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2.5550732007704863E-3</v>
          </cell>
          <cell r="E17">
            <v>1.5819922004715433E-2</v>
          </cell>
          <cell r="F17">
            <v>2.1250885025618094</v>
          </cell>
          <cell r="G17">
            <v>1.5447278066725287</v>
          </cell>
          <cell r="H17">
            <v>0.48662198779125287</v>
          </cell>
          <cell r="I17">
            <v>0.70264176407321455</v>
          </cell>
          <cell r="J17">
            <v>2.4685154837788481</v>
          </cell>
          <cell r="K17">
            <v>2.7234636044850316</v>
          </cell>
          <cell r="L17">
            <v>2.8127158694313406</v>
          </cell>
          <cell r="M17">
            <v>2.9107500343110826</v>
          </cell>
          <cell r="N17">
            <v>3.0143891557156755</v>
          </cell>
          <cell r="O17">
            <v>3.1323751702915934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9.5080357949086786E-3</v>
          </cell>
          <cell r="E18">
            <v>5.8125589117425318E-2</v>
          </cell>
          <cell r="F18">
            <v>7.572152826540874</v>
          </cell>
          <cell r="G18">
            <v>5.503297353068203</v>
          </cell>
          <cell r="H18">
            <v>1.5958142575653556</v>
          </cell>
          <cell r="I18">
            <v>2.2649060058088133</v>
          </cell>
          <cell r="J18">
            <v>7.5318089965767783</v>
          </cell>
          <cell r="K18">
            <v>8.1713184716595624</v>
          </cell>
          <cell r="L18">
            <v>8.2869683618215806</v>
          </cell>
          <cell r="M18">
            <v>8.5758016675832032</v>
          </cell>
          <cell r="N18">
            <v>8.8811485849383658</v>
          </cell>
          <cell r="O18">
            <v>9.2287650578833471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1.8463037056644201E-4</v>
          </cell>
          <cell r="F19">
            <v>3.9686094415615901E-2</v>
          </cell>
          <cell r="G19">
            <v>8.9593684990302995E-6</v>
          </cell>
          <cell r="H19">
            <v>9.1972664880731504E-3</v>
          </cell>
          <cell r="I19">
            <v>5.83741364555541E-3</v>
          </cell>
          <cell r="J19">
            <v>4.42285643546836E-2</v>
          </cell>
          <cell r="K19">
            <v>2.34924762779661E-2</v>
          </cell>
          <cell r="L19">
            <v>3.8072695058090203E-2</v>
          </cell>
          <cell r="M19">
            <v>4.7314616654228897E-2</v>
          </cell>
          <cell r="N19">
            <v>2.6909249254514201E-2</v>
          </cell>
          <cell r="O19">
            <v>4.3382523379031201E-2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5.1860112521447822E-5</v>
          </cell>
          <cell r="E20">
            <v>2.9657204824915277E-4</v>
          </cell>
          <cell r="F20">
            <v>3.9975181603926324E-2</v>
          </cell>
          <cell r="G20">
            <v>2.9125376530292985E-2</v>
          </cell>
          <cell r="H20">
            <v>9.1995801910265372E-3</v>
          </cell>
          <cell r="I20">
            <v>1.3284915535446026E-2</v>
          </cell>
          <cell r="J20">
            <v>4.7255317937103761E-2</v>
          </cell>
          <cell r="K20">
            <v>5.3340661800504216E-2</v>
          </cell>
          <cell r="L20">
            <v>5.5262049822738267E-2</v>
          </cell>
          <cell r="M20">
            <v>5.7188162856329432E-2</v>
          </cell>
          <cell r="N20">
            <v>5.9224459460746177E-2</v>
          </cell>
          <cell r="O20">
            <v>6.1542519711542426E-2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5.3644239974224975E-2</v>
          </cell>
          <cell r="E21">
            <v>9.9612254812176129E-2</v>
          </cell>
          <cell r="F21">
            <v>9.7175544105417525E-2</v>
          </cell>
          <cell r="G21">
            <v>0.22602926573664092</v>
          </cell>
          <cell r="H21">
            <v>0.10200162551097797</v>
          </cell>
          <cell r="I21">
            <v>5.5161864216045853E-2</v>
          </cell>
          <cell r="J21">
            <v>7.3594471709577452E-3</v>
          </cell>
          <cell r="K21">
            <v>5.3583422963706228E-3</v>
          </cell>
          <cell r="L21">
            <v>2.2877107490597431E-2</v>
          </cell>
          <cell r="M21">
            <v>2.368133309759915E-2</v>
          </cell>
          <cell r="N21">
            <v>1.9643713399361655E-2</v>
          </cell>
          <cell r="O21">
            <v>1.0579545169849125E-2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5.3644239974224975E-2</v>
          </cell>
          <cell r="E22">
            <v>9.9612254812176129E-2</v>
          </cell>
          <cell r="F22">
            <v>9.7175544105417525E-2</v>
          </cell>
          <cell r="G22">
            <v>0.22602926573664092</v>
          </cell>
          <cell r="H22">
            <v>0.10200162551097797</v>
          </cell>
          <cell r="I22">
            <v>5.5161864216045853E-2</v>
          </cell>
          <cell r="J22">
            <v>7.3594471709577452E-3</v>
          </cell>
          <cell r="K22">
            <v>5.3583422963706228E-3</v>
          </cell>
          <cell r="L22">
            <v>2.2877107490597431E-2</v>
          </cell>
          <cell r="M22">
            <v>2.368133309759915E-2</v>
          </cell>
          <cell r="N22">
            <v>1.9643713399361655E-2</v>
          </cell>
          <cell r="O22">
            <v>1.0579545169849125E-2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7.6285317746440601E-5</v>
          </cell>
          <cell r="F23">
            <v>9.0891339825812205E-5</v>
          </cell>
          <cell r="G23">
            <v>1.17909127246573E-2</v>
          </cell>
          <cell r="H23">
            <v>4.3242169316957702E-4</v>
          </cell>
          <cell r="J23">
            <v>4.9099827135240602E-4</v>
          </cell>
          <cell r="L23">
            <v>2.1187569651058601E-3</v>
          </cell>
          <cell r="M23">
            <v>3.3631272597947197E-4</v>
          </cell>
          <cell r="N23">
            <v>2.4929372569025798E-4</v>
          </cell>
          <cell r="O23">
            <v>4.9896150090143602E-4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4.8859712579937186E-3</v>
          </cell>
          <cell r="E24">
            <v>7.5442592835067582E-3</v>
          </cell>
          <cell r="F24">
            <v>7.3549259222822159E-3</v>
          </cell>
          <cell r="G24">
            <v>1.7160512370996295E-2</v>
          </cell>
          <cell r="H24">
            <v>1.0522634733326604E-2</v>
          </cell>
          <cell r="I24">
            <v>5.7403172105835567E-3</v>
          </cell>
          <cell r="J24">
            <v>7.3857675372880811E-4</v>
          </cell>
          <cell r="K24">
            <v>4.1085528947882693E-4</v>
          </cell>
          <cell r="L24">
            <v>2.3822084136788796E-3</v>
          </cell>
          <cell r="M24">
            <v>2.4550227055888918E-3</v>
          </cell>
          <cell r="N24">
            <v>2.0325139092553096E-3</v>
          </cell>
          <cell r="O24">
            <v>1.0843476500484455E-3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10.917316400203985</v>
          </cell>
          <cell r="E25">
            <v>12.581496349599869</v>
          </cell>
          <cell r="F25">
            <v>28.264579280685044</v>
          </cell>
          <cell r="G25">
            <v>39.902482918134048</v>
          </cell>
          <cell r="H25">
            <v>55.175627785964899</v>
          </cell>
          <cell r="I25">
            <v>69.067844635793477</v>
          </cell>
          <cell r="J25">
            <v>81.710160465681355</v>
          </cell>
          <cell r="K25">
            <v>87.367323756569036</v>
          </cell>
          <cell r="L25">
            <v>86.637106609580457</v>
          </cell>
          <cell r="M25">
            <v>87.715199457238953</v>
          </cell>
          <cell r="N25">
            <v>87.409955103961806</v>
          </cell>
          <cell r="O25">
            <v>89.490911067473547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H26">
            <v>0.16818630407131299</v>
          </cell>
          <cell r="I26">
            <v>0.75097998680646205</v>
          </cell>
          <cell r="J26">
            <v>0.80311282513135196</v>
          </cell>
          <cell r="K26">
            <v>0.83911775375646402</v>
          </cell>
          <cell r="L26">
            <v>0.86565668733376</v>
          </cell>
          <cell r="M26">
            <v>0.89000685491582199</v>
          </cell>
          <cell r="N26">
            <v>0.88903291085555203</v>
          </cell>
          <cell r="O26">
            <v>0.86682794742764702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1.3592483508463029E-2</v>
          </cell>
          <cell r="E27">
            <v>5.5604929400126808E-3</v>
          </cell>
          <cell r="F27">
            <v>8.3704714835767403E-3</v>
          </cell>
          <cell r="G27">
            <v>3.7321051512589892E-3</v>
          </cell>
          <cell r="H27">
            <v>4.637174579289737</v>
          </cell>
          <cell r="I27">
            <v>0.39221183899507012</v>
          </cell>
          <cell r="J27">
            <v>3.2004476440878498</v>
          </cell>
          <cell r="K27">
            <v>0.27616914949081678</v>
          </cell>
          <cell r="L27">
            <v>0.25441301027078977</v>
          </cell>
          <cell r="M27">
            <v>0.67115427071152589</v>
          </cell>
          <cell r="N27">
            <v>0.64609227098986699</v>
          </cell>
          <cell r="O27">
            <v>0.78717036696816045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3.487285087200207</v>
          </cell>
          <cell r="E28">
            <v>9.193613283003263E-2</v>
          </cell>
          <cell r="F28">
            <v>2.3321363701318876</v>
          </cell>
          <cell r="G28">
            <v>10.476650765934465</v>
          </cell>
          <cell r="H28">
            <v>20.160440487527463</v>
          </cell>
          <cell r="I28">
            <v>35.465310527828251</v>
          </cell>
          <cell r="J28">
            <v>42.036421225474989</v>
          </cell>
          <cell r="K28">
            <v>47.958560229934008</v>
          </cell>
          <cell r="L28">
            <v>47.334580769463614</v>
          </cell>
          <cell r="M28">
            <v>47.874277712406922</v>
          </cell>
          <cell r="N28">
            <v>48.932394507638122</v>
          </cell>
          <cell r="O28">
            <v>51.047437580182283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2.3331635250144731</v>
          </cell>
          <cell r="E29">
            <v>7.4176988369156857E-2</v>
          </cell>
          <cell r="F29">
            <v>1.2755737473274122</v>
          </cell>
          <cell r="G29">
            <v>3.5787455762720977</v>
          </cell>
          <cell r="H29">
            <v>4.7837995650624974</v>
          </cell>
          <cell r="I29">
            <v>11.833415799371593</v>
          </cell>
          <cell r="J29">
            <v>13.519819685149269</v>
          </cell>
          <cell r="K29">
            <v>16.885670983132691</v>
          </cell>
          <cell r="L29">
            <v>15.736465174974287</v>
          </cell>
          <cell r="M29">
            <v>16.119436332402703</v>
          </cell>
          <cell r="N29">
            <v>14.892251758215487</v>
          </cell>
          <cell r="O29">
            <v>14.646401884307837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5.0832753044808348</v>
          </cell>
          <cell r="E30">
            <v>12.409936423373132</v>
          </cell>
          <cell r="F30">
            <v>24.648574483683518</v>
          </cell>
          <cell r="G30">
            <v>25.843411314732215</v>
          </cell>
          <cell r="H30">
            <v>25.762456302112511</v>
          </cell>
          <cell r="I30">
            <v>22.127886483687597</v>
          </cell>
          <cell r="J30">
            <v>23.756643502120873</v>
          </cell>
          <cell r="K30">
            <v>23.086029152153461</v>
          </cell>
          <cell r="L30">
            <v>24.177352890797607</v>
          </cell>
          <cell r="M30">
            <v>23.940370499969916</v>
          </cell>
          <cell r="N30">
            <v>23.828300655575497</v>
          </cell>
          <cell r="O30">
            <v>23.876766055818539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4.6613467063120861E-2</v>
          </cell>
          <cell r="E31">
            <v>0.17398593918157687</v>
          </cell>
          <cell r="F31">
            <v>1.1849726570957964</v>
          </cell>
          <cell r="G31">
            <v>2.9779438688738504</v>
          </cell>
          <cell r="H31">
            <v>8.5074239924295512</v>
          </cell>
          <cell r="I31">
            <v>6.5898715799518124</v>
          </cell>
          <cell r="J31">
            <v>6.7780944758425887</v>
          </cell>
          <cell r="K31">
            <v>2.5066223269624293</v>
          </cell>
          <cell r="L31">
            <v>1.5913635064289793</v>
          </cell>
          <cell r="M31">
            <v>5.1177709443213107E-2</v>
          </cell>
          <cell r="N31">
            <v>4.4416363240558969E-2</v>
          </cell>
          <cell r="O31">
            <v>2.2610913879910974E-2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4.6613467063120861E-2</v>
          </cell>
          <cell r="E32">
            <v>0.17398593918157687</v>
          </cell>
          <cell r="F32">
            <v>1.1849726570957964</v>
          </cell>
          <cell r="G32">
            <v>2.9779438688738504</v>
          </cell>
          <cell r="H32">
            <v>8.5074239924295512</v>
          </cell>
          <cell r="I32">
            <v>6.5898715799518124</v>
          </cell>
          <cell r="J32">
            <v>6.7780944758425887</v>
          </cell>
          <cell r="K32">
            <v>2.5066223269624293</v>
          </cell>
          <cell r="L32">
            <v>1.5913635064289793</v>
          </cell>
          <cell r="M32">
            <v>5.1177709443213107E-2</v>
          </cell>
          <cell r="N32">
            <v>4.4416363240558969E-2</v>
          </cell>
          <cell r="O32">
            <v>2.2610913879910974E-2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1.38114766247562E-3</v>
          </cell>
          <cell r="F33">
            <v>7.1071372250311696E-2</v>
          </cell>
          <cell r="G33">
            <v>0.14151105219176199</v>
          </cell>
          <cell r="H33">
            <v>0.43867578538978402</v>
          </cell>
          <cell r="J33">
            <v>0.20596515572071</v>
          </cell>
          <cell r="L33">
            <v>4.0175287362776502E-3</v>
          </cell>
          <cell r="M33">
            <v>8.8289083428771996E-4</v>
          </cell>
          <cell r="N33">
            <v>6.4714052942550597E-4</v>
          </cell>
          <cell r="O33">
            <v>6.5257473486344695E-4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4.0687127330324181E-3</v>
          </cell>
          <cell r="E34">
            <v>1.1965748161786237E-2</v>
          </cell>
          <cell r="F34">
            <v>8.1463810180871468E-2</v>
          </cell>
          <cell r="G34">
            <v>0.20478396569346008</v>
          </cell>
          <cell r="H34">
            <v>0.5850141719072911</v>
          </cell>
          <cell r="I34">
            <v>0.45319553094655335</v>
          </cell>
          <cell r="J34">
            <v>0.46900449547735396</v>
          </cell>
          <cell r="K34">
            <v>0.17235385797819813</v>
          </cell>
          <cell r="L34">
            <v>0.11455329127040317</v>
          </cell>
          <cell r="M34">
            <v>4.9003277571767366E-3</v>
          </cell>
          <cell r="N34">
            <v>4.2735472023659269E-3</v>
          </cell>
          <cell r="O34">
            <v>2.1821489220077272E-3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4.3490660314723688E-5</v>
          </cell>
          <cell r="E35">
            <v>2.7762431929738399E-3</v>
          </cell>
          <cell r="F35">
            <v>3.5277865879242919E-3</v>
          </cell>
          <cell r="G35">
            <v>4.7140466158016592E-3</v>
          </cell>
          <cell r="H35">
            <v>4.9903709357764624E-3</v>
          </cell>
          <cell r="I35">
            <v>3.0335645959652237E-3</v>
          </cell>
          <cell r="J35">
            <v>1.4789351804434098E-2</v>
          </cell>
          <cell r="K35">
            <v>1.1879628140721564E-2</v>
          </cell>
          <cell r="L35">
            <v>2.9410860486476339E-2</v>
          </cell>
          <cell r="M35">
            <v>1.5858645114747156E-3</v>
          </cell>
          <cell r="N35">
            <v>7.7769627877592869E-4</v>
          </cell>
          <cell r="O35">
            <v>7.5649060987528782E-4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4.3490660314723688E-5</v>
          </cell>
          <cell r="E36">
            <v>2.7762431929738399E-3</v>
          </cell>
          <cell r="F36">
            <v>3.5277865879242919E-3</v>
          </cell>
          <cell r="G36">
            <v>4.7140466158016592E-3</v>
          </cell>
          <cell r="H36">
            <v>4.9903709357764624E-3</v>
          </cell>
          <cell r="I36">
            <v>3.0335645959652237E-3</v>
          </cell>
          <cell r="J36">
            <v>1.4789351804434098E-2</v>
          </cell>
          <cell r="K36">
            <v>1.1879628140721564E-2</v>
          </cell>
          <cell r="L36">
            <v>2.9410860486476339E-2</v>
          </cell>
          <cell r="M36">
            <v>1.5858645114747156E-3</v>
          </cell>
          <cell r="N36">
            <v>7.7769627877592869E-4</v>
          </cell>
          <cell r="O36">
            <v>7.5649060987528782E-4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2.95024149031193E-4</v>
          </cell>
          <cell r="F37">
            <v>9.4846099576034002E-5</v>
          </cell>
          <cell r="G37">
            <v>4.0831018093276199E-4</v>
          </cell>
          <cell r="H37">
            <v>2.8060797035188E-4</v>
          </cell>
          <cell r="J37">
            <v>2.14669037662517E-3</v>
          </cell>
          <cell r="L37">
            <v>3.30201806337619E-3</v>
          </cell>
          <cell r="M37">
            <v>2.8396920044194199E-5</v>
          </cell>
          <cell r="N37">
            <v>2.51789858437568E-5</v>
          </cell>
          <cell r="O37">
            <v>3.8663555815067303E-5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1.5079812834961819E-6</v>
          </cell>
          <cell r="E38">
            <v>2.9259456141075162E-4</v>
          </cell>
          <cell r="F38">
            <v>3.6944108061228733E-4</v>
          </cell>
          <cell r="G38">
            <v>6.9087368817706714E-4</v>
          </cell>
          <cell r="H38">
            <v>7.2427224437892344E-4</v>
          </cell>
          <cell r="I38">
            <v>4.389532076278097E-4</v>
          </cell>
          <cell r="J38">
            <v>2.2323386003458411E-3</v>
          </cell>
          <cell r="K38">
            <v>1.7963540538748933E-3</v>
          </cell>
          <cell r="L38">
            <v>4.453880313806783E-3</v>
          </cell>
          <cell r="M38">
            <v>2.1918706719409016E-4</v>
          </cell>
          <cell r="N38">
            <v>9.3746387814210019E-5</v>
          </cell>
          <cell r="O38">
            <v>9.1071768438068395E-5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8.5631145853598781E-2</v>
          </cell>
          <cell r="E39">
            <v>0.16252729758716916</v>
          </cell>
          <cell r="F39">
            <v>0.16245528036409049</v>
          </cell>
          <cell r="G39">
            <v>0.18412902459569042</v>
          </cell>
          <cell r="H39">
            <v>7.8806657885704776E-2</v>
          </cell>
          <cell r="I39">
            <v>2.6434867353652362E-2</v>
          </cell>
          <cell r="J39">
            <v>1.0688092116539602E-2</v>
          </cell>
          <cell r="K39">
            <v>7.2139501505560756E-3</v>
          </cell>
          <cell r="L39">
            <v>0.78418335289545726</v>
          </cell>
          <cell r="M39">
            <v>2.1990085889823323</v>
          </cell>
          <cell r="N39">
            <v>2.1104698915134179</v>
          </cell>
          <cell r="O39">
            <v>2.0401679848450192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8.5631145853598781E-2</v>
          </cell>
          <cell r="E40">
            <v>0.16252729758716916</v>
          </cell>
          <cell r="F40">
            <v>0.16245528036409049</v>
          </cell>
          <cell r="G40">
            <v>0.18412902459569042</v>
          </cell>
          <cell r="H40">
            <v>7.8806657885704776E-2</v>
          </cell>
          <cell r="I40">
            <v>2.6434867353652362E-2</v>
          </cell>
          <cell r="J40">
            <v>1.0688092116539602E-2</v>
          </cell>
          <cell r="K40">
            <v>7.2139501505560756E-3</v>
          </cell>
          <cell r="L40">
            <v>0.78418335289545726</v>
          </cell>
          <cell r="M40">
            <v>2.1990085889823323</v>
          </cell>
          <cell r="N40">
            <v>2.1104698915134179</v>
          </cell>
          <cell r="O40">
            <v>2.0401679848450192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3.5106100143585199E-4</v>
          </cell>
          <cell r="F41">
            <v>5.1845386794461201E-4</v>
          </cell>
          <cell r="G41">
            <v>4.53302921982032E-3</v>
          </cell>
          <cell r="H41">
            <v>7.1846926306193997E-4</v>
          </cell>
          <cell r="J41">
            <v>6.8500634075573401E-4</v>
          </cell>
          <cell r="L41">
            <v>8.7759840705085204E-2</v>
          </cell>
          <cell r="M41">
            <v>0.159451318135336</v>
          </cell>
          <cell r="N41">
            <v>1.7899328541037901E-2</v>
          </cell>
          <cell r="O41">
            <v>5.2095578757599799E-2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7.2626991815871664E-3</v>
          </cell>
          <cell r="E42">
            <v>1.2804712724214589E-2</v>
          </cell>
          <cell r="F42">
            <v>1.278009300440841E-2</v>
          </cell>
          <cell r="G42">
            <v>1.4550350193534636E-2</v>
          </cell>
          <cell r="H42">
            <v>6.3799318234091084E-3</v>
          </cell>
          <cell r="I42">
            <v>2.7354064459246367E-3</v>
          </cell>
          <cell r="J42">
            <v>1.1016333276475333E-3</v>
          </cell>
          <cell r="K42">
            <v>5.7320410806304691E-4</v>
          </cell>
          <cell r="L42">
            <v>8.8127359912065259E-2</v>
          </cell>
          <cell r="M42">
            <v>0.24721106562922215</v>
          </cell>
          <cell r="N42">
            <v>0.23728911291189564</v>
          </cell>
          <cell r="O42">
            <v>0.22944585177296298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3.1010713396573541E-5</v>
          </cell>
          <cell r="E43">
            <v>1.7442649187500055E-3</v>
          </cell>
          <cell r="F43">
            <v>3.0095548263106508E-3</v>
          </cell>
          <cell r="G43">
            <v>1.546628413689459</v>
          </cell>
          <cell r="H43">
            <v>1.1956916099003234</v>
          </cell>
          <cell r="I43">
            <v>0.69982929614645839</v>
          </cell>
          <cell r="J43">
            <v>6.169022591200924E-2</v>
          </cell>
          <cell r="K43">
            <v>5.1387857160310496E-2</v>
          </cell>
          <cell r="L43">
            <v>3.4674837854618987E-2</v>
          </cell>
          <cell r="M43">
            <v>2.1207429163805796E-3</v>
          </cell>
          <cell r="N43">
            <v>1.8647828709891271E-3</v>
          </cell>
          <cell r="O43">
            <v>1.2149312563387062E-3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3.1010713396573541E-5</v>
          </cell>
          <cell r="E44">
            <v>1.7442649187500055E-3</v>
          </cell>
          <cell r="F44">
            <v>3.0095548263106508E-3</v>
          </cell>
          <cell r="G44">
            <v>1.546628413689459</v>
          </cell>
          <cell r="H44">
            <v>1.1956916099003234</v>
          </cell>
          <cell r="I44">
            <v>0.69982929614645839</v>
          </cell>
          <cell r="J44">
            <v>6.169022591200924E-2</v>
          </cell>
          <cell r="K44">
            <v>5.1387857160310496E-2</v>
          </cell>
          <cell r="L44">
            <v>3.4674837854618987E-2</v>
          </cell>
          <cell r="M44">
            <v>2.1207429163805796E-3</v>
          </cell>
          <cell r="N44">
            <v>1.8647828709891271E-3</v>
          </cell>
          <cell r="O44">
            <v>1.2149312563387062E-3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1.30016411828693E-4</v>
          </cell>
          <cell r="F45">
            <v>1.02352761847132E-4</v>
          </cell>
          <cell r="G45">
            <v>0.16153676993003099</v>
          </cell>
          <cell r="H45">
            <v>4.3791555064141098E-4</v>
          </cell>
          <cell r="J45">
            <v>6.45905528218714E-3</v>
          </cell>
          <cell r="L45">
            <v>1.60266188726911E-4</v>
          </cell>
          <cell r="M45">
            <v>3.0741262123011802E-5</v>
          </cell>
          <cell r="N45">
            <v>2.5047387438423001E-5</v>
          </cell>
          <cell r="O45">
            <v>4.5499413605135702E-5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1.2853579729773008E-4</v>
          </cell>
          <cell r="F46">
            <v>2.2214486252825725E-4</v>
          </cell>
          <cell r="G46">
            <v>0.15334516206212698</v>
          </cell>
          <cell r="H46">
            <v>0.12538259792942519</v>
          </cell>
          <cell r="I46">
            <v>7.3754626236277224E-2</v>
          </cell>
          <cell r="J46">
            <v>6.468251105493753E-3</v>
          </cell>
          <cell r="K46">
            <v>5.4049926335433558E-3</v>
          </cell>
          <cell r="L46">
            <v>3.6265915923772581E-3</v>
          </cell>
          <cell r="M46">
            <v>1.9091849670831331E-4</v>
          </cell>
          <cell r="N46">
            <v>1.6436635127747607E-4</v>
          </cell>
          <cell r="O46">
            <v>1.0115317231750187E-4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  <cell r="H47">
            <v>0.23259804492562927</v>
          </cell>
          <cell r="I47">
            <v>0.2450572022035509</v>
          </cell>
          <cell r="J47">
            <v>0.25424543348463202</v>
          </cell>
          <cell r="K47">
            <v>0.26342777845819421</v>
          </cell>
          <cell r="L47">
            <v>0.27585990923617076</v>
          </cell>
          <cell r="M47">
            <v>0.28826612677372787</v>
          </cell>
          <cell r="N47">
            <v>0.30062869781440338</v>
          </cell>
          <cell r="O47">
            <v>0.31293726289695911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  <cell r="H48">
            <v>9.2102053769306007</v>
          </cell>
          <cell r="I48">
            <v>9.7105727741802532</v>
          </cell>
          <cell r="J48">
            <v>10.081958071196144</v>
          </cell>
          <cell r="K48">
            <v>10.453647994374153</v>
          </cell>
          <cell r="L48">
            <v>10.946994291160454</v>
          </cell>
          <cell r="M48">
            <v>11.43931226855187</v>
          </cell>
          <cell r="N48">
            <v>11.929898214806496</v>
          </cell>
          <cell r="O48">
            <v>12.418341033714837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4.4022366279472098E-5</v>
          </cell>
          <cell r="E49">
            <v>5.4072390631958102E-5</v>
          </cell>
          <cell r="F49">
            <v>8.1094063102789995E-5</v>
          </cell>
          <cell r="G49">
            <v>1.3511231735195399E-4</v>
          </cell>
          <cell r="H49">
            <v>1.3342001635450101E-4</v>
          </cell>
          <cell r="I49">
            <v>1.3360993930865901E-4</v>
          </cell>
          <cell r="J49">
            <v>9.8656901285567404E-5</v>
          </cell>
          <cell r="K49">
            <v>1.49492644074035E-3</v>
          </cell>
          <cell r="L49">
            <v>9.7784115905105891E-4</v>
          </cell>
          <cell r="M49">
            <v>2.5682916349117598E-4</v>
          </cell>
          <cell r="N49">
            <v>2.6342327295086697E-4</v>
          </cell>
          <cell r="O49">
            <v>2.6899983970560899E-4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2.0938248641446519E-3</v>
          </cell>
          <cell r="E50">
            <v>2.1478972547766101E-3</v>
          </cell>
          <cell r="F50">
            <v>2.2289913178793999E-3</v>
          </cell>
          <cell r="G50">
            <v>2.3641036352313538E-3</v>
          </cell>
          <cell r="H50">
            <v>2.4975236515858549E-3</v>
          </cell>
          <cell r="I50">
            <v>2.6311335908945138E-3</v>
          </cell>
          <cell r="J50">
            <v>2.729790492180082E-3</v>
          </cell>
          <cell r="K50">
            <v>2.8285517728792661E-3</v>
          </cell>
          <cell r="L50">
            <v>2.9619326549994401E-3</v>
          </cell>
          <cell r="M50">
            <v>3.0952836202313102E-3</v>
          </cell>
          <cell r="N50">
            <v>3.2279984730985397E-3</v>
          </cell>
          <cell r="O50">
            <v>3.3606767772246201E-3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1.438083320466579E-4</v>
          </cell>
          <cell r="E51">
            <v>0.4382107188016815</v>
          </cell>
          <cell r="F51">
            <v>0.97811168262166914</v>
          </cell>
          <cell r="G51">
            <v>0.85059664469083018</v>
          </cell>
          <cell r="H51">
            <v>4.4796877781671807</v>
          </cell>
          <cell r="I51">
            <v>3.5764947062752843</v>
          </cell>
          <cell r="J51">
            <v>3.2043336245904381</v>
          </cell>
          <cell r="K51">
            <v>0.42791159367029957</v>
          </cell>
          <cell r="L51">
            <v>0.28723484031243829</v>
          </cell>
          <cell r="M51">
            <v>3.1429953401429151E-3</v>
          </cell>
          <cell r="N51">
            <v>2.678515557574008E-3</v>
          </cell>
          <cell r="O51">
            <v>1.549245652392524E-3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1.438083320466579E-4</v>
          </cell>
          <cell r="E52">
            <v>0.4382107188016815</v>
          </cell>
          <cell r="F52">
            <v>0.97811168262166914</v>
          </cell>
          <cell r="G52">
            <v>0.85059664469083018</v>
          </cell>
          <cell r="H52">
            <v>4.4796877781671807</v>
          </cell>
          <cell r="I52">
            <v>3.5764947062752843</v>
          </cell>
          <cell r="J52">
            <v>3.2043336245904381</v>
          </cell>
          <cell r="K52">
            <v>0.42791159367029957</v>
          </cell>
          <cell r="L52">
            <v>0.28723484031243829</v>
          </cell>
          <cell r="M52">
            <v>3.1429953401429151E-3</v>
          </cell>
          <cell r="N52">
            <v>2.678515557574008E-3</v>
          </cell>
          <cell r="O52">
            <v>1.549245652392524E-3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3.0527751190447702E-2</v>
          </cell>
          <cell r="F53">
            <v>3.9366102139091502E-2</v>
          </cell>
          <cell r="G53">
            <v>1.6380291016100501E-3</v>
          </cell>
          <cell r="H53">
            <v>0.28060988585928398</v>
          </cell>
          <cell r="J53">
            <v>5.0177094883755803E-2</v>
          </cell>
          <cell r="L53">
            <v>2.04352101343489E-4</v>
          </cell>
          <cell r="M53">
            <v>3.6394489392417701E-5</v>
          </cell>
          <cell r="N53">
            <v>3.1241344662618603E-5</v>
          </cell>
          <cell r="O53">
            <v>5.2639169368890002E-5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4.0699052660908299E-6</v>
          </cell>
          <cell r="E54">
            <v>3.0125328999907774E-2</v>
          </cell>
          <cell r="F54">
            <v>6.7243101510275613E-2</v>
          </cell>
          <cell r="G54">
            <v>5.8501835184683965E-2</v>
          </cell>
          <cell r="H54">
            <v>0.30806261052781531</v>
          </cell>
          <cell r="I54">
            <v>0.24892739416536447</v>
          </cell>
          <cell r="J54">
            <v>0.22174089943672032</v>
          </cell>
          <cell r="K54">
            <v>4.1988723509447705E-2</v>
          </cell>
          <cell r="L54">
            <v>2.7132937295530957E-2</v>
          </cell>
          <cell r="M54">
            <v>2.4058372869054505E-4</v>
          </cell>
          <cell r="N54">
            <v>2.0668086384687638E-4</v>
          </cell>
          <cell r="O54">
            <v>1.1998296974592753E-4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3.0585400325150404E-3</v>
          </cell>
          <cell r="E55">
            <v>1.8679492004111588E-2</v>
          </cell>
          <cell r="F55">
            <v>2.6083866745504471E-2</v>
          </cell>
          <cell r="G55">
            <v>1.8901993568368589</v>
          </cell>
          <cell r="H55">
            <v>1.541220259566761</v>
          </cell>
          <cell r="I55">
            <v>0.63808098342658393</v>
          </cell>
          <cell r="J55">
            <v>1.4641558935436931</v>
          </cell>
          <cell r="K55">
            <v>1.2678170732455201</v>
          </cell>
          <cell r="L55">
            <v>1.3275855980072229</v>
          </cell>
          <cell r="M55">
            <v>1.5889032145235398</v>
          </cell>
          <cell r="N55">
            <v>1.5230357465322497</v>
          </cell>
          <cell r="O55">
            <v>1.4569154818925825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3.0585400325150404E-3</v>
          </cell>
          <cell r="E56">
            <v>1.8679492004111588E-2</v>
          </cell>
          <cell r="F56">
            <v>2.6083866745504471E-2</v>
          </cell>
          <cell r="G56">
            <v>1.8901993568368589</v>
          </cell>
          <cell r="H56">
            <v>1.541220259566761</v>
          </cell>
          <cell r="I56">
            <v>0.63808098342658393</v>
          </cell>
          <cell r="J56">
            <v>1.4641558935436931</v>
          </cell>
          <cell r="K56">
            <v>1.2678170732455201</v>
          </cell>
          <cell r="L56">
            <v>1.3275855980072229</v>
          </cell>
          <cell r="M56">
            <v>1.5889032145235398</v>
          </cell>
          <cell r="N56">
            <v>1.5230357465322497</v>
          </cell>
          <cell r="O56">
            <v>1.4569154818925825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7.9700452910297598E-4</v>
          </cell>
          <cell r="F57">
            <v>6.5324730002475604E-4</v>
          </cell>
          <cell r="G57">
            <v>0.15526663985650299</v>
          </cell>
          <cell r="H57">
            <v>8.7537306428458095E-4</v>
          </cell>
          <cell r="J57">
            <v>0.17038565117728699</v>
          </cell>
          <cell r="L57">
            <v>5.7793136600708298E-2</v>
          </cell>
          <cell r="M57">
            <v>0.118960779527354</v>
          </cell>
          <cell r="N57">
            <v>1.17494495868642E-2</v>
          </cell>
          <cell r="O57">
            <v>3.31051551074013E-2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2.5904001350604474E-4</v>
          </cell>
          <cell r="E58">
            <v>1.4662976126402685E-3</v>
          </cell>
          <cell r="F58">
            <v>2.0384055714252106E-3</v>
          </cell>
          <cell r="G58">
            <v>0.1488798815441813</v>
          </cell>
          <cell r="H58">
            <v>0.12159169236020979</v>
          </cell>
          <cell r="I58">
            <v>7.1342330428585815E-2</v>
          </cell>
          <cell r="J58">
            <v>0.16402538774634159</v>
          </cell>
          <cell r="K58">
            <v>0.14258054153239247</v>
          </cell>
          <cell r="L58">
            <v>0.14923437551133148</v>
          </cell>
          <cell r="M58">
            <v>0.17675359199413207</v>
          </cell>
          <cell r="N58">
            <v>0.17016492055103516</v>
          </cell>
          <cell r="O58">
            <v>0.16380160632087601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  <cell r="G59">
            <v>3.3178529893213109E-5</v>
          </cell>
          <cell r="H59">
            <v>6.0697239096849001E-5</v>
          </cell>
          <cell r="I59">
            <v>8.8320082755791364E-5</v>
          </cell>
          <cell r="J59">
            <v>9.0091970092338072E-5</v>
          </cell>
          <cell r="K59">
            <v>9.012779544601949E-5</v>
          </cell>
          <cell r="L59">
            <v>8.8378133807785191E-5</v>
          </cell>
          <cell r="M59">
            <v>9.0524165169595587E-5</v>
          </cell>
          <cell r="N59">
            <v>8.8588875166922045E-5</v>
          </cell>
          <cell r="O59">
            <v>9.1349989890346852E-5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  <cell r="G60">
            <v>1.4154556538438625E-4</v>
          </cell>
          <cell r="H60">
            <v>2.5002800364446517E-4</v>
          </cell>
          <cell r="I60">
            <v>3.5026211408411829E-4</v>
          </cell>
          <cell r="J60">
            <v>3.3543960503041144E-4</v>
          </cell>
          <cell r="K60">
            <v>3.1463887714606873E-4</v>
          </cell>
          <cell r="L60">
            <v>2.9656531022421664E-4</v>
          </cell>
          <cell r="M60">
            <v>2.9832547306694651E-4</v>
          </cell>
          <cell r="N60">
            <v>2.9194765887238647E-4</v>
          </cell>
          <cell r="O60">
            <v>3.0104700659367871E-4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  <cell r="G61">
            <v>1.8428544523236201E-7</v>
          </cell>
          <cell r="H61">
            <v>1.2640041523940599E-7</v>
          </cell>
          <cell r="I61">
            <v>1.2993748521106401E-7</v>
          </cell>
          <cell r="J61">
            <v>1.2203752130186399E-7</v>
          </cell>
          <cell r="K61">
            <v>1.3671873108361401E-7</v>
          </cell>
          <cell r="L61">
            <v>1.14041667460127E-7</v>
          </cell>
          <cell r="M61">
            <v>1.2529638698196099E-7</v>
          </cell>
          <cell r="N61">
            <v>1.3380146596485101E-7</v>
          </cell>
          <cell r="O61">
            <v>1.2860559192027899E-7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G62">
            <v>1.8428544523236201E-7</v>
          </cell>
          <cell r="H62">
            <v>1.4982526839426202E-7</v>
          </cell>
          <cell r="I62">
            <v>2.096456300996484E-7</v>
          </cell>
          <cell r="J62">
            <v>2.0974124829232203E-7</v>
          </cell>
          <cell r="K62">
            <v>2.250656053782485E-7</v>
          </cell>
          <cell r="L62">
            <v>1.8677134740162601E-7</v>
          </cell>
          <cell r="M62">
            <v>2.0066102672284099E-7</v>
          </cell>
          <cell r="N62">
            <v>2.0425176840531119E-7</v>
          </cell>
          <cell r="O62">
            <v>2.1113329133730402E-7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D63">
            <v>3.6284850570389573E-4</v>
          </cell>
          <cell r="E63">
            <v>2.4259100655620197E-3</v>
          </cell>
          <cell r="F63">
            <v>3.1124077908091271E-3</v>
          </cell>
          <cell r="G63">
            <v>2.8449400381357556E-3</v>
          </cell>
          <cell r="H63">
            <v>3.043291964228399E-3</v>
          </cell>
          <cell r="I63">
            <v>1.6749635330722428E-3</v>
          </cell>
          <cell r="J63">
            <v>1.4062675903619597E-3</v>
          </cell>
          <cell r="K63">
            <v>5.5276987538984334E-4</v>
          </cell>
          <cell r="L63">
            <v>3.4336864312862754E-3</v>
          </cell>
          <cell r="M63">
            <v>6.0073908306812343E-3</v>
          </cell>
          <cell r="N63">
            <v>7.3331348387576526E-3</v>
          </cell>
          <cell r="O63">
            <v>9.1462569732924572E-3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D64">
            <v>3.7520828510123602E-2</v>
          </cell>
          <cell r="E64">
            <v>0.25085443131248297</v>
          </cell>
          <cell r="F64">
            <v>0.32184263442391281</v>
          </cell>
          <cell r="G64">
            <v>0.29418477853560587</v>
          </cell>
          <cell r="H64">
            <v>0.31469562117814998</v>
          </cell>
          <cell r="I64">
            <v>0.1675742693653442</v>
          </cell>
          <cell r="J64">
            <v>0.13324105733037669</v>
          </cell>
          <cell r="K64">
            <v>4.9695465450649998E-2</v>
          </cell>
          <cell r="L64">
            <v>0.29601606986255735</v>
          </cell>
          <cell r="M64">
            <v>0.47798564393382803</v>
          </cell>
          <cell r="N64">
            <v>0.56253572269262908</v>
          </cell>
          <cell r="O64">
            <v>0.67673511436786904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D65">
            <v>5.0841231043527858E-4</v>
          </cell>
          <cell r="E65">
            <v>3.3991115353995088E-3</v>
          </cell>
          <cell r="F65">
            <v>4.3610113065570858E-3</v>
          </cell>
          <cell r="G65">
            <v>3.9862436115935757E-3</v>
          </cell>
          <cell r="H65">
            <v>4.2641683086470207E-3</v>
          </cell>
          <cell r="I65">
            <v>2.2706540564409773E-3</v>
          </cell>
          <cell r="J65">
            <v>1.8054343811704165E-3</v>
          </cell>
          <cell r="K65">
            <v>6.7338029065921166E-4</v>
          </cell>
          <cell r="L65">
            <v>4.0110578572162331E-3</v>
          </cell>
          <cell r="M65">
            <v>6.4767702430057967E-3</v>
          </cell>
          <cell r="N65">
            <v>7.6224352668377978E-3</v>
          </cell>
          <cell r="O65">
            <v>9.1698524982096116E-3</v>
          </cell>
        </row>
        <row r="66">
          <cell r="A66" t="str">
            <v>T_B_u-FCLH2O-S2</v>
          </cell>
          <cell r="B66" t="str">
            <v>VAR_fout</v>
          </cell>
          <cell r="C66" t="str">
            <v>TPBSu</v>
          </cell>
          <cell r="G66">
            <v>2.8772325314329719E-5</v>
          </cell>
          <cell r="H66">
            <v>5.7127070514147029E-5</v>
          </cell>
          <cell r="I66">
            <v>8.2887787090034338E-5</v>
          </cell>
          <cell r="J66">
            <v>8.4630038941285737E-5</v>
          </cell>
          <cell r="K66">
            <v>8.5047578599689279E-5</v>
          </cell>
          <cell r="L66">
            <v>8.4700520282470927E-5</v>
          </cell>
          <cell r="M66">
            <v>8.6492267142929981E-5</v>
          </cell>
          <cell r="N66">
            <v>8.523090880747602E-5</v>
          </cell>
          <cell r="O66">
            <v>8.8606398107900756E-5</v>
          </cell>
        </row>
        <row r="67">
          <cell r="A67" t="str">
            <v>T_B_u-FCLH2O-S2</v>
          </cell>
          <cell r="B67" t="str">
            <v>VAR_fin</v>
          </cell>
          <cell r="C67" t="str">
            <v>TH2O</v>
          </cell>
          <cell r="G67">
            <v>1.7014824141355555E-4</v>
          </cell>
          <cell r="H67">
            <v>3.2672727344949619E-4</v>
          </cell>
          <cell r="I67">
            <v>4.5667188704421756E-4</v>
          </cell>
          <cell r="J67">
            <v>4.3739938692672269E-4</v>
          </cell>
          <cell r="K67">
            <v>4.1222601509201831E-4</v>
          </cell>
          <cell r="L67">
            <v>3.9419756204354652E-4</v>
          </cell>
          <cell r="M67">
            <v>3.9527958195984209E-4</v>
          </cell>
          <cell r="N67">
            <v>3.895150296824008E-4</v>
          </cell>
          <cell r="O67">
            <v>4.0494140297166696E-4</v>
          </cell>
        </row>
        <row r="68">
          <cell r="A68" t="str">
            <v>T_B_u-FCLH2O-S2</v>
          </cell>
          <cell r="B68" t="str">
            <v>VAR_ncap</v>
          </cell>
          <cell r="C68" t="str">
            <v>-</v>
          </cell>
          <cell r="G68">
            <v>8.1031354671642301E-8</v>
          </cell>
          <cell r="H68">
            <v>6.0186943600767197E-8</v>
          </cell>
          <cell r="I68">
            <v>5.6514252871062299E-8</v>
          </cell>
          <cell r="J68">
            <v>5.9336591088216697E-8</v>
          </cell>
          <cell r="K68">
            <v>7.5959610733512494E-8</v>
          </cell>
          <cell r="L68">
            <v>6.3332232230013605E-8</v>
          </cell>
          <cell r="M68">
            <v>7.7059967966727401E-8</v>
          </cell>
          <cell r="N68">
            <v>8.2357529003206404E-8</v>
          </cell>
          <cell r="O68">
            <v>1.00118803241605E-7</v>
          </cell>
        </row>
        <row r="69">
          <cell r="A69" t="str">
            <v>T_B_u-FCLH2O-S2</v>
          </cell>
          <cell r="B69" t="str">
            <v>VAR_cap</v>
          </cell>
          <cell r="C69" t="str">
            <v>-</v>
          </cell>
          <cell r="G69">
            <v>8.1031354671642301E-8</v>
          </cell>
          <cell r="H69">
            <v>6.710810728186301E-8</v>
          </cell>
          <cell r="I69">
            <v>9.278448290459959E-8</v>
          </cell>
          <cell r="J69">
            <v>9.1798129058945384E-8</v>
          </cell>
          <cell r="K69">
            <v>1.2014830349546119E-7</v>
          </cell>
          <cell r="L69">
            <v>1.098179981120739E-7</v>
          </cell>
          <cell r="M69">
            <v>1.199236136839334E-7</v>
          </cell>
          <cell r="N69">
            <v>1.3195491602812351E-7</v>
          </cell>
          <cell r="O69">
            <v>1.5752694848930481E-7</v>
          </cell>
        </row>
        <row r="70">
          <cell r="A70" t="str">
            <v>T-Plg-GSL-mix_S2</v>
          </cell>
          <cell r="B70" t="str">
            <v>VAR_fout</v>
          </cell>
          <cell r="C70" t="str">
            <v>CO2_T</v>
          </cell>
          <cell r="D70">
            <v>6.1126384433330996</v>
          </cell>
          <cell r="E70">
            <v>12.07392926769004</v>
          </cell>
          <cell r="F70">
            <v>10.41024445755075</v>
          </cell>
          <cell r="G70">
            <v>23.082931254962638</v>
          </cell>
          <cell r="H70">
            <v>9.5158978330455195</v>
          </cell>
          <cell r="I70">
            <v>4.3122017661068721</v>
          </cell>
          <cell r="J70">
            <v>0.44863972537924002</v>
          </cell>
          <cell r="K70">
            <v>0.25150744678462339</v>
          </cell>
          <cell r="L70">
            <v>1.000986181789185</v>
          </cell>
          <cell r="M70">
            <v>0.96502171854625907</v>
          </cell>
          <cell r="N70">
            <v>0.77341279225035198</v>
          </cell>
          <cell r="O70">
            <v>0.40299770865868301</v>
          </cell>
        </row>
        <row r="71">
          <cell r="A71" t="str">
            <v>T-Plg-GSL-mix_S2</v>
          </cell>
          <cell r="B71" t="str">
            <v>VAR_fout</v>
          </cell>
          <cell r="C71" t="str">
            <v>T-PEVmix-ELC_GSL_S2</v>
          </cell>
          <cell r="D71">
            <v>4.8538005165270209E-2</v>
          </cell>
          <cell r="E71">
            <v>9.5874219715944439E-2</v>
          </cell>
          <cell r="F71">
            <v>8.2663567285487571E-2</v>
          </cell>
          <cell r="G71">
            <v>0.1832922799000069</v>
          </cell>
          <cell r="H71">
            <v>7.5561920184615369E-2</v>
          </cell>
          <cell r="I71">
            <v>3.6146028735554857E-2</v>
          </cell>
          <cell r="J71">
            <v>3.9245303542774649E-3</v>
          </cell>
          <cell r="K71">
            <v>2.3214533122615012E-3</v>
          </cell>
          <cell r="L71">
            <v>9.7627932413555749E-3</v>
          </cell>
          <cell r="M71">
            <v>1.0077634092305452E-2</v>
          </cell>
          <cell r="N71">
            <v>8.3849664097092949E-3</v>
          </cell>
          <cell r="O71">
            <v>4.5061921474558201E-3</v>
          </cell>
        </row>
        <row r="72">
          <cell r="A72" t="str">
            <v>T-Plg-GSL-mix_S2</v>
          </cell>
          <cell r="B72" t="str">
            <v>VAR_fin</v>
          </cell>
          <cell r="C72" t="str">
            <v>TGSL</v>
          </cell>
          <cell r="D72">
            <v>8.2827079177955315E-2</v>
          </cell>
          <cell r="E72">
            <v>0.16360337761097624</v>
          </cell>
          <cell r="F72">
            <v>0.14106022300204282</v>
          </cell>
          <cell r="G72">
            <v>0.31277684627320701</v>
          </cell>
          <cell r="H72">
            <v>0.12894170505481736</v>
          </cell>
          <cell r="I72">
            <v>5.8430918239930567E-2</v>
          </cell>
          <cell r="J72">
            <v>6.0791290701793987E-3</v>
          </cell>
          <cell r="K72">
            <v>3.4079599835314862E-3</v>
          </cell>
          <cell r="L72">
            <v>1.3563498398227408E-2</v>
          </cell>
          <cell r="M72">
            <v>1.3076175048052275E-2</v>
          </cell>
          <cell r="N72">
            <v>1.0479848133473607E-2</v>
          </cell>
          <cell r="O72">
            <v>5.4606735590607466E-3</v>
          </cell>
        </row>
        <row r="73">
          <cell r="A73" t="str">
            <v>T_B_u-FCLH2O-S3</v>
          </cell>
          <cell r="B73" t="str">
            <v>VAR_fout</v>
          </cell>
          <cell r="C73" t="str">
            <v>TPBSu</v>
          </cell>
          <cell r="G73">
            <v>4.8570518509502557E-5</v>
          </cell>
          <cell r="H73">
            <v>7.3115552771402511E-5</v>
          </cell>
          <cell r="I73">
            <v>6.6604821740430775E-5</v>
          </cell>
          <cell r="J73">
            <v>8.7140470226411068E-5</v>
          </cell>
          <cell r="K73">
            <v>6.6452720822781204E-5</v>
          </cell>
          <cell r="L73">
            <v>9.366380582935771E-5</v>
          </cell>
          <cell r="M73">
            <v>6.4696311191828117E-5</v>
          </cell>
          <cell r="N73">
            <v>6.7081950974277058E-5</v>
          </cell>
          <cell r="O73">
            <v>6.6394987179171187E-5</v>
          </cell>
        </row>
        <row r="74">
          <cell r="A74" t="str">
            <v>T_B_u-FCLH2O-S3</v>
          </cell>
          <cell r="B74" t="str">
            <v>VAR_fin</v>
          </cell>
          <cell r="C74" t="str">
            <v>TH2O</v>
          </cell>
          <cell r="G74">
            <v>4.2941569515404034E-4</v>
          </cell>
          <cell r="H74">
            <v>6.2741055305132935E-4</v>
          </cell>
          <cell r="I74">
            <v>5.3202779111276993E-4</v>
          </cell>
          <cell r="J74">
            <v>6.7032082403273058E-4</v>
          </cell>
          <cell r="K74">
            <v>4.6779055868188856E-4</v>
          </cell>
          <cell r="L74">
            <v>6.4932875440420524E-4</v>
          </cell>
          <cell r="M74">
            <v>4.4134235789161451E-4</v>
          </cell>
          <cell r="N74">
            <v>4.5761660702993412E-4</v>
          </cell>
          <cell r="O74">
            <v>4.5293030860684135E-4</v>
          </cell>
        </row>
        <row r="75">
          <cell r="A75" t="str">
            <v>T_B_u-FCLH2O-S3</v>
          </cell>
          <cell r="B75" t="str">
            <v>VAR_ncap</v>
          </cell>
          <cell r="C75" t="str">
            <v>-</v>
          </cell>
          <cell r="G75">
            <v>4.5015924488082597E-7</v>
          </cell>
          <cell r="H75">
            <v>1.24086779567425E-7</v>
          </cell>
          <cell r="I75">
            <v>1.1405424485689601E-7</v>
          </cell>
          <cell r="J75">
            <v>1.10292551911517E-7</v>
          </cell>
          <cell r="K75">
            <v>1.2903910703472E-7</v>
          </cell>
          <cell r="L75">
            <v>1.4863781393695801E-7</v>
          </cell>
          <cell r="M75">
            <v>1.4617560262668199E-7</v>
          </cell>
          <cell r="N75">
            <v>1.10305555426992E-7</v>
          </cell>
          <cell r="O75">
            <v>1.3991092336318099E-7</v>
          </cell>
        </row>
        <row r="76">
          <cell r="A76" t="str">
            <v>T_B_u-FCLH2O-S3</v>
          </cell>
          <cell r="B76" t="str">
            <v>VAR_cap</v>
          </cell>
          <cell r="C76" t="str">
            <v>-</v>
          </cell>
          <cell r="G76">
            <v>4.5015924488082597E-7</v>
          </cell>
          <cell r="H76">
            <v>4.1037475689642273E-7</v>
          </cell>
          <cell r="I76">
            <v>2.3814102442432099E-7</v>
          </cell>
          <cell r="J76">
            <v>2.2299209287789261E-7</v>
          </cell>
          <cell r="K76">
            <v>2.2807041763731901E-7</v>
          </cell>
          <cell r="L76">
            <v>2.7717893149224191E-7</v>
          </cell>
          <cell r="M76">
            <v>2.5901877393122299E-7</v>
          </cell>
          <cell r="N76">
            <v>2.3854374040052957E-7</v>
          </cell>
          <cell r="O76">
            <v>2.2985649614087372E-7</v>
          </cell>
        </row>
        <row r="77">
          <cell r="A77" t="str">
            <v>T-PHEV-STG_S1</v>
          </cell>
          <cell r="B77" t="str">
            <v>VAR_fout</v>
          </cell>
          <cell r="C77" t="str">
            <v>T-ELC-car-PlgSTGAUXout_S1</v>
          </cell>
          <cell r="E77">
            <v>3.2915974698831646E-4</v>
          </cell>
          <cell r="F77">
            <v>5.327635530717091E-4</v>
          </cell>
          <cell r="G77">
            <v>3.0687942079509248E-3</v>
          </cell>
          <cell r="H77">
            <v>5.3899867725418328E-3</v>
          </cell>
          <cell r="I77">
            <v>4.4100905918720108E-3</v>
          </cell>
          <cell r="J77">
            <v>1.5929108429866543E-2</v>
          </cell>
          <cell r="K77">
            <v>1.3921624401586796E-2</v>
          </cell>
          <cell r="L77">
            <v>4.2333719961885938E-2</v>
          </cell>
          <cell r="M77">
            <v>3.7497741932217395E-2</v>
          </cell>
          <cell r="N77">
            <v>3.3097115598042869E-2</v>
          </cell>
          <cell r="O77">
            <v>3.1682809529104711E-2</v>
          </cell>
        </row>
        <row r="78">
          <cell r="A78" t="str">
            <v>T-PHEV-STG_S1</v>
          </cell>
          <cell r="B78" t="str">
            <v>VAR_fout</v>
          </cell>
          <cell r="C78" t="str">
            <v>T-ELC-car-PlgSTGOut_S1</v>
          </cell>
          <cell r="E78">
            <v>3.2915974698831646E-4</v>
          </cell>
          <cell r="F78">
            <v>5.327635530717091E-4</v>
          </cell>
          <cell r="G78">
            <v>3.0687942079509244E-3</v>
          </cell>
          <cell r="H78">
            <v>5.3899867725418328E-3</v>
          </cell>
          <cell r="I78">
            <v>4.4100905918720099E-3</v>
          </cell>
          <cell r="J78">
            <v>1.5929108429866543E-2</v>
          </cell>
          <cell r="K78">
            <v>1.3921624401586796E-2</v>
          </cell>
          <cell r="L78">
            <v>4.2333719961885931E-2</v>
          </cell>
          <cell r="M78">
            <v>3.7497741932217395E-2</v>
          </cell>
          <cell r="N78">
            <v>3.3097115598042862E-2</v>
          </cell>
          <cell r="O78">
            <v>3.1682809529104711E-2</v>
          </cell>
        </row>
        <row r="79">
          <cell r="A79" t="str">
            <v>T-PHEV-STG_S1</v>
          </cell>
          <cell r="B79" t="str">
            <v>VAR_fin</v>
          </cell>
          <cell r="C79" t="str">
            <v>T-ELC-car-PlgSTGAUXin_S1</v>
          </cell>
          <cell r="E79">
            <v>3.2683626701586092E-4</v>
          </cell>
          <cell r="F79">
            <v>5.3360633414426385E-4</v>
          </cell>
          <cell r="G79">
            <v>3.069101118062727E-3</v>
          </cell>
          <cell r="H79">
            <v>5.3905258251243735E-3</v>
          </cell>
          <cell r="I79">
            <v>4.4105316450365152E-3</v>
          </cell>
          <cell r="J79">
            <v>1.5930701500016541E-2</v>
          </cell>
          <cell r="K79">
            <v>1.3923016703256956E-2</v>
          </cell>
          <cell r="L79">
            <v>4.2337953757261508E-2</v>
          </cell>
          <cell r="M79">
            <v>3.7501492081425683E-2</v>
          </cell>
          <cell r="N79">
            <v>3.3100425640606709E-2</v>
          </cell>
          <cell r="O79">
            <v>3.1685978126917272E-2</v>
          </cell>
        </row>
        <row r="80">
          <cell r="A80" t="str">
            <v>T-PHEV-STG_S1</v>
          </cell>
          <cell r="B80" t="str">
            <v>VAR_fin</v>
          </cell>
          <cell r="C80" t="str">
            <v>T-ELC-car-PlgSTGin_S1</v>
          </cell>
          <cell r="E80">
            <v>3.2683626701586092E-4</v>
          </cell>
          <cell r="F80">
            <v>5.3360633414426385E-4</v>
          </cell>
          <cell r="G80">
            <v>3.069101118062727E-3</v>
          </cell>
          <cell r="H80">
            <v>5.3905258251243735E-3</v>
          </cell>
          <cell r="I80">
            <v>4.4105316450365152E-3</v>
          </cell>
          <cell r="J80">
            <v>1.5930701500016541E-2</v>
          </cell>
          <cell r="K80">
            <v>1.3923016703256956E-2</v>
          </cell>
          <cell r="L80">
            <v>4.2337953757261508E-2</v>
          </cell>
          <cell r="M80">
            <v>3.7501492081425683E-2</v>
          </cell>
          <cell r="N80">
            <v>3.3100425640606709E-2</v>
          </cell>
          <cell r="O80">
            <v>3.1685978126917272E-2</v>
          </cell>
        </row>
        <row r="81">
          <cell r="A81" t="str">
            <v>T-PHEV-STG_S1</v>
          </cell>
          <cell r="B81" t="str">
            <v>VAR_ncap</v>
          </cell>
          <cell r="C81" t="str">
            <v>-</v>
          </cell>
          <cell r="E81">
            <v>2.6096985659526801E-2</v>
          </cell>
          <cell r="F81">
            <v>9.3495505162185695E-3</v>
          </cell>
          <cell r="G81">
            <v>2.8572611052606799E-2</v>
          </cell>
          <cell r="H81">
            <v>2.5450459375271101E-2</v>
          </cell>
          <cell r="J81">
            <v>9.80055825939386E-2</v>
          </cell>
          <cell r="L81">
            <v>0.17604546964854501</v>
          </cell>
          <cell r="M81">
            <v>3.8492970588610398E-2</v>
          </cell>
          <cell r="N81">
            <v>3.06780274166162E-2</v>
          </cell>
          <cell r="O81">
            <v>5.2914431983293798E-2</v>
          </cell>
        </row>
        <row r="82">
          <cell r="A82" t="str">
            <v>T-PHEV-STG_S1</v>
          </cell>
          <cell r="B82" t="str">
            <v>VAR_cap</v>
          </cell>
          <cell r="C82" t="str">
            <v>-</v>
          </cell>
          <cell r="E82">
            <v>2.6096985659526801E-2</v>
          </cell>
          <cell r="F82">
            <v>3.5435998812047148E-2</v>
          </cell>
          <cell r="G82">
            <v>6.3988739525598928E-2</v>
          </cell>
          <cell r="H82">
            <v>7.6691410927287498E-2</v>
          </cell>
          <cell r="I82">
            <v>5.049925747433201E-2</v>
          </cell>
          <cell r="J82">
            <v>0.12341546380579554</v>
          </cell>
          <cell r="K82">
            <v>9.7970977767798367E-2</v>
          </cell>
          <cell r="L82">
            <v>0.26093555978115263</v>
          </cell>
          <cell r="M82">
            <v>0.21447345805886425</v>
          </cell>
          <cell r="N82">
            <v>0.18922247920197319</v>
          </cell>
          <cell r="O82">
            <v>0.12202762692378895</v>
          </cell>
        </row>
        <row r="83">
          <cell r="A83" t="str">
            <v>T-Plg-GSL-mix_S3</v>
          </cell>
          <cell r="B83" t="str">
            <v>VAR_fout</v>
          </cell>
          <cell r="C83" t="str">
            <v>CO2_T</v>
          </cell>
          <cell r="D83">
            <v>6.3058541969161102</v>
          </cell>
          <cell r="E83">
            <v>19.79333107538347</v>
          </cell>
          <cell r="F83">
            <v>129.5313139147724</v>
          </cell>
          <cell r="G83">
            <v>284.07140697154523</v>
          </cell>
          <cell r="H83">
            <v>788.83106336300557</v>
          </cell>
          <cell r="I83">
            <v>502.5850066126784</v>
          </cell>
          <cell r="J83">
            <v>363.68705437070616</v>
          </cell>
          <cell r="K83">
            <v>96.660588773147026</v>
          </cell>
          <cell r="L83">
            <v>58.079825760682745</v>
          </cell>
          <cell r="M83">
            <v>1.777596505901011</v>
          </cell>
          <cell r="N83">
            <v>1.4801138187952421</v>
          </cell>
          <cell r="O83">
            <v>0.73693292968405</v>
          </cell>
        </row>
        <row r="84">
          <cell r="A84" t="str">
            <v>T-Plg-GSL-mix_S3</v>
          </cell>
          <cell r="B84" t="str">
            <v>VAR_fout</v>
          </cell>
          <cell r="C84" t="str">
            <v>T-PEVmix-ELC_GSL_S3</v>
          </cell>
          <cell r="D84">
            <v>4.6613467063120896E-2</v>
          </cell>
          <cell r="E84">
            <v>0.14631416416241438</v>
          </cell>
          <cell r="F84">
            <v>0.95750765023426421</v>
          </cell>
          <cell r="G84">
            <v>2.0998825470652878</v>
          </cell>
          <cell r="H84">
            <v>5.8311133816605905</v>
          </cell>
          <cell r="I84">
            <v>3.9366733522019017</v>
          </cell>
          <cell r="J84">
            <v>3.0091463426990694</v>
          </cell>
          <cell r="K84">
            <v>0.84812102711330117</v>
          </cell>
          <cell r="L84">
            <v>0.53847681649477808</v>
          </cell>
          <cell r="M84">
            <v>1.735797683277621E-2</v>
          </cell>
          <cell r="N84">
            <v>1.5091662655839753E-2</v>
          </cell>
          <cell r="O84">
            <v>7.6798321901469868E-3</v>
          </cell>
        </row>
        <row r="85">
          <cell r="A85" t="str">
            <v>T-Plg-GSL-mix_S3</v>
          </cell>
          <cell r="B85" t="str">
            <v>VAR_fin</v>
          </cell>
          <cell r="C85" t="str">
            <v>TGSL</v>
          </cell>
          <cell r="D85">
            <v>8.544517882000148E-2</v>
          </cell>
          <cell r="E85">
            <v>0.26820231809462702</v>
          </cell>
          <cell r="F85">
            <v>1.7551668552137187</v>
          </cell>
          <cell r="G85">
            <v>3.8492060565250035</v>
          </cell>
          <cell r="H85">
            <v>10.688767796246681</v>
          </cell>
          <cell r="I85">
            <v>6.810094940551199</v>
          </cell>
          <cell r="J85">
            <v>4.9280088668117417</v>
          </cell>
          <cell r="K85">
            <v>1.3097640755168969</v>
          </cell>
          <cell r="L85">
            <v>0.7869895089523411</v>
          </cell>
          <cell r="M85">
            <v>2.4086673521693944E-2</v>
          </cell>
          <cell r="N85">
            <v>2.00557428021036E-2</v>
          </cell>
          <cell r="O85">
            <v>9.9855410526293997E-3</v>
          </cell>
        </row>
        <row r="86">
          <cell r="A86" t="str">
            <v>T_B_u-FCLH2O-S4</v>
          </cell>
          <cell r="B86" t="str">
            <v>VAR_fout</v>
          </cell>
          <cell r="C86" t="str">
            <v>TPBSu</v>
          </cell>
          <cell r="G86">
            <v>2.3931994551559887E-5</v>
          </cell>
          <cell r="H86">
            <v>4.7828058801773695E-5</v>
          </cell>
          <cell r="I86">
            <v>4.859750974552246E-5</v>
          </cell>
          <cell r="J86">
            <v>4.6937182616565961E-5</v>
          </cell>
          <cell r="K86">
            <v>4.9083238104361454E-5</v>
          </cell>
          <cell r="L86">
            <v>4.971464647697735E-5</v>
          </cell>
          <cell r="M86">
            <v>4.8606066949767645E-5</v>
          </cell>
          <cell r="N86">
            <v>5.0348966245064171E-5</v>
          </cell>
          <cell r="O86">
            <v>5.0715669455511823E-5</v>
          </cell>
        </row>
        <row r="87">
          <cell r="A87" t="str">
            <v>T_B_u-FCLH2O-S4</v>
          </cell>
          <cell r="B87" t="str">
            <v>VAR_fin</v>
          </cell>
          <cell r="C87" t="str">
            <v>TH2O</v>
          </cell>
          <cell r="G87">
            <v>3.1532346280639748E-4</v>
          </cell>
          <cell r="H87">
            <v>6.0879539251907137E-4</v>
          </cell>
          <cell r="I87">
            <v>5.7771035220044453E-4</v>
          </cell>
          <cell r="J87">
            <v>5.2288513326286987E-4</v>
          </cell>
          <cell r="K87">
            <v>5.143226521057804E-4</v>
          </cell>
          <cell r="L87">
            <v>5.0495439641585701E-4</v>
          </cell>
          <cell r="M87">
            <v>4.9369449323419831E-4</v>
          </cell>
          <cell r="N87">
            <v>5.1139721716038833E-4</v>
          </cell>
          <cell r="O87">
            <v>5.1512184182167671E-4</v>
          </cell>
        </row>
        <row r="88">
          <cell r="A88" t="str">
            <v>T_B_u-FCLH2O-S4</v>
          </cell>
          <cell r="B88" t="str">
            <v>VAR_ncap</v>
          </cell>
          <cell r="C88" t="str">
            <v>-</v>
          </cell>
          <cell r="O88">
            <v>2.23438299856511E-8</v>
          </cell>
        </row>
        <row r="89">
          <cell r="A89" t="str">
            <v>T_B_u-FCLH2O-S4</v>
          </cell>
          <cell r="B89" t="str">
            <v>VAR_cap</v>
          </cell>
          <cell r="C89" t="str">
            <v>-</v>
          </cell>
          <cell r="H89">
            <v>-3.5966271878950602E-9</v>
          </cell>
          <cell r="M89">
            <v>-5.83175059032924E-9</v>
          </cell>
          <cell r="N89">
            <v>-8.4179611009005107E-9</v>
          </cell>
          <cell r="O89">
            <v>3.174266653296499E-9</v>
          </cell>
        </row>
        <row r="90">
          <cell r="A90" t="str">
            <v>T-PHEV-STG_S2</v>
          </cell>
          <cell r="B90" t="str">
            <v>VAR_fout</v>
          </cell>
          <cell r="C90" t="str">
            <v>T-ELC-car-PlgSTGAUXout_S2</v>
          </cell>
          <cell r="D90">
            <v>3.3592951255716113E-3</v>
          </cell>
          <cell r="E90">
            <v>2.5797498531185425E-3</v>
          </cell>
          <cell r="F90">
            <v>9.9147630289842317E-3</v>
          </cell>
          <cell r="G90">
            <v>0.1019829747178683</v>
          </cell>
          <cell r="H90">
            <v>0.21511710328471317</v>
          </cell>
          <cell r="I90">
            <v>0.15978680575021004</v>
          </cell>
          <cell r="J90">
            <v>2.6628514504076509E-2</v>
          </cell>
          <cell r="K90">
            <v>3.3165722311739268E-2</v>
          </cell>
          <cell r="L90">
            <v>3.3944301506588649E-2</v>
          </cell>
          <cell r="M90">
            <v>3.7350802665372308E-2</v>
          </cell>
          <cell r="N90">
            <v>3.6260713476265798E-2</v>
          </cell>
          <cell r="O90">
            <v>4.559043623869511E-2</v>
          </cell>
        </row>
        <row r="91">
          <cell r="A91" t="str">
            <v>T-PHEV-STG_S2</v>
          </cell>
          <cell r="B91" t="str">
            <v>VAR_fout</v>
          </cell>
          <cell r="C91" t="str">
            <v>T-ELC-car-PlgSTGOut_S2</v>
          </cell>
          <cell r="D91">
            <v>3.3592951255716113E-3</v>
          </cell>
          <cell r="E91">
            <v>2.5797498531185425E-3</v>
          </cell>
          <cell r="F91">
            <v>9.9147630289842317E-3</v>
          </cell>
          <cell r="G91">
            <v>0.10198297471786825</v>
          </cell>
          <cell r="H91">
            <v>0.21511710328471317</v>
          </cell>
          <cell r="I91">
            <v>0.15978680575021001</v>
          </cell>
          <cell r="J91">
            <v>2.6628514504076505E-2</v>
          </cell>
          <cell r="K91">
            <v>3.3165722311739261E-2</v>
          </cell>
          <cell r="L91">
            <v>3.3944301506588642E-2</v>
          </cell>
          <cell r="M91">
            <v>3.7350802665372294E-2</v>
          </cell>
          <cell r="N91">
            <v>3.6260713476265784E-2</v>
          </cell>
          <cell r="O91">
            <v>4.5590436238695103E-2</v>
          </cell>
        </row>
        <row r="92">
          <cell r="A92" t="str">
            <v>T-PHEV-STG_S2</v>
          </cell>
          <cell r="B92" t="str">
            <v>VAR_fin</v>
          </cell>
          <cell r="C92" t="str">
            <v>T-ELC-car-PlgSTGAUXin_S2</v>
          </cell>
          <cell r="D92">
            <v>3.3507576879028078E-3</v>
          </cell>
          <cell r="E92">
            <v>2.5807973532863005E-3</v>
          </cell>
          <cell r="F92">
            <v>9.9169388535277504E-3</v>
          </cell>
          <cell r="G92">
            <v>0.1019931740352764</v>
          </cell>
          <cell r="H92">
            <v>0.21513861714643595</v>
          </cell>
          <cell r="I92">
            <v>0.15980278602881551</v>
          </cell>
          <cell r="J92">
            <v>2.6631177621856222E-2</v>
          </cell>
          <cell r="K92">
            <v>3.3169039215687333E-2</v>
          </cell>
          <cell r="L92">
            <v>3.3947696276287333E-2</v>
          </cell>
          <cell r="M92">
            <v>3.7354538119300715E-2</v>
          </cell>
          <cell r="N92">
            <v>3.6264339910290454E-2</v>
          </cell>
          <cell r="O92">
            <v>4.5594995738311009E-2</v>
          </cell>
        </row>
        <row r="93">
          <cell r="A93" t="str">
            <v>T-PHEV-STG_S2</v>
          </cell>
          <cell r="B93" t="str">
            <v>VAR_fin</v>
          </cell>
          <cell r="C93" t="str">
            <v>T-ELC-car-PlgSTGin_S2</v>
          </cell>
          <cell r="D93">
            <v>3.3507576879028078E-3</v>
          </cell>
          <cell r="E93">
            <v>2.5807973532863005E-3</v>
          </cell>
          <cell r="F93">
            <v>9.9169388535277504E-3</v>
          </cell>
          <cell r="G93">
            <v>0.1019931740352764</v>
          </cell>
          <cell r="H93">
            <v>0.21513861714643595</v>
          </cell>
          <cell r="I93">
            <v>0.15980278602881551</v>
          </cell>
          <cell r="J93">
            <v>2.6631177621856222E-2</v>
          </cell>
          <cell r="K93">
            <v>3.3169039215687333E-2</v>
          </cell>
          <cell r="L93">
            <v>3.3947696276287333E-2</v>
          </cell>
          <cell r="M93">
            <v>3.7354538119300715E-2</v>
          </cell>
          <cell r="N93">
            <v>3.6264339910290454E-2</v>
          </cell>
          <cell r="O93">
            <v>4.5594995738311009E-2</v>
          </cell>
        </row>
        <row r="94">
          <cell r="A94" t="str">
            <v>T-PHEV-STG_S2</v>
          </cell>
          <cell r="B94" t="str">
            <v>VAR_ncap</v>
          </cell>
          <cell r="C94" t="str">
            <v>-</v>
          </cell>
          <cell r="D94">
            <v>7.4656498677796806E-2</v>
          </cell>
          <cell r="E94">
            <v>7.1739812092518604E-2</v>
          </cell>
          <cell r="F94">
            <v>9.5368639647751802E-2</v>
          </cell>
          <cell r="G94">
            <v>0.19419617975797099</v>
          </cell>
          <cell r="H94">
            <v>0.133929655864334</v>
          </cell>
          <cell r="I94">
            <v>0.14703345364534601</v>
          </cell>
          <cell r="J94">
            <v>8.9943619200536701E-2</v>
          </cell>
          <cell r="K94">
            <v>0.12247789310773199</v>
          </cell>
          <cell r="L94">
            <v>9.3085739737846507E-2</v>
          </cell>
          <cell r="M94">
            <v>0.110367504106178</v>
          </cell>
          <cell r="N94">
            <v>0.109943166177047</v>
          </cell>
          <cell r="O94">
            <v>0.177505199041401</v>
          </cell>
        </row>
        <row r="95">
          <cell r="A95" t="str">
            <v>T-PHEV-STG_S2</v>
          </cell>
          <cell r="B95" t="str">
            <v>VAR_cap</v>
          </cell>
          <cell r="C95" t="str">
            <v>-</v>
          </cell>
          <cell r="D95">
            <v>7.4656498677796806E-2</v>
          </cell>
          <cell r="E95">
            <v>0.14637660958081028</v>
          </cell>
          <cell r="F95">
            <v>0.24169250399750497</v>
          </cell>
          <cell r="G95">
            <v>0.43580075875636615</v>
          </cell>
          <cell r="H95">
            <v>0.47938933392956645</v>
          </cell>
          <cell r="I95">
            <v>0.4580488509809329</v>
          </cell>
          <cell r="J95">
            <v>0.37069482600066406</v>
          </cell>
          <cell r="K95">
            <v>0.35926998576035479</v>
          </cell>
          <cell r="L95">
            <v>0.31596035761057584</v>
          </cell>
          <cell r="M95">
            <v>0.32574147134029913</v>
          </cell>
          <cell r="N95">
            <v>0.3053617345116324</v>
          </cell>
          <cell r="O95">
            <v>0.3976564334561043</v>
          </cell>
        </row>
        <row r="96">
          <cell r="A96" t="str">
            <v>T-Plg-GSL-mix_S4</v>
          </cell>
          <cell r="B96" t="str">
            <v>VAR_fout</v>
          </cell>
          <cell r="C96" t="str">
            <v>CO2_T</v>
          </cell>
          <cell r="D96">
            <v>12.1587483303766</v>
          </cell>
          <cell r="E96">
            <v>22.777081711890503</v>
          </cell>
          <cell r="F96">
            <v>18.918702333884418</v>
          </cell>
          <cell r="G96">
            <v>18.916277570125271</v>
          </cell>
          <cell r="H96">
            <v>7.8569986023782405</v>
          </cell>
          <cell r="I96">
            <v>2.1743186620033841</v>
          </cell>
          <cell r="J96">
            <v>0.65889899709405797</v>
          </cell>
          <cell r="K96">
            <v>0.33465672031233701</v>
          </cell>
          <cell r="L96">
            <v>33.290696717981774</v>
          </cell>
          <cell r="M96">
            <v>88.200686314328323</v>
          </cell>
          <cell r="N96">
            <v>80.315728007854617</v>
          </cell>
          <cell r="O96">
            <v>77.591725105544995</v>
          </cell>
        </row>
        <row r="97">
          <cell r="A97" t="str">
            <v>T-Plg-GSL-mix_S4</v>
          </cell>
          <cell r="B97" t="str">
            <v>VAR_fout</v>
          </cell>
          <cell r="C97" t="str">
            <v>T-PEVmix-ELC_GSL_S4</v>
          </cell>
          <cell r="D97">
            <v>8.5631145853598711E-2</v>
          </cell>
          <cell r="E97">
            <v>0.16041351899006062</v>
          </cell>
          <cell r="F97">
            <v>0.13323987921242736</v>
          </cell>
          <cell r="G97">
            <v>0.13322280218332183</v>
          </cell>
          <cell r="H97">
            <v>5.5334955129458949E-2</v>
          </cell>
          <cell r="I97">
            <v>1.6068314531662777E-2</v>
          </cell>
          <cell r="J97">
            <v>5.0975603575220095E-3</v>
          </cell>
          <cell r="K97">
            <v>2.7216326843741909E-3</v>
          </cell>
          <cell r="L97">
            <v>0.29032031287118765</v>
          </cell>
          <cell r="M97">
            <v>0.81397070364414292</v>
          </cell>
          <cell r="N97">
            <v>0.78121931189948313</v>
          </cell>
          <cell r="O97">
            <v>0.75516357788440225</v>
          </cell>
        </row>
        <row r="98">
          <cell r="A98" t="str">
            <v>T-Plg-GSL-mix_S4</v>
          </cell>
          <cell r="B98" t="str">
            <v>VAR_fin</v>
          </cell>
          <cell r="C98" t="str">
            <v>TGSL</v>
          </cell>
          <cell r="D98">
            <v>0.16475268740347668</v>
          </cell>
          <cell r="E98">
            <v>0.30863254352155117</v>
          </cell>
          <cell r="F98">
            <v>0.25635098013393542</v>
          </cell>
          <cell r="G98">
            <v>0.25631812425644002</v>
          </cell>
          <cell r="H98">
            <v>0.10646339569618202</v>
          </cell>
          <cell r="I98">
            <v>2.9462312493270758E-2</v>
          </cell>
          <cell r="J98">
            <v>8.9281706923314066E-3</v>
          </cell>
          <cell r="K98">
            <v>4.534643906671223E-3</v>
          </cell>
          <cell r="L98">
            <v>0.45109345146316798</v>
          </cell>
          <cell r="M98">
            <v>1.1951312508716583</v>
          </cell>
          <cell r="N98">
            <v>1.0882889973964025</v>
          </cell>
          <cell r="O98">
            <v>1.0513783889640242</v>
          </cell>
        </row>
        <row r="99">
          <cell r="A99" t="str">
            <v>T-PHEV-STG_S3</v>
          </cell>
          <cell r="B99" t="str">
            <v>VAR_fout</v>
          </cell>
          <cell r="C99" t="str">
            <v>T-ELC-car-PlgSTGAUXout_S3</v>
          </cell>
          <cell r="E99">
            <v>6.9233830596405074E-2</v>
          </cell>
          <cell r="F99">
            <v>0.29618329348223915</v>
          </cell>
          <cell r="G99">
            <v>0.80231641515083996</v>
          </cell>
          <cell r="H99">
            <v>3.0118672361378076</v>
          </cell>
          <cell r="I99">
            <v>3.2531842192641287</v>
          </cell>
          <cell r="J99">
            <v>4.8222652988316481</v>
          </cell>
          <cell r="K99">
            <v>2.1804786406695991</v>
          </cell>
          <cell r="L99">
            <v>1.892451913466658</v>
          </cell>
          <cell r="M99">
            <v>5.2586018360736446E-2</v>
          </cell>
          <cell r="N99">
            <v>4.585391577908516E-2</v>
          </cell>
          <cell r="O99">
            <v>2.6719617820330371E-2</v>
          </cell>
        </row>
        <row r="100">
          <cell r="A100" t="str">
            <v>T-PHEV-STG_S3</v>
          </cell>
          <cell r="B100" t="str">
            <v>VAR_fout</v>
          </cell>
          <cell r="C100" t="str">
            <v>T-ELC-car-PlgSTGOut_S3</v>
          </cell>
          <cell r="E100">
            <v>6.923383059640506E-2</v>
          </cell>
          <cell r="F100">
            <v>0.29618329348223915</v>
          </cell>
          <cell r="G100">
            <v>0.80231641515083996</v>
          </cell>
          <cell r="H100">
            <v>3.0118672361378072</v>
          </cell>
          <cell r="I100">
            <v>3.2531842192641278</v>
          </cell>
          <cell r="J100">
            <v>4.8222652988316481</v>
          </cell>
          <cell r="K100">
            <v>2.1804786406695991</v>
          </cell>
          <cell r="L100">
            <v>1.8924519134666578</v>
          </cell>
          <cell r="M100">
            <v>5.2586018360736432E-2</v>
          </cell>
          <cell r="N100">
            <v>4.5853915779085139E-2</v>
          </cell>
          <cell r="O100">
            <v>2.6719617820330371E-2</v>
          </cell>
        </row>
        <row r="101">
          <cell r="A101" t="str">
            <v>T-PHEV-STG_S3</v>
          </cell>
          <cell r="B101" t="str">
            <v>VAR_fin</v>
          </cell>
          <cell r="C101" t="str">
            <v>T-ELC-car-PlgSTGAUXin_S3</v>
          </cell>
          <cell r="E101">
            <v>6.9229167043488041E-2</v>
          </cell>
          <cell r="F101">
            <v>0.29621370427310578</v>
          </cell>
          <cell r="G101">
            <v>0.80239665481631206</v>
          </cell>
          <cell r="H101">
            <v>3.012168452983905</v>
          </cell>
          <cell r="I101">
            <v>3.2535095702218988</v>
          </cell>
          <cell r="J101">
            <v>4.8227475735890106</v>
          </cell>
          <cell r="K101">
            <v>2.1806967103402757</v>
          </cell>
          <cell r="L101">
            <v>1.8926411775843739</v>
          </cell>
          <cell r="M101">
            <v>5.2591277488484758E-2</v>
          </cell>
          <cell r="N101">
            <v>4.5858501629248302E-2</v>
          </cell>
          <cell r="O101">
            <v>2.67222900493355E-2</v>
          </cell>
        </row>
        <row r="102">
          <cell r="A102" t="str">
            <v>T-PHEV-STG_S3</v>
          </cell>
          <cell r="B102" t="str">
            <v>VAR_fin</v>
          </cell>
          <cell r="C102" t="str">
            <v>T-ELC-car-PlgSTGin_S3</v>
          </cell>
          <cell r="E102">
            <v>6.9229167043488041E-2</v>
          </cell>
          <cell r="F102">
            <v>0.29621370427310578</v>
          </cell>
          <cell r="G102">
            <v>0.80239665481631206</v>
          </cell>
          <cell r="H102">
            <v>3.012168452983905</v>
          </cell>
          <cell r="I102">
            <v>3.2535095702218988</v>
          </cell>
          <cell r="J102">
            <v>4.8227475735890106</v>
          </cell>
          <cell r="K102">
            <v>2.1806967103402757</v>
          </cell>
          <cell r="L102">
            <v>1.8926411775843739</v>
          </cell>
          <cell r="M102">
            <v>5.2591277488484758E-2</v>
          </cell>
          <cell r="N102">
            <v>4.5858501629248302E-2</v>
          </cell>
          <cell r="O102">
            <v>2.67222900493355E-2</v>
          </cell>
        </row>
        <row r="103">
          <cell r="A103" t="str">
            <v>T-PHEV-STG_S3</v>
          </cell>
          <cell r="B103" t="str">
            <v>VAR_ncap</v>
          </cell>
          <cell r="C103" t="str">
            <v>-</v>
          </cell>
          <cell r="E103">
            <v>2.8346986605515099</v>
          </cell>
          <cell r="F103">
            <v>9.6802336528888393</v>
          </cell>
          <cell r="G103">
            <v>12.2637733430916</v>
          </cell>
          <cell r="H103">
            <v>60.247981457296</v>
          </cell>
          <cell r="J103">
            <v>20.493886183318001</v>
          </cell>
          <cell r="L103">
            <v>0.32995951218401898</v>
          </cell>
          <cell r="M103">
            <v>7.1800333614871897E-2</v>
          </cell>
          <cell r="N103">
            <v>5.2970438726266902E-2</v>
          </cell>
          <cell r="O103">
            <v>5.5093090632090398E-2</v>
          </cell>
        </row>
        <row r="104">
          <cell r="A104" t="str">
            <v>T-PHEV-STG_S3</v>
          </cell>
          <cell r="B104" t="str">
            <v>VAR_cap</v>
          </cell>
          <cell r="C104" t="str">
            <v>-</v>
          </cell>
          <cell r="E104">
            <v>2.8346986605515099</v>
          </cell>
          <cell r="F104">
            <v>12.513701103387929</v>
          </cell>
          <cell r="G104">
            <v>24.770512231962776</v>
          </cell>
          <cell r="H104">
            <v>83.62182542292652</v>
          </cell>
          <cell r="I104">
            <v>72.139094149760112</v>
          </cell>
          <cell r="J104">
            <v>80.564494022514779</v>
          </cell>
          <cell r="K104">
            <v>20.480773715491697</v>
          </cell>
          <cell r="L104">
            <v>18.063107891476704</v>
          </cell>
          <cell r="M104">
            <v>0.40164542055079216</v>
          </cell>
          <cell r="N104">
            <v>0.34980401830881153</v>
          </cell>
          <cell r="O104">
            <v>0.17978112090547141</v>
          </cell>
        </row>
        <row r="105">
          <cell r="A105" t="str">
            <v>TFLGV-HYBDSL</v>
          </cell>
          <cell r="B105" t="str">
            <v>VAR_fout</v>
          </cell>
          <cell r="C105" t="str">
            <v>CO2_T</v>
          </cell>
          <cell r="E105">
            <v>16.806088323797201</v>
          </cell>
          <cell r="F105">
            <v>11.924677691652063</v>
          </cell>
          <cell r="G105">
            <v>36.032124702731195</v>
          </cell>
          <cell r="H105">
            <v>34.392795975099411</v>
          </cell>
          <cell r="I105">
            <v>1.70878316387762E-2</v>
          </cell>
        </row>
        <row r="106">
          <cell r="A106" t="str">
            <v>TFLGV-HYBDSL</v>
          </cell>
          <cell r="B106" t="str">
            <v>VAR_fout</v>
          </cell>
          <cell r="C106" t="str">
            <v>TFLGV</v>
          </cell>
          <cell r="E106">
            <v>0.10564394077436058</v>
          </cell>
          <cell r="F106">
            <v>7.4959140969550461E-2</v>
          </cell>
          <cell r="G106">
            <v>0.22649980023487368</v>
          </cell>
          <cell r="H106">
            <v>0.21619489503177405</v>
          </cell>
          <cell r="I106">
            <v>1.0741499383011925E-4</v>
          </cell>
        </row>
        <row r="107">
          <cell r="A107" t="str">
            <v>TFLGV-HYBDSL</v>
          </cell>
          <cell r="B107" t="str">
            <v>VAR_fin</v>
          </cell>
          <cell r="C107" t="str">
            <v>TDSL</v>
          </cell>
          <cell r="E107">
            <v>0.22927814902861143</v>
          </cell>
          <cell r="F107">
            <v>0.1626831881535073</v>
          </cell>
          <cell r="G107">
            <v>0.49157059621734256</v>
          </cell>
          <cell r="H107">
            <v>0.46920594781854497</v>
          </cell>
          <cell r="I107">
            <v>2.3312185046079386E-4</v>
          </cell>
        </row>
        <row r="108">
          <cell r="A108" t="str">
            <v>TFLGV-HYBDSL</v>
          </cell>
          <cell r="B108" t="str">
            <v>VAR_ncap</v>
          </cell>
          <cell r="C108" t="str">
            <v>-</v>
          </cell>
          <cell r="E108">
            <v>7.3660656056819202E-3</v>
          </cell>
          <cell r="F108">
            <v>3.0253245054772901E-5</v>
          </cell>
          <cell r="G108">
            <v>1.5470247739907799E-2</v>
          </cell>
        </row>
        <row r="109">
          <cell r="A109" t="str">
            <v>TFLGV-HYBDSL</v>
          </cell>
          <cell r="B109" t="str">
            <v>VAR_cap</v>
          </cell>
          <cell r="C109" t="str">
            <v>-</v>
          </cell>
          <cell r="E109">
            <v>7.3660656056819202E-3</v>
          </cell>
          <cell r="F109">
            <v>7.3962596515768156E-3</v>
          </cell>
          <cell r="G109">
            <v>2.1890557060520389E-2</v>
          </cell>
          <cell r="H109">
            <v>1.5485705154218769E-2</v>
          </cell>
          <cell r="I109">
            <v>6.7212408252199062E-6</v>
          </cell>
        </row>
        <row r="110">
          <cell r="A110" t="str">
            <v>TFHGV-FCLH2O</v>
          </cell>
          <cell r="B110" t="str">
            <v>VAR_fout</v>
          </cell>
          <cell r="C110" t="str">
            <v>TFHGV</v>
          </cell>
          <cell r="D110">
            <v>7.358370629682344E-4</v>
          </cell>
          <cell r="E110">
            <v>2.4187452746320479E-3</v>
          </cell>
          <cell r="F110">
            <v>2.4592492692321402E-3</v>
          </cell>
          <cell r="G110">
            <v>3.2530785549898718E-4</v>
          </cell>
          <cell r="H110">
            <v>2.8605748081973623E-4</v>
          </cell>
          <cell r="I110">
            <v>3.2432978640394413E-4</v>
          </cell>
          <cell r="J110">
            <v>3.0224903973899246E-4</v>
          </cell>
          <cell r="K110">
            <v>3.0157727698658566E-4</v>
          </cell>
          <cell r="L110">
            <v>3.0455818184712364E-4</v>
          </cell>
          <cell r="M110">
            <v>2.9855447019678708E-4</v>
          </cell>
          <cell r="N110">
            <v>3.2945311576468121E-4</v>
          </cell>
          <cell r="O110">
            <v>3.6714166828898738E-4</v>
          </cell>
        </row>
        <row r="111">
          <cell r="A111" t="str">
            <v>TFHGV-FCLH2O</v>
          </cell>
          <cell r="B111" t="str">
            <v>VAR_fin</v>
          </cell>
          <cell r="C111" t="str">
            <v>TH2O</v>
          </cell>
          <cell r="D111">
            <v>4.2178288108147772E-3</v>
          </cell>
          <cell r="E111">
            <v>1.3799320087423182E-2</v>
          </cell>
          <cell r="F111">
            <v>1.4025285810338965E-2</v>
          </cell>
          <cell r="G111">
            <v>1.8435595404952736E-3</v>
          </cell>
          <cell r="H111">
            <v>1.4721575949530898E-3</v>
          </cell>
          <cell r="I111">
            <v>1.63750351676112E-3</v>
          </cell>
          <cell r="J111">
            <v>1.4444098188224122E-3</v>
          </cell>
          <cell r="K111">
            <v>1.4051694680965645E-3</v>
          </cell>
          <cell r="L111">
            <v>1.3912495763409548E-3</v>
          </cell>
          <cell r="M111">
            <v>1.3638240734720251E-3</v>
          </cell>
          <cell r="N111">
            <v>1.5049719070160967E-3</v>
          </cell>
          <cell r="O111">
            <v>1.6771366553552641E-3</v>
          </cell>
        </row>
        <row r="112">
          <cell r="A112" t="str">
            <v>TFHGV-FCLH2O</v>
          </cell>
          <cell r="B112" t="str">
            <v>VAR_ncap</v>
          </cell>
          <cell r="C112" t="str">
            <v>-</v>
          </cell>
          <cell r="E112">
            <v>4.6446127313758597E-7</v>
          </cell>
          <cell r="F112">
            <v>3.21627532191544E-7</v>
          </cell>
          <cell r="G112">
            <v>1.5137310851022301E-7</v>
          </cell>
          <cell r="H112">
            <v>5.0649710397053704E-6</v>
          </cell>
          <cell r="I112">
            <v>2.3521218432636098E-6</v>
          </cell>
          <cell r="J112">
            <v>4.8614237349132299E-6</v>
          </cell>
          <cell r="K112">
            <v>2.77758146394562E-6</v>
          </cell>
          <cell r="L112">
            <v>3.9519362228082199E-6</v>
          </cell>
          <cell r="M112">
            <v>4.9166333756955302E-6</v>
          </cell>
          <cell r="N112">
            <v>3.12003752425948E-6</v>
          </cell>
          <cell r="O112">
            <v>5.2005806896904E-6</v>
          </cell>
        </row>
        <row r="113">
          <cell r="A113" t="str">
            <v>TFHGV-FCLH2O</v>
          </cell>
          <cell r="B113" t="str">
            <v>VAR_cap</v>
          </cell>
          <cell r="C113" t="str">
            <v>-</v>
          </cell>
          <cell r="D113">
            <v>1.3959816660404987E-5</v>
          </cell>
          <cell r="E113">
            <v>4.4464461273137586E-5</v>
          </cell>
          <cell r="F113">
            <v>4.4786088805329126E-5</v>
          </cell>
          <cell r="G113">
            <v>5.0937795948320673E-6</v>
          </cell>
          <cell r="H113">
            <v>5.1042273114549802E-6</v>
          </cell>
          <cell r="I113">
            <v>6.1253273310054055E-6</v>
          </cell>
          <cell r="J113">
            <v>6.0810247747055498E-6</v>
          </cell>
          <cell r="K113">
            <v>6.0439964209611141E-6</v>
          </cell>
          <cell r="L113">
            <v>5.9766186082552757E-6</v>
          </cell>
          <cell r="M113">
            <v>5.9370588385631815E-6</v>
          </cell>
          <cell r="N113">
            <v>6.4604075126732025E-6</v>
          </cell>
          <cell r="O113">
            <v>7.2956583082163316E-6</v>
          </cell>
        </row>
        <row r="114">
          <cell r="A114" t="str">
            <v>T-PHEV-STG_S4</v>
          </cell>
          <cell r="B114" t="str">
            <v>VAR_fout</v>
          </cell>
          <cell r="C114" t="str">
            <v>T-ELC-car-PlgSTGAUXout_S4</v>
          </cell>
          <cell r="E114">
            <v>2.7248223364420713E-3</v>
          </cell>
          <cell r="F114">
            <v>2.5199379091634631E-2</v>
          </cell>
          <cell r="G114">
            <v>0.40093870536496595</v>
          </cell>
          <cell r="H114">
            <v>0.61487841829589895</v>
          </cell>
          <cell r="I114">
            <v>0.51851631398905196</v>
          </cell>
          <cell r="J114">
            <v>1.4274432627726361</v>
          </cell>
          <cell r="K114">
            <v>1.4235689517353269</v>
          </cell>
          <cell r="L114">
            <v>2.6276921396892181</v>
          </cell>
          <cell r="M114">
            <v>4.0775166451868365</v>
          </cell>
          <cell r="N114">
            <v>3.8278633561662598</v>
          </cell>
          <cell r="O114">
            <v>3.7776510579057856</v>
          </cell>
        </row>
        <row r="115">
          <cell r="A115" t="str">
            <v>T-PHEV-STG_S4</v>
          </cell>
          <cell r="B115" t="str">
            <v>VAR_fout</v>
          </cell>
          <cell r="C115" t="str">
            <v>T-ELC-car-PlgSTGOut_S4</v>
          </cell>
          <cell r="E115">
            <v>2.7248223364420713E-3</v>
          </cell>
          <cell r="F115">
            <v>2.5199379091634631E-2</v>
          </cell>
          <cell r="G115">
            <v>0.4009387053649659</v>
          </cell>
          <cell r="H115">
            <v>0.61487841829589895</v>
          </cell>
          <cell r="I115">
            <v>0.51851631398905185</v>
          </cell>
          <cell r="J115">
            <v>1.4274432627726361</v>
          </cell>
          <cell r="K115">
            <v>1.4235689517353269</v>
          </cell>
          <cell r="L115">
            <v>2.6276921396892181</v>
          </cell>
          <cell r="M115">
            <v>4.0775166451868348</v>
          </cell>
          <cell r="N115">
            <v>3.8278633561662598</v>
          </cell>
          <cell r="O115">
            <v>3.7776510579057847</v>
          </cell>
        </row>
        <row r="116">
          <cell r="A116" t="str">
            <v>T-PHEV-STG_S4</v>
          </cell>
          <cell r="B116" t="str">
            <v>VAR_fin</v>
          </cell>
          <cell r="C116" t="str">
            <v>T-ELC-car-PlgSTGAUXin_S4</v>
          </cell>
          <cell r="E116">
            <v>2.711662200657528E-3</v>
          </cell>
          <cell r="F116">
            <v>2.520268878095187E-2</v>
          </cell>
          <cell r="G116">
            <v>0.40097880324528423</v>
          </cell>
          <cell r="H116">
            <v>0.61493991228715117</v>
          </cell>
          <cell r="I116">
            <v>0.51856817080616191</v>
          </cell>
          <cell r="J116">
            <v>1.4275860213748313</v>
          </cell>
          <cell r="K116">
            <v>1.4237113228675775</v>
          </cell>
          <cell r="L116">
            <v>2.6279549351827756</v>
          </cell>
          <cell r="M116">
            <v>4.0779244376304513</v>
          </cell>
          <cell r="N116">
            <v>3.8282461807844879</v>
          </cell>
          <cell r="O116">
            <v>3.7780288607918928</v>
          </cell>
        </row>
        <row r="117">
          <cell r="A117" t="str">
            <v>T-PHEV-STG_S4</v>
          </cell>
          <cell r="B117" t="str">
            <v>VAR_fin</v>
          </cell>
          <cell r="C117" t="str">
            <v>T-ELC-car-PlgSTGin_S4</v>
          </cell>
          <cell r="E117">
            <v>2.711662200657528E-3</v>
          </cell>
          <cell r="F117">
            <v>2.520268878095187E-2</v>
          </cell>
          <cell r="G117">
            <v>0.40097880324528423</v>
          </cell>
          <cell r="H117">
            <v>0.61493991228715117</v>
          </cell>
          <cell r="I117">
            <v>0.51856817080616191</v>
          </cell>
          <cell r="J117">
            <v>1.4275860213748313</v>
          </cell>
          <cell r="K117">
            <v>1.4237113228675775</v>
          </cell>
          <cell r="L117">
            <v>2.6279549351827756</v>
          </cell>
          <cell r="M117">
            <v>4.0779244376304513</v>
          </cell>
          <cell r="N117">
            <v>3.8282461807844879</v>
          </cell>
          <cell r="O117">
            <v>3.7780288607918928</v>
          </cell>
        </row>
        <row r="118">
          <cell r="A118" t="str">
            <v>T-PHEV-STG_S4</v>
          </cell>
          <cell r="B118" t="str">
            <v>VAR_ncap</v>
          </cell>
          <cell r="C118" t="str">
            <v>-</v>
          </cell>
          <cell r="E118">
            <v>0.102391083052537</v>
          </cell>
          <cell r="F118">
            <v>0.103255165138884</v>
          </cell>
          <cell r="G118">
            <v>13.787225471462699</v>
          </cell>
          <cell r="H118">
            <v>0.13451088766088901</v>
          </cell>
          <cell r="J118">
            <v>13.8140300908935</v>
          </cell>
          <cell r="L118">
            <v>11.491434482570799</v>
          </cell>
          <cell r="M118">
            <v>21.980747130234899</v>
          </cell>
          <cell r="N118">
            <v>2.3407430865376799</v>
          </cell>
          <cell r="O118">
            <v>6.7266144790303999</v>
          </cell>
        </row>
        <row r="119">
          <cell r="A119" t="str">
            <v>T-PHEV-STG_S4</v>
          </cell>
          <cell r="B119" t="str">
            <v>VAR_cap</v>
          </cell>
          <cell r="C119" t="str">
            <v>-</v>
          </cell>
          <cell r="E119">
            <v>0.102391083052537</v>
          </cell>
          <cell r="F119">
            <v>0.20562555712669342</v>
          </cell>
          <cell r="G119">
            <v>13.992736774562811</v>
          </cell>
          <cell r="H119">
            <v>14.068209172742304</v>
          </cell>
          <cell r="I119">
            <v>11.296267467585222</v>
          </cell>
          <cell r="J119">
            <v>13.948311237181937</v>
          </cell>
          <cell r="K119">
            <v>13.805489715380899</v>
          </cell>
          <cell r="L119">
            <v>23.444426560426546</v>
          </cell>
          <cell r="M119">
            <v>33.464191607679432</v>
          </cell>
          <cell r="N119">
            <v>32.150155414543981</v>
          </cell>
          <cell r="O119">
            <v>31.047699327058119</v>
          </cell>
        </row>
        <row r="120">
          <cell r="A120" t="str">
            <v>TFLGV-ICEGSLExt</v>
          </cell>
          <cell r="B120" t="str">
            <v>VAR_fout</v>
          </cell>
          <cell r="C120" t="str">
            <v>CO2_T</v>
          </cell>
          <cell r="D120">
            <v>53.393927212008798</v>
          </cell>
          <cell r="E120">
            <v>130.457501931677</v>
          </cell>
          <cell r="F120">
            <v>39.973314104348297</v>
          </cell>
          <cell r="G120">
            <v>20.123759857764501</v>
          </cell>
        </row>
        <row r="121">
          <cell r="A121" t="str">
            <v>TFLGV-ICEGSLExt</v>
          </cell>
          <cell r="B121" t="str">
            <v>VAR_fout</v>
          </cell>
          <cell r="C121" t="str">
            <v>TFLGV</v>
          </cell>
          <cell r="D121">
            <v>0.20083008365096502</v>
          </cell>
          <cell r="E121">
            <v>0.49526182573223171</v>
          </cell>
          <cell r="F121">
            <v>0.15385445161116693</v>
          </cell>
          <cell r="G121">
            <v>7.7454924782790785E-2</v>
          </cell>
        </row>
        <row r="122">
          <cell r="A122" t="str">
            <v>TFLGV-ICEGSLExt</v>
          </cell>
          <cell r="B122" t="str">
            <v>VAR_fin</v>
          </cell>
          <cell r="C122" t="str">
            <v>TGSL</v>
          </cell>
          <cell r="D122">
            <v>0.72349494867220543</v>
          </cell>
          <cell r="E122">
            <v>1.767716828342508</v>
          </cell>
          <cell r="F122">
            <v>0.54164382255214583</v>
          </cell>
          <cell r="G122">
            <v>0.27267967286943767</v>
          </cell>
        </row>
        <row r="123">
          <cell r="A123" t="str">
            <v>TFLGV-ICEGSLExt</v>
          </cell>
          <cell r="B123" t="str">
            <v>VAR_cap</v>
          </cell>
          <cell r="C123" t="str">
            <v>-</v>
          </cell>
          <cell r="D123">
            <v>3.9827876213926597E-2</v>
          </cell>
          <cell r="E123">
            <v>3.982502510796631E-2</v>
          </cell>
          <cell r="F123">
            <v>3.0633561370443277E-2</v>
          </cell>
          <cell r="G123">
            <v>1.5317319468179635E-2</v>
          </cell>
        </row>
        <row r="124">
          <cell r="A124" t="str">
            <v>TFRLFELCEXT</v>
          </cell>
          <cell r="B124" t="str">
            <v>VAR_fout</v>
          </cell>
          <cell r="C124" t="str">
            <v>TFRLF</v>
          </cell>
          <cell r="D124">
            <v>2.5123033146849258E-2</v>
          </cell>
          <cell r="E124">
            <v>2.7722524275743114E-2</v>
          </cell>
          <cell r="F124">
            <v>2.9226254159299643E-2</v>
          </cell>
          <cell r="G124">
            <v>3.1674226028978257E-2</v>
          </cell>
          <cell r="H124">
            <v>3.3128116885932507E-2</v>
          </cell>
          <cell r="I124">
            <v>3.3910735369962981E-2</v>
          </cell>
          <cell r="J124">
            <v>3.5182254668795189E-2</v>
          </cell>
          <cell r="K124">
            <v>3.6471224444914727E-2</v>
          </cell>
          <cell r="L124">
            <v>3.7030951724097698E-2</v>
          </cell>
          <cell r="M124">
            <v>3.7916121374142533E-2</v>
          </cell>
          <cell r="N124">
            <v>3.8154834252730238E-2</v>
          </cell>
          <cell r="O124">
            <v>3.8648233503112236E-2</v>
          </cell>
        </row>
        <row r="125">
          <cell r="A125" t="str">
            <v>TFRLFELCEXT</v>
          </cell>
          <cell r="B125" t="str">
            <v>VAR_fin</v>
          </cell>
          <cell r="C125" t="str">
            <v>TELC</v>
          </cell>
          <cell r="D125">
            <v>1.5040100986915894</v>
          </cell>
          <cell r="E125">
            <v>1.6596306754930792</v>
          </cell>
          <cell r="F125">
            <v>1.7496526452669374</v>
          </cell>
          <cell r="G125">
            <v>1.8962024026863076</v>
          </cell>
          <cell r="H125">
            <v>1.9832407200134012</v>
          </cell>
          <cell r="I125">
            <v>2.0300927898460652</v>
          </cell>
          <cell r="J125">
            <v>2.1062132907006665</v>
          </cell>
          <cell r="K125">
            <v>2.1833784780751562</v>
          </cell>
          <cell r="L125">
            <v>2.2168869909797717</v>
          </cell>
          <cell r="M125">
            <v>2.2698783668594662</v>
          </cell>
          <cell r="N125">
            <v>2.2841691007045841</v>
          </cell>
          <cell r="O125">
            <v>2.3137068341034035</v>
          </cell>
        </row>
        <row r="126">
          <cell r="A126" t="str">
            <v>TFRLFELCEXT</v>
          </cell>
          <cell r="B126" t="str">
            <v>VAR_ncap</v>
          </cell>
          <cell r="C126" t="str">
            <v>-</v>
          </cell>
          <cell r="D126">
            <v>2.9297567232212299E-8</v>
          </cell>
          <cell r="E126">
            <v>2.39984301972272E-4</v>
          </cell>
          <cell r="F126">
            <v>1.3881762052804299E-4</v>
          </cell>
          <cell r="G126">
            <v>2.25993223637827E-4</v>
          </cell>
          <cell r="H126">
            <v>1.34227588662516E-4</v>
          </cell>
          <cell r="I126">
            <v>7.2247967460143005E-5</v>
          </cell>
          <cell r="J126">
            <v>1.17380549209743E-4</v>
          </cell>
          <cell r="K126">
            <v>1.72235165966189E-3</v>
          </cell>
          <cell r="L126">
            <v>1.16228711822896E-3</v>
          </cell>
          <cell r="M126">
            <v>2.8924492293889699E-4</v>
          </cell>
          <cell r="N126">
            <v>1.43799997562148E-4</v>
          </cell>
          <cell r="O126">
            <v>1.3016945532933001E-4</v>
          </cell>
        </row>
        <row r="127">
          <cell r="A127" t="str">
            <v>TFRLFELCEXT</v>
          </cell>
          <cell r="B127" t="str">
            <v>VAR_cap</v>
          </cell>
          <cell r="C127" t="str">
            <v>-</v>
          </cell>
          <cell r="D127">
            <v>2.3166937852504119E-3</v>
          </cell>
          <cell r="E127">
            <v>2.556678087222685E-3</v>
          </cell>
          <cell r="F127">
            <v>2.6954957077507278E-3</v>
          </cell>
          <cell r="G127">
            <v>2.9214889313885547E-3</v>
          </cell>
          <cell r="H127">
            <v>3.0557165200510708E-3</v>
          </cell>
          <cell r="I127">
            <v>3.1279644875112137E-3</v>
          </cell>
          <cell r="J127">
            <v>3.2453450367209567E-3</v>
          </cell>
          <cell r="K127">
            <v>3.3643473734820632E-3</v>
          </cell>
          <cell r="L127">
            <v>3.4159929374741899E-3</v>
          </cell>
          <cell r="M127">
            <v>3.4977398061621502E-3</v>
          </cell>
          <cell r="N127">
            <v>3.5197729947090066E-3</v>
          </cell>
          <cell r="O127">
            <v>3.5652337029309701E-3</v>
          </cell>
        </row>
        <row r="128">
          <cell r="A128" t="str">
            <v>TFLGV-ICEDSLExt</v>
          </cell>
          <cell r="B128" t="str">
            <v>VAR_fout</v>
          </cell>
          <cell r="C128" t="str">
            <v>CO2_T</v>
          </cell>
          <cell r="D128">
            <v>813.19682283121301</v>
          </cell>
          <cell r="E128">
            <v>545.80394592005405</v>
          </cell>
          <cell r="F128">
            <v>199.770757755738</v>
          </cell>
          <cell r="G128">
            <v>200.80130327220101</v>
          </cell>
        </row>
        <row r="129">
          <cell r="A129" t="str">
            <v>TFLGV-ICEDSLExt</v>
          </cell>
          <cell r="B129" t="str">
            <v>VAR_fout</v>
          </cell>
          <cell r="C129" t="str">
            <v>TFLGV</v>
          </cell>
          <cell r="D129">
            <v>2.873775847243341</v>
          </cell>
          <cell r="E129">
            <v>1.9951067454707987</v>
          </cell>
          <cell r="F129">
            <v>0.76662015357178093</v>
          </cell>
          <cell r="G129">
            <v>0.77057487132411484</v>
          </cell>
        </row>
        <row r="130">
          <cell r="A130" t="str">
            <v>TFLGV-ICEDSLExt</v>
          </cell>
          <cell r="B130" t="str">
            <v>VAR_fin</v>
          </cell>
          <cell r="C130" t="str">
            <v>TDSL</v>
          </cell>
          <cell r="D130">
            <v>11.094090352404001</v>
          </cell>
          <cell r="E130">
            <v>7.4461657015014122</v>
          </cell>
          <cell r="F130">
            <v>2.7253855082638188</v>
          </cell>
          <cell r="G130">
            <v>2.7394447922537672</v>
          </cell>
        </row>
        <row r="131">
          <cell r="A131" t="str">
            <v>TFLGV-ICEDSLExt</v>
          </cell>
          <cell r="B131" t="str">
            <v>VAR_cap</v>
          </cell>
          <cell r="C131" t="str">
            <v>-</v>
          </cell>
          <cell r="D131">
            <v>0.22871438981364439</v>
          </cell>
          <cell r="E131">
            <v>0.19846055888934966</v>
          </cell>
          <cell r="F131">
            <v>7.6331208800684586E-2</v>
          </cell>
          <cell r="G131">
            <v>7.6330979146403896E-2</v>
          </cell>
        </row>
        <row r="132">
          <cell r="A132" t="str">
            <v>T_C-ICE-NGA-S1</v>
          </cell>
          <cell r="B132" t="str">
            <v>VAR_fout</v>
          </cell>
          <cell r="C132" t="str">
            <v>CO2_T</v>
          </cell>
          <cell r="D132">
            <v>0.20959645028448073</v>
          </cell>
          <cell r="E132">
            <v>0.14630420013538578</v>
          </cell>
          <cell r="F132">
            <v>0.22485111284271497</v>
          </cell>
          <cell r="G132">
            <v>2.8949464766362145E-2</v>
          </cell>
          <cell r="H132">
            <v>1.403988872155164E-2</v>
          </cell>
          <cell r="I132">
            <v>5.5404381673321498E-3</v>
          </cell>
        </row>
        <row r="133">
          <cell r="A133" t="str">
            <v>T_C-ICE-NGA-S1</v>
          </cell>
          <cell r="B133" t="str">
            <v>VAR_fout</v>
          </cell>
          <cell r="C133" t="str">
            <v>TPCAR</v>
          </cell>
          <cell r="D133">
            <v>2.2923813392338142E-3</v>
          </cell>
          <cell r="E133">
            <v>1.6615540497517624E-3</v>
          </cell>
          <cell r="F133">
            <v>2.4534403069319428E-3</v>
          </cell>
          <cell r="G133">
            <v>3.1235119451552103E-4</v>
          </cell>
          <cell r="H133">
            <v>1.440091821451627E-4</v>
          </cell>
          <cell r="I133">
            <v>5.5009627186484254E-5</v>
          </cell>
        </row>
        <row r="134">
          <cell r="A134" t="str">
            <v>T_C-ICE-NGA-S1</v>
          </cell>
          <cell r="B134" t="str">
            <v>VAR_fin</v>
          </cell>
          <cell r="C134" t="str">
            <v>TNGA</v>
          </cell>
          <cell r="D134">
            <v>3.7162491185191646E-3</v>
          </cell>
          <cell r="E134">
            <v>2.5940461016912375E-3</v>
          </cell>
          <cell r="F134">
            <v>3.9867218589133878E-3</v>
          </cell>
          <cell r="G134">
            <v>5.1328838238230766E-4</v>
          </cell>
          <cell r="H134">
            <v>2.4893419719063136E-4</v>
          </cell>
          <cell r="I134">
            <v>9.8234719278939003E-5</v>
          </cell>
        </row>
        <row r="135">
          <cell r="A135" t="str">
            <v>T_C-ICE-NGA-S1</v>
          </cell>
          <cell r="B135" t="str">
            <v>VAR_ncap</v>
          </cell>
          <cell r="C135" t="str">
            <v>-</v>
          </cell>
          <cell r="E135">
            <v>2.3390228467128299E-6</v>
          </cell>
          <cell r="F135">
            <v>7.3698576995718794E-5</v>
          </cell>
          <cell r="G135">
            <v>1.8478465878284801E-8</v>
          </cell>
        </row>
        <row r="136">
          <cell r="A136" t="str">
            <v>T_C-ICE-NGA-S1</v>
          </cell>
          <cell r="B136" t="str">
            <v>VAR_cap</v>
          </cell>
          <cell r="C136" t="str">
            <v>-</v>
          </cell>
          <cell r="D136">
            <v>2.5629355550414398E-4</v>
          </cell>
          <cell r="E136">
            <v>1.6594347771647943E-4</v>
          </cell>
          <cell r="F136">
            <v>2.3764002899961302E-4</v>
          </cell>
          <cell r="G136">
            <v>8.850808158691523E-6</v>
          </cell>
          <cell r="H136">
            <v>1.2319031653919708E-6</v>
          </cell>
          <cell r="I136">
            <v>-1.1153309044621958E-7</v>
          </cell>
        </row>
        <row r="137">
          <cell r="A137" t="str">
            <v>D-T-ELC-car</v>
          </cell>
          <cell r="B137" t="str">
            <v>VAR_fout</v>
          </cell>
          <cell r="C137" t="str">
            <v>T-ELC-car</v>
          </cell>
          <cell r="D137">
            <v>0.73996964049369029</v>
          </cell>
          <cell r="E137">
            <v>1.6520098036184583</v>
          </cell>
          <cell r="F137">
            <v>4.7313680029035474</v>
          </cell>
          <cell r="G137">
            <v>16.720103736807332</v>
          </cell>
          <cell r="H137">
            <v>32.651354662860442</v>
          </cell>
          <cell r="I137">
            <v>41.208621987778876</v>
          </cell>
          <cell r="J137">
            <v>46.599342387852445</v>
          </cell>
          <cell r="K137">
            <v>49.592866629359179</v>
          </cell>
          <cell r="L137">
            <v>47.866696701730831</v>
          </cell>
          <cell r="M137">
            <v>47.331616581444536</v>
          </cell>
          <cell r="N137">
            <v>45.610348313782865</v>
          </cell>
          <cell r="O137">
            <v>45.76759276743789</v>
          </cell>
        </row>
        <row r="138">
          <cell r="A138" t="str">
            <v>D-T-ELC-car</v>
          </cell>
          <cell r="B138" t="str">
            <v>VAR_fin</v>
          </cell>
          <cell r="C138" t="str">
            <v>TELC</v>
          </cell>
          <cell r="D138">
            <v>0.73996964049369029</v>
          </cell>
          <cell r="E138">
            <v>1.6520098036184583</v>
          </cell>
          <cell r="F138">
            <v>4.7313680029035474</v>
          </cell>
          <cell r="G138">
            <v>16.720103736807332</v>
          </cell>
          <cell r="H138">
            <v>32.651354662860442</v>
          </cell>
          <cell r="I138">
            <v>41.208621987778876</v>
          </cell>
          <cell r="J138">
            <v>46.599342387852445</v>
          </cell>
          <cell r="K138">
            <v>49.592866629359179</v>
          </cell>
          <cell r="L138">
            <v>47.866696701730831</v>
          </cell>
          <cell r="M138">
            <v>47.331616581444536</v>
          </cell>
          <cell r="N138">
            <v>45.610348313782865</v>
          </cell>
          <cell r="O138">
            <v>45.76759276743789</v>
          </cell>
        </row>
        <row r="139">
          <cell r="A139" t="str">
            <v>D-T-ELC-car</v>
          </cell>
          <cell r="B139" t="str">
            <v>VAR_ncap</v>
          </cell>
          <cell r="C139" t="str">
            <v>-</v>
          </cell>
          <cell r="D139">
            <v>2.12429497785785E-6</v>
          </cell>
          <cell r="E139">
            <v>1.65280760195191E-6</v>
          </cell>
          <cell r="F139">
            <v>1.1855166139190001</v>
          </cell>
          <cell r="G139">
            <v>8.1809103026134906</v>
          </cell>
          <cell r="H139">
            <v>14.8483177566645</v>
          </cell>
          <cell r="I139">
            <v>11.453684356850101</v>
          </cell>
          <cell r="J139">
            <v>8.4511414529549391</v>
          </cell>
          <cell r="K139">
            <v>20.144082274916698</v>
          </cell>
          <cell r="L139">
            <v>12.9118739861115</v>
          </cell>
          <cell r="M139">
            <v>10.021643167033501</v>
          </cell>
          <cell r="N139">
            <v>22.773569169457399</v>
          </cell>
          <cell r="O139">
            <v>13.4482818873722</v>
          </cell>
        </row>
        <row r="140">
          <cell r="A140" t="str">
            <v>D-T-ELC-car</v>
          </cell>
          <cell r="B140" t="str">
            <v>VAR_cap</v>
          </cell>
          <cell r="C140" t="str">
            <v>-</v>
          </cell>
          <cell r="D140">
            <v>1.2762600813530278</v>
          </cell>
          <cell r="E140">
            <v>1.2762617341606297</v>
          </cell>
          <cell r="F140">
            <v>2.4617783480796298</v>
          </cell>
          <cell r="G140">
            <v>10.64268865069312</v>
          </cell>
          <cell r="H140">
            <v>24.545723809805008</v>
          </cell>
          <cell r="I140">
            <v>33.175474782844397</v>
          </cell>
          <cell r="J140">
            <v>34.753143566469497</v>
          </cell>
          <cell r="K140">
            <v>40.048908084721702</v>
          </cell>
          <cell r="L140">
            <v>42.147265414224997</v>
          </cell>
          <cell r="M140">
            <v>43.077599428061603</v>
          </cell>
          <cell r="N140">
            <v>45.181804095867903</v>
          </cell>
          <cell r="O140">
            <v>46.243494223863003</v>
          </cell>
        </row>
        <row r="141">
          <cell r="A141" t="str">
            <v>T_C-ICE-NGA-S2</v>
          </cell>
          <cell r="B141" t="str">
            <v>VAR_fout</v>
          </cell>
          <cell r="C141" t="str">
            <v>CO2_T</v>
          </cell>
          <cell r="D141">
            <v>3.1056756067787599</v>
          </cell>
          <cell r="E141">
            <v>3.2020556616695148</v>
          </cell>
          <cell r="F141">
            <v>3.4106600669388811</v>
          </cell>
          <cell r="G141">
            <v>2.5922276432152162E-2</v>
          </cell>
          <cell r="H141">
            <v>1.5368121697389459E-2</v>
          </cell>
          <cell r="I141">
            <v>6.8745325959970504E-3</v>
          </cell>
        </row>
        <row r="142">
          <cell r="A142" t="str">
            <v>T_C-ICE-NGA-S2</v>
          </cell>
          <cell r="B142" t="str">
            <v>VAR_fout</v>
          </cell>
          <cell r="C142" t="str">
            <v>TPCAR</v>
          </cell>
          <cell r="D142">
            <v>3.4785480745384727E-2</v>
          </cell>
          <cell r="E142">
            <v>3.5699619645307948E-2</v>
          </cell>
          <cell r="F142">
            <v>3.7283333516746751E-2</v>
          </cell>
          <cell r="G142">
            <v>2.4517571863244135E-4</v>
          </cell>
          <cell r="H142">
            <v>1.3270585760752061E-4</v>
          </cell>
          <cell r="I142">
            <v>5.4868797206529859E-5</v>
          </cell>
        </row>
        <row r="143">
          <cell r="A143" t="str">
            <v>T_C-ICE-NGA-S2</v>
          </cell>
          <cell r="B143" t="str">
            <v>VAR_fin</v>
          </cell>
          <cell r="C143" t="str">
            <v>TNGA</v>
          </cell>
          <cell r="D143">
            <v>5.5065170332956666E-2</v>
          </cell>
          <cell r="E143">
            <v>5.6774036554424E-2</v>
          </cell>
          <cell r="F143">
            <v>6.0472696222320613E-2</v>
          </cell>
          <cell r="G143">
            <v>4.5961483035730723E-4</v>
          </cell>
          <cell r="H143">
            <v>2.7248442725867779E-4</v>
          </cell>
          <cell r="I143">
            <v>1.2188887581555064E-4</v>
          </cell>
        </row>
        <row r="144">
          <cell r="A144" t="str">
            <v>T_C-ICE-NGA-S2</v>
          </cell>
          <cell r="B144" t="str">
            <v>VAR_ncap</v>
          </cell>
          <cell r="C144" t="str">
            <v>-</v>
          </cell>
          <cell r="E144">
            <v>1.7211533430215599E-6</v>
          </cell>
          <cell r="F144">
            <v>7.2521905763986699E-6</v>
          </cell>
          <cell r="G144">
            <v>1.026842144112E-8</v>
          </cell>
        </row>
        <row r="145">
          <cell r="A145" t="str">
            <v>T_C-ICE-NGA-S2</v>
          </cell>
          <cell r="B145" t="str">
            <v>VAR_cap</v>
          </cell>
          <cell r="C145" t="str">
            <v>-</v>
          </cell>
          <cell r="D145">
            <v>2.6902364593150698E-3</v>
          </cell>
          <cell r="E145">
            <v>2.8422889674344139E-3</v>
          </cell>
          <cell r="F145">
            <v>2.8105067117063444E-3</v>
          </cell>
          <cell r="G145">
            <v>-1.4967227628072052E-6</v>
          </cell>
          <cell r="H145">
            <v>-7.6565534259042615E-7</v>
          </cell>
          <cell r="I145">
            <v>-1.1401397546439901E-7</v>
          </cell>
        </row>
        <row r="146">
          <cell r="A146" t="str">
            <v>TFLGV-ICEDSL</v>
          </cell>
          <cell r="B146" t="str">
            <v>VAR_fout</v>
          </cell>
          <cell r="C146" t="str">
            <v>CO2_T</v>
          </cell>
          <cell r="D146">
            <v>324.89437151370043</v>
          </cell>
          <cell r="E146">
            <v>384.68155442293147</v>
          </cell>
          <cell r="F146">
            <v>213.06204910123805</v>
          </cell>
          <cell r="G146">
            <v>136.64282230757985</v>
          </cell>
          <cell r="H146">
            <v>0.37714042259560049</v>
          </cell>
          <cell r="I146">
            <v>1.7801031968513702E-2</v>
          </cell>
        </row>
        <row r="147">
          <cell r="A147" t="str">
            <v>TFLGV-ICEDSL</v>
          </cell>
          <cell r="B147" t="str">
            <v>VAR_fout</v>
          </cell>
          <cell r="C147" t="str">
            <v>TFLGV</v>
          </cell>
          <cell r="D147">
            <v>1.5163858093731635</v>
          </cell>
          <cell r="E147">
            <v>1.795431689188087</v>
          </cell>
          <cell r="F147">
            <v>0.99442863927688052</v>
          </cell>
          <cell r="G147">
            <v>0.63775569805823851</v>
          </cell>
          <cell r="H147">
            <v>1.7602348181672042E-3</v>
          </cell>
          <cell r="I147">
            <v>8.3083102189457245E-5</v>
          </cell>
        </row>
        <row r="148">
          <cell r="A148" t="str">
            <v>TFLGV-ICEDSL</v>
          </cell>
          <cell r="B148" t="str">
            <v>VAR_fin</v>
          </cell>
          <cell r="C148" t="str">
            <v>TDSL</v>
          </cell>
          <cell r="D148">
            <v>4.4323925172401157</v>
          </cell>
          <cell r="E148">
            <v>5.248043034419263</v>
          </cell>
          <cell r="F148">
            <v>2.9067128117494931</v>
          </cell>
          <cell r="G148">
            <v>1.8641585580843107</v>
          </cell>
          <cell r="H148">
            <v>5.1451626547830897E-3</v>
          </cell>
          <cell r="I148">
            <v>2.4285173217617601E-4</v>
          </cell>
        </row>
        <row r="149">
          <cell r="A149" t="str">
            <v>TFLGV-ICEDSL</v>
          </cell>
          <cell r="B149" t="str">
            <v>VAR_ncap</v>
          </cell>
          <cell r="C149" t="str">
            <v>-</v>
          </cell>
          <cell r="E149">
            <v>3.6296438572814702E-5</v>
          </cell>
          <cell r="F149">
            <v>1.7597827398111601E-5</v>
          </cell>
          <cell r="G149">
            <v>1.21219109439753E-4</v>
          </cell>
        </row>
        <row r="150">
          <cell r="A150" t="str">
            <v>TFLGV-ICEDSL</v>
          </cell>
          <cell r="B150" t="str">
            <v>VAR_cap</v>
          </cell>
          <cell r="C150" t="str">
            <v>-</v>
          </cell>
          <cell r="D150">
            <v>0.10616859300916412</v>
          </cell>
          <cell r="E150">
            <v>0.12519180861905094</v>
          </cell>
          <cell r="F150">
            <v>9.8976951508584626E-2</v>
          </cell>
          <cell r="G150">
            <v>6.3049696301828134E-2</v>
          </cell>
          <cell r="H150">
            <v>1.3019219815646417E-4</v>
          </cell>
          <cell r="I150">
            <v>4.816220560860099E-6</v>
          </cell>
        </row>
        <row r="151">
          <cell r="A151" t="str">
            <v>T_C-ICE-NGA-S3</v>
          </cell>
          <cell r="B151" t="str">
            <v>VAR_fout</v>
          </cell>
          <cell r="C151" t="str">
            <v>CO2_T</v>
          </cell>
          <cell r="D151">
            <v>0.25240588524670021</v>
          </cell>
          <cell r="E151">
            <v>0.27573837679109969</v>
          </cell>
          <cell r="F151">
            <v>0.33260853094290022</v>
          </cell>
          <cell r="G151">
            <v>4.8164295403878558E-2</v>
          </cell>
          <cell r="H151">
            <v>1.8430667983725089E-2</v>
          </cell>
          <cell r="I151">
            <v>6.6924591983708497E-3</v>
          </cell>
        </row>
        <row r="152">
          <cell r="A152" t="str">
            <v>T_C-ICE-NGA-S3</v>
          </cell>
          <cell r="B152" t="str">
            <v>VAR_fout</v>
          </cell>
          <cell r="C152" t="str">
            <v>TPCAR</v>
          </cell>
          <cell r="D152">
            <v>2.0996053925247458E-3</v>
          </cell>
          <cell r="E152">
            <v>2.3244171692166859E-3</v>
          </cell>
          <cell r="F152">
            <v>2.8120552341224822E-3</v>
          </cell>
          <cell r="G152">
            <v>4.1700451084318129E-4</v>
          </cell>
          <cell r="H152">
            <v>1.6179584529969814E-4</v>
          </cell>
          <cell r="I152">
            <v>5.4633900148017997E-5</v>
          </cell>
        </row>
        <row r="153">
          <cell r="A153" t="str">
            <v>T_C-ICE-NGA-S3</v>
          </cell>
          <cell r="B153" t="str">
            <v>VAR_fin</v>
          </cell>
          <cell r="C153" t="str">
            <v>TNGA</v>
          </cell>
          <cell r="D153">
            <v>4.475281653310282E-3</v>
          </cell>
          <cell r="E153">
            <v>4.8889783118989298E-3</v>
          </cell>
          <cell r="F153">
            <v>5.8973143784202221E-3</v>
          </cell>
          <cell r="G153">
            <v>8.5397686886309638E-4</v>
          </cell>
          <cell r="H153">
            <v>3.267848933284584E-4</v>
          </cell>
          <cell r="I153">
            <v>1.186606240845896E-4</v>
          </cell>
        </row>
        <row r="154">
          <cell r="A154" t="str">
            <v>T_C-ICE-NGA-S3</v>
          </cell>
          <cell r="B154" t="str">
            <v>VAR_ncap</v>
          </cell>
          <cell r="C154" t="str">
            <v>-</v>
          </cell>
          <cell r="E154">
            <v>2.8432574215509301E-6</v>
          </cell>
          <cell r="F154">
            <v>1.5687070903326702E-5</v>
          </cell>
        </row>
        <row r="155">
          <cell r="A155" t="str">
            <v>T_C-ICE-NGA-S3</v>
          </cell>
          <cell r="B155" t="str">
            <v>VAR_cap</v>
          </cell>
          <cell r="C155" t="str">
            <v>-</v>
          </cell>
          <cell r="D155">
            <v>1.5112174236928E-4</v>
          </cell>
          <cell r="E155">
            <v>1.6097376667536219E-4</v>
          </cell>
          <cell r="F155">
            <v>1.7487863469876151E-4</v>
          </cell>
          <cell r="G155">
            <v>1.1288930668027592E-5</v>
          </cell>
          <cell r="H155">
            <v>1.4620042833989196E-6</v>
          </cell>
          <cell r="I155">
            <v>-1.5154091578736014E-7</v>
          </cell>
        </row>
        <row r="156">
          <cell r="A156" t="str">
            <v>T_C-ICE-NGA-S4</v>
          </cell>
          <cell r="B156" t="str">
            <v>VAR_fout</v>
          </cell>
          <cell r="C156" t="str">
            <v>CO2_T</v>
          </cell>
          <cell r="D156">
            <v>2.7038922498244675</v>
          </cell>
          <cell r="E156">
            <v>2.6692649580503405</v>
          </cell>
          <cell r="F156">
            <v>2.6067220554511832</v>
          </cell>
          <cell r="G156">
            <v>1.7876748179399601E-2</v>
          </cell>
          <cell r="H156">
            <v>1.5721724185147612E-2</v>
          </cell>
          <cell r="I156">
            <v>7.0420748852057496E-3</v>
          </cell>
        </row>
        <row r="157">
          <cell r="A157" t="str">
            <v>T_C-ICE-NGA-S4</v>
          </cell>
          <cell r="B157" t="str">
            <v>VAR_fout</v>
          </cell>
          <cell r="C157" t="str">
            <v>TPCAR</v>
          </cell>
          <cell r="D157">
            <v>3.2731928119067971E-2</v>
          </cell>
          <cell r="E157">
            <v>3.2258928653378503E-2</v>
          </cell>
          <cell r="F157">
            <v>3.1007223157575189E-2</v>
          </cell>
          <cell r="G157">
            <v>1.6117616195985115E-4</v>
          </cell>
          <cell r="H157">
            <v>1.3273454402645498E-4</v>
          </cell>
          <cell r="I157">
            <v>5.4727002386038524E-5</v>
          </cell>
        </row>
        <row r="158">
          <cell r="A158" t="str">
            <v>T_C-ICE-NGA-S4</v>
          </cell>
          <cell r="B158" t="str">
            <v>VAR_fin</v>
          </cell>
          <cell r="C158" t="str">
            <v>TNGA</v>
          </cell>
          <cell r="D158">
            <v>4.7941351947242375E-2</v>
          </cell>
          <cell r="E158">
            <v>4.7327392873232892E-2</v>
          </cell>
          <cell r="F158">
            <v>4.6218476160481907E-2</v>
          </cell>
          <cell r="G158">
            <v>3.1696362020212053E-4</v>
          </cell>
          <cell r="H158">
            <v>2.7875397491396474E-4</v>
          </cell>
          <cell r="I158">
            <v>1.2485948378024387E-4</v>
          </cell>
        </row>
        <row r="159">
          <cell r="A159" t="str">
            <v>T_C-ICE-NGA-S4</v>
          </cell>
          <cell r="B159" t="str">
            <v>VAR_ncap</v>
          </cell>
          <cell r="C159" t="str">
            <v>-</v>
          </cell>
          <cell r="E159">
            <v>2.5038030953444798E-6</v>
          </cell>
          <cell r="F159">
            <v>7.0975479777170104E-5</v>
          </cell>
          <cell r="G159">
            <v>1.0596274877430701E-8</v>
          </cell>
        </row>
        <row r="160">
          <cell r="A160" t="str">
            <v>T_C-ICE-NGA-S4</v>
          </cell>
          <cell r="B160" t="str">
            <v>VAR_cap</v>
          </cell>
          <cell r="C160" t="str">
            <v>-</v>
          </cell>
          <cell r="D160">
            <v>2.6074482428115001E-3</v>
          </cell>
          <cell r="E160">
            <v>2.5356960001243316E-3</v>
          </cell>
          <cell r="F160">
            <v>2.42975040214522E-3</v>
          </cell>
          <cell r="G160">
            <v>-1.1533684061177264E-6</v>
          </cell>
          <cell r="H160">
            <v>-7.9098963848219005E-7</v>
          </cell>
          <cell r="I160">
            <v>-1.3029478716366973E-7</v>
          </cell>
        </row>
        <row r="161">
          <cell r="A161" t="str">
            <v>T_C-MHY-GSL-S1</v>
          </cell>
          <cell r="B161" t="str">
            <v>VAR_fout</v>
          </cell>
          <cell r="C161" t="str">
            <v>CO2_T</v>
          </cell>
          <cell r="E161">
            <v>2.1839822868297502E-2</v>
          </cell>
          <cell r="F161">
            <v>4.6428638639448197E-2</v>
          </cell>
          <cell r="G161">
            <v>0.13898674871418709</v>
          </cell>
          <cell r="H161">
            <v>0.11136966573067547</v>
          </cell>
          <cell r="I161">
            <v>5.9061669496162192E-2</v>
          </cell>
        </row>
        <row r="162">
          <cell r="A162" t="str">
            <v>T_C-MHY-GSL-S1</v>
          </cell>
          <cell r="B162" t="str">
            <v>VAR_fout</v>
          </cell>
          <cell r="C162" t="str">
            <v>TPCAR</v>
          </cell>
          <cell r="E162">
            <v>1.5340441805615919E-4</v>
          </cell>
          <cell r="F162">
            <v>3.3791360535241583E-4</v>
          </cell>
          <cell r="G162">
            <v>1.1152819628575397E-3</v>
          </cell>
          <cell r="H162">
            <v>8.9802335938140969E-4</v>
          </cell>
          <cell r="I162">
            <v>4.8330135974203515E-4</v>
          </cell>
        </row>
        <row r="163">
          <cell r="A163" t="str">
            <v>T_C-MHY-GSL-S1</v>
          </cell>
          <cell r="B163" t="str">
            <v>VAR_fin</v>
          </cell>
          <cell r="C163" t="str">
            <v>TGSL</v>
          </cell>
          <cell r="E163">
            <v>2.9593255919102329E-4</v>
          </cell>
          <cell r="F163">
            <v>6.2911434470797024E-4</v>
          </cell>
          <cell r="G163">
            <v>1.883289277970011E-3</v>
          </cell>
          <cell r="H163">
            <v>1.5090740613912677E-3</v>
          </cell>
          <cell r="I163">
            <v>8.002936246092429E-4</v>
          </cell>
        </row>
        <row r="164">
          <cell r="A164" t="str">
            <v>T_C-MHY-GSL-S1</v>
          </cell>
          <cell r="B164" t="str">
            <v>VAR_ncap</v>
          </cell>
          <cell r="C164" t="str">
            <v>-</v>
          </cell>
          <cell r="E164">
            <v>1.43396132712074E-5</v>
          </cell>
          <cell r="F164">
            <v>1.84651141682709E-5</v>
          </cell>
          <cell r="G164">
            <v>1.3328986432710799E-4</v>
          </cell>
        </row>
        <row r="165">
          <cell r="A165" t="str">
            <v>T_C-MHY-GSL-S1</v>
          </cell>
          <cell r="B165" t="str">
            <v>VAR_cap</v>
          </cell>
          <cell r="C165" t="str">
            <v>-</v>
          </cell>
          <cell r="E165">
            <v>1.41487078356224E-5</v>
          </cell>
          <cell r="F165">
            <v>3.15581397579292E-5</v>
          </cell>
          <cell r="G165">
            <v>1.53103460616388E-4</v>
          </cell>
          <cell r="H165">
            <v>1.18118740182229E-4</v>
          </cell>
          <cell r="I165">
            <v>6.2362284236613694E-5</v>
          </cell>
        </row>
        <row r="166">
          <cell r="A166" t="str">
            <v>T_TRLY_ELC</v>
          </cell>
          <cell r="B166" t="str">
            <v>VAR_fout</v>
          </cell>
          <cell r="C166" t="str">
            <v>TPTRLY</v>
          </cell>
          <cell r="D166">
            <v>2.7120999999999972E-2</v>
          </cell>
          <cell r="E166">
            <v>2.7782165745480814E-2</v>
          </cell>
          <cell r="F166">
            <v>2.8773914363701983E-2</v>
          </cell>
          <cell r="G166">
            <v>3.042682872740389E-2</v>
          </cell>
          <cell r="H166">
            <v>3.1023641718362919E-2</v>
          </cell>
          <cell r="I166">
            <v>3.1892522889951397E-2</v>
          </cell>
          <cell r="J166">
            <v>3.2426583620297177E-2</v>
          </cell>
          <cell r="K166">
            <v>3.2960644350642984E-2</v>
          </cell>
          <cell r="L166">
            <v>3.5939564798539693E-2</v>
          </cell>
          <cell r="M166">
            <v>3.8019840657423198E-2</v>
          </cell>
          <cell r="N166">
            <v>4.0091477970173192E-2</v>
          </cell>
          <cell r="O166">
            <v>4.2130119148439206E-2</v>
          </cell>
        </row>
        <row r="167">
          <cell r="A167" t="str">
            <v>T_TRLY_ELC</v>
          </cell>
          <cell r="B167" t="str">
            <v>VAR_fin</v>
          </cell>
          <cell r="C167" t="str">
            <v>TELC</v>
          </cell>
          <cell r="D167">
            <v>0.2816422643485601</v>
          </cell>
          <cell r="E167">
            <v>0.30668648626079364</v>
          </cell>
          <cell r="F167">
            <v>0.35078787907941233</v>
          </cell>
          <cell r="G167">
            <v>0.44905706465165934</v>
          </cell>
          <cell r="H167">
            <v>0.45786518239100965</v>
          </cell>
          <cell r="I167">
            <v>0.4706886426319784</v>
          </cell>
          <cell r="J167">
            <v>0.47857062553803131</v>
          </cell>
          <cell r="K167">
            <v>0.48645260844408511</v>
          </cell>
          <cell r="L167">
            <v>0.5304172714770905</v>
          </cell>
          <cell r="M167">
            <v>0.5611192082193377</v>
          </cell>
          <cell r="N167">
            <v>0.59169365220825365</v>
          </cell>
          <cell r="O167">
            <v>0.62178111980442863</v>
          </cell>
        </row>
        <row r="168">
          <cell r="A168" t="str">
            <v>T_C-MHY-GSL-S2</v>
          </cell>
          <cell r="B168" t="str">
            <v>VAR_fout</v>
          </cell>
          <cell r="C168" t="str">
            <v>CO2_T</v>
          </cell>
          <cell r="E168">
            <v>2.5669295433862E-2</v>
          </cell>
          <cell r="F168">
            <v>6.408387407896679E-2</v>
          </cell>
          <cell r="G168">
            <v>0.1927666260652115</v>
          </cell>
          <cell r="H168">
            <v>0.1448324194190643</v>
          </cell>
          <cell r="I168">
            <v>7.2388146888153954E-2</v>
          </cell>
        </row>
        <row r="169">
          <cell r="A169" t="str">
            <v>T_C-MHY-GSL-S2</v>
          </cell>
          <cell r="B169" t="str">
            <v>VAR_fout</v>
          </cell>
          <cell r="C169" t="str">
            <v>TPCAR</v>
          </cell>
          <cell r="E169">
            <v>1.4515920907159897E-4</v>
          </cell>
          <cell r="F169">
            <v>3.7778491752424933E-4</v>
          </cell>
          <cell r="G169">
            <v>1.2488181781964796E-3</v>
          </cell>
          <cell r="H169">
            <v>9.4325818314195862E-4</v>
          </cell>
          <cell r="I169">
            <v>4.7976411083605684E-4</v>
          </cell>
        </row>
        <row r="170">
          <cell r="A170" t="str">
            <v>T_C-MHY-GSL-S2</v>
          </cell>
          <cell r="B170" t="str">
            <v>VAR_fin</v>
          </cell>
          <cell r="C170" t="str">
            <v>TGSL</v>
          </cell>
          <cell r="E170">
            <v>3.4782243135314316E-4</v>
          </cell>
          <cell r="F170">
            <v>8.683451772217726E-4</v>
          </cell>
          <cell r="G170">
            <v>2.6120139033226487E-3</v>
          </cell>
          <cell r="H170">
            <v>1.9624989081173981E-3</v>
          </cell>
          <cell r="I170">
            <v>9.8086919902647747E-4</v>
          </cell>
        </row>
        <row r="171">
          <cell r="A171" t="str">
            <v>T_C-MHY-GSL-S2</v>
          </cell>
          <cell r="B171" t="str">
            <v>VAR_ncap</v>
          </cell>
          <cell r="C171" t="str">
            <v>-</v>
          </cell>
          <cell r="E171">
            <v>9.4700797405193303E-6</v>
          </cell>
          <cell r="F171">
            <v>1.66054470446411E-5</v>
          </cell>
          <cell r="G171">
            <v>8.1609653327832803E-5</v>
          </cell>
        </row>
        <row r="172">
          <cell r="A172" t="str">
            <v>T_C-MHY-GSL-S2</v>
          </cell>
          <cell r="B172" t="str">
            <v>VAR_cap</v>
          </cell>
          <cell r="C172" t="str">
            <v>-</v>
          </cell>
          <cell r="E172">
            <v>9.3440031397285105E-6</v>
          </cell>
          <cell r="F172">
            <v>2.5193540933644798E-5</v>
          </cell>
          <cell r="G172">
            <v>9.8853766344271594E-5</v>
          </cell>
          <cell r="H172">
            <v>7.5773757812652902E-5</v>
          </cell>
          <cell r="I172">
            <v>3.8707211507387499E-5</v>
          </cell>
        </row>
        <row r="173">
          <cell r="A173" t="str">
            <v>T_C-MHY-DSL-S1</v>
          </cell>
          <cell r="B173" t="str">
            <v>VAR_fout</v>
          </cell>
          <cell r="C173" t="str">
            <v>CO2_T</v>
          </cell>
          <cell r="E173">
            <v>1.7836963875113999E-2</v>
          </cell>
          <cell r="F173">
            <v>3.5171009084264501E-2</v>
          </cell>
          <cell r="G173">
            <v>0.1347034242722846</v>
          </cell>
          <cell r="H173">
            <v>0.10894461300569939</v>
          </cell>
          <cell r="I173">
            <v>5.9298750133919609E-2</v>
          </cell>
        </row>
        <row r="174">
          <cell r="A174" t="str">
            <v>T_C-MHY-DSL-S1</v>
          </cell>
          <cell r="B174" t="str">
            <v>VAR_fout</v>
          </cell>
          <cell r="C174" t="str">
            <v>TPCAR</v>
          </cell>
          <cell r="E174">
            <v>1.3676679363346835E-4</v>
          </cell>
          <cell r="F174">
            <v>2.7724400318653492E-4</v>
          </cell>
          <cell r="G174">
            <v>1.1588323498955087E-3</v>
          </cell>
          <cell r="H174">
            <v>9.4023105148097587E-4</v>
          </cell>
          <cell r="I174">
            <v>5.1692662317008456E-4</v>
          </cell>
        </row>
        <row r="175">
          <cell r="A175" t="str">
            <v>T_C-MHY-DSL-S1</v>
          </cell>
          <cell r="B175" t="str">
            <v>VAR_fin</v>
          </cell>
          <cell r="C175" t="str">
            <v>TDSL</v>
          </cell>
          <cell r="E175">
            <v>2.4334193554043692E-4</v>
          </cell>
          <cell r="F175">
            <v>4.7982277059023911E-4</v>
          </cell>
          <cell r="G175">
            <v>1.8377001947105615E-3</v>
          </cell>
          <cell r="H175">
            <v>1.4862839427789822E-3</v>
          </cell>
          <cell r="I175">
            <v>8.0898704139044527E-4</v>
          </cell>
        </row>
        <row r="176">
          <cell r="A176" t="str">
            <v>T_C-MHY-DSL-S1</v>
          </cell>
          <cell r="B176" t="str">
            <v>VAR_ncap</v>
          </cell>
          <cell r="C176" t="str">
            <v>-</v>
          </cell>
          <cell r="E176">
            <v>1.23040637390108E-5</v>
          </cell>
          <cell r="F176">
            <v>1.36086852720797E-5</v>
          </cell>
          <cell r="G176">
            <v>1.46027237232511E-4</v>
          </cell>
        </row>
        <row r="177">
          <cell r="A177" t="str">
            <v>T_C-MHY-DSL-S1</v>
          </cell>
          <cell r="B177" t="str">
            <v>VAR_cap</v>
          </cell>
          <cell r="C177" t="str">
            <v>-</v>
          </cell>
          <cell r="E177">
            <v>1.21402578815489E-5</v>
          </cell>
          <cell r="F177">
            <v>2.48728763075407E-5</v>
          </cell>
          <cell r="G177">
            <v>1.59447414592993E-4</v>
          </cell>
          <cell r="H177">
            <v>1.24439629107018E-4</v>
          </cell>
          <cell r="I177">
            <v>6.7666421523296505E-5</v>
          </cell>
        </row>
        <row r="178">
          <cell r="A178" t="str">
            <v>T_C-MHY-GSL-S3</v>
          </cell>
          <cell r="B178" t="str">
            <v>VAR_fout</v>
          </cell>
          <cell r="C178" t="str">
            <v>CO2_T</v>
          </cell>
          <cell r="E178">
            <v>2.97240636805172E-2</v>
          </cell>
          <cell r="F178">
            <v>7.5101130465722296E-2</v>
          </cell>
          <cell r="G178">
            <v>0.16570137554130432</v>
          </cell>
          <cell r="H178">
            <v>0.12461387374590059</v>
          </cell>
          <cell r="I178">
            <v>5.8509043664267776E-2</v>
          </cell>
        </row>
        <row r="179">
          <cell r="A179" t="str">
            <v>T_C-MHY-GSL-S3</v>
          </cell>
          <cell r="B179" t="str">
            <v>VAR_fout</v>
          </cell>
          <cell r="C179" t="str">
            <v>TPCAR</v>
          </cell>
          <cell r="E179">
            <v>1.5626073590295977E-4</v>
          </cell>
          <cell r="F179">
            <v>4.1178396867862726E-4</v>
          </cell>
          <cell r="G179">
            <v>9.8653074977031224E-4</v>
          </cell>
          <cell r="H179">
            <v>7.4745457657829091E-4</v>
          </cell>
          <cell r="I179">
            <v>3.5923834431921941E-4</v>
          </cell>
        </row>
        <row r="180">
          <cell r="A180" t="str">
            <v>T_C-MHY-GSL-S3</v>
          </cell>
          <cell r="B180" t="str">
            <v>VAR_fin</v>
          </cell>
          <cell r="C180" t="str">
            <v>TGSL</v>
          </cell>
          <cell r="E180">
            <v>4.0276509052191296E-4</v>
          </cell>
          <cell r="F180">
            <v>1.0176304941154775E-3</v>
          </cell>
          <cell r="G180">
            <v>2.2452760913455922E-3</v>
          </cell>
          <cell r="H180">
            <v>1.6885348746057001E-3</v>
          </cell>
          <cell r="I180">
            <v>7.9280546970552604E-4</v>
          </cell>
        </row>
        <row r="181">
          <cell r="A181" t="str">
            <v>T_C-MHY-GSL-S3</v>
          </cell>
          <cell r="B181" t="str">
            <v>VAR_ncap</v>
          </cell>
          <cell r="C181" t="str">
            <v>-</v>
          </cell>
          <cell r="E181">
            <v>9.4308651649687694E-6</v>
          </cell>
          <cell r="F181">
            <v>1.6652002216231599E-5</v>
          </cell>
          <cell r="G181">
            <v>4.8323609636281803E-5</v>
          </cell>
        </row>
        <row r="182">
          <cell r="A182" t="str">
            <v>T_C-MHY-GSL-S3</v>
          </cell>
          <cell r="B182" t="str">
            <v>VAR_cap</v>
          </cell>
          <cell r="C182" t="str">
            <v>-</v>
          </cell>
          <cell r="E182">
            <v>9.3053106337404402E-6</v>
          </cell>
          <cell r="F182">
            <v>2.52029985112837E-5</v>
          </cell>
          <cell r="G182">
            <v>6.7305106382999503E-5</v>
          </cell>
          <cell r="H182">
            <v>5.00645179829869E-5</v>
          </cell>
          <cell r="I182">
            <v>2.35946728751311E-5</v>
          </cell>
        </row>
        <row r="183">
          <cell r="A183" t="str">
            <v>T_C-MHY-DSL-S2</v>
          </cell>
          <cell r="B183" t="str">
            <v>VAR_fout</v>
          </cell>
          <cell r="C183" t="str">
            <v>CO2_T</v>
          </cell>
          <cell r="E183">
            <v>2.1686026403121599E-2</v>
          </cell>
          <cell r="F183">
            <v>4.9661366837672201E-2</v>
          </cell>
          <cell r="G183">
            <v>0.15428738693398331</v>
          </cell>
          <cell r="H183">
            <v>0.11551939908455051</v>
          </cell>
          <cell r="I183">
            <v>5.7558154657086587E-2</v>
          </cell>
        </row>
        <row r="184">
          <cell r="A184" t="str">
            <v>T_C-MHY-DSL-S2</v>
          </cell>
          <cell r="B184" t="str">
            <v>VAR_fout</v>
          </cell>
          <cell r="C184" t="str">
            <v>TPCAR</v>
          </cell>
          <cell r="E184">
            <v>1.3375558182490506E-4</v>
          </cell>
          <cell r="F184">
            <v>3.1652477281365871E-4</v>
          </cell>
          <cell r="G184">
            <v>1.0664536077835778E-3</v>
          </cell>
          <cell r="H184">
            <v>8.0197924629368908E-4</v>
          </cell>
          <cell r="I184">
            <v>4.0547439461542856E-4</v>
          </cell>
        </row>
        <row r="185">
          <cell r="A185" t="str">
            <v>T_C-MHY-DSL-S2</v>
          </cell>
          <cell r="B185" t="str">
            <v>VAR_fin</v>
          </cell>
          <cell r="C185" t="str">
            <v>TDSL</v>
          </cell>
          <cell r="E185">
            <v>2.9585302050643352E-4</v>
          </cell>
          <cell r="F185">
            <v>6.7750841524791641E-4</v>
          </cell>
          <cell r="G185">
            <v>2.1048756744063211E-3</v>
          </cell>
          <cell r="H185">
            <v>1.5759808879201966E-3</v>
          </cell>
          <cell r="I185">
            <v>7.8524085480336317E-4</v>
          </cell>
        </row>
        <row r="186">
          <cell r="A186" t="str">
            <v>T_C-MHY-DSL-S2</v>
          </cell>
          <cell r="B186" t="str">
            <v>VAR_ncap</v>
          </cell>
          <cell r="C186" t="str">
            <v>-</v>
          </cell>
          <cell r="E186">
            <v>8.4509869514602996E-6</v>
          </cell>
          <cell r="F186">
            <v>1.2719631946562399E-5</v>
          </cell>
          <cell r="G186">
            <v>6.7132242057309804E-5</v>
          </cell>
        </row>
        <row r="187">
          <cell r="A187" t="str">
            <v>T_C-MHY-DSL-S2</v>
          </cell>
          <cell r="B187" t="str">
            <v>VAR_cap</v>
          </cell>
          <cell r="C187" t="str">
            <v>-</v>
          </cell>
          <cell r="E187">
            <v>8.3384776867696502E-6</v>
          </cell>
          <cell r="F187">
            <v>2.0411487777505E-5</v>
          </cell>
          <cell r="G187">
            <v>8.0995396992826504E-5</v>
          </cell>
          <cell r="H187">
            <v>6.1920257105596094E-5</v>
          </cell>
          <cell r="I187">
            <v>3.1747581594450503E-5</v>
          </cell>
        </row>
        <row r="188">
          <cell r="A188" t="str">
            <v>T_C-MHY-GSL-S4</v>
          </cell>
          <cell r="B188" t="str">
            <v>VAR_fout</v>
          </cell>
          <cell r="C188" t="str">
            <v>CO2_T</v>
          </cell>
          <cell r="E188">
            <v>3.23923619801861E-2</v>
          </cell>
          <cell r="F188">
            <v>8.6240288969873596E-2</v>
          </cell>
          <cell r="G188">
            <v>0.27715775740828741</v>
          </cell>
          <cell r="H188">
            <v>0.2059119729945102</v>
          </cell>
          <cell r="I188">
            <v>0.10023145980320318</v>
          </cell>
        </row>
        <row r="189">
          <cell r="A189" t="str">
            <v>T_C-MHY-GSL-S4</v>
          </cell>
          <cell r="B189" t="str">
            <v>VAR_fout</v>
          </cell>
          <cell r="C189" t="str">
            <v>TPCAR</v>
          </cell>
          <cell r="E189">
            <v>1.7263837958355125E-4</v>
          </cell>
          <cell r="F189">
            <v>4.793665068819063E-4</v>
          </cell>
          <cell r="G189">
            <v>1.6920979144530147E-3</v>
          </cell>
          <cell r="H189">
            <v>1.2632691631551251E-3</v>
          </cell>
          <cell r="I189">
            <v>6.2463218824257254E-4</v>
          </cell>
        </row>
        <row r="190">
          <cell r="A190" t="str">
            <v>T_C-MHY-GSL-S4</v>
          </cell>
          <cell r="B190" t="str">
            <v>VAR_fin</v>
          </cell>
          <cell r="C190" t="str">
            <v>TGSL</v>
          </cell>
          <cell r="E190">
            <v>4.3892089404046252E-4</v>
          </cell>
          <cell r="F190">
            <v>1.1685676012178003E-3</v>
          </cell>
          <cell r="G190">
            <v>3.7555251681339829E-3</v>
          </cell>
          <cell r="H190">
            <v>2.7901351354269674E-3</v>
          </cell>
          <cell r="I190">
            <v>1.358149861832021E-3</v>
          </cell>
        </row>
        <row r="191">
          <cell r="A191" t="str">
            <v>T_C-MHY-GSL-S4</v>
          </cell>
          <cell r="B191" t="str">
            <v>VAR_ncap</v>
          </cell>
          <cell r="C191" t="str">
            <v>-</v>
          </cell>
          <cell r="E191">
            <v>1.2223857796055E-5</v>
          </cell>
          <cell r="F191">
            <v>2.3307736434808699E-5</v>
          </cell>
          <cell r="G191">
            <v>1.14211146080374E-4</v>
          </cell>
        </row>
        <row r="192">
          <cell r="A192" t="str">
            <v>T_C-MHY-GSL-S4</v>
          </cell>
          <cell r="B192" t="str">
            <v>VAR_cap</v>
          </cell>
          <cell r="C192" t="str">
            <v>-</v>
          </cell>
          <cell r="E192">
            <v>1.20611197324162E-5</v>
          </cell>
          <cell r="F192">
            <v>3.4368194152631303E-5</v>
          </cell>
          <cell r="G192">
            <v>1.3763486260705101E-4</v>
          </cell>
          <cell r="H192">
            <v>1.0582215490557E-4</v>
          </cell>
          <cell r="I192">
            <v>5.4176803327014899E-5</v>
          </cell>
        </row>
        <row r="193">
          <cell r="A193" t="str">
            <v>T_C-MHY-DSL-S3</v>
          </cell>
          <cell r="B193" t="str">
            <v>VAR_fout</v>
          </cell>
          <cell r="C193" t="str">
            <v>CO2_T</v>
          </cell>
          <cell r="E193">
            <v>2.4901918966368699E-2</v>
          </cell>
          <cell r="F193">
            <v>5.7573737360472693E-2</v>
          </cell>
          <cell r="G193">
            <v>0.12783414907641349</v>
          </cell>
          <cell r="H193">
            <v>9.6266859145959699E-2</v>
          </cell>
          <cell r="I193">
            <v>4.5642061823253893E-2</v>
          </cell>
        </row>
        <row r="194">
          <cell r="A194" t="str">
            <v>T_C-MHY-DSL-S3</v>
          </cell>
          <cell r="B194" t="str">
            <v>VAR_fout</v>
          </cell>
          <cell r="C194" t="str">
            <v>TPCAR</v>
          </cell>
          <cell r="E194">
            <v>1.4278056977685109E-4</v>
          </cell>
          <cell r="F194">
            <v>3.4124881968310383E-4</v>
          </cell>
          <cell r="G194">
            <v>8.1284178801702481E-4</v>
          </cell>
          <cell r="H194">
            <v>6.1607834184829212E-4</v>
          </cell>
          <cell r="I194">
            <v>2.9800589071520776E-4</v>
          </cell>
        </row>
        <row r="195">
          <cell r="A195" t="str">
            <v>T_C-MHY-DSL-S3</v>
          </cell>
          <cell r="B195" t="str">
            <v>VAR_fin</v>
          </cell>
          <cell r="C195" t="str">
            <v>TDSL</v>
          </cell>
          <cell r="E195">
            <v>3.3972604319739032E-4</v>
          </cell>
          <cell r="F195">
            <v>7.8545344284410251E-4</v>
          </cell>
          <cell r="G195">
            <v>1.7439856627068677E-3</v>
          </cell>
          <cell r="H195">
            <v>1.3133268642013592E-3</v>
          </cell>
          <cell r="I195">
            <v>6.2267478612897532E-4</v>
          </cell>
        </row>
        <row r="196">
          <cell r="A196" t="str">
            <v>T_C-MHY-DSL-S3</v>
          </cell>
          <cell r="B196" t="str">
            <v>VAR_ncap</v>
          </cell>
          <cell r="C196" t="str">
            <v>-</v>
          </cell>
          <cell r="E196">
            <v>8.3359287788978296E-6</v>
          </cell>
          <cell r="F196">
            <v>1.25338198560862E-5</v>
          </cell>
          <cell r="G196">
            <v>3.8655976900822797E-5</v>
          </cell>
        </row>
        <row r="197">
          <cell r="A197" t="str">
            <v>T_C-MHY-DSL-S3</v>
          </cell>
          <cell r="B197" t="str">
            <v>VAR_cap</v>
          </cell>
          <cell r="C197" t="str">
            <v>-</v>
          </cell>
          <cell r="E197">
            <v>8.2249513010228405E-6</v>
          </cell>
          <cell r="F197">
            <v>2.0121121146423899E-5</v>
          </cell>
          <cell r="G197">
            <v>5.3748864480415903E-5</v>
          </cell>
          <cell r="H197">
            <v>3.9765569128794998E-5</v>
          </cell>
          <cell r="I197">
            <v>1.8796447826759499E-5</v>
          </cell>
        </row>
        <row r="198">
          <cell r="A198" t="str">
            <v>T_B_c-HYBDSL-S1</v>
          </cell>
          <cell r="B198" t="str">
            <v>VAR_fout</v>
          </cell>
          <cell r="C198" t="str">
            <v>CO2_T</v>
          </cell>
          <cell r="E198">
            <v>9.9342079240194003</v>
          </cell>
          <cell r="F198">
            <v>7.641819887933023</v>
          </cell>
          <cell r="G198">
            <v>3.4503679648261495E-2</v>
          </cell>
          <cell r="H198">
            <v>2.4133626630146728E-2</v>
          </cell>
          <cell r="I198">
            <v>2.2229344833702251E-2</v>
          </cell>
          <cell r="J198">
            <v>2.3171407686840548E-2</v>
          </cell>
          <cell r="K198">
            <v>1.8249767778531861E-2</v>
          </cell>
        </row>
        <row r="199">
          <cell r="A199" t="str">
            <v>T_B_c-HYBDSL-S1</v>
          </cell>
          <cell r="B199" t="str">
            <v>VAR_fout</v>
          </cell>
          <cell r="C199" t="str">
            <v>TPBSc</v>
          </cell>
          <cell r="E199">
            <v>2.2025168938752646E-2</v>
          </cell>
          <cell r="F199">
            <v>1.6958038101218421E-2</v>
          </cell>
          <cell r="G199">
            <v>8.09411579700025E-5</v>
          </cell>
          <cell r="H199">
            <v>6.0405886812788251E-5</v>
          </cell>
          <cell r="I199">
            <v>5.9146357383314185E-5</v>
          </cell>
          <cell r="J199">
            <v>6.4877378602091283E-5</v>
          </cell>
          <cell r="K199">
            <v>5.23117962963109E-5</v>
          </cell>
        </row>
        <row r="200">
          <cell r="A200" t="str">
            <v>T_B_c-HYBDSL-S1</v>
          </cell>
          <cell r="B200" t="str">
            <v>VAR_fin</v>
          </cell>
          <cell r="C200" t="str">
            <v>TDSL</v>
          </cell>
          <cell r="E200">
            <v>0.13552807536179259</v>
          </cell>
          <cell r="F200">
            <v>0.10425402302773569</v>
          </cell>
          <cell r="G200">
            <v>4.7071868551516348E-4</v>
          </cell>
          <cell r="H200">
            <v>3.2924456521346199E-4</v>
          </cell>
          <cell r="I200">
            <v>3.0326527740385032E-4</v>
          </cell>
          <cell r="J200">
            <v>3.1611743092551937E-4</v>
          </cell>
          <cell r="K200">
            <v>2.4897363954340878E-4</v>
          </cell>
        </row>
        <row r="201">
          <cell r="A201" t="str">
            <v>T_B_c-HYBDSL-S1</v>
          </cell>
          <cell r="B201" t="str">
            <v>VAR_ncap</v>
          </cell>
          <cell r="C201" t="str">
            <v>-</v>
          </cell>
          <cell r="E201">
            <v>4.7836939002651702E-4</v>
          </cell>
          <cell r="F201">
            <v>7.3744713080439898E-6</v>
          </cell>
          <cell r="G201">
            <v>8.3390051342411303E-8</v>
          </cell>
          <cell r="J201">
            <v>6.1340790794554795E-8</v>
          </cell>
        </row>
        <row r="202">
          <cell r="A202" t="str">
            <v>T_B_c-HYBDSL-S1</v>
          </cell>
          <cell r="B202" t="str">
            <v>VAR_cap</v>
          </cell>
          <cell r="C202" t="str">
            <v>-</v>
          </cell>
          <cell r="E202">
            <v>4.7836939002651702E-4</v>
          </cell>
          <cell r="F202">
            <v>4.8567220791569842E-4</v>
          </cell>
          <cell r="G202">
            <v>1.1659183891396053E-7</v>
          </cell>
          <cell r="H202">
            <v>-3.0476572643155948E-7</v>
          </cell>
          <cell r="I202">
            <v>-3.1889447837242256E-7</v>
          </cell>
          <cell r="J202">
            <v>-2.0751367682843722E-7</v>
          </cell>
          <cell r="K202">
            <v>5.0445574101180974E-9</v>
          </cell>
        </row>
        <row r="203">
          <cell r="A203" t="str">
            <v>T_C-MHY-DSL-S4</v>
          </cell>
          <cell r="B203" t="str">
            <v>VAR_fout</v>
          </cell>
          <cell r="C203" t="str">
            <v>CO2_T</v>
          </cell>
          <cell r="E203">
            <v>2.05855946081611E-2</v>
          </cell>
          <cell r="F203">
            <v>4.5772076355596394E-2</v>
          </cell>
          <cell r="G203">
            <v>9.7662627797661106E-2</v>
          </cell>
          <cell r="H203">
            <v>7.39856532066374E-2</v>
          </cell>
          <cell r="I203">
            <v>3.5894902095429011E-2</v>
          </cell>
        </row>
        <row r="204">
          <cell r="A204" t="str">
            <v>T_C-MHY-DSL-S4</v>
          </cell>
          <cell r="B204" t="str">
            <v>VAR_fout</v>
          </cell>
          <cell r="C204" t="str">
            <v>TPCAR</v>
          </cell>
          <cell r="E204">
            <v>1.121771787831196E-4</v>
          </cell>
          <cell r="F204">
            <v>2.574679710623418E-4</v>
          </cell>
          <cell r="G204">
            <v>5.8742270654600561E-4</v>
          </cell>
          <cell r="H204">
            <v>4.4762147803955709E-4</v>
          </cell>
          <cell r="I204">
            <v>2.2166605691606886E-4</v>
          </cell>
        </row>
        <row r="205">
          <cell r="A205" t="str">
            <v>T_C-MHY-DSL-S4</v>
          </cell>
          <cell r="B205" t="str">
            <v>VAR_fin</v>
          </cell>
          <cell r="C205" t="str">
            <v>TDSL</v>
          </cell>
          <cell r="E205">
            <v>2.8084030843330301E-4</v>
          </cell>
          <cell r="F205">
            <v>6.2444851781168296E-4</v>
          </cell>
          <cell r="G205">
            <v>1.3323687284810509E-3</v>
          </cell>
          <cell r="H205">
            <v>1.0093540683033747E-3</v>
          </cell>
          <cell r="I205">
            <v>4.8969852790489666E-4</v>
          </cell>
        </row>
        <row r="206">
          <cell r="A206" t="str">
            <v>T_C-MHY-DSL-S4</v>
          </cell>
          <cell r="B206" t="str">
            <v>VAR_ncap</v>
          </cell>
          <cell r="C206" t="str">
            <v>-</v>
          </cell>
          <cell r="E206">
            <v>6.92799631413265E-6</v>
          </cell>
          <cell r="F206">
            <v>9.9290795472101997E-6</v>
          </cell>
          <cell r="G206">
            <v>3.0774925708570698E-5</v>
          </cell>
        </row>
        <row r="207">
          <cell r="A207" t="str">
            <v>T_C-MHY-DSL-S4</v>
          </cell>
          <cell r="B207" t="str">
            <v>VAR_cap</v>
          </cell>
          <cell r="C207" t="str">
            <v>-</v>
          </cell>
          <cell r="E207">
            <v>6.8357628536434101E-6</v>
          </cell>
          <cell r="F207">
            <v>1.6241385007350802E-5</v>
          </cell>
          <cell r="G207">
            <v>4.29656291627767E-5</v>
          </cell>
          <cell r="H207">
            <v>3.1702623305096497E-5</v>
          </cell>
          <cell r="I207">
            <v>1.4959403007674301E-5</v>
          </cell>
        </row>
        <row r="208">
          <cell r="A208" t="str">
            <v>T_B_c-HYBDSL-S2</v>
          </cell>
          <cell r="B208" t="str">
            <v>VAR_fout</v>
          </cell>
          <cell r="C208" t="str">
            <v>CO2_T</v>
          </cell>
          <cell r="E208">
            <v>7.8745324259045998E-2</v>
          </cell>
          <cell r="F208">
            <v>0.21229506714534541</v>
          </cell>
          <cell r="G208">
            <v>0.2310565876218125</v>
          </cell>
          <cell r="H208">
            <v>3.7453867821439502E-2</v>
          </cell>
          <cell r="I208">
            <v>3.4468661572912798E-2</v>
          </cell>
          <cell r="J208">
            <v>3.91586703107853E-2</v>
          </cell>
          <cell r="K208">
            <v>2.9227528289603698E-2</v>
          </cell>
        </row>
        <row r="209">
          <cell r="A209" t="str">
            <v>T_B_c-HYBDSL-S2</v>
          </cell>
          <cell r="B209" t="str">
            <v>VAR_fout</v>
          </cell>
          <cell r="C209" t="str">
            <v>TPBSc</v>
          </cell>
          <cell r="E209">
            <v>1.2514805777883692E-4</v>
          </cell>
          <cell r="F209">
            <v>3.4789178818642012E-4</v>
          </cell>
          <cell r="G209">
            <v>3.8321341120146668E-4</v>
          </cell>
          <cell r="H209">
            <v>6.6981480468164659E-5</v>
          </cell>
          <cell r="I209">
            <v>6.5555063986271378E-5</v>
          </cell>
          <cell r="J209">
            <v>7.8688038623724E-5</v>
          </cell>
          <cell r="K209">
            <v>6.0166600128311791E-5</v>
          </cell>
        </row>
        <row r="210">
          <cell r="A210" t="str">
            <v>T_B_c-HYBDSL-S2</v>
          </cell>
          <cell r="B210" t="str">
            <v>VAR_fin</v>
          </cell>
          <cell r="C210" t="str">
            <v>TDSL</v>
          </cell>
          <cell r="E210">
            <v>1.0742881890729332E-3</v>
          </cell>
          <cell r="F210">
            <v>2.8962492107141298E-3</v>
          </cell>
          <cell r="G210">
            <v>3.1522044696017984E-3</v>
          </cell>
          <cell r="H210">
            <v>5.1096681884637771E-4</v>
          </cell>
          <cell r="I210">
            <v>4.7024094915297201E-4</v>
          </cell>
          <cell r="J210">
            <v>5.3422469728220021E-4</v>
          </cell>
          <cell r="K210">
            <v>3.9873844869854993E-4</v>
          </cell>
        </row>
        <row r="211">
          <cell r="A211" t="str">
            <v>T_B_c-HYBDSL-S2</v>
          </cell>
          <cell r="B211" t="str">
            <v>VAR_ncap</v>
          </cell>
          <cell r="C211" t="str">
            <v>-</v>
          </cell>
          <cell r="E211">
            <v>2.2422326843258302E-6</v>
          </cell>
          <cell r="F211">
            <v>4.3017453206185499E-6</v>
          </cell>
          <cell r="G211">
            <v>4.8478780820039797E-7</v>
          </cell>
          <cell r="J211">
            <v>2.0674400105684001E-7</v>
          </cell>
        </row>
        <row r="212">
          <cell r="A212" t="str">
            <v>T_B_c-HYBDSL-S2</v>
          </cell>
          <cell r="B212" t="str">
            <v>VAR_cap</v>
          </cell>
          <cell r="C212" t="str">
            <v>-</v>
          </cell>
          <cell r="E212">
            <v>2.2422326843258302E-6</v>
          </cell>
          <cell r="F212">
            <v>6.5439780049443797E-6</v>
          </cell>
          <cell r="G212">
            <v>6.6834507373833849E-6</v>
          </cell>
          <cell r="H212">
            <v>-1.6568253031918987E-7</v>
          </cell>
          <cell r="I212">
            <v>-1.8729471126526398E-7</v>
          </cell>
          <cell r="J212">
            <v>8.6874317006594019E-8</v>
          </cell>
          <cell r="K212">
            <v>1.7434912975235842E-7</v>
          </cell>
        </row>
        <row r="213">
          <cell r="A213" t="str">
            <v>T_C-BATELCEXT</v>
          </cell>
          <cell r="B213" t="str">
            <v>VAR_fout</v>
          </cell>
          <cell r="C213" t="str">
            <v>TPCAR</v>
          </cell>
          <cell r="D213">
            <v>0.41619840894164967</v>
          </cell>
          <cell r="E213">
            <v>0.36006203586154206</v>
          </cell>
          <cell r="F213">
            <v>0.26557634787461848</v>
          </cell>
          <cell r="G213">
            <v>0.13875336315567499</v>
          </cell>
        </row>
        <row r="214">
          <cell r="A214" t="str">
            <v>T_C-BATELCEXT</v>
          </cell>
          <cell r="B214" t="str">
            <v>VAR_fin</v>
          </cell>
          <cell r="C214" t="str">
            <v>T-ELC-car</v>
          </cell>
          <cell r="D214">
            <v>0.46789521850439619</v>
          </cell>
          <cell r="E214">
            <v>0.3762618507620295</v>
          </cell>
          <cell r="F214">
            <v>0.25099470206596008</v>
          </cell>
          <cell r="G214">
            <v>0.11311302936582905</v>
          </cell>
        </row>
        <row r="215">
          <cell r="A215" t="str">
            <v>T_C-BATELCEXT</v>
          </cell>
          <cell r="B215" t="str">
            <v>VAR_cap</v>
          </cell>
          <cell r="C215" t="str">
            <v>-</v>
          </cell>
          <cell r="D215">
            <v>4.2038783843432279E-2</v>
          </cell>
          <cell r="E215">
            <v>3.6402548109083471E-2</v>
          </cell>
          <cell r="F215">
            <v>2.682291711258206E-2</v>
          </cell>
          <cell r="G215">
            <v>1.4013274365145064E-2</v>
          </cell>
        </row>
        <row r="216">
          <cell r="A216" t="str">
            <v>D-TDSL</v>
          </cell>
          <cell r="B216" t="str">
            <v>VAR_fout</v>
          </cell>
          <cell r="C216" t="str">
            <v>CO2</v>
          </cell>
          <cell r="D216">
            <v>8732.2685587997603</v>
          </cell>
          <cell r="E216">
            <v>8259.8856554029699</v>
          </cell>
          <cell r="F216">
            <v>4996.53218335569</v>
          </cell>
          <cell r="G216">
            <v>3831.0961645996599</v>
          </cell>
          <cell r="H216">
            <v>2471.1878034228198</v>
          </cell>
          <cell r="I216">
            <v>1524.52002857349</v>
          </cell>
          <cell r="J216">
            <v>455.82279767132098</v>
          </cell>
          <cell r="K216">
            <v>9.5820979019053105</v>
          </cell>
          <cell r="L216">
            <v>23.616165634569501</v>
          </cell>
          <cell r="M216">
            <v>0.414209167584009</v>
          </cell>
          <cell r="N216">
            <v>3.91930313213865</v>
          </cell>
          <cell r="O216">
            <v>3.4328840028637102</v>
          </cell>
        </row>
        <row r="217">
          <cell r="A217" t="str">
            <v>D-TDSL</v>
          </cell>
          <cell r="B217" t="str">
            <v>VAR_fout</v>
          </cell>
          <cell r="C217" t="str">
            <v>TDSL</v>
          </cell>
          <cell r="D217">
            <v>117.3797847957824</v>
          </cell>
          <cell r="E217">
            <v>111.02997968287775</v>
          </cell>
          <cell r="F217">
            <v>67.163746563482164</v>
          </cell>
          <cell r="G217">
            <v>51.497871407022323</v>
          </cell>
          <cell r="H217">
            <v>33.217884974852595</v>
          </cell>
          <cell r="I217">
            <v>20.492708357038051</v>
          </cell>
          <cell r="J217">
            <v>6.1272029754230664</v>
          </cell>
          <cell r="K217">
            <v>0.12880325221838529</v>
          </cell>
          <cell r="L217">
            <v>0.31745020451688172</v>
          </cell>
          <cell r="M217">
            <v>5.567829553576379E-3</v>
          </cell>
          <cell r="N217">
            <v>5.2683555836846939E-2</v>
          </cell>
          <cell r="O217">
            <v>4.6145074761696429E-2</v>
          </cell>
        </row>
        <row r="218">
          <cell r="A218" t="str">
            <v>D-TDSL</v>
          </cell>
          <cell r="B218" t="str">
            <v>VAR_fin</v>
          </cell>
          <cell r="C218" t="str">
            <v>DSL</v>
          </cell>
          <cell r="D218">
            <v>119.13053968348927</v>
          </cell>
          <cell r="E218">
            <v>112.68602531245527</v>
          </cell>
          <cell r="F218">
            <v>68.165514097621937</v>
          </cell>
          <cell r="G218">
            <v>52.265977688944822</v>
          </cell>
          <cell r="H218">
            <v>33.713339746559605</v>
          </cell>
          <cell r="I218">
            <v>20.798363282039471</v>
          </cell>
          <cell r="J218">
            <v>6.2185920555432741</v>
          </cell>
          <cell r="K218">
            <v>0.13072439156760293</v>
          </cell>
          <cell r="L218">
            <v>0.32218507004869767</v>
          </cell>
          <cell r="M218">
            <v>5.6508754104230494E-3</v>
          </cell>
          <cell r="N218">
            <v>5.3469346959599658E-2</v>
          </cell>
          <cell r="O218">
            <v>4.6833342467444854E-2</v>
          </cell>
        </row>
        <row r="219">
          <cell r="A219" t="str">
            <v>T_B_c-HYBDSL-S3</v>
          </cell>
          <cell r="B219" t="str">
            <v>VAR_fout</v>
          </cell>
          <cell r="C219" t="str">
            <v>CO2_T</v>
          </cell>
          <cell r="E219">
            <v>5.0538408250153898E-2</v>
          </cell>
          <cell r="F219">
            <v>1.4181297088166429</v>
          </cell>
          <cell r="G219">
            <v>1.9692831820759367</v>
          </cell>
          <cell r="H219">
            <v>0.11595447531630251</v>
          </cell>
          <cell r="I219">
            <v>4.4252386332640295E-2</v>
          </cell>
          <cell r="J219">
            <v>5.80385937383937E-2</v>
          </cell>
        </row>
        <row r="220">
          <cell r="A220" t="str">
            <v>T_B_c-HYBDSL-S3</v>
          </cell>
          <cell r="B220" t="str">
            <v>VAR_fout</v>
          </cell>
          <cell r="C220" t="str">
            <v>TPBSc</v>
          </cell>
          <cell r="E220">
            <v>5.3941531017331165E-5</v>
          </cell>
          <cell r="F220">
            <v>1.5874291349620828E-3</v>
          </cell>
          <cell r="G220">
            <v>2.2564583069418754E-3</v>
          </cell>
          <cell r="H220">
            <v>1.4204319578099318E-4</v>
          </cell>
          <cell r="I220">
            <v>5.7893140049017023E-5</v>
          </cell>
          <cell r="J220">
            <v>7.80121996245223E-5</v>
          </cell>
        </row>
        <row r="221">
          <cell r="A221" t="str">
            <v>T_B_c-HYBDSL-S3</v>
          </cell>
          <cell r="B221" t="str">
            <v>VAR_fin</v>
          </cell>
          <cell r="C221" t="str">
            <v>TDSL</v>
          </cell>
          <cell r="E221">
            <v>6.8947350955189462E-4</v>
          </cell>
          <cell r="F221">
            <v>1.9346926450431654E-2</v>
          </cell>
          <cell r="G221">
            <v>2.6866073425319797E-2</v>
          </cell>
          <cell r="H221">
            <v>1.5819164436057657E-3</v>
          </cell>
          <cell r="I221">
            <v>6.0371604819427313E-4</v>
          </cell>
          <cell r="J221">
            <v>7.9179527610359624E-4</v>
          </cell>
        </row>
        <row r="222">
          <cell r="A222" t="str">
            <v>T_B_c-HYBDSL-S3</v>
          </cell>
          <cell r="B222" t="str">
            <v>VAR_ncap</v>
          </cell>
          <cell r="C222" t="str">
            <v>-</v>
          </cell>
          <cell r="E222">
            <v>6.9171248798772296E-7</v>
          </cell>
          <cell r="F222">
            <v>3.2791503484426499E-5</v>
          </cell>
          <cell r="G222">
            <v>1.41970098731047E-5</v>
          </cell>
          <cell r="H222">
            <v>1.5194184323845601E-7</v>
          </cell>
          <cell r="I222">
            <v>7.0868425061874105E-8</v>
          </cell>
          <cell r="J222">
            <v>4.2524746056213001E-8</v>
          </cell>
        </row>
        <row r="223">
          <cell r="A223" t="str">
            <v>T_B_c-HYBDSL-S3</v>
          </cell>
          <cell r="B223" t="str">
            <v>VAR_cap</v>
          </cell>
          <cell r="C223" t="str">
            <v>-</v>
          </cell>
          <cell r="E223">
            <v>6.9171248798772296E-7</v>
          </cell>
          <cell r="F223">
            <v>3.3483215972414199E-5</v>
          </cell>
          <cell r="G223">
            <v>4.7391764020150091E-5</v>
          </cell>
          <cell r="H223">
            <v>2.0215987535605396E-6</v>
          </cell>
          <cell r="I223">
            <v>1.929553115505822E-7</v>
          </cell>
          <cell r="J223">
            <v>1.005129315573001E-7</v>
          </cell>
        </row>
        <row r="224">
          <cell r="A224" t="str">
            <v>T-Bat-Car-STG_S1</v>
          </cell>
          <cell r="B224" t="str">
            <v>VAR_fout</v>
          </cell>
          <cell r="C224" t="str">
            <v>T-ELC-car-BatSTGAUXout_S1</v>
          </cell>
          <cell r="D224">
            <v>7.77734872804415E-3</v>
          </cell>
          <cell r="E224">
            <v>1.3934161732521841E-2</v>
          </cell>
          <cell r="F224">
            <v>5.6867561655571048E-3</v>
          </cell>
          <cell r="G224">
            <v>0.62841282859871739</v>
          </cell>
          <cell r="H224">
            <v>1.3597452677375426</v>
          </cell>
          <cell r="I224">
            <v>2.6547090630495171</v>
          </cell>
          <cell r="J224">
            <v>3.9145108253169534</v>
          </cell>
          <cell r="K224">
            <v>5.1650121729935803</v>
          </cell>
          <cell r="L224">
            <v>4.4338636451007094</v>
          </cell>
          <cell r="M224">
            <v>5.0832360704149009</v>
          </cell>
          <cell r="N224">
            <v>4.7927389449208269</v>
          </cell>
          <cell r="O224">
            <v>5.3145627438102219</v>
          </cell>
        </row>
        <row r="225">
          <cell r="A225" t="str">
            <v>T-Bat-Car-STG_S1</v>
          </cell>
          <cell r="B225" t="str">
            <v>VAR_fout</v>
          </cell>
          <cell r="C225" t="str">
            <v>T-ELC-car-BatSTGOut_S1</v>
          </cell>
          <cell r="D225">
            <v>7.7773487280441483E-3</v>
          </cell>
          <cell r="E225">
            <v>1.3934161732521841E-2</v>
          </cell>
          <cell r="F225">
            <v>5.6867561655571048E-3</v>
          </cell>
          <cell r="G225">
            <v>0.62841282859871728</v>
          </cell>
          <cell r="H225">
            <v>1.3597452677375423</v>
          </cell>
          <cell r="I225">
            <v>2.6547090630495158</v>
          </cell>
          <cell r="J225">
            <v>3.9145108253169534</v>
          </cell>
          <cell r="K225">
            <v>5.1650121729935776</v>
          </cell>
          <cell r="L225">
            <v>4.4338636451007085</v>
          </cell>
          <cell r="M225">
            <v>5.0832360704149009</v>
          </cell>
          <cell r="N225">
            <v>4.7927389449208269</v>
          </cell>
          <cell r="O225">
            <v>5.314562743810221</v>
          </cell>
        </row>
        <row r="226">
          <cell r="A226" t="str">
            <v>T-Bat-Car-STG_S1</v>
          </cell>
          <cell r="B226" t="str">
            <v>VAR_fin</v>
          </cell>
          <cell r="C226" t="str">
            <v>T-ELC-car-BatSTGAUXin_S1</v>
          </cell>
          <cell r="D226">
            <v>7.7291889532713634E-3</v>
          </cell>
          <cell r="E226">
            <v>1.3936344787439098E-2</v>
          </cell>
          <cell r="F226">
            <v>5.6885091471304758E-3</v>
          </cell>
          <cell r="G226">
            <v>0.62847567616644329</v>
          </cell>
          <cell r="H226">
            <v>1.3598812558636928</v>
          </cell>
          <cell r="I226">
            <v>2.6549745605057962</v>
          </cell>
          <cell r="J226">
            <v>3.9149023155483018</v>
          </cell>
          <cell r="K226">
            <v>5.1655287258656344</v>
          </cell>
          <cell r="L226">
            <v>4.4343070758080074</v>
          </cell>
          <cell r="M226">
            <v>5.0837444448596232</v>
          </cell>
          <cell r="N226">
            <v>4.7932182667473002</v>
          </cell>
          <cell r="O226">
            <v>5.3150942532355812</v>
          </cell>
        </row>
        <row r="227">
          <cell r="A227" t="str">
            <v>T-Bat-Car-STG_S1</v>
          </cell>
          <cell r="B227" t="str">
            <v>VAR_fin</v>
          </cell>
          <cell r="C227" t="str">
            <v>T-ELC-car-BatSTGin_S1</v>
          </cell>
          <cell r="D227">
            <v>7.7291889532713634E-3</v>
          </cell>
          <cell r="E227">
            <v>1.3936344787439098E-2</v>
          </cell>
          <cell r="F227">
            <v>5.6885091471304758E-3</v>
          </cell>
          <cell r="G227">
            <v>0.62847567616644329</v>
          </cell>
          <cell r="H227">
            <v>1.3598812558636928</v>
          </cell>
          <cell r="I227">
            <v>2.6549745605057962</v>
          </cell>
          <cell r="J227">
            <v>3.9149023155483018</v>
          </cell>
          <cell r="K227">
            <v>5.1655287258656344</v>
          </cell>
          <cell r="L227">
            <v>4.4343070758080074</v>
          </cell>
          <cell r="M227">
            <v>5.0837444448596232</v>
          </cell>
          <cell r="N227">
            <v>4.7932182667473002</v>
          </cell>
          <cell r="O227">
            <v>5.3150942532355812</v>
          </cell>
        </row>
        <row r="228">
          <cell r="A228" t="str">
            <v>T-Bat-Car-STG_S1</v>
          </cell>
          <cell r="B228" t="str">
            <v>VAR_ncap</v>
          </cell>
          <cell r="C228" t="str">
            <v>-</v>
          </cell>
          <cell r="D228">
            <v>8.4996926924320697E-3</v>
          </cell>
          <cell r="E228">
            <v>3.6969287071760303E-2</v>
          </cell>
          <cell r="F228">
            <v>1.12641836942707E-2</v>
          </cell>
          <cell r="G228">
            <v>13.415426316107901</v>
          </cell>
          <cell r="H228">
            <v>12.695181186458701</v>
          </cell>
          <cell r="I228">
            <v>9.2567864030488494</v>
          </cell>
          <cell r="J228">
            <v>11.2353679023983</v>
          </cell>
          <cell r="K228">
            <v>11.0833057455744</v>
          </cell>
          <cell r="L228">
            <v>8.78469303368054</v>
          </cell>
          <cell r="M228">
            <v>9.3968606018191192</v>
          </cell>
          <cell r="N228">
            <v>8.6231205119796304</v>
          </cell>
          <cell r="O228">
            <v>6.8707148844017798</v>
          </cell>
        </row>
        <row r="229">
          <cell r="A229" t="str">
            <v>T-Bat-Car-STG_S1</v>
          </cell>
          <cell r="B229" t="str">
            <v>VAR_cap</v>
          </cell>
          <cell r="C229" t="str">
            <v>-</v>
          </cell>
          <cell r="D229">
            <v>8.4996926924320697E-3</v>
          </cell>
          <cell r="E229">
            <v>4.4728956327577396E-2</v>
          </cell>
          <cell r="F229">
            <v>5.3161551232473493E-2</v>
          </cell>
          <cell r="G229">
            <v>12.762941448772727</v>
          </cell>
          <cell r="H229">
            <v>22.803128251456059</v>
          </cell>
          <cell r="I229">
            <v>26.095699251473622</v>
          </cell>
          <cell r="J229">
            <v>26.140282304359957</v>
          </cell>
          <cell r="K229">
            <v>25.776876499276199</v>
          </cell>
          <cell r="L229">
            <v>25.075250537790996</v>
          </cell>
          <cell r="M229">
            <v>25.014508410090652</v>
          </cell>
          <cell r="N229">
            <v>24.925695254669805</v>
          </cell>
          <cell r="O229">
            <v>24.89034700068169</v>
          </cell>
        </row>
        <row r="230">
          <cell r="A230" t="str">
            <v>T_B_c-HYBDSL-S4</v>
          </cell>
          <cell r="B230" t="str">
            <v>VAR_fout</v>
          </cell>
          <cell r="C230" t="str">
            <v>CO2_T</v>
          </cell>
          <cell r="E230">
            <v>2.5933423446133901E-2</v>
          </cell>
          <cell r="F230">
            <v>4.2948250550251199E-2</v>
          </cell>
          <cell r="G230">
            <v>8.696998451065191E-2</v>
          </cell>
          <cell r="H230">
            <v>5.5473846237066401E-2</v>
          </cell>
          <cell r="I230">
            <v>5.3879603839488401E-2</v>
          </cell>
          <cell r="J230">
            <v>4.9081268524161101E-2</v>
          </cell>
        </row>
        <row r="231">
          <cell r="A231" t="str">
            <v>T_B_c-HYBDSL-S4</v>
          </cell>
          <cell r="B231" t="str">
            <v>VAR_fout</v>
          </cell>
          <cell r="C231" t="str">
            <v>TPBSc</v>
          </cell>
          <cell r="E231">
            <v>1.8663375532299495E-5</v>
          </cell>
          <cell r="F231">
            <v>3.1655575179237417E-5</v>
          </cell>
          <cell r="G231">
            <v>6.6360261196290584E-5</v>
          </cell>
          <cell r="H231">
            <v>4.6539598413137757E-5</v>
          </cell>
          <cell r="I231">
            <v>4.7652827704116452E-5</v>
          </cell>
          <cell r="J231">
            <v>4.5705176899027264E-5</v>
          </cell>
        </row>
        <row r="232">
          <cell r="A232" t="str">
            <v>T_B_c-HYBDSL-S4</v>
          </cell>
          <cell r="B232" t="str">
            <v>VAR_fin</v>
          </cell>
          <cell r="C232" t="str">
            <v>TDSL</v>
          </cell>
          <cell r="E232">
            <v>3.5379840990632959E-4</v>
          </cell>
          <cell r="F232">
            <v>5.8592429127218425E-4</v>
          </cell>
          <cell r="G232">
            <v>1.1864936495314051E-3</v>
          </cell>
          <cell r="H232">
            <v>7.5680554211550238E-4</v>
          </cell>
          <cell r="I232">
            <v>7.3505598689615917E-4</v>
          </cell>
          <cell r="J232">
            <v>6.6959438641420318E-4</v>
          </cell>
        </row>
        <row r="233">
          <cell r="A233" t="str">
            <v>T_B_c-HYBDSL-S4</v>
          </cell>
          <cell r="B233" t="str">
            <v>VAR_cap</v>
          </cell>
          <cell r="C233" t="str">
            <v>-</v>
          </cell>
          <cell r="G233">
            <v>-1.5480444876876199E-7</v>
          </cell>
          <cell r="H233">
            <v>-3.88690555325718E-9</v>
          </cell>
          <cell r="I233">
            <v>-2.5719605423921098E-8</v>
          </cell>
          <cell r="J233">
            <v>-2.2280059792553499E-8</v>
          </cell>
        </row>
        <row r="234">
          <cell r="A234" t="str">
            <v>TFHGV-ICEDSLExt</v>
          </cell>
          <cell r="B234" t="str">
            <v>VAR_fout</v>
          </cell>
          <cell r="C234" t="str">
            <v>CO2_T</v>
          </cell>
          <cell r="D234">
            <v>1402.6138723873901</v>
          </cell>
          <cell r="E234">
            <v>1172.24095636831</v>
          </cell>
          <cell r="F234">
            <v>106.401674198827</v>
          </cell>
          <cell r="G234">
            <v>106.460454617642</v>
          </cell>
        </row>
        <row r="235">
          <cell r="A235" t="str">
            <v>TFHGV-ICEDSLExt</v>
          </cell>
          <cell r="B235" t="str">
            <v>VAR_fout</v>
          </cell>
          <cell r="C235" t="str">
            <v>TFHGV</v>
          </cell>
          <cell r="D235">
            <v>1.5682038613117291</v>
          </cell>
          <cell r="E235">
            <v>1.3432987484777053</v>
          </cell>
          <cell r="F235">
            <v>0.12637562544138461</v>
          </cell>
          <cell r="G235">
            <v>0.12644544024690704</v>
          </cell>
        </row>
        <row r="236">
          <cell r="A236" t="str">
            <v>TFHGV-ICEDSLExt</v>
          </cell>
          <cell r="B236" t="str">
            <v>VAR_fin</v>
          </cell>
          <cell r="C236" t="str">
            <v>TDSL</v>
          </cell>
          <cell r="D236">
            <v>19.135250646485559</v>
          </cell>
          <cell r="E236">
            <v>15.99237321102747</v>
          </cell>
          <cell r="F236">
            <v>1.4515917353182402</v>
          </cell>
          <cell r="G236">
            <v>1.452393650991026</v>
          </cell>
        </row>
        <row r="237">
          <cell r="A237" t="str">
            <v>TFHGV-ICEDSLExt</v>
          </cell>
          <cell r="B237" t="str">
            <v>VAR_cap</v>
          </cell>
          <cell r="C237" t="str">
            <v>-</v>
          </cell>
          <cell r="D237">
            <v>2.9660366413706517E-2</v>
          </cell>
          <cell r="E237">
            <v>2.5707036033478445E-2</v>
          </cell>
          <cell r="F237">
            <v>3.3959042670313015E-3</v>
          </cell>
          <cell r="G237">
            <v>3.3959981358626292E-3</v>
          </cell>
        </row>
        <row r="238">
          <cell r="A238" t="str">
            <v>TPSHPGSLEXT</v>
          </cell>
          <cell r="B238" t="str">
            <v>VAR_fout</v>
          </cell>
          <cell r="C238" t="str">
            <v>TPSHP</v>
          </cell>
          <cell r="D238">
            <v>1.5951113482171899</v>
          </cell>
          <cell r="E238">
            <v>0.88063052085348703</v>
          </cell>
          <cell r="F238">
            <v>1.27687118955748</v>
          </cell>
          <cell r="G238">
            <v>1.2769431480986599</v>
          </cell>
          <cell r="H238">
            <v>1.2770487547706399</v>
          </cell>
          <cell r="I238">
            <v>0.34301575045671401</v>
          </cell>
          <cell r="J238">
            <v>2.4646864701190598E-4</v>
          </cell>
        </row>
        <row r="239">
          <cell r="A239" t="str">
            <v>TPSHPGSLEXT</v>
          </cell>
          <cell r="B239" t="str">
            <v>VAR_fout</v>
          </cell>
          <cell r="C239" t="str">
            <v>CO2_T</v>
          </cell>
          <cell r="D239">
            <v>129.873812963153</v>
          </cell>
          <cell r="E239">
            <v>71.700852534714201</v>
          </cell>
          <cell r="F239">
            <v>103.962729771794</v>
          </cell>
          <cell r="G239">
            <v>103.968588629314</v>
          </cell>
          <cell r="H239">
            <v>103.97718711441701</v>
          </cell>
          <cell r="I239">
            <v>27.928309498908501</v>
          </cell>
          <cell r="J239">
            <v>2.0067453597569899E-2</v>
          </cell>
        </row>
        <row r="240">
          <cell r="A240" t="str">
            <v>TPSHPGSLEXT</v>
          </cell>
          <cell r="B240" t="str">
            <v>VAR_fin</v>
          </cell>
          <cell r="C240" t="str">
            <v>TGSL</v>
          </cell>
          <cell r="D240">
            <v>1.759807763728358</v>
          </cell>
          <cell r="E240">
            <v>0.9715562674080469</v>
          </cell>
          <cell r="F240">
            <v>1.4087090754985778</v>
          </cell>
          <cell r="G240">
            <v>1.4087884638118546</v>
          </cell>
          <cell r="H240">
            <v>1.408904974450095</v>
          </cell>
          <cell r="I240">
            <v>0.37843237803398971</v>
          </cell>
          <cell r="J240">
            <v>2.7191671541422713E-4</v>
          </cell>
        </row>
        <row r="241">
          <cell r="A241" t="str">
            <v>TPSHPGSLEXT</v>
          </cell>
          <cell r="B241" t="str">
            <v>VAR_ncap</v>
          </cell>
          <cell r="C241" t="str">
            <v>-</v>
          </cell>
          <cell r="D241">
            <v>6.39921479594237E-6</v>
          </cell>
          <cell r="E241">
            <v>3.2270942405561101E-5</v>
          </cell>
          <cell r="F241">
            <v>3.1165836217877898E-5</v>
          </cell>
          <cell r="G241">
            <v>5.5482912424945903E-5</v>
          </cell>
          <cell r="H241">
            <v>1.3976433468304499E-4</v>
          </cell>
          <cell r="I241">
            <v>5.1147661963617097E-5</v>
          </cell>
          <cell r="J241">
            <v>7.7798227289351703E-5</v>
          </cell>
          <cell r="K241">
            <v>2.25684694185849E-5</v>
          </cell>
          <cell r="L241">
            <v>2.3494901618057899E-5</v>
          </cell>
          <cell r="M241">
            <v>2.4980249863023099E-5</v>
          </cell>
          <cell r="N241">
            <v>1.40774710461102E-5</v>
          </cell>
          <cell r="O241">
            <v>4.8857499757620002E-5</v>
          </cell>
        </row>
        <row r="242">
          <cell r="A242" t="str">
            <v>TPSHPGSLEXT</v>
          </cell>
          <cell r="B242" t="str">
            <v>VAR_cap</v>
          </cell>
          <cell r="C242" t="str">
            <v>-</v>
          </cell>
          <cell r="D242">
            <v>1.5951177474319858</v>
          </cell>
          <cell r="E242">
            <v>1.2769172031627343</v>
          </cell>
          <cell r="F242">
            <v>1.2769161393171204</v>
          </cell>
          <cell r="G242">
            <v>1.2769515808932372</v>
          </cell>
          <cell r="H242">
            <v>1.2770589230871743</v>
          </cell>
          <cell r="I242">
            <v>0.34303805690149541</v>
          </cell>
          <cell r="J242">
            <v>2.5688944984171553E-4</v>
          </cell>
          <cell r="K242">
            <v>1.0971221543243701E-4</v>
          </cell>
          <cell r="L242">
            <v>6.3159663639912985E-5</v>
          </cell>
          <cell r="M242">
            <v>5.8528313532543901E-5</v>
          </cell>
          <cell r="N242">
            <v>4.355573881993159E-5</v>
          </cell>
          <cell r="O242">
            <v>8.2254350899338993E-5</v>
          </cell>
        </row>
        <row r="243">
          <cell r="A243" t="str">
            <v>T-Bat-Car-STG_S2</v>
          </cell>
          <cell r="B243" t="str">
            <v>VAR_fout</v>
          </cell>
          <cell r="C243" t="str">
            <v>T-ELC-car-BatSTGAUXout_S2</v>
          </cell>
          <cell r="D243">
            <v>6.6341626056807199E-2</v>
          </cell>
          <cell r="E243">
            <v>0.1110323159398173</v>
          </cell>
          <cell r="F243">
            <v>0.11110817478396381</v>
          </cell>
          <cell r="G243">
            <v>3.2886719098759296</v>
          </cell>
          <cell r="H243">
            <v>9.6415647050174815</v>
          </cell>
          <cell r="I243">
            <v>11.701812492768779</v>
          </cell>
          <cell r="J243">
            <v>12.753574312611756</v>
          </cell>
          <cell r="K243">
            <v>12.65417926064292</v>
          </cell>
          <cell r="L243">
            <v>12.060800848412708</v>
          </cell>
          <cell r="M243">
            <v>11.792105597888376</v>
          </cell>
          <cell r="N243">
            <v>11.478743406557395</v>
          </cell>
          <cell r="O243">
            <v>11.525828611277952</v>
          </cell>
        </row>
        <row r="244">
          <cell r="A244" t="str">
            <v>T-Bat-Car-STG_S2</v>
          </cell>
          <cell r="B244" t="str">
            <v>VAR_fout</v>
          </cell>
          <cell r="C244" t="str">
            <v>T-ELC-car-BatSTGOut_S2</v>
          </cell>
          <cell r="D244">
            <v>6.6341626056807185E-2</v>
          </cell>
          <cell r="E244">
            <v>0.1110323159398173</v>
          </cell>
          <cell r="F244">
            <v>0.11110817478396381</v>
          </cell>
          <cell r="G244">
            <v>3.2886719098759296</v>
          </cell>
          <cell r="H244">
            <v>9.641564705017478</v>
          </cell>
          <cell r="I244">
            <v>11.701812492768775</v>
          </cell>
          <cell r="J244">
            <v>12.753574312611754</v>
          </cell>
          <cell r="K244">
            <v>12.654179260642918</v>
          </cell>
          <cell r="L244">
            <v>12.060800848412708</v>
          </cell>
          <cell r="M244">
            <v>11.792105597888375</v>
          </cell>
          <cell r="N244">
            <v>11.478743406557395</v>
          </cell>
          <cell r="O244">
            <v>11.525828611277952</v>
          </cell>
        </row>
        <row r="245">
          <cell r="A245" t="str">
            <v>T-Bat-Car-STG_S2</v>
          </cell>
          <cell r="B245" t="str">
            <v>VAR_fin</v>
          </cell>
          <cell r="C245" t="str">
            <v>T-ELC-car-BatSTGAUXin_S2</v>
          </cell>
          <cell r="D245">
            <v>6.6280938686498467E-2</v>
          </cell>
          <cell r="E245">
            <v>0.11104420978123516</v>
          </cell>
          <cell r="F245">
            <v>0.11112047096171836</v>
          </cell>
          <cell r="G245">
            <v>3.2890008099573134</v>
          </cell>
          <cell r="H245">
            <v>9.6425289579114288</v>
          </cell>
          <cell r="I245">
            <v>11.702982790962546</v>
          </cell>
          <cell r="J245">
            <v>12.754849797531001</v>
          </cell>
          <cell r="K245">
            <v>12.655444805068253</v>
          </cell>
          <cell r="L245">
            <v>12.062007049131214</v>
          </cell>
          <cell r="M245">
            <v>11.793284926399661</v>
          </cell>
          <cell r="N245">
            <v>11.479891395662163</v>
          </cell>
          <cell r="O245">
            <v>11.526981309418858</v>
          </cell>
        </row>
        <row r="246">
          <cell r="A246" t="str">
            <v>T-Bat-Car-STG_S2</v>
          </cell>
          <cell r="B246" t="str">
            <v>VAR_fin</v>
          </cell>
          <cell r="C246" t="str">
            <v>T-ELC-car-BatSTGin_S2</v>
          </cell>
          <cell r="D246">
            <v>6.6280938686498467E-2</v>
          </cell>
          <cell r="E246">
            <v>0.11104420978123516</v>
          </cell>
          <cell r="F246">
            <v>0.11112047096171836</v>
          </cell>
          <cell r="G246">
            <v>3.2890008099573134</v>
          </cell>
          <cell r="H246">
            <v>9.6425289579114288</v>
          </cell>
          <cell r="I246">
            <v>11.702982790962546</v>
          </cell>
          <cell r="J246">
            <v>12.754849797531001</v>
          </cell>
          <cell r="K246">
            <v>12.655444805068253</v>
          </cell>
          <cell r="L246">
            <v>12.062007049131214</v>
          </cell>
          <cell r="M246">
            <v>11.793284926399661</v>
          </cell>
          <cell r="N246">
            <v>11.479891395662163</v>
          </cell>
          <cell r="O246">
            <v>11.526981309418858</v>
          </cell>
        </row>
        <row r="247">
          <cell r="A247" t="str">
            <v>T-Bat-Car-STG_S2</v>
          </cell>
          <cell r="B247" t="str">
            <v>VAR_ncap</v>
          </cell>
          <cell r="C247" t="str">
            <v>-</v>
          </cell>
          <cell r="D247">
            <v>1.5428884811138801E-2</v>
          </cell>
          <cell r="E247">
            <v>0.148413067198366</v>
          </cell>
          <cell r="F247">
            <v>7.1290416143857102E-2</v>
          </cell>
          <cell r="G247">
            <v>50.680112259875401</v>
          </cell>
          <cell r="H247">
            <v>167.30774281369199</v>
          </cell>
          <cell r="I247">
            <v>73.484142942492298</v>
          </cell>
          <cell r="J247">
            <v>86.345424614718794</v>
          </cell>
          <cell r="K247">
            <v>119.80162405596801</v>
          </cell>
          <cell r="L247">
            <v>74.382201510888706</v>
          </cell>
          <cell r="M247">
            <v>79.438584835762995</v>
          </cell>
          <cell r="N247">
            <v>87.068002174793605</v>
          </cell>
          <cell r="O247">
            <v>60.794757438162797</v>
          </cell>
        </row>
        <row r="248">
          <cell r="A248" t="str">
            <v>T-Bat-Car-STG_S2</v>
          </cell>
          <cell r="B248" t="str">
            <v>VAR_cap</v>
          </cell>
          <cell r="C248" t="str">
            <v>-</v>
          </cell>
          <cell r="D248">
            <v>1.5428884811138801E-2</v>
          </cell>
          <cell r="E248">
            <v>0.16141785589521379</v>
          </cell>
          <cell r="F248">
            <v>0.22231026155343533</v>
          </cell>
          <cell r="G248">
            <v>48.235035954232686</v>
          </cell>
          <cell r="H248">
            <v>202.96746007571616</v>
          </cell>
          <cell r="I248">
            <v>239.72112187238392</v>
          </cell>
          <cell r="J248">
            <v>245.77762857676774</v>
          </cell>
          <cell r="K248">
            <v>233.6313058089448</v>
          </cell>
          <cell r="L248">
            <v>229.74744748134728</v>
          </cell>
          <cell r="M248">
            <v>227.67053434175565</v>
          </cell>
          <cell r="N248">
            <v>227.12121699646394</v>
          </cell>
          <cell r="O248">
            <v>227.30093757380291</v>
          </cell>
        </row>
        <row r="249">
          <cell r="A249" t="str">
            <v>T_TW-ICEGSL-S1</v>
          </cell>
          <cell r="B249" t="str">
            <v>VAR_fout</v>
          </cell>
          <cell r="C249" t="str">
            <v>CO2_T</v>
          </cell>
          <cell r="D249">
            <v>3.2352106209850433</v>
          </cell>
          <cell r="E249">
            <v>20.570567890124746</v>
          </cell>
          <cell r="F249">
            <v>20.843777660960509</v>
          </cell>
          <cell r="G249">
            <v>26.689607959264329</v>
          </cell>
          <cell r="H249">
            <v>65.980017324243192</v>
          </cell>
          <cell r="I249">
            <v>65.640958915918915</v>
          </cell>
          <cell r="J249">
            <v>31.62377767084071</v>
          </cell>
          <cell r="K249">
            <v>2.8985370974497271</v>
          </cell>
          <cell r="L249">
            <v>0.34078966901490482</v>
          </cell>
          <cell r="M249">
            <v>0.358605506783232</v>
          </cell>
          <cell r="N249">
            <v>0.42496933610615362</v>
          </cell>
          <cell r="O249">
            <v>0.76693840683155301</v>
          </cell>
        </row>
        <row r="250">
          <cell r="A250" t="str">
            <v>T_TW-ICEGSL-S1</v>
          </cell>
          <cell r="B250" t="str">
            <v>VAR_fout</v>
          </cell>
          <cell r="C250" t="str">
            <v>TPTWL</v>
          </cell>
          <cell r="D250">
            <v>8.3636929463619225E-2</v>
          </cell>
          <cell r="E250">
            <v>0.536157906743295</v>
          </cell>
          <cell r="F250">
            <v>0.54342037444548175</v>
          </cell>
          <cell r="G250">
            <v>0.70525872859826122</v>
          </cell>
          <cell r="H250">
            <v>1.8213337959729536</v>
          </cell>
          <cell r="I250">
            <v>1.8241584402748736</v>
          </cell>
          <cell r="J250">
            <v>0.88147063731845998</v>
          </cell>
          <cell r="K250">
            <v>8.2457956046067482E-2</v>
          </cell>
          <cell r="L250">
            <v>1.0043615782195094E-2</v>
          </cell>
          <cell r="M250">
            <v>1.0633180584237237E-2</v>
          </cell>
          <cell r="N250">
            <v>1.2600965707734127E-2</v>
          </cell>
          <cell r="O250">
            <v>2.2740851499964802E-2</v>
          </cell>
        </row>
        <row r="251">
          <cell r="A251" t="str">
            <v>T_TW-ICEGSL-S1</v>
          </cell>
          <cell r="B251" t="str">
            <v>VAR_fin</v>
          </cell>
          <cell r="C251" t="str">
            <v>TGSL</v>
          </cell>
          <cell r="D251">
            <v>4.383754228977025E-2</v>
          </cell>
          <cell r="E251">
            <v>0.27873398225101237</v>
          </cell>
          <cell r="F251">
            <v>0.28243601166613197</v>
          </cell>
          <cell r="G251">
            <v>0.36164780432607552</v>
          </cell>
          <cell r="H251">
            <v>0.89403817512524464</v>
          </cell>
          <cell r="I251">
            <v>0.88944388774957694</v>
          </cell>
          <cell r="J251">
            <v>0.42850647250461676</v>
          </cell>
          <cell r="K251">
            <v>3.9275570426148168E-2</v>
          </cell>
          <cell r="L251">
            <v>4.6177461926138769E-3</v>
          </cell>
          <cell r="M251">
            <v>4.8591532084448809E-3</v>
          </cell>
          <cell r="N251">
            <v>5.7583920881592466E-3</v>
          </cell>
          <cell r="O251">
            <v>1.0392119333760875E-2</v>
          </cell>
        </row>
        <row r="252">
          <cell r="A252" t="str">
            <v>T_TW-ICEGSL-S1</v>
          </cell>
          <cell r="B252" t="str">
            <v>VAR_ncap</v>
          </cell>
          <cell r="C252" t="str">
            <v>-</v>
          </cell>
          <cell r="E252">
            <v>0.22440987647483299</v>
          </cell>
          <cell r="F252">
            <v>4.2634978367918899E-3</v>
          </cell>
          <cell r="G252">
            <v>0.12086044084434</v>
          </cell>
          <cell r="H252">
            <v>0.61380787641385504</v>
          </cell>
          <cell r="I252">
            <v>0.10330122195333</v>
          </cell>
          <cell r="J252">
            <v>2.67151182405676E-3</v>
          </cell>
          <cell r="K252">
            <v>1.33701793361057E-3</v>
          </cell>
          <cell r="L252">
            <v>1.9005169181001301E-3</v>
          </cell>
          <cell r="M252">
            <v>2.1058630628829002E-3</v>
          </cell>
          <cell r="N252">
            <v>3.1792169271813802E-3</v>
          </cell>
          <cell r="O252">
            <v>5.4376524831190303E-3</v>
          </cell>
        </row>
        <row r="253">
          <cell r="A253" t="str">
            <v>T_TW-ICEGSL-S1</v>
          </cell>
          <cell r="B253" t="str">
            <v>VAR_cap</v>
          </cell>
          <cell r="C253" t="str">
            <v>-</v>
          </cell>
          <cell r="D253">
            <v>2.9121289283884858E-2</v>
          </cell>
          <cell r="E253">
            <v>0.25738068400303094</v>
          </cell>
          <cell r="F253">
            <v>0.26164057124542045</v>
          </cell>
          <cell r="G253">
            <v>0.33764131806952857</v>
          </cell>
          <cell r="H253">
            <v>0.73685129144858896</v>
          </cell>
          <cell r="I253">
            <v>0.74248808266445709</v>
          </cell>
          <cell r="J253">
            <v>0.42423726055940059</v>
          </cell>
          <cell r="K253">
            <v>3.9292010619441431E-2</v>
          </cell>
          <cell r="L253">
            <v>4.4374876767347311E-3</v>
          </cell>
          <cell r="M253">
            <v>4.6883832881028462E-3</v>
          </cell>
          <cell r="N253">
            <v>5.620251034326243E-3</v>
          </cell>
          <cell r="O253">
            <v>1.0031663798873098E-2</v>
          </cell>
        </row>
        <row r="254">
          <cell r="A254" t="str">
            <v>TPSHPDSLEXT</v>
          </cell>
          <cell r="B254" t="str">
            <v>VAR_fout</v>
          </cell>
          <cell r="C254" t="str">
            <v>TPSHP</v>
          </cell>
          <cell r="D254">
            <v>17.176521919007701</v>
          </cell>
          <cell r="E254">
            <v>17.017593512987499</v>
          </cell>
          <cell r="F254">
            <v>15.577818991910799</v>
          </cell>
          <cell r="G254">
            <v>14.2456939163838</v>
          </cell>
          <cell r="H254">
            <v>13.712686117174099</v>
          </cell>
          <cell r="I254">
            <v>7.1229609818692197</v>
          </cell>
          <cell r="J254">
            <v>4.5709329345783303</v>
          </cell>
          <cell r="K254">
            <v>2.0189737585279901</v>
          </cell>
          <cell r="L254">
            <v>2.0189645340861402</v>
          </cell>
          <cell r="M254">
            <v>2.0189596742071299</v>
          </cell>
          <cell r="N254">
            <v>2.01895569234672</v>
          </cell>
          <cell r="O254">
            <v>2.0189526228173098</v>
          </cell>
        </row>
        <row r="255">
          <cell r="A255" t="str">
            <v>TPSHPDSLEXT</v>
          </cell>
          <cell r="B255" t="str">
            <v>VAR_fout</v>
          </cell>
          <cell r="C255" t="str">
            <v>CO2_T</v>
          </cell>
          <cell r="D255">
            <v>1273.9831592043399</v>
          </cell>
          <cell r="E255">
            <v>1262.1954344400599</v>
          </cell>
          <cell r="F255">
            <v>1155.4073139141301</v>
          </cell>
          <cell r="G255">
            <v>1056.60355607668</v>
          </cell>
          <cell r="H255">
            <v>1017.0703512102</v>
          </cell>
          <cell r="I255">
            <v>528.31023517799895</v>
          </cell>
          <cell r="J255">
            <v>339.02623639196401</v>
          </cell>
          <cell r="K255">
            <v>149.747345787961</v>
          </cell>
          <cell r="L255">
            <v>149.74666161082499</v>
          </cell>
          <cell r="M255">
            <v>149.74630115344999</v>
          </cell>
          <cell r="N255">
            <v>149.746005818741</v>
          </cell>
          <cell r="O255">
            <v>149.74577815165</v>
          </cell>
        </row>
        <row r="256">
          <cell r="A256" t="str">
            <v>TPSHPDSLEXT</v>
          </cell>
          <cell r="B256" t="str">
            <v>VAR_fin</v>
          </cell>
          <cell r="C256" t="str">
            <v>TDSL</v>
          </cell>
          <cell r="D256">
            <v>17.38039780633471</v>
          </cell>
          <cell r="E256">
            <v>17.219583007367774</v>
          </cell>
          <cell r="F256">
            <v>15.76271915298951</v>
          </cell>
          <cell r="G256">
            <v>14.414782483993015</v>
          </cell>
          <cell r="H256">
            <v>13.875448174763946</v>
          </cell>
          <cell r="I256">
            <v>7.2075066190722437</v>
          </cell>
          <cell r="J256">
            <v>4.625187399617535</v>
          </cell>
          <cell r="K256">
            <v>2.0429378688671402</v>
          </cell>
          <cell r="L256">
            <v>2.0429285349362312</v>
          </cell>
          <cell r="M256">
            <v>2.0429236173731185</v>
          </cell>
          <cell r="N256">
            <v>2.0429195882502165</v>
          </cell>
          <cell r="O256">
            <v>2.0429164822871844</v>
          </cell>
        </row>
        <row r="257">
          <cell r="A257" t="str">
            <v>TPSHPDSLEXT</v>
          </cell>
          <cell r="B257" t="str">
            <v>VAR_ncap</v>
          </cell>
          <cell r="C257" t="str">
            <v>-</v>
          </cell>
          <cell r="D257">
            <v>5.4801245267707802E-6</v>
          </cell>
          <cell r="E257">
            <v>3.5197832967718599E-5</v>
          </cell>
          <cell r="F257">
            <v>3.4252026068558299E-5</v>
          </cell>
          <cell r="G257">
            <v>3.5215266225472502E-5</v>
          </cell>
          <cell r="H257">
            <v>1.12304860220855E-4</v>
          </cell>
          <cell r="I257">
            <v>1.4339375067087701</v>
          </cell>
          <cell r="J257">
            <v>3.1369124594380802</v>
          </cell>
          <cell r="K257">
            <v>4.31569812647878E-5</v>
          </cell>
          <cell r="L257">
            <v>7.2975292381623197E-5</v>
          </cell>
          <cell r="M257">
            <v>1.6165276592516899E-4</v>
          </cell>
          <cell r="N257">
            <v>2.0187507729798</v>
          </cell>
          <cell r="O257">
            <v>6.8870687008415105E-5</v>
          </cell>
        </row>
        <row r="258">
          <cell r="A258" t="str">
            <v>TPSHPDSLEXT</v>
          </cell>
          <cell r="B258" t="str">
            <v>VAR_cap</v>
          </cell>
          <cell r="C258" t="str">
            <v>-</v>
          </cell>
          <cell r="D258">
            <v>17.17652739913223</v>
          </cell>
          <cell r="E258">
            <v>17.017609077561403</v>
          </cell>
          <cell r="F258">
            <v>15.577834451797523</v>
          </cell>
          <cell r="G258">
            <v>14.24570509626451</v>
          </cell>
          <cell r="H258">
            <v>13.71270303970705</v>
          </cell>
          <cell r="I258">
            <v>7.1229750422088811</v>
          </cell>
          <cell r="J258">
            <v>4.5709405893765966</v>
          </cell>
          <cell r="K258">
            <v>2.0190392437545701</v>
          </cell>
          <cell r="L258">
            <v>2.0189793392131099</v>
          </cell>
          <cell r="M258">
            <v>2.0189804723202096</v>
          </cell>
          <cell r="N258">
            <v>2.0189682044857959</v>
          </cell>
          <cell r="O258">
            <v>2.0189959233369916</v>
          </cell>
        </row>
        <row r="259">
          <cell r="A259" t="str">
            <v>T-Bat-Car-STG_S3</v>
          </cell>
          <cell r="B259" t="str">
            <v>VAR_fout</v>
          </cell>
          <cell r="C259" t="str">
            <v>T-ELC-car-BatSTGAUXout_S3</v>
          </cell>
          <cell r="D259">
            <v>4.5700549551315209E-2</v>
          </cell>
          <cell r="E259">
            <v>9.9325961609247365E-2</v>
          </cell>
          <cell r="F259">
            <v>3.0164290480124136</v>
          </cell>
          <cell r="G259">
            <v>2.6715399636984509</v>
          </cell>
          <cell r="H259">
            <v>3.0694490904833298</v>
          </cell>
          <cell r="I259">
            <v>6.3214949111686636</v>
          </cell>
          <cell r="J259">
            <v>6.9904331664785939</v>
          </cell>
          <cell r="K259">
            <v>11.245020496005848</v>
          </cell>
          <cell r="L259">
            <v>11.127594687373531</v>
          </cell>
          <cell r="M259">
            <v>12.015429898455366</v>
          </cell>
          <cell r="N259">
            <v>15.451475335179333</v>
          </cell>
          <cell r="O259">
            <v>12.798722887920853</v>
          </cell>
        </row>
        <row r="260">
          <cell r="A260" t="str">
            <v>T-Bat-Car-STG_S3</v>
          </cell>
          <cell r="B260" t="str">
            <v>VAR_fout</v>
          </cell>
          <cell r="C260" t="str">
            <v>T-ELC-car-BatSTGOut_S3</v>
          </cell>
          <cell r="D260">
            <v>4.5700549551315209E-2</v>
          </cell>
          <cell r="E260">
            <v>9.9325961609247337E-2</v>
          </cell>
          <cell r="F260">
            <v>3.0164290480124136</v>
          </cell>
          <cell r="G260">
            <v>2.6715399636984505</v>
          </cell>
          <cell r="H260">
            <v>3.0694490904833298</v>
          </cell>
          <cell r="I260">
            <v>6.3214949111686627</v>
          </cell>
          <cell r="J260">
            <v>6.9904331664785939</v>
          </cell>
          <cell r="K260">
            <v>11.245020496005843</v>
          </cell>
          <cell r="L260">
            <v>11.127594687373529</v>
          </cell>
          <cell r="M260">
            <v>12.015429898455366</v>
          </cell>
          <cell r="N260">
            <v>15.451475335179333</v>
          </cell>
          <cell r="O260">
            <v>12.798722887920851</v>
          </cell>
        </row>
        <row r="261">
          <cell r="A261" t="str">
            <v>T-Bat-Car-STG_S3</v>
          </cell>
          <cell r="B261" t="str">
            <v>VAR_fin</v>
          </cell>
          <cell r="C261" t="str">
            <v>T-ELC-car-BatSTGAUXin_S3</v>
          </cell>
          <cell r="D261">
            <v>4.562875317369669E-2</v>
          </cell>
          <cell r="E261">
            <v>9.933668469815328E-2</v>
          </cell>
          <cell r="F261">
            <v>3.0167319053337103</v>
          </cell>
          <cell r="G261">
            <v>2.6718071444126603</v>
          </cell>
          <cell r="H261">
            <v>3.0697560660909655</v>
          </cell>
          <cell r="I261">
            <v>6.3221271238488352</v>
          </cell>
          <cell r="J261">
            <v>6.9911322797208459</v>
          </cell>
          <cell r="K261">
            <v>11.24614511057519</v>
          </cell>
          <cell r="L261">
            <v>11.128707558134096</v>
          </cell>
          <cell r="M261">
            <v>12.016631561600686</v>
          </cell>
          <cell r="N261">
            <v>15.453020637131706</v>
          </cell>
          <cell r="O261">
            <v>12.800002888211642</v>
          </cell>
        </row>
        <row r="262">
          <cell r="A262" t="str">
            <v>T-Bat-Car-STG_S3</v>
          </cell>
          <cell r="B262" t="str">
            <v>VAR_fin</v>
          </cell>
          <cell r="C262" t="str">
            <v>T-ELC-car-BatSTGin_S3</v>
          </cell>
          <cell r="D262">
            <v>4.562875317369669E-2</v>
          </cell>
          <cell r="E262">
            <v>9.933668469815328E-2</v>
          </cell>
          <cell r="F262">
            <v>3.0167319053337103</v>
          </cell>
          <cell r="G262">
            <v>2.6718071444126603</v>
          </cell>
          <cell r="H262">
            <v>3.0697560660909655</v>
          </cell>
          <cell r="I262">
            <v>6.3221271238488352</v>
          </cell>
          <cell r="J262">
            <v>6.9911322797208459</v>
          </cell>
          <cell r="K262">
            <v>11.24614511057519</v>
          </cell>
          <cell r="L262">
            <v>11.128707558134096</v>
          </cell>
          <cell r="M262">
            <v>12.016631561600686</v>
          </cell>
          <cell r="N262">
            <v>15.453020637131706</v>
          </cell>
          <cell r="O262">
            <v>12.800002888211642</v>
          </cell>
        </row>
        <row r="263">
          <cell r="A263" t="str">
            <v>T-Bat-Car-STG_S3</v>
          </cell>
          <cell r="B263" t="str">
            <v>VAR_ncap</v>
          </cell>
          <cell r="C263" t="str">
            <v>-</v>
          </cell>
          <cell r="D263">
            <v>1.8652487653544499E-2</v>
          </cell>
          <cell r="E263">
            <v>0.48314367520025597</v>
          </cell>
          <cell r="F263">
            <v>43.8650555338129</v>
          </cell>
          <cell r="G263">
            <v>9.0332515240527197E-2</v>
          </cell>
          <cell r="H263">
            <v>15.656615014036801</v>
          </cell>
          <cell r="I263">
            <v>69.750090784336706</v>
          </cell>
          <cell r="J263">
            <v>14.6557242627467</v>
          </cell>
          <cell r="K263">
            <v>86.168170706930397</v>
          </cell>
          <cell r="L263">
            <v>58.083260042748101</v>
          </cell>
          <cell r="M263">
            <v>72.231193534831704</v>
          </cell>
          <cell r="N263">
            <v>197.09697861661999</v>
          </cell>
          <cell r="O263">
            <v>0.23452295825234101</v>
          </cell>
        </row>
        <row r="264">
          <cell r="A264" t="str">
            <v>T-Bat-Car-STG_S3</v>
          </cell>
          <cell r="B264" t="str">
            <v>VAR_cap</v>
          </cell>
          <cell r="C264" t="str">
            <v>-</v>
          </cell>
          <cell r="D264">
            <v>1.8652487653544499E-2</v>
          </cell>
          <cell r="E264">
            <v>0.49482098961824039</v>
          </cell>
          <cell r="F264">
            <v>43.747167011181482</v>
          </cell>
          <cell r="G264">
            <v>38.48791239501783</v>
          </cell>
          <cell r="H264">
            <v>42.587476178708876</v>
          </cell>
          <cell r="I264">
            <v>85.622221916671492</v>
          </cell>
          <cell r="J264">
            <v>80.445374448503557</v>
          </cell>
          <cell r="K264">
            <v>138.30935676953953</v>
          </cell>
          <cell r="L264">
            <v>145.66528735757569</v>
          </cell>
          <cell r="M264">
            <v>183.43434101137279</v>
          </cell>
          <cell r="N264">
            <v>316.05102318726517</v>
          </cell>
          <cell r="O264">
            <v>269.5622058536465</v>
          </cell>
        </row>
        <row r="265">
          <cell r="A265" t="str">
            <v>T_TW-ICEGSL-S2</v>
          </cell>
          <cell r="B265" t="str">
            <v>VAR_fout</v>
          </cell>
          <cell r="C265" t="str">
            <v>CO2_T</v>
          </cell>
          <cell r="D265">
            <v>8.1475032712388096</v>
          </cell>
          <cell r="E265">
            <v>8.6599978403366009</v>
          </cell>
          <cell r="F265">
            <v>8.6420093047723263</v>
          </cell>
          <cell r="G265">
            <v>7.6218896597279793</v>
          </cell>
          <cell r="H265">
            <v>0.8548736557669161</v>
          </cell>
          <cell r="I265">
            <v>0.1166391329293142</v>
          </cell>
          <cell r="J265">
            <v>0.117347246125359</v>
          </cell>
          <cell r="K265">
            <v>0.1124492926496084</v>
          </cell>
          <cell r="L265">
            <v>0.11024594264770179</v>
          </cell>
          <cell r="M265">
            <v>0.1378559593786943</v>
          </cell>
          <cell r="N265">
            <v>0.1469667324531653</v>
          </cell>
          <cell r="O265">
            <v>0.2277263922234164</v>
          </cell>
        </row>
        <row r="266">
          <cell r="A266" t="str">
            <v>T_TW-ICEGSL-S2</v>
          </cell>
          <cell r="B266" t="str">
            <v>VAR_fout</v>
          </cell>
          <cell r="C266" t="str">
            <v>TPTWL</v>
          </cell>
          <cell r="D266">
            <v>0.1217447835451199</v>
          </cell>
          <cell r="E266">
            <v>0.12958438238381248</v>
          </cell>
          <cell r="F266">
            <v>0.12932195677973396</v>
          </cell>
          <cell r="G266">
            <v>0.11410938708404993</v>
          </cell>
          <cell r="H266">
            <v>1.2913428022382828E-2</v>
          </cell>
          <cell r="I266">
            <v>1.8671346914764071E-3</v>
          </cell>
          <cell r="J266">
            <v>1.9150440356803249E-3</v>
          </cell>
          <cell r="K266">
            <v>1.8755020268079283E-3</v>
          </cell>
          <cell r="L266">
            <v>1.8683618513524729E-3</v>
          </cell>
          <cell r="M266">
            <v>2.3491139527337069E-3</v>
          </cell>
          <cell r="N266">
            <v>2.5043647249592166E-3</v>
          </cell>
          <cell r="O266">
            <v>3.8805376843245375E-3</v>
          </cell>
        </row>
        <row r="267">
          <cell r="A267" t="str">
            <v>T_TW-ICEGSL-S2</v>
          </cell>
          <cell r="B267" t="str">
            <v>VAR_fin</v>
          </cell>
          <cell r="C267" t="str">
            <v>TGSL</v>
          </cell>
          <cell r="D267">
            <v>0.11039977332301894</v>
          </cell>
          <cell r="E267">
            <v>0.11734414417800283</v>
          </cell>
          <cell r="F267">
            <v>0.11710039708363601</v>
          </cell>
          <cell r="G267">
            <v>0.10327763766569056</v>
          </cell>
          <cell r="H267">
            <v>1.1583653872180443E-2</v>
          </cell>
          <cell r="I267">
            <v>1.580476055952768E-3</v>
          </cell>
          <cell r="J267">
            <v>1.5900710857094697E-3</v>
          </cell>
          <cell r="K267">
            <v>1.5237031524337197E-3</v>
          </cell>
          <cell r="L267">
            <v>1.4938474613509735E-3</v>
          </cell>
          <cell r="M267">
            <v>1.8679669292506005E-3</v>
          </cell>
          <cell r="N267">
            <v>1.9914191389317801E-3</v>
          </cell>
          <cell r="O267">
            <v>3.085723471862005E-3</v>
          </cell>
        </row>
        <row r="268">
          <cell r="A268" t="str">
            <v>T_TW-ICEGSL-S2</v>
          </cell>
          <cell r="B268" t="str">
            <v>VAR_ncap</v>
          </cell>
          <cell r="C268" t="str">
            <v>-</v>
          </cell>
          <cell r="E268">
            <v>1.4634136739888399E-4</v>
          </cell>
          <cell r="F268">
            <v>1.38337375508607E-4</v>
          </cell>
          <cell r="G268">
            <v>2.6153549008910598E-4</v>
          </cell>
          <cell r="H268">
            <v>3.13932655460151E-4</v>
          </cell>
          <cell r="I268">
            <v>2.51833669397821E-4</v>
          </cell>
          <cell r="J268">
            <v>2.5923866087173701E-4</v>
          </cell>
          <cell r="K268">
            <v>2.5052554092704001E-4</v>
          </cell>
          <cell r="L268">
            <v>3.1431813229715501E-4</v>
          </cell>
          <cell r="M268">
            <v>3.9474338176531101E-4</v>
          </cell>
          <cell r="N268">
            <v>4.6794651596550801E-4</v>
          </cell>
          <cell r="O268">
            <v>7.21101684625925E-4</v>
          </cell>
        </row>
        <row r="269">
          <cell r="A269" t="str">
            <v>T_TW-ICEGSL-S2</v>
          </cell>
          <cell r="B269" t="str">
            <v>VAR_cap</v>
          </cell>
          <cell r="C269" t="str">
            <v>-</v>
          </cell>
          <cell r="D269">
            <v>4.2719600881251443E-2</v>
          </cell>
          <cell r="E269">
            <v>6.203131305511482E-2</v>
          </cell>
          <cell r="F269">
            <v>6.2158692808176333E-2</v>
          </cell>
          <cell r="G269">
            <v>5.4121083540703094E-2</v>
          </cell>
          <cell r="H269">
            <v>5.7196774362325885E-3</v>
          </cell>
          <cell r="I269">
            <v>7.2565155908324347E-4</v>
          </cell>
          <cell r="J269">
            <v>7.7467805734700724E-4</v>
          </cell>
          <cell r="K269">
            <v>7.5966300534040915E-4</v>
          </cell>
          <cell r="L269">
            <v>7.5327635731400281E-4</v>
          </cell>
          <cell r="M269">
            <v>9.5696151279896799E-4</v>
          </cell>
          <cell r="N269">
            <v>1.0245217441019997E-3</v>
          </cell>
          <cell r="O269">
            <v>1.5814341809812853E-3</v>
          </cell>
        </row>
        <row r="270">
          <cell r="A270" t="str">
            <v>T-Bat-Car-STG_S4</v>
          </cell>
          <cell r="B270" t="str">
            <v>VAR_fout</v>
          </cell>
          <cell r="C270" t="str">
            <v>T-ELC-car-BatSTGAUXout_S4</v>
          </cell>
          <cell r="D270">
            <v>0.14929327446918469</v>
          </cell>
          <cell r="E270">
            <v>0.97685411800256927</v>
          </cell>
          <cell r="F270">
            <v>1.0154576649170004</v>
          </cell>
          <cell r="G270">
            <v>8.7092169983043011</v>
          </cell>
          <cell r="H270">
            <v>14.731100808526254</v>
          </cell>
          <cell r="I270">
            <v>16.591380053876343</v>
          </cell>
          <cell r="J270">
            <v>16.644466347509091</v>
          </cell>
          <cell r="K270">
            <v>16.873043599272297</v>
          </cell>
          <cell r="L270">
            <v>15.643939254934224</v>
          </cell>
          <cell r="M270">
            <v>14.231729027593401</v>
          </cell>
          <cell r="N270">
            <v>9.9405502272008004</v>
          </cell>
          <cell r="O270">
            <v>12.242911241341128</v>
          </cell>
        </row>
        <row r="271">
          <cell r="A271" t="str">
            <v>T-Bat-Car-STG_S4</v>
          </cell>
          <cell r="B271" t="str">
            <v>VAR_fout</v>
          </cell>
          <cell r="C271" t="str">
            <v>T-ELC-car-BatSTGOut_S4</v>
          </cell>
          <cell r="D271">
            <v>0.14929327446918469</v>
          </cell>
          <cell r="E271">
            <v>0.97685411800256894</v>
          </cell>
          <cell r="F271">
            <v>1.0154576649170002</v>
          </cell>
          <cell r="G271">
            <v>8.7092169983042993</v>
          </cell>
          <cell r="H271">
            <v>14.731100808526252</v>
          </cell>
          <cell r="I271">
            <v>16.591380053876339</v>
          </cell>
          <cell r="J271">
            <v>16.644466347509091</v>
          </cell>
          <cell r="K271">
            <v>16.873043599272297</v>
          </cell>
          <cell r="L271">
            <v>15.643939254934224</v>
          </cell>
          <cell r="M271">
            <v>14.231729027593401</v>
          </cell>
          <cell r="N271">
            <v>9.9405502272008004</v>
          </cell>
          <cell r="O271">
            <v>12.242911241341126</v>
          </cell>
        </row>
        <row r="272">
          <cell r="A272" t="str">
            <v>T-Bat-Car-STG_S4</v>
          </cell>
          <cell r="B272" t="str">
            <v>VAR_fin</v>
          </cell>
          <cell r="C272" t="str">
            <v>T-ELC-car-BatSTGAUXin_S4</v>
          </cell>
          <cell r="D272">
            <v>0.14922840094574011</v>
          </cell>
          <cell r="E272">
            <v>0.97695260268311057</v>
          </cell>
          <cell r="F272">
            <v>1.0155604050881657</v>
          </cell>
          <cell r="G272">
            <v>8.7100880071309099</v>
          </cell>
          <cell r="H272">
            <v>14.732574065959835</v>
          </cell>
          <cell r="I272">
            <v>16.593039357838528</v>
          </cell>
          <cell r="J272">
            <v>16.6461309605276</v>
          </cell>
          <cell r="K272">
            <v>16.874731072347618</v>
          </cell>
          <cell r="L272">
            <v>15.645503805306943</v>
          </cell>
          <cell r="M272">
            <v>14.233152342825166</v>
          </cell>
          <cell r="N272">
            <v>9.9415443816617604</v>
          </cell>
          <cell r="O272">
            <v>12.244135654913519</v>
          </cell>
        </row>
        <row r="273">
          <cell r="A273" t="str">
            <v>T-Bat-Car-STG_S4</v>
          </cell>
          <cell r="B273" t="str">
            <v>VAR_fin</v>
          </cell>
          <cell r="C273" t="str">
            <v>T-ELC-car-BatSTGin_S4</v>
          </cell>
          <cell r="D273">
            <v>0.14922840094574011</v>
          </cell>
          <cell r="E273">
            <v>0.97695260268311057</v>
          </cell>
          <cell r="F273">
            <v>1.0155604050881657</v>
          </cell>
          <cell r="G273">
            <v>8.7100880071309099</v>
          </cell>
          <cell r="H273">
            <v>14.732574065959835</v>
          </cell>
          <cell r="I273">
            <v>16.593039357838528</v>
          </cell>
          <cell r="J273">
            <v>16.6461309605276</v>
          </cell>
          <cell r="K273">
            <v>16.874731072347618</v>
          </cell>
          <cell r="L273">
            <v>15.645503805306943</v>
          </cell>
          <cell r="M273">
            <v>14.233152342825166</v>
          </cell>
          <cell r="N273">
            <v>9.9415443816617604</v>
          </cell>
          <cell r="O273">
            <v>12.244135654913519</v>
          </cell>
        </row>
        <row r="274">
          <cell r="A274" t="str">
            <v>T-Bat-Car-STG_S4</v>
          </cell>
          <cell r="B274" t="str">
            <v>VAR_ncap</v>
          </cell>
          <cell r="C274" t="str">
            <v>-</v>
          </cell>
          <cell r="D274">
            <v>2.8446296620471601E-2</v>
          </cell>
          <cell r="E274">
            <v>11.5806373081109</v>
          </cell>
          <cell r="F274">
            <v>1.4598840775998101</v>
          </cell>
          <cell r="G274">
            <v>129.83585210104201</v>
          </cell>
          <cell r="H274">
            <v>129.603682285828</v>
          </cell>
          <cell r="I274">
            <v>108.844491687633</v>
          </cell>
          <cell r="J274">
            <v>120.898429117333</v>
          </cell>
          <cell r="K274">
            <v>139.15271322404701</v>
          </cell>
          <cell r="L274">
            <v>134.49504355297901</v>
          </cell>
          <cell r="M274">
            <v>80.022018322299402</v>
          </cell>
          <cell r="N274">
            <v>9.2356952073575105</v>
          </cell>
          <cell r="O274">
            <v>175.02597143727399</v>
          </cell>
        </row>
        <row r="275">
          <cell r="A275" t="str">
            <v>T-Bat-Car-STG_S4</v>
          </cell>
          <cell r="B275" t="str">
            <v>VAR_cap</v>
          </cell>
          <cell r="C275" t="str">
            <v>-</v>
          </cell>
          <cell r="D275">
            <v>2.8446296620471601E-2</v>
          </cell>
          <cell r="E275">
            <v>11.454080931696437</v>
          </cell>
          <cell r="F275">
            <v>12.233278860753597</v>
          </cell>
          <cell r="G275">
            <v>133.02495152238797</v>
          </cell>
          <cell r="H275">
            <v>230.98348237377039</v>
          </cell>
          <cell r="I275">
            <v>277.20490008190313</v>
          </cell>
          <cell r="J275">
            <v>284.44918994395323</v>
          </cell>
          <cell r="K275">
            <v>302.41164119508181</v>
          </cell>
          <cell r="L275">
            <v>327.67161660533276</v>
          </cell>
          <cell r="M275">
            <v>300.23527882590395</v>
          </cell>
          <cell r="N275">
            <v>192.39008384785802</v>
          </cell>
          <cell r="O275">
            <v>264.28340875940455</v>
          </cell>
        </row>
        <row r="276">
          <cell r="A276" t="str">
            <v>T_TW-ICEGSL-S3</v>
          </cell>
          <cell r="B276" t="str">
            <v>VAR_fout</v>
          </cell>
          <cell r="C276" t="str">
            <v>CO2_T</v>
          </cell>
          <cell r="D276">
            <v>12.686642439873241</v>
          </cell>
          <cell r="E276">
            <v>6.4928658957400662</v>
          </cell>
          <cell r="F276">
            <v>6.4651368676728822</v>
          </cell>
          <cell r="G276">
            <v>6.5750857849361806</v>
          </cell>
          <cell r="H276">
            <v>6.6327896777556159</v>
          </cell>
          <cell r="I276">
            <v>3.030960802945506</v>
          </cell>
          <cell r="J276">
            <v>0.10369753548865775</v>
          </cell>
          <cell r="K276">
            <v>0.1088555630143051</v>
          </cell>
          <cell r="L276">
            <v>0.12124788506183951</v>
          </cell>
          <cell r="M276">
            <v>0.1305972919679958</v>
          </cell>
          <cell r="N276">
            <v>0.1533252915229221</v>
          </cell>
          <cell r="O276">
            <v>0.20415175613891651</v>
          </cell>
        </row>
        <row r="277">
          <cell r="A277" t="str">
            <v>T_TW-ICEGSL-S3</v>
          </cell>
          <cell r="B277" t="str">
            <v>VAR_fout</v>
          </cell>
          <cell r="C277" t="str">
            <v>TPTWL</v>
          </cell>
          <cell r="D277">
            <v>0.1253926732627729</v>
          </cell>
          <cell r="E277">
            <v>6.4322117775103049E-2</v>
          </cell>
          <cell r="F277">
            <v>6.4051236946783704E-2</v>
          </cell>
          <cell r="G277">
            <v>6.5150408650145056E-2</v>
          </cell>
          <cell r="H277">
            <v>6.5743539221114825E-2</v>
          </cell>
          <cell r="I277">
            <v>3.0108521005150147E-2</v>
          </cell>
          <cell r="J277">
            <v>1.1064226573520737E-3</v>
          </cell>
          <cell r="K277">
            <v>1.1874550719749143E-3</v>
          </cell>
          <cell r="L277">
            <v>1.3418049295718854E-3</v>
          </cell>
          <cell r="M277">
            <v>1.4651628842527831E-3</v>
          </cell>
          <cell r="N277">
            <v>1.7271903194572647E-3</v>
          </cell>
          <cell r="O277">
            <v>2.2997441152793896E-3</v>
          </cell>
        </row>
        <row r="278">
          <cell r="A278" t="str">
            <v>T_TW-ICEGSL-S3</v>
          </cell>
          <cell r="B278" t="str">
            <v>VAR_fin</v>
          </cell>
          <cell r="C278" t="str">
            <v>TGSL</v>
          </cell>
          <cell r="D278">
            <v>0.17190572411752383</v>
          </cell>
          <cell r="E278">
            <v>8.7979212679404672E-2</v>
          </cell>
          <cell r="F278">
            <v>8.7603480591773364E-2</v>
          </cell>
          <cell r="G278">
            <v>8.9093303318918432E-2</v>
          </cell>
          <cell r="H278">
            <v>8.9875198885577698E-2</v>
          </cell>
          <cell r="I278">
            <v>4.1069929579207562E-2</v>
          </cell>
          <cell r="J278">
            <v>1.4051156570278843E-3</v>
          </cell>
          <cell r="K278">
            <v>1.4750076289201228E-3</v>
          </cell>
          <cell r="L278">
            <v>1.6429252718406461E-3</v>
          </cell>
          <cell r="M278">
            <v>1.7696110022763659E-3</v>
          </cell>
          <cell r="N278">
            <v>2.0775784759203557E-3</v>
          </cell>
          <cell r="O278">
            <v>2.7662839585219016E-3</v>
          </cell>
        </row>
        <row r="279">
          <cell r="A279" t="str">
            <v>T_TW-ICEGSL-S3</v>
          </cell>
          <cell r="B279" t="str">
            <v>VAR_ncap</v>
          </cell>
          <cell r="C279" t="str">
            <v>-</v>
          </cell>
          <cell r="E279">
            <v>6.0716070603360201E-5</v>
          </cell>
          <cell r="F279">
            <v>6.5760908649810105E-5</v>
          </cell>
          <cell r="G279">
            <v>9.5317201819157004E-5</v>
          </cell>
          <cell r="H279">
            <v>1.2359825311152701E-4</v>
          </cell>
          <cell r="I279">
            <v>1.02016289362048E-4</v>
          </cell>
          <cell r="J279">
            <v>1.07047694263681E-4</v>
          </cell>
          <cell r="K279">
            <v>1.24500345417597E-4</v>
          </cell>
          <cell r="L279">
            <v>1.5126808409108601E-4</v>
          </cell>
          <cell r="M279">
            <v>1.8753866669489499E-4</v>
          </cell>
          <cell r="N279">
            <v>2.1717377985914401E-4</v>
          </cell>
          <cell r="O279">
            <v>3.48969063076108E-4</v>
          </cell>
        </row>
        <row r="280">
          <cell r="A280" t="str">
            <v>T_TW-ICEGSL-S3</v>
          </cell>
          <cell r="B280" t="str">
            <v>VAR_cap</v>
          </cell>
          <cell r="C280" t="str">
            <v>-</v>
          </cell>
          <cell r="D280">
            <v>5.2912087467539427E-2</v>
          </cell>
          <cell r="E280">
            <v>3.0742569421380254E-2</v>
          </cell>
          <cell r="F280">
            <v>3.0748464373734262E-2</v>
          </cell>
          <cell r="G280">
            <v>3.0842387943178021E-2</v>
          </cell>
          <cell r="H280">
            <v>3.0641794213768149E-2</v>
          </cell>
          <cell r="I280">
            <v>1.4090895877724462E-2</v>
          </cell>
          <cell r="J280">
            <v>4.0792363565893139E-4</v>
          </cell>
          <cell r="K280">
            <v>4.5539286621336221E-4</v>
          </cell>
          <cell r="L280">
            <v>5.0668851722360296E-4</v>
          </cell>
          <cell r="M280">
            <v>5.6827138789480641E-4</v>
          </cell>
          <cell r="N280">
            <v>6.7867446949213071E-4</v>
          </cell>
          <cell r="O280">
            <v>9.0290678776293939E-4</v>
          </cell>
        </row>
        <row r="281">
          <cell r="A281" t="str">
            <v>T_C-ICEGSLEXT</v>
          </cell>
          <cell r="B281" t="str">
            <v>VAR_fout</v>
          </cell>
          <cell r="C281" t="str">
            <v>CO2_T</v>
          </cell>
          <cell r="D281">
            <v>4722.2961585517996</v>
          </cell>
          <cell r="E281">
            <v>3989.6206137741701</v>
          </cell>
          <cell r="F281">
            <v>2494.0731391160498</v>
          </cell>
          <cell r="G281">
            <v>1059.6999108871601</v>
          </cell>
        </row>
        <row r="282">
          <cell r="A282" t="str">
            <v>T_C-ICEGSLEXT</v>
          </cell>
          <cell r="B282" t="str">
            <v>VAR_fout</v>
          </cell>
          <cell r="C282" t="str">
            <v>TPCAR</v>
          </cell>
          <cell r="D282">
            <v>18.303018778191234</v>
          </cell>
          <cell r="E282">
            <v>15.815145329702643</v>
          </cell>
          <cell r="F282">
            <v>10.216651811085031</v>
          </cell>
          <cell r="G282">
            <v>4.5745885005936335</v>
          </cell>
        </row>
        <row r="283">
          <cell r="A283" t="str">
            <v>T_C-ICEGSLEXT</v>
          </cell>
          <cell r="B283" t="str">
            <v>VAR_fin</v>
          </cell>
          <cell r="C283" t="str">
            <v>TGSL</v>
          </cell>
          <cell r="D283">
            <v>63.987752825905154</v>
          </cell>
          <cell r="E283">
            <v>54.059899915639143</v>
          </cell>
          <cell r="F283">
            <v>33.795028985312328</v>
          </cell>
          <cell r="G283">
            <v>14.359077383294913</v>
          </cell>
        </row>
        <row r="284">
          <cell r="A284" t="str">
            <v>T_C-ICEGSLEXT</v>
          </cell>
          <cell r="B284" t="str">
            <v>VAR_cap</v>
          </cell>
          <cell r="C284" t="str">
            <v>-</v>
          </cell>
          <cell r="D284">
            <v>2.4924757391280061</v>
          </cell>
          <cell r="E284">
            <v>2.1591541453516907</v>
          </cell>
          <cell r="F284">
            <v>1.5313718418257538</v>
          </cell>
          <cell r="G284">
            <v>0.83144200178436756</v>
          </cell>
        </row>
        <row r="285">
          <cell r="A285" t="str">
            <v>T_TW-ICEGSL-S4</v>
          </cell>
          <cell r="B285" t="str">
            <v>VAR_fout</v>
          </cell>
          <cell r="C285" t="str">
            <v>CO2_T</v>
          </cell>
          <cell r="D285">
            <v>7.7316135605231695</v>
          </cell>
          <cell r="E285">
            <v>2.2729530016156132</v>
          </cell>
          <cell r="F285">
            <v>2.2515150013996692</v>
          </cell>
          <cell r="G285">
            <v>2.3386126942548242</v>
          </cell>
          <cell r="H285">
            <v>2.4309288588143043</v>
          </cell>
          <cell r="I285">
            <v>2.3218156777837802</v>
          </cell>
          <cell r="J285">
            <v>0.71019585935199503</v>
          </cell>
          <cell r="K285">
            <v>8.2140932400113803E-2</v>
          </cell>
          <cell r="L285">
            <v>9.0086545847728808E-2</v>
          </cell>
          <cell r="M285">
            <v>0.10181380858945011</v>
          </cell>
          <cell r="N285">
            <v>0.1139061322197594</v>
          </cell>
          <cell r="O285">
            <v>0.14921279512016558</v>
          </cell>
        </row>
        <row r="286">
          <cell r="A286" t="str">
            <v>T_TW-ICEGSL-S4</v>
          </cell>
          <cell r="B286" t="str">
            <v>VAR_fout</v>
          </cell>
          <cell r="C286" t="str">
            <v>TPTWL</v>
          </cell>
          <cell r="D286">
            <v>7.079996367647938E-2</v>
          </cell>
          <cell r="E286">
            <v>2.0843487152506626E-2</v>
          </cell>
          <cell r="F286">
            <v>2.064883508775478E-2</v>
          </cell>
          <cell r="G286">
            <v>2.1453076833761832E-2</v>
          </cell>
          <cell r="H286">
            <v>2.2309472337408806E-2</v>
          </cell>
          <cell r="I286">
            <v>2.1323039446663718E-2</v>
          </cell>
          <cell r="J286">
            <v>6.5687479906799129E-3</v>
          </cell>
          <cell r="K286">
            <v>8.2673048279277236E-4</v>
          </cell>
          <cell r="L286">
            <v>9.2173953450061746E-4</v>
          </cell>
          <cell r="M286">
            <v>1.0546618576051127E-3</v>
          </cell>
          <cell r="N286">
            <v>1.1885956042100344E-3</v>
          </cell>
          <cell r="O286">
            <v>1.5613395538876425E-3</v>
          </cell>
        </row>
        <row r="287">
          <cell r="A287" t="str">
            <v>T_TW-ICEGSL-S4</v>
          </cell>
          <cell r="B287" t="str">
            <v>VAR_fin</v>
          </cell>
          <cell r="C287" t="str">
            <v>TGSL</v>
          </cell>
          <cell r="D287">
            <v>0.10476441138920296</v>
          </cell>
          <cell r="E287">
            <v>3.0798821160103192E-2</v>
          </cell>
          <cell r="F287">
            <v>3.0508333352299095E-2</v>
          </cell>
          <cell r="G287">
            <v>3.168851889234179E-2</v>
          </cell>
          <cell r="H287">
            <v>3.293941543108813E-2</v>
          </cell>
          <cell r="I287">
            <v>3.146091704314069E-2</v>
          </cell>
          <cell r="J287">
            <v>9.6232501267207952E-3</v>
          </cell>
          <cell r="K287">
            <v>1.1130207642291829E-3</v>
          </cell>
          <cell r="L287">
            <v>1.2206849030857558E-3</v>
          </cell>
          <cell r="M287">
            <v>1.3795909022960701E-3</v>
          </cell>
          <cell r="N287">
            <v>1.5434435260130012E-3</v>
          </cell>
          <cell r="O287">
            <v>2.0218535924141664E-3</v>
          </cell>
        </row>
        <row r="288">
          <cell r="A288" t="str">
            <v>T_TW-ICEGSL-S4</v>
          </cell>
          <cell r="B288" t="str">
            <v>VAR_ncap</v>
          </cell>
          <cell r="C288" t="str">
            <v>-</v>
          </cell>
          <cell r="E288">
            <v>3.1764391387452703E-5</v>
          </cell>
          <cell r="F288">
            <v>3.0069710526401E-5</v>
          </cell>
          <cell r="G288">
            <v>4.2723062155737301E-5</v>
          </cell>
          <cell r="H288">
            <v>5.2085438284538301E-5</v>
          </cell>
          <cell r="I288">
            <v>5.38907440953298E-5</v>
          </cell>
          <cell r="J288">
            <v>6.1873696622898901E-5</v>
          </cell>
          <cell r="K288">
            <v>8.0448661624900699E-5</v>
          </cell>
          <cell r="L288">
            <v>8.1471800144637606E-5</v>
          </cell>
          <cell r="M288">
            <v>1.05432610053376E-4</v>
          </cell>
          <cell r="N288">
            <v>1.18277617159154E-4</v>
          </cell>
          <cell r="O288">
            <v>1.98212197093111E-4</v>
          </cell>
        </row>
        <row r="289">
          <cell r="A289" t="str">
            <v>T_TW-ICEGSL-S4</v>
          </cell>
          <cell r="B289" t="str">
            <v>VAR_cap</v>
          </cell>
          <cell r="C289" t="str">
            <v>-</v>
          </cell>
          <cell r="D289">
            <v>3.0475541675238683E-2</v>
          </cell>
          <cell r="E289">
            <v>9.8243678907546581E-3</v>
          </cell>
          <cell r="F289">
            <v>9.8383998788308599E-3</v>
          </cell>
          <cell r="G289">
            <v>9.8803351876972922E-3</v>
          </cell>
          <cell r="H289">
            <v>9.9312397236303342E-3</v>
          </cell>
          <cell r="I289">
            <v>9.7412060364732572E-3</v>
          </cell>
          <cell r="J289">
            <v>2.9095812622714013E-3</v>
          </cell>
          <cell r="K289">
            <v>2.8951116372999137E-4</v>
          </cell>
          <cell r="L289">
            <v>3.2822404551597668E-4</v>
          </cell>
          <cell r="M289">
            <v>3.815016790668935E-4</v>
          </cell>
          <cell r="N289">
            <v>4.3635016329325897E-4</v>
          </cell>
          <cell r="O289">
            <v>5.8232231275557515E-4</v>
          </cell>
        </row>
        <row r="290">
          <cell r="A290" t="str">
            <v>T_C-ICEDSLEXT</v>
          </cell>
          <cell r="B290" t="str">
            <v>VAR_fout</v>
          </cell>
          <cell r="C290" t="str">
            <v>CO2_T</v>
          </cell>
          <cell r="D290">
            <v>3874.1786106058198</v>
          </cell>
          <cell r="E290">
            <v>3569.7831076614302</v>
          </cell>
          <cell r="F290">
            <v>2582.9198894473002</v>
          </cell>
          <cell r="G290">
            <v>1117.5433104590099</v>
          </cell>
        </row>
        <row r="291">
          <cell r="A291" t="str">
            <v>T_C-ICEDSLEXT</v>
          </cell>
          <cell r="B291" t="str">
            <v>VAR_fout</v>
          </cell>
          <cell r="C291" t="str">
            <v>TPCAR</v>
          </cell>
          <cell r="D291">
            <v>17.918393209178763</v>
          </cell>
          <cell r="E291">
            <v>17.235978015738393</v>
          </cell>
          <cell r="F291">
            <v>13.258445946376822</v>
          </cell>
          <cell r="G291">
            <v>6.304245642804073</v>
          </cell>
        </row>
        <row r="292">
          <cell r="A292" t="str">
            <v>T_C-ICEDSLEXT</v>
          </cell>
          <cell r="B292" t="str">
            <v>VAR_fin</v>
          </cell>
          <cell r="C292" t="str">
            <v>TDSL</v>
          </cell>
          <cell r="D292">
            <v>52.85373275042047</v>
          </cell>
          <cell r="E292">
            <v>48.700997376008651</v>
          </cell>
          <cell r="F292">
            <v>35.237651970631731</v>
          </cell>
          <cell r="G292">
            <v>15.246157032182936</v>
          </cell>
        </row>
        <row r="293">
          <cell r="A293" t="str">
            <v>T_C-ICEDSLEXT</v>
          </cell>
          <cell r="B293" t="str">
            <v>VAR_cap</v>
          </cell>
          <cell r="C293" t="str">
            <v>-</v>
          </cell>
          <cell r="D293">
            <v>1.0586057243405285</v>
          </cell>
          <cell r="E293">
            <v>0.91828348303895435</v>
          </cell>
          <cell r="F293">
            <v>0.70637168024566299</v>
          </cell>
          <cell r="G293">
            <v>0.35318593159496314</v>
          </cell>
        </row>
        <row r="294">
          <cell r="A294" t="str">
            <v>T-Plg-ELC-GSL_S1</v>
          </cell>
          <cell r="B294" t="str">
            <v>VAR_fout</v>
          </cell>
          <cell r="C294" t="str">
            <v>T-PEVmix-ELC_GSL_S1</v>
          </cell>
          <cell r="E294">
            <v>2.9556925785312972E-4</v>
          </cell>
          <cell r="F294">
            <v>4.6534870451121215E-4</v>
          </cell>
          <cell r="G294">
            <v>7.2013172756968174E-4</v>
          </cell>
          <cell r="H294">
            <v>1.0486685594669305E-3</v>
          </cell>
          <cell r="I294">
            <v>9.4534122903860063E-4</v>
          </cell>
          <cell r="J294">
            <v>1.0487670169787562E-3</v>
          </cell>
          <cell r="K294">
            <v>6.1343854608910591E-4</v>
          </cell>
          <cell r="L294">
            <v>3.7286239456596529E-3</v>
          </cell>
          <cell r="M294">
            <v>6.512801889407914E-3</v>
          </cell>
          <cell r="N294">
            <v>7.9108477778977553E-3</v>
          </cell>
          <cell r="O294">
            <v>9.8465357519569655E-3</v>
          </cell>
        </row>
        <row r="295">
          <cell r="A295" t="str">
            <v>T-Plg-ELC-GSL_S1</v>
          </cell>
          <cell r="B295" t="str">
            <v>VAR_fin</v>
          </cell>
          <cell r="C295" t="str">
            <v>T-ELC-car-PlgSTGOut_S1</v>
          </cell>
          <cell r="E295">
            <v>1.6227491896303955E-4</v>
          </cell>
          <cell r="F295">
            <v>2.5548808378317935E-4</v>
          </cell>
          <cell r="G295">
            <v>3.9537033919864609E-4</v>
          </cell>
          <cell r="H295">
            <v>5.6238106894625022E-4</v>
          </cell>
          <cell r="I295">
            <v>4.9552338232137399E-4</v>
          </cell>
          <cell r="J295">
            <v>5.245186316682151E-4</v>
          </cell>
          <cell r="K295">
            <v>2.9300625281891869E-4</v>
          </cell>
          <cell r="L295">
            <v>1.7359937528365977E-3</v>
          </cell>
          <cell r="M295">
            <v>2.8201810623150235E-3</v>
          </cell>
          <cell r="N295">
            <v>3.4192952473241487E-3</v>
          </cell>
          <cell r="O295">
            <v>4.0695558363938594E-3</v>
          </cell>
        </row>
        <row r="296">
          <cell r="A296" t="str">
            <v>T-Plg-ELC-GSL_S2</v>
          </cell>
          <cell r="B296" t="str">
            <v>VAR_fout</v>
          </cell>
          <cell r="C296" t="str">
            <v>T-PEVmix-ELC_GSL_S2</v>
          </cell>
          <cell r="D296">
            <v>5.0221530875112306E-3</v>
          </cell>
          <cell r="E296">
            <v>3.6259261829803429E-3</v>
          </cell>
          <cell r="F296">
            <v>1.4371840678365694E-2</v>
          </cell>
          <cell r="G296">
            <v>4.2568822466756785E-2</v>
          </cell>
          <cell r="H296">
            <v>2.6355623641424023E-2</v>
          </cell>
          <cell r="I296">
            <v>1.9071889937116681E-2</v>
          </cell>
          <cell r="J296">
            <v>3.5189985016188126E-3</v>
          </cell>
          <cell r="K296">
            <v>3.1511399813413123E-3</v>
          </cell>
          <cell r="L296">
            <v>1.32544503908061E-2</v>
          </cell>
          <cell r="M296">
            <v>1.3687780690232255E-2</v>
          </cell>
          <cell r="N296">
            <v>1.134282867459091E-2</v>
          </cell>
          <cell r="O296">
            <v>6.0559991031534748E-3</v>
          </cell>
        </row>
        <row r="297">
          <cell r="A297" t="str">
            <v>T-Plg-ELC-GSL_S2</v>
          </cell>
          <cell r="B297" t="str">
            <v>VAR_fin</v>
          </cell>
          <cell r="C297" t="str">
            <v>T-ELC-car-PlgSTGOut_S2</v>
          </cell>
          <cell r="D297">
            <v>3.3411147422935045E-3</v>
          </cell>
          <cell r="E297">
            <v>2.4122393748907292E-3</v>
          </cell>
          <cell r="F297">
            <v>9.5612315928379609E-3</v>
          </cell>
          <cell r="G297">
            <v>2.8319989022126329E-2</v>
          </cell>
          <cell r="H297">
            <v>1.6860822426987235E-2</v>
          </cell>
          <cell r="I297">
            <v>1.1802336276480642E-2</v>
          </cell>
          <cell r="J297">
            <v>2.1205177944106494E-3</v>
          </cell>
          <cell r="K297">
            <v>1.8116514104379836E-3</v>
          </cell>
          <cell r="L297">
            <v>7.374202215335612E-3</v>
          </cell>
          <cell r="M297">
            <v>7.1085270894801341E-3</v>
          </cell>
          <cell r="N297">
            <v>5.8847697392680493E-3</v>
          </cell>
          <cell r="O297">
            <v>3.0118364227664182E-3</v>
          </cell>
        </row>
        <row r="298">
          <cell r="A298" t="str">
            <v>T-Plg-ELC-DSL_S1</v>
          </cell>
          <cell r="B298" t="str">
            <v>VAR_fout</v>
          </cell>
          <cell r="C298" t="str">
            <v>T-PEVmix-ELC_DSL_S1</v>
          </cell>
          <cell r="E298">
            <v>3.0396579509377506E-4</v>
          </cell>
          <cell r="F298">
            <v>4.5899896431378492E-4</v>
          </cell>
          <cell r="G298">
            <v>9.433809257031584E-4</v>
          </cell>
          <cell r="H298">
            <v>1.2487473120555406E-3</v>
          </cell>
          <cell r="I298">
            <v>1.1045243361448365E-3</v>
          </cell>
          <cell r="J298">
            <v>6.2431331785644598E-3</v>
          </cell>
          <cell r="K298">
            <v>6.2389945929061837E-3</v>
          </cell>
          <cell r="L298">
            <v>1.5366193828688106E-2</v>
          </cell>
          <cell r="M298">
            <v>8.726492184016045E-4</v>
          </cell>
          <cell r="N298">
            <v>4.320693932259436E-4</v>
          </cell>
          <cell r="O298">
            <v>3.5366651856554986E-4</v>
          </cell>
        </row>
        <row r="299">
          <cell r="A299" t="str">
            <v>T-Plg-ELC-DSL_S1</v>
          </cell>
          <cell r="B299" t="str">
            <v>VAR_fin</v>
          </cell>
          <cell r="C299" t="str">
            <v>T-ELC-car-PlgSTGOut_S1</v>
          </cell>
          <cell r="E299">
            <v>1.6688482802527694E-4</v>
          </cell>
          <cell r="F299">
            <v>2.5200191751724801E-4</v>
          </cell>
          <cell r="G299">
            <v>5.1793973561968857E-4</v>
          </cell>
          <cell r="H299">
            <v>6.696527066832246E-4</v>
          </cell>
          <cell r="I299">
            <v>5.7889386135599817E-4</v>
          </cell>
          <cell r="J299">
            <v>3.1070352446571706E-3</v>
          </cell>
          <cell r="K299">
            <v>2.963857365717781E-3</v>
          </cell>
          <cell r="L299">
            <v>7.0977072826216032E-3</v>
          </cell>
          <cell r="M299">
            <v>3.7871235199934793E-4</v>
          </cell>
          <cell r="N299">
            <v>1.8753620089042482E-4</v>
          </cell>
          <cell r="O299">
            <v>1.4616974751546324E-4</v>
          </cell>
        </row>
        <row r="300">
          <cell r="A300" t="str">
            <v>T_TRM_ELC</v>
          </cell>
          <cell r="B300" t="str">
            <v>VAR_fout</v>
          </cell>
          <cell r="C300" t="str">
            <v>TPTRM</v>
          </cell>
          <cell r="D300">
            <v>3.3477999999999994E-2</v>
          </cell>
          <cell r="E300">
            <v>3.4238693943285006E-2</v>
          </cell>
          <cell r="F300">
            <v>3.537973485821249E-2</v>
          </cell>
          <cell r="G300">
            <v>3.7281469716424979E-2</v>
          </cell>
          <cell r="H300">
            <v>3.8200039755124107E-2</v>
          </cell>
          <cell r="I300">
            <v>3.9061076358642186E-2</v>
          </cell>
          <cell r="J300">
            <v>3.9708612294883733E-2</v>
          </cell>
          <cell r="K300">
            <v>4.0356148231125301E-2</v>
          </cell>
          <cell r="L300">
            <v>4.2371906290567779E-2</v>
          </cell>
          <cell r="M300">
            <v>4.3525301587149907E-2</v>
          </cell>
          <cell r="N300">
            <v>4.4673212327442917E-2</v>
          </cell>
          <cell r="O300">
            <v>4.5811892235102694E-2</v>
          </cell>
        </row>
        <row r="301">
          <cell r="A301" t="str">
            <v>T_TRM_ELC</v>
          </cell>
          <cell r="B301" t="str">
            <v>VAR_fin</v>
          </cell>
          <cell r="C301" t="str">
            <v>TELC</v>
          </cell>
          <cell r="D301">
            <v>0.58772895164057959</v>
          </cell>
          <cell r="E301">
            <v>0.61504030570008339</v>
          </cell>
          <cell r="F301">
            <v>0.65847123751882963</v>
          </cell>
          <cell r="G301">
            <v>0.73826743502205472</v>
          </cell>
          <cell r="H301">
            <v>0.7564574460789345</v>
          </cell>
          <cell r="I301">
            <v>0.77350814954032066</v>
          </cell>
          <cell r="J301">
            <v>0.78633099956125296</v>
          </cell>
          <cell r="K301">
            <v>0.7991538495821856</v>
          </cell>
          <cell r="L301">
            <v>0.83907095970389334</v>
          </cell>
          <cell r="M301">
            <v>0.86191110505360957</v>
          </cell>
          <cell r="N301">
            <v>0.88464264231103162</v>
          </cell>
          <cell r="O301">
            <v>0.90719138572521052</v>
          </cell>
        </row>
        <row r="302">
          <cell r="A302" t="str">
            <v>T-Plg-ELC-GSL_S3</v>
          </cell>
          <cell r="B302" t="str">
            <v>VAR_fout</v>
          </cell>
          <cell r="C302" t="str">
            <v>T-PEVmix-ELC_GSL_S3</v>
          </cell>
          <cell r="E302">
            <v>2.7559666105911016E-2</v>
          </cell>
          <cell r="F302">
            <v>0.22732487071996688</v>
          </cell>
          <cell r="G302">
            <v>0.87789315843868942</v>
          </cell>
          <cell r="H302">
            <v>2.6762265290840235</v>
          </cell>
          <cell r="I302">
            <v>2.6532542822065377</v>
          </cell>
          <cell r="J302">
            <v>3.7690322148284565</v>
          </cell>
          <cell r="K302">
            <v>1.6586159184375282</v>
          </cell>
          <cell r="L302">
            <v>1.053026826075766</v>
          </cell>
          <cell r="M302">
            <v>3.3903814295375444E-2</v>
          </cell>
          <cell r="N302">
            <v>2.9408782269657811E-2</v>
          </cell>
          <cell r="O302">
            <v>1.4915976848665627E-2</v>
          </cell>
        </row>
        <row r="303">
          <cell r="A303" t="str">
            <v>T-Plg-ELC-GSL_S3</v>
          </cell>
          <cell r="B303" t="str">
            <v>VAR_fin</v>
          </cell>
          <cell r="C303" t="str">
            <v>T-ELC-car-PlgSTGOut_S3</v>
          </cell>
          <cell r="E303">
            <v>1.9669107407294446E-2</v>
          </cell>
          <cell r="F303">
            <v>0.16223989366770111</v>
          </cell>
          <cell r="G303">
            <v>0.62654513879455231</v>
          </cell>
          <cell r="H303">
            <v>1.8212391614184211</v>
          </cell>
          <cell r="I303">
            <v>1.725175919623718</v>
          </cell>
          <cell r="J303">
            <v>2.3488112546806894</v>
          </cell>
          <cell r="K303">
            <v>0.98301314437891041</v>
          </cell>
          <cell r="L303">
            <v>0.61572988352636226</v>
          </cell>
          <cell r="M303">
            <v>1.8743160556427677E-2</v>
          </cell>
          <cell r="N303">
            <v>1.6234217774374865E-2</v>
          </cell>
          <cell r="O303">
            <v>7.9498402221684847E-3</v>
          </cell>
        </row>
        <row r="304">
          <cell r="A304" t="str">
            <v>T-Plg-ELC-DSL_S2</v>
          </cell>
          <cell r="B304" t="str">
            <v>VAR_fout</v>
          </cell>
          <cell r="C304" t="str">
            <v>T-PEVmix-ELC_DSL_S2</v>
          </cell>
          <cell r="D304">
            <v>2.7327606219720518E-5</v>
          </cell>
          <cell r="E304">
            <v>2.2359654888942548E-4</v>
          </cell>
          <cell r="F304">
            <v>4.610869776391731E-4</v>
          </cell>
          <cell r="G304">
            <v>0.10929153297768082</v>
          </cell>
          <cell r="H304">
            <v>0.30940969918975564</v>
          </cell>
          <cell r="I304">
            <v>0.23841387557231589</v>
          </cell>
          <cell r="J304">
            <v>2.9111608087365296E-2</v>
          </cell>
          <cell r="K304">
            <v>2.9665081087738653E-2</v>
          </cell>
          <cell r="L304">
            <v>2.0049364798986072E-2</v>
          </cell>
          <cell r="M304">
            <v>1.2664711060221931E-3</v>
          </cell>
          <cell r="N304">
            <v>1.0939491669964975E-3</v>
          </cell>
          <cell r="O304">
            <v>6.4660384426458559E-4</v>
          </cell>
        </row>
        <row r="305">
          <cell r="A305" t="str">
            <v>T-Plg-ELC-DSL_S2</v>
          </cell>
          <cell r="B305" t="str">
            <v>VAR_fin</v>
          </cell>
          <cell r="C305" t="str">
            <v>T-ELC-car-PlgSTGOut_S2</v>
          </cell>
          <cell r="D305">
            <v>1.8180383278110437E-5</v>
          </cell>
          <cell r="E305">
            <v>1.4875327629461439E-4</v>
          </cell>
          <cell r="F305">
            <v>3.0674980862306308E-4</v>
          </cell>
          <cell r="G305">
            <v>7.2708964795922121E-2</v>
          </cell>
          <cell r="H305">
            <v>0.19640491184522008</v>
          </cell>
          <cell r="I305">
            <v>0.14483231471746005</v>
          </cell>
          <cell r="J305">
            <v>1.7216912471837237E-2</v>
          </cell>
          <cell r="K305">
            <v>1.6747549189478655E-2</v>
          </cell>
          <cell r="L305">
            <v>1.1108812981014024E-2</v>
          </cell>
          <cell r="M305">
            <v>6.6198694819223148E-4</v>
          </cell>
          <cell r="N305">
            <v>5.7173672442861919E-4</v>
          </cell>
          <cell r="O305">
            <v>3.2157617200484387E-4</v>
          </cell>
        </row>
        <row r="306">
          <cell r="A306" t="str">
            <v>T_TW-ICEGSLEXT</v>
          </cell>
          <cell r="B306" t="str">
            <v>VAR_fout</v>
          </cell>
          <cell r="C306" t="str">
            <v>CO2_T</v>
          </cell>
          <cell r="D306">
            <v>145.19379203427101</v>
          </cell>
          <cell r="E306">
            <v>1.64281186115888</v>
          </cell>
          <cell r="F306">
            <v>0.32079678568678499</v>
          </cell>
          <cell r="G306">
            <v>0.31955981810055301</v>
          </cell>
        </row>
        <row r="307">
          <cell r="A307" t="str">
            <v>T_TW-ICEGSLEXT</v>
          </cell>
          <cell r="B307" t="str">
            <v>VAR_fout</v>
          </cell>
          <cell r="C307" t="str">
            <v>TPTWL</v>
          </cell>
          <cell r="D307">
            <v>1.517186801214923</v>
          </cell>
          <cell r="E307">
            <v>1.7524179756493504E-2</v>
          </cell>
          <cell r="F307">
            <v>3.5268005963992877E-3</v>
          </cell>
          <cell r="G307">
            <v>3.6871973505628367E-3</v>
          </cell>
        </row>
        <row r="308">
          <cell r="A308" t="str">
            <v>T_TW-ICEGSLEXT</v>
          </cell>
          <cell r="B308" t="str">
            <v>VAR_fin</v>
          </cell>
          <cell r="C308" t="str">
            <v>TGSL</v>
          </cell>
          <cell r="D308">
            <v>1.9673955560199263</v>
          </cell>
          <cell r="E308">
            <v>2.2260323321936025E-2</v>
          </cell>
          <cell r="F308">
            <v>4.3468399144550827E-3</v>
          </cell>
          <cell r="G308">
            <v>4.3300788360508546E-3</v>
          </cell>
        </row>
        <row r="309">
          <cell r="A309" t="str">
            <v>T_TW-ICEGSLEXT</v>
          </cell>
          <cell r="B309" t="str">
            <v>VAR_cap</v>
          </cell>
          <cell r="C309" t="str">
            <v>-</v>
          </cell>
          <cell r="D309">
            <v>0.55522166498249337</v>
          </cell>
          <cell r="E309">
            <v>8.3829788184949794E-3</v>
          </cell>
          <cell r="F309">
            <v>1.679571274507019E-3</v>
          </cell>
          <cell r="G309">
            <v>1.6783083586209835E-3</v>
          </cell>
        </row>
        <row r="310">
          <cell r="A310" t="str">
            <v>T-Plg-ELC-GSL_S4</v>
          </cell>
          <cell r="B310" t="str">
            <v>VAR_fout</v>
          </cell>
          <cell r="C310" t="str">
            <v>T-PEVmix-ELC_GSL_S4</v>
          </cell>
          <cell r="E310">
            <v>2.0016696838570367E-3</v>
          </cell>
          <cell r="F310">
            <v>2.9075265010099039E-2</v>
          </cell>
          <cell r="G310">
            <v>5.0738059042491714E-2</v>
          </cell>
          <cell r="H310">
            <v>2.3387621071307346E-2</v>
          </cell>
          <cell r="I310">
            <v>1.0422607278615286E-2</v>
          </cell>
          <cell r="J310">
            <v>5.6746134439561386E-3</v>
          </cell>
          <cell r="K310">
            <v>4.6074354381532489E-3</v>
          </cell>
          <cell r="L310">
            <v>0.49400317616583361</v>
          </cell>
          <cell r="M310">
            <v>1.3851219670231283</v>
          </cell>
          <cell r="N310">
            <v>1.329334661298875</v>
          </cell>
          <cell r="O310">
            <v>1.2849913807481848</v>
          </cell>
        </row>
        <row r="311">
          <cell r="A311" t="str">
            <v>T-Plg-ELC-GSL_S4</v>
          </cell>
          <cell r="B311" t="str">
            <v>VAR_fin</v>
          </cell>
          <cell r="C311" t="str">
            <v>T-ELC-car-PlgSTGOut_S4</v>
          </cell>
          <cell r="E311">
            <v>1.4944530314207627E-3</v>
          </cell>
          <cell r="F311">
            <v>2.1707686480007631E-2</v>
          </cell>
          <cell r="G311">
            <v>3.7881198259619039E-2</v>
          </cell>
          <cell r="H311">
            <v>1.6974391476217182E-2</v>
          </cell>
          <cell r="I311">
            <v>7.3951210630364313E-3</v>
          </cell>
          <cell r="J311">
            <v>3.8516064848741825E-3</v>
          </cell>
          <cell r="K311">
            <v>2.9939609469724969E-3</v>
          </cell>
          <cell r="L311">
            <v>0.306641584941585</v>
          </cell>
          <cell r="M311">
            <v>0.80886620111854945</v>
          </cell>
          <cell r="N311">
            <v>0.77613137772919361</v>
          </cell>
          <cell r="O311">
            <v>0.73099197232180213</v>
          </cell>
        </row>
        <row r="312">
          <cell r="A312" t="str">
            <v>T-Plg-ELC-DSL_S3</v>
          </cell>
          <cell r="B312" t="str">
            <v>VAR_fout</v>
          </cell>
          <cell r="C312" t="str">
            <v>T-PEVmix-ELC_DSL_S3</v>
          </cell>
          <cell r="E312">
            <v>6.9448358455615866E-2</v>
          </cell>
          <cell r="F312">
            <v>0.18765433291163311</v>
          </cell>
          <cell r="G312">
            <v>0.22264489933179132</v>
          </cell>
          <cell r="H312">
            <v>1.4092105248310702</v>
          </cell>
          <cell r="I312">
            <v>1.4367816288068964</v>
          </cell>
          <cell r="J312">
            <v>1.7818263723158387</v>
          </cell>
          <cell r="K312">
            <v>0.28319402039884112</v>
          </cell>
          <cell r="L312">
            <v>0.19012331272491906</v>
          </cell>
          <cell r="M312">
            <v>2.1176052710876422E-3</v>
          </cell>
          <cell r="N312">
            <v>1.772734784678573E-3</v>
          </cell>
          <cell r="O312">
            <v>9.3589679606791772E-4</v>
          </cell>
        </row>
        <row r="313">
          <cell r="A313" t="str">
            <v>T-Plg-ELC-DSL_S3</v>
          </cell>
          <cell r="B313" t="str">
            <v>VAR_fin</v>
          </cell>
          <cell r="C313" t="str">
            <v>T-ELC-car-PlgSTGOut_S3</v>
          </cell>
          <cell r="E313">
            <v>4.9564723189110628E-2</v>
          </cell>
          <cell r="F313">
            <v>0.13392735656878849</v>
          </cell>
          <cell r="G313">
            <v>0.15889983651521822</v>
          </cell>
          <cell r="H313">
            <v>0.95952195483889025</v>
          </cell>
          <cell r="I313">
            <v>0.9353441314493357</v>
          </cell>
          <cell r="J313">
            <v>1.1130271425687492</v>
          </cell>
          <cell r="K313">
            <v>0.16833090867388059</v>
          </cell>
          <cell r="L313">
            <v>0.11140881648049659</v>
          </cell>
          <cell r="M313">
            <v>1.1856017020375274E-3</v>
          </cell>
          <cell r="N313">
            <v>9.9233808603740956E-4</v>
          </cell>
          <cell r="O313">
            <v>4.9880943559153779E-4</v>
          </cell>
        </row>
        <row r="314">
          <cell r="A314" t="str">
            <v>T-Plg-ELC-DSL_S4</v>
          </cell>
          <cell r="B314" t="str">
            <v>VAR_fout</v>
          </cell>
          <cell r="C314" t="str">
            <v>T-PEVmix-ELC_DSL_S4</v>
          </cell>
          <cell r="E314">
            <v>1.6479560655499848E-3</v>
          </cell>
          <cell r="F314">
            <v>4.657754085339594E-3</v>
          </cell>
          <cell r="G314">
            <v>0.46696666249616409</v>
          </cell>
          <cell r="H314">
            <v>0.45805343969268053</v>
          </cell>
          <cell r="I314">
            <v>0.2426159262663799</v>
          </cell>
          <cell r="J314">
            <v>0.77059245808430554</v>
          </cell>
          <cell r="K314">
            <v>0.79861353282236047</v>
          </cell>
          <cell r="L314">
            <v>0.83627104798637131</v>
          </cell>
          <cell r="M314">
            <v>1.000835523877984</v>
          </cell>
          <cell r="N314">
            <v>0.95932277855517967</v>
          </cell>
          <cell r="O314">
            <v>0.91760358673718267</v>
          </cell>
        </row>
        <row r="315">
          <cell r="A315" t="str">
            <v>T-Plg-ELC-DSL_S4</v>
          </cell>
          <cell r="B315" t="str">
            <v>VAR_fin</v>
          </cell>
          <cell r="C315" t="str">
            <v>T-ELC-car-PlgSTGOut_S4</v>
          </cell>
          <cell r="E315">
            <v>1.230369305021309E-3</v>
          </cell>
          <cell r="F315">
            <v>3.4774941982612098E-3</v>
          </cell>
          <cell r="G315">
            <v>0.34863881387018625</v>
          </cell>
          <cell r="H315">
            <v>0.32776439081890868</v>
          </cell>
          <cell r="I315">
            <v>0.16710892762713092</v>
          </cell>
          <cell r="J315">
            <v>0.50898976779249605</v>
          </cell>
          <cell r="K315">
            <v>0.50149317874286026</v>
          </cell>
          <cell r="L315">
            <v>0.51860035193804366</v>
          </cell>
          <cell r="M315">
            <v>0.5844115704876266</v>
          </cell>
          <cell r="N315">
            <v>0.55996497742168438</v>
          </cell>
          <cell r="O315">
            <v>0.52199638513374513</v>
          </cell>
        </row>
        <row r="316">
          <cell r="A316" t="str">
            <v>TFLGV-ICENGA</v>
          </cell>
          <cell r="B316" t="str">
            <v>VAR_fout</v>
          </cell>
          <cell r="C316" t="str">
            <v>CO2_T</v>
          </cell>
          <cell r="D316">
            <v>1.4012819483085339</v>
          </cell>
          <cell r="E316">
            <v>1.3463468032251935</v>
          </cell>
          <cell r="F316">
            <v>1.8720935061766204</v>
          </cell>
          <cell r="G316">
            <v>2.8024376673760402E-2</v>
          </cell>
          <cell r="H316">
            <v>6.8478429875186101E-3</v>
          </cell>
        </row>
        <row r="317">
          <cell r="A317" t="str">
            <v>TFLGV-ICENGA</v>
          </cell>
          <cell r="B317" t="str">
            <v>VAR_fout</v>
          </cell>
          <cell r="C317" t="str">
            <v>TFLGV</v>
          </cell>
          <cell r="D317">
            <v>7.9648698840271773E-3</v>
          </cell>
          <cell r="E317">
            <v>7.6526191744700203E-3</v>
          </cell>
          <cell r="F317">
            <v>1.0640957164564778E-2</v>
          </cell>
          <cell r="G317">
            <v>1.5929022282553613E-4</v>
          </cell>
          <cell r="H317">
            <v>3.8923057881157061E-5</v>
          </cell>
        </row>
        <row r="318">
          <cell r="A318" t="str">
            <v>TFLGV-ICENGA</v>
          </cell>
          <cell r="B318" t="str">
            <v>VAR_fin</v>
          </cell>
          <cell r="C318" t="str">
            <v>TNGA</v>
          </cell>
          <cell r="D318">
            <v>2.4845424615399556E-2</v>
          </cell>
          <cell r="E318">
            <v>2.3871397220304819E-2</v>
          </cell>
          <cell r="F318">
            <v>3.3193147272635164E-2</v>
          </cell>
          <cell r="G318">
            <v>4.9688611123688633E-4</v>
          </cell>
          <cell r="H318">
            <v>1.2141565580706752E-4</v>
          </cell>
        </row>
        <row r="319">
          <cell r="A319" t="str">
            <v>TFLGV-ICENGA</v>
          </cell>
          <cell r="B319" t="str">
            <v>VAR_ncap</v>
          </cell>
          <cell r="C319" t="str">
            <v>-</v>
          </cell>
          <cell r="D319">
            <v>4.1997277986701497E-7</v>
          </cell>
          <cell r="E319">
            <v>2.12231229368094E-5</v>
          </cell>
          <cell r="F319">
            <v>3.6398184811161001E-6</v>
          </cell>
          <cell r="G319">
            <v>1.0490819144256201E-8</v>
          </cell>
        </row>
        <row r="320">
          <cell r="A320" t="str">
            <v>TFLGV-ICENGA</v>
          </cell>
          <cell r="B320" t="str">
            <v>VAR_cap</v>
          </cell>
          <cell r="C320" t="str">
            <v>-</v>
          </cell>
          <cell r="D320">
            <v>5.8325220782793068E-4</v>
          </cell>
          <cell r="E320">
            <v>7.3041641406010847E-4</v>
          </cell>
          <cell r="F320">
            <v>7.3414308022192874E-4</v>
          </cell>
          <cell r="G320">
            <v>-8.1659364476664546E-7</v>
          </cell>
          <cell r="H320">
            <v>-2.4607003674505993E-7</v>
          </cell>
        </row>
        <row r="321">
          <cell r="A321" t="str">
            <v>TFLGV-BEVELC</v>
          </cell>
          <cell r="B321" t="str">
            <v>VAR_fout</v>
          </cell>
          <cell r="C321" t="str">
            <v>TFLGV</v>
          </cell>
          <cell r="D321">
            <v>2.3803724569186689E-2</v>
          </cell>
          <cell r="E321">
            <v>0.14478762781168561</v>
          </cell>
          <cell r="F321">
            <v>2.6170526420226028</v>
          </cell>
          <cell r="G321">
            <v>2.6666537246947395</v>
          </cell>
          <cell r="H321">
            <v>4.3230942020734497</v>
          </cell>
          <cell r="I321">
            <v>5.0138190571761712</v>
          </cell>
          <cell r="J321">
            <v>5.2231317088020157</v>
          </cell>
          <cell r="K321">
            <v>5.4322203645241416</v>
          </cell>
          <cell r="L321">
            <v>5.6865972747136286</v>
          </cell>
          <cell r="M321">
            <v>6.0438970523474014</v>
          </cell>
          <cell r="N321">
            <v>6.4405671379815379</v>
          </cell>
          <cell r="O321">
            <v>6.8765930492073775</v>
          </cell>
        </row>
        <row r="322">
          <cell r="A322" t="str">
            <v>TFLGV-BEVELC</v>
          </cell>
          <cell r="B322" t="str">
            <v>VAR_fin</v>
          </cell>
          <cell r="C322" t="str">
            <v>T-ELC-LGV_BatSTGout</v>
          </cell>
          <cell r="D322">
            <v>3.4935730692478656E-2</v>
          </cell>
          <cell r="E322">
            <v>0.21249874397301982</v>
          </cell>
          <cell r="F322">
            <v>3.8409386751220183</v>
          </cell>
          <cell r="G322">
            <v>3.9137361090384051</v>
          </cell>
          <cell r="H322">
            <v>6.3448244984887392</v>
          </cell>
          <cell r="I322">
            <v>7.3585724710100955</v>
          </cell>
          <cell r="J322">
            <v>7.6657718929524492</v>
          </cell>
          <cell r="K322">
            <v>7.9726425654780595</v>
          </cell>
          <cell r="L322">
            <v>8.3459809143963124</v>
          </cell>
          <cell r="M322">
            <v>8.8703748499593971</v>
          </cell>
          <cell r="N322">
            <v>9.452550939470008</v>
          </cell>
          <cell r="O322">
            <v>10.092487927702807</v>
          </cell>
        </row>
        <row r="323">
          <cell r="A323" t="str">
            <v>TFLGV-BEVELC</v>
          </cell>
          <cell r="B323" t="str">
            <v>VAR_ncap</v>
          </cell>
          <cell r="C323" t="str">
            <v>-</v>
          </cell>
          <cell r="E323">
            <v>7.58091646034415E-3</v>
          </cell>
          <cell r="F323">
            <v>0.172237901721809</v>
          </cell>
          <cell r="G323">
            <v>3.4950922408706502E-2</v>
          </cell>
          <cell r="H323">
            <v>0.28337476710923998</v>
          </cell>
          <cell r="I323">
            <v>0.17986925411124599</v>
          </cell>
          <cell r="J323">
            <v>0.175249016793943</v>
          </cell>
          <cell r="K323">
            <v>0.30006640823457298</v>
          </cell>
          <cell r="L323">
            <v>0.177531663019799</v>
          </cell>
          <cell r="M323">
            <v>0.24162714310035599</v>
          </cell>
          <cell r="N323">
            <v>0.31568259956938999</v>
          </cell>
          <cell r="O323">
            <v>0.125205515803891</v>
          </cell>
        </row>
        <row r="324">
          <cell r="A324" t="str">
            <v>TFLGV-BEVELC</v>
          </cell>
          <cell r="B324" t="str">
            <v>VAR_cap</v>
          </cell>
          <cell r="C324" t="str">
            <v>-</v>
          </cell>
          <cell r="D324">
            <v>1.6988234449676575E-3</v>
          </cell>
          <cell r="E324">
            <v>1.017273616036991E-2</v>
          </cell>
          <cell r="F324">
            <v>0.18241068858585727</v>
          </cell>
          <cell r="G324">
            <v>0.21554711706803617</v>
          </cell>
          <cell r="H324">
            <v>0.40657057058346258</v>
          </cell>
          <cell r="I324">
            <v>0.47058349355460544</v>
          </cell>
          <cell r="J324">
            <v>0.50205100917891976</v>
          </cell>
          <cell r="K324">
            <v>0.53675803115171739</v>
          </cell>
          <cell r="L324">
            <v>0.55642678172911109</v>
          </cell>
          <cell r="M324">
            <v>0.57289555872124753</v>
          </cell>
          <cell r="N324">
            <v>0.58875428445623779</v>
          </cell>
          <cell r="O324">
            <v>0.60395270520354527</v>
          </cell>
        </row>
        <row r="325">
          <cell r="A325" t="str">
            <v>T_B_c-BEVELC-S1</v>
          </cell>
          <cell r="B325" t="str">
            <v>VAR_fout</v>
          </cell>
          <cell r="C325" t="str">
            <v>TPBSc</v>
          </cell>
          <cell r="D325">
            <v>2.405116154346073E-4</v>
          </cell>
          <cell r="E325">
            <v>6.4878795439689979E-4</v>
          </cell>
          <cell r="F325">
            <v>3.133229716179553E-2</v>
          </cell>
          <cell r="G325">
            <v>6.4827487279347354E-2</v>
          </cell>
          <cell r="H325">
            <v>6.4891850061261303E-2</v>
          </cell>
          <cell r="I325">
            <v>6.4918664087700237E-2</v>
          </cell>
          <cell r="J325">
            <v>6.504807111117808E-2</v>
          </cell>
          <cell r="K325">
            <v>6.5113151761329674E-2</v>
          </cell>
          <cell r="L325">
            <v>6.7247163886067107E-2</v>
          </cell>
          <cell r="M325">
            <v>6.9198949886354749E-2</v>
          </cell>
          <cell r="N325">
            <v>7.1112790682109628E-2</v>
          </cell>
          <cell r="O325">
            <v>7.2861842742041966E-2</v>
          </cell>
        </row>
        <row r="326">
          <cell r="A326" t="str">
            <v>T_B_c-BEVELC-S1</v>
          </cell>
          <cell r="B326" t="str">
            <v>VAR_fin</v>
          </cell>
          <cell r="C326" t="str">
            <v>T-ELC-Bus_c_BatSTGout_S1</v>
          </cell>
          <cell r="D326">
            <v>6.3510938307278846E-4</v>
          </cell>
          <cell r="E326">
            <v>1.681388529773983E-3</v>
          </cell>
          <cell r="F326">
            <v>7.5980996420048949E-2</v>
          </cell>
          <cell r="G326">
            <v>0.14934658191669831</v>
          </cell>
          <cell r="H326">
            <v>0.13831087581789209</v>
          </cell>
          <cell r="I326">
            <v>0.13748120023445384</v>
          </cell>
          <cell r="J326">
            <v>0.13191007859377882</v>
          </cell>
          <cell r="K326">
            <v>0.12280145573231302</v>
          </cell>
          <cell r="L326">
            <v>0.12513439755279848</v>
          </cell>
          <cell r="M326">
            <v>0.1275892615198064</v>
          </cell>
          <cell r="N326">
            <v>0.13111800775364205</v>
          </cell>
          <cell r="O326">
            <v>0.13434291595026873</v>
          </cell>
        </row>
        <row r="327">
          <cell r="A327" t="str">
            <v>T_B_c-BEVELC-S1</v>
          </cell>
          <cell r="B327" t="str">
            <v>VAR_ncap</v>
          </cell>
          <cell r="C327" t="str">
            <v>-</v>
          </cell>
          <cell r="E327">
            <v>5.5739263447754798E-6</v>
          </cell>
          <cell r="F327">
            <v>6.73459546235152E-4</v>
          </cell>
          <cell r="G327">
            <v>1.0205999473322301E-3</v>
          </cell>
          <cell r="H327">
            <v>1.33644433472172E-3</v>
          </cell>
          <cell r="I327">
            <v>7.1655009969176395E-5</v>
          </cell>
          <cell r="J327">
            <v>6.5377899781493901E-4</v>
          </cell>
          <cell r="K327">
            <v>7.3519717782439902E-4</v>
          </cell>
          <cell r="L327">
            <v>4.3073302681980499E-4</v>
          </cell>
          <cell r="M327">
            <v>6.9552808171350201E-4</v>
          </cell>
          <cell r="N327">
            <v>7.7204498551601097E-4</v>
          </cell>
          <cell r="O327">
            <v>3.4163684217665202E-4</v>
          </cell>
        </row>
        <row r="328">
          <cell r="A328" t="str">
            <v>T_B_c-BEVELC-S1</v>
          </cell>
          <cell r="B328" t="str">
            <v>VAR_cap</v>
          </cell>
          <cell r="C328" t="str">
            <v>-</v>
          </cell>
          <cell r="D328">
            <v>3.3713942307692301E-6</v>
          </cell>
          <cell r="E328">
            <v>1.1881999111437333E-5</v>
          </cell>
          <cell r="F328">
            <v>6.8559476729580294E-4</v>
          </cell>
          <cell r="G328">
            <v>1.6974894785628451E-3</v>
          </cell>
          <cell r="H328">
            <v>1.4540123859845102E-3</v>
          </cell>
          <cell r="I328">
            <v>1.410342027933113E-3</v>
          </cell>
          <cell r="J328">
            <v>1.4179408103431267E-3</v>
          </cell>
          <cell r="K328">
            <v>1.41315297359103E-3</v>
          </cell>
          <cell r="L328">
            <v>1.4595117981257718E-3</v>
          </cell>
          <cell r="M328">
            <v>1.5018873587316565E-3</v>
          </cell>
          <cell r="N328">
            <v>1.5435241435754492E-3</v>
          </cell>
          <cell r="O328">
            <v>1.5814332731285397E-3</v>
          </cell>
        </row>
        <row r="329">
          <cell r="A329" t="str">
            <v>T_B_c-BEVELC-S2</v>
          </cell>
          <cell r="B329" t="str">
            <v>VAR_fout</v>
          </cell>
          <cell r="C329" t="str">
            <v>TPBSc</v>
          </cell>
          <cell r="D329">
            <v>5.6939449638660421E-4</v>
          </cell>
          <cell r="E329">
            <v>1.1415593156104849E-3</v>
          </cell>
          <cell r="F329">
            <v>4.0129944013969847E-2</v>
          </cell>
          <cell r="G329">
            <v>5.6187093213782055E-2</v>
          </cell>
          <cell r="H329">
            <v>5.7564239183459376E-2</v>
          </cell>
          <cell r="I329">
            <v>5.7603094134814216E-2</v>
          </cell>
          <cell r="J329">
            <v>5.7167162139094403E-2</v>
          </cell>
          <cell r="K329">
            <v>5.7282933594744102E-2</v>
          </cell>
          <cell r="L329">
            <v>5.9713839894475366E-2</v>
          </cell>
          <cell r="M329">
            <v>6.1480378344326049E-2</v>
          </cell>
          <cell r="N329">
            <v>6.3180552603469581E-2</v>
          </cell>
          <cell r="O329">
            <v>6.4813623924713903E-2</v>
          </cell>
        </row>
        <row r="330">
          <cell r="A330" t="str">
            <v>T_B_c-BEVELC-S2</v>
          </cell>
          <cell r="B330" t="str">
            <v>VAR_fin</v>
          </cell>
          <cell r="C330" t="str">
            <v>T-ELC-Bus_c_BatSTGout_S2</v>
          </cell>
          <cell r="D330">
            <v>2.0691657740291702E-3</v>
          </cell>
          <cell r="E330">
            <v>4.0995498809293599E-3</v>
          </cell>
          <cell r="F330">
            <v>0.13418180691309292</v>
          </cell>
          <cell r="G330">
            <v>0.18385965761453926</v>
          </cell>
          <cell r="H330">
            <v>0.17094499022195375</v>
          </cell>
          <cell r="I330">
            <v>0.16760464403178024</v>
          </cell>
          <cell r="J330">
            <v>0.15964748572324411</v>
          </cell>
          <cell r="K330">
            <v>0.14963998432614423</v>
          </cell>
          <cell r="L330">
            <v>0.15338316047719464</v>
          </cell>
          <cell r="M330">
            <v>0.15667141029495552</v>
          </cell>
          <cell r="N330">
            <v>0.16100399096704196</v>
          </cell>
          <cell r="O330">
            <v>0.16516557217232769</v>
          </cell>
        </row>
        <row r="331">
          <cell r="A331" t="str">
            <v>T_B_c-BEVELC-S2</v>
          </cell>
          <cell r="B331" t="str">
            <v>VAR_ncap</v>
          </cell>
          <cell r="C331" t="str">
            <v>-</v>
          </cell>
          <cell r="E331">
            <v>2.7123713741024001E-6</v>
          </cell>
          <cell r="F331">
            <v>8.7184013427683805E-4</v>
          </cell>
          <cell r="G331">
            <v>3.2759474624635199E-4</v>
          </cell>
          <cell r="H331">
            <v>9.2818399551888398E-4</v>
          </cell>
          <cell r="I331">
            <v>2.53535233909719E-4</v>
          </cell>
          <cell r="J331">
            <v>5.0629100303770905E-4</v>
          </cell>
          <cell r="K331">
            <v>6.5018406830884799E-4</v>
          </cell>
          <cell r="L331">
            <v>4.1795530218671599E-4</v>
          </cell>
          <cell r="M331">
            <v>5.8333694797827102E-4</v>
          </cell>
          <cell r="N331">
            <v>7.1387033121825705E-4</v>
          </cell>
          <cell r="O331">
            <v>2.9943254271146998E-4</v>
          </cell>
        </row>
        <row r="332">
          <cell r="A332" t="str">
            <v>T_B_c-BEVELC-S2</v>
          </cell>
          <cell r="B332" t="str">
            <v>VAR_cap</v>
          </cell>
          <cell r="C332" t="str">
            <v>-</v>
          </cell>
          <cell r="D332">
            <v>1.0801881786281127E-5</v>
          </cell>
          <cell r="E332">
            <v>2.339885208478238E-5</v>
          </cell>
          <cell r="F332">
            <v>8.9559048405047151E-4</v>
          </cell>
          <cell r="G332">
            <v>1.2172483094364196E-3</v>
          </cell>
          <cell r="H332">
            <v>1.2579736044572071E-3</v>
          </cell>
          <cell r="I332">
            <v>1.2502635074638853E-3</v>
          </cell>
          <cell r="J332">
            <v>1.2410027215313802E-3</v>
          </cell>
          <cell r="K332">
            <v>1.2429936137993139E-3</v>
          </cell>
          <cell r="L332">
            <v>1.2957891637391263E-3</v>
          </cell>
          <cell r="M332">
            <v>1.3341625397051029E-3</v>
          </cell>
          <cell r="N332">
            <v>1.3711565875143051E-3</v>
          </cell>
          <cell r="O332">
            <v>1.4065451502007879E-3</v>
          </cell>
        </row>
        <row r="333">
          <cell r="A333" t="str">
            <v>T_B_c-BEVELC-S3</v>
          </cell>
          <cell r="B333" t="str">
            <v>VAR_fout</v>
          </cell>
          <cell r="C333" t="str">
            <v>TPBSc</v>
          </cell>
          <cell r="D333">
            <v>1.8229072330037306E-4</v>
          </cell>
          <cell r="E333">
            <v>3.8268556002010886E-4</v>
          </cell>
          <cell r="F333">
            <v>5.8943023975450352E-4</v>
          </cell>
          <cell r="G333">
            <v>6.9846378869986461E-4</v>
          </cell>
          <cell r="H333">
            <v>9.8205941524111186E-3</v>
          </cell>
          <cell r="I333">
            <v>1.2254388583652116E-2</v>
          </cell>
          <cell r="J333">
            <v>1.2346029185985008E-2</v>
          </cell>
          <cell r="K333">
            <v>1.2408637190181315E-2</v>
          </cell>
          <cell r="L333">
            <v>1.2822826548282063E-2</v>
          </cell>
          <cell r="M333">
            <v>1.3178004143831728E-2</v>
          </cell>
          <cell r="N333">
            <v>1.3542288412593036E-2</v>
          </cell>
          <cell r="O333">
            <v>1.3891616131433722E-2</v>
          </cell>
        </row>
        <row r="334">
          <cell r="A334" t="str">
            <v>T_B_c-BEVELC-S3</v>
          </cell>
          <cell r="B334" t="str">
            <v>VAR_fin</v>
          </cell>
          <cell r="C334" t="str">
            <v>T-ELC-Bus_c_BatSTGout_S3</v>
          </cell>
          <cell r="D334">
            <v>9.9628527998231508E-4</v>
          </cell>
          <cell r="E334">
            <v>2.0640923094050749E-3</v>
          </cell>
          <cell r="F334">
            <v>3.1175245616303533E-3</v>
          </cell>
          <cell r="G334">
            <v>3.5041849309735934E-3</v>
          </cell>
          <cell r="H334">
            <v>4.3206714015198135E-2</v>
          </cell>
          <cell r="I334">
            <v>5.3310771174678986E-2</v>
          </cell>
          <cell r="J334">
            <v>5.0383846505536206E-2</v>
          </cell>
          <cell r="K334">
            <v>4.8817697581723378E-2</v>
          </cell>
          <cell r="L334">
            <v>4.9146577491215107E-2</v>
          </cell>
          <cell r="M334">
            <v>5.0270322970952311E-2</v>
          </cell>
          <cell r="N334">
            <v>5.1659963438810338E-2</v>
          </cell>
          <cell r="O334">
            <v>5.29925489394035E-2</v>
          </cell>
        </row>
        <row r="335">
          <cell r="A335" t="str">
            <v>T_B_c-BEVELC-S3</v>
          </cell>
          <cell r="B335" t="str">
            <v>VAR_ncap</v>
          </cell>
          <cell r="C335" t="str">
            <v>-</v>
          </cell>
          <cell r="E335">
            <v>1.22098024593502E-6</v>
          </cell>
          <cell r="F335">
            <v>3.0401787334348701E-6</v>
          </cell>
          <cell r="G335">
            <v>5.0835244649127004E-6</v>
          </cell>
          <cell r="H335">
            <v>2.0990077538500401E-4</v>
          </cell>
          <cell r="I335">
            <v>5.5235410269221003E-5</v>
          </cell>
          <cell r="J335">
            <v>1.8285132257606399E-4</v>
          </cell>
          <cell r="K335">
            <v>8.5637676904261396E-5</v>
          </cell>
          <cell r="L335">
            <v>1.6320887600023801E-4</v>
          </cell>
          <cell r="M335">
            <v>1.61304499260914E-4</v>
          </cell>
          <cell r="N335">
            <v>1.3180747861159199E-4</v>
          </cell>
          <cell r="O335">
            <v>1.68912272109141E-4</v>
          </cell>
        </row>
        <row r="336">
          <cell r="A336" t="str">
            <v>T_B_c-BEVELC-S3</v>
          </cell>
          <cell r="B336" t="str">
            <v>VAR_cap</v>
          </cell>
          <cell r="C336" t="str">
            <v>-</v>
          </cell>
          <cell r="D336">
            <v>2.1075472936122211E-6</v>
          </cell>
          <cell r="E336">
            <v>5.4713110567929964E-6</v>
          </cell>
          <cell r="F336">
            <v>8.7837250244080289E-6</v>
          </cell>
          <cell r="G336">
            <v>1.086165398156084E-5</v>
          </cell>
          <cell r="H336">
            <v>2.1374391704750753E-4</v>
          </cell>
          <cell r="I336">
            <v>2.6511891012247766E-4</v>
          </cell>
          <cell r="J336">
            <v>2.6658119521844503E-4</v>
          </cell>
          <cell r="K336">
            <v>2.6845610001272069E-4</v>
          </cell>
          <cell r="L336">
            <v>2.7689496214908688E-4</v>
          </cell>
          <cell r="M336">
            <v>2.8518328423993156E-4</v>
          </cell>
          <cell r="N336">
            <v>2.9307502465676936E-4</v>
          </cell>
          <cell r="O336">
            <v>3.0066736205566405E-4</v>
          </cell>
        </row>
        <row r="337">
          <cell r="A337" t="str">
            <v>T_B_c-BEVELC-S4</v>
          </cell>
          <cell r="B337" t="str">
            <v>VAR_fout</v>
          </cell>
          <cell r="C337" t="str">
            <v>TPBSc</v>
          </cell>
          <cell r="E337">
            <v>3.0667387109214905E-5</v>
          </cell>
          <cell r="F337">
            <v>1.0206275582541818E-4</v>
          </cell>
          <cell r="G337">
            <v>8.4961393174668782E-5</v>
          </cell>
          <cell r="H337">
            <v>8.666649853461409E-5</v>
          </cell>
          <cell r="I337">
            <v>1.0007605675394891E-4</v>
          </cell>
          <cell r="J337">
            <v>9.9483217446489508E-5</v>
          </cell>
          <cell r="K337">
            <v>1.5087200159356952E-4</v>
          </cell>
          <cell r="L337">
            <v>1.2628196588657225E-4</v>
          </cell>
          <cell r="M337">
            <v>1.6784463155889359E-4</v>
          </cell>
          <cell r="N337">
            <v>1.686301509461083E-4</v>
          </cell>
          <cell r="O337">
            <v>2.6018559445268924E-4</v>
          </cell>
        </row>
        <row r="338">
          <cell r="A338" t="str">
            <v>T_B_c-BEVELC-S4</v>
          </cell>
          <cell r="B338" t="str">
            <v>VAR_fin</v>
          </cell>
          <cell r="C338" t="str">
            <v>T-ELC-Bus_c_BatSTGout_S4</v>
          </cell>
          <cell r="E338">
            <v>2.4255593056534254E-4</v>
          </cell>
          <cell r="F338">
            <v>7.8790582819742805E-4</v>
          </cell>
          <cell r="G338">
            <v>6.1606779634651324E-4</v>
          </cell>
          <cell r="H338">
            <v>5.7802293701505569E-4</v>
          </cell>
          <cell r="I338">
            <v>6.3429969278347746E-4</v>
          </cell>
          <cell r="J338">
            <v>6.0035816548815557E-4</v>
          </cell>
          <cell r="K338">
            <v>8.7134688834067831E-4</v>
          </cell>
          <cell r="L338">
            <v>7.1965317709911348E-4</v>
          </cell>
          <cell r="M338">
            <v>9.5650967667768841E-4</v>
          </cell>
          <cell r="N338">
            <v>9.6098617907225522E-4</v>
          </cell>
          <cell r="O338">
            <v>1.4827405351884001E-3</v>
          </cell>
        </row>
        <row r="339">
          <cell r="A339" t="str">
            <v>T_B_c-BEVELC-S4</v>
          </cell>
          <cell r="B339" t="str">
            <v>VAR_ncap</v>
          </cell>
          <cell r="C339" t="str">
            <v>-</v>
          </cell>
          <cell r="E339">
            <v>5.3027391913067302E-7</v>
          </cell>
          <cell r="F339">
            <v>5.4679295564348401E-7</v>
          </cell>
          <cell r="G339">
            <v>6.1376932928497203E-7</v>
          </cell>
          <cell r="H339">
            <v>1.08056800983163E-6</v>
          </cell>
          <cell r="I339">
            <v>1.15131504716098E-6</v>
          </cell>
          <cell r="J339">
            <v>1.3047935195107601E-6</v>
          </cell>
          <cell r="K339">
            <v>1.82394014894266E-6</v>
          </cell>
          <cell r="L339">
            <v>1.68847182522296E-6</v>
          </cell>
          <cell r="M339">
            <v>2.2716563920971398E-6</v>
          </cell>
          <cell r="N339">
            <v>2.3310587503033302E-6</v>
          </cell>
          <cell r="O339">
            <v>3.36423991030342E-6</v>
          </cell>
        </row>
        <row r="340">
          <cell r="A340" t="str">
            <v>T_B_c-BEVELC-S4</v>
          </cell>
          <cell r="B340" t="str">
            <v>VAR_cap</v>
          </cell>
          <cell r="C340" t="str">
            <v>-</v>
          </cell>
          <cell r="E340">
            <v>5.3027391913067302E-7</v>
          </cell>
          <cell r="F340">
            <v>1.0246496255047271E-6</v>
          </cell>
          <cell r="G340">
            <v>1.5835700112475993E-7</v>
          </cell>
          <cell r="H340">
            <v>1.0148786525053601E-6</v>
          </cell>
          <cell r="I340">
            <v>1.051356575696805E-6</v>
          </cell>
          <cell r="J340">
            <v>1.233520415784841E-6</v>
          </cell>
          <cell r="K340">
            <v>2.1270693595418519E-6</v>
          </cell>
          <cell r="L340">
            <v>1.62693281258213E-6</v>
          </cell>
          <cell r="M340">
            <v>2.5958375542955212E-6</v>
          </cell>
          <cell r="N340">
            <v>2.5143969518698093E-6</v>
          </cell>
          <cell r="O340">
            <v>4.4913314742927855E-6</v>
          </cell>
        </row>
        <row r="341">
          <cell r="A341" t="str">
            <v>T_C-BAT-ELC-S1</v>
          </cell>
          <cell r="B341" t="str">
            <v>VAR_fout</v>
          </cell>
          <cell r="C341" t="str">
            <v>TPCAR</v>
          </cell>
          <cell r="D341">
            <v>1.4090004718783605E-2</v>
          </cell>
          <cell r="E341">
            <v>2.5338778750475792E-2</v>
          </cell>
          <cell r="F341">
            <v>1.0374441392562462E-2</v>
          </cell>
          <cell r="G341">
            <v>1.1028200072584122</v>
          </cell>
          <cell r="H341">
            <v>1.9961215842287636</v>
          </cell>
          <cell r="I341">
            <v>2.3221799501798275</v>
          </cell>
          <cell r="J341">
            <v>2.3928719833754473</v>
          </cell>
          <cell r="K341">
            <v>2.4349370010983766</v>
          </cell>
          <cell r="L341">
            <v>2.4037122458228146</v>
          </cell>
          <cell r="M341">
            <v>2.4179981928595353</v>
          </cell>
          <cell r="N341">
            <v>2.409590907870323</v>
          </cell>
          <cell r="O341">
            <v>2.404250161245197</v>
          </cell>
        </row>
        <row r="342">
          <cell r="A342" t="str">
            <v>T_C-BAT-ELC-S1</v>
          </cell>
          <cell r="B342" t="str">
            <v>VAR_fin</v>
          </cell>
          <cell r="C342" t="str">
            <v>T-ELC-car-BatSTGOut_S1</v>
          </cell>
          <cell r="D342">
            <v>7.7773487280441405E-3</v>
          </cell>
          <cell r="E342">
            <v>1.3986405442610622E-2</v>
          </cell>
          <cell r="F342">
            <v>5.7264458159514186E-3</v>
          </cell>
          <cell r="G342">
            <v>0.60873051158589708</v>
          </cell>
          <cell r="H342">
            <v>1.0726857707163286</v>
          </cell>
          <cell r="I342">
            <v>1.2145787800038932</v>
          </cell>
          <cell r="J342">
            <v>1.1916185318006147</v>
          </cell>
          <cell r="K342">
            <v>1.1492716385207467</v>
          </cell>
          <cell r="L342">
            <v>1.0876801560827645</v>
          </cell>
          <cell r="M342">
            <v>1.0384680916807543</v>
          </cell>
          <cell r="N342">
            <v>1.0040898395818025</v>
          </cell>
          <cell r="O342">
            <v>0.98579729237193792</v>
          </cell>
        </row>
        <row r="343">
          <cell r="A343" t="str">
            <v>T_C-BAT-ELC-S1</v>
          </cell>
          <cell r="B343" t="str">
            <v>VAR_ncap</v>
          </cell>
          <cell r="C343" t="str">
            <v>-</v>
          </cell>
          <cell r="D343">
            <v>1.05635135143111E-4</v>
          </cell>
          <cell r="E343">
            <v>4.6421745948615399E-4</v>
          </cell>
          <cell r="F343">
            <v>1.4367481010665699E-4</v>
          </cell>
          <cell r="G343">
            <v>0.175736390643075</v>
          </cell>
          <cell r="H343">
            <v>0.17090457096313699</v>
          </cell>
          <cell r="I343">
            <v>0.128163814406937</v>
          </cell>
          <cell r="J343">
            <v>0.160102170387277</v>
          </cell>
          <cell r="K343">
            <v>0.162687703366865</v>
          </cell>
          <cell r="L343">
            <v>0.12894722632758299</v>
          </cell>
          <cell r="M343">
            <v>0.137933005302048</v>
          </cell>
          <cell r="N343">
            <v>0.12657556365886999</v>
          </cell>
          <cell r="O343">
            <v>0.10085265630050801</v>
          </cell>
        </row>
        <row r="344">
          <cell r="A344" t="str">
            <v>T_C-BAT-ELC-S1</v>
          </cell>
          <cell r="B344" t="str">
            <v>VAR_cap</v>
          </cell>
          <cell r="C344" t="str">
            <v>-</v>
          </cell>
          <cell r="D344">
            <v>1.5770748806263881E-3</v>
          </cell>
          <cell r="E344">
            <v>2.6997485930338513E-3</v>
          </cell>
          <cell r="F344">
            <v>1.083792638354838E-3</v>
          </cell>
          <cell r="G344">
            <v>0.16754122589759882</v>
          </cell>
          <cell r="H344">
            <v>0.30331321823513208</v>
          </cell>
          <cell r="I344">
            <v>0.35288227966123442</v>
          </cell>
          <cell r="J344">
            <v>0.36363360952832269</v>
          </cell>
          <cell r="K344">
            <v>0.37001953390809778</v>
          </cell>
          <cell r="L344">
            <v>0.36527287227156052</v>
          </cell>
          <cell r="M344">
            <v>0.36743483449027026</v>
          </cell>
          <cell r="N344">
            <v>0.36615769768104611</v>
          </cell>
          <cell r="O344">
            <v>0.36536001615911151</v>
          </cell>
        </row>
        <row r="345">
          <cell r="A345" t="str">
            <v>D-TNGA</v>
          </cell>
          <cell r="B345" t="str">
            <v>VAR_fout</v>
          </cell>
          <cell r="C345" t="str">
            <v>CO2</v>
          </cell>
          <cell r="D345">
            <v>15.8415353736372</v>
          </cell>
          <cell r="E345">
            <v>10.7395451510027</v>
          </cell>
          <cell r="F345">
            <v>20.1866665628195</v>
          </cell>
          <cell r="G345">
            <v>7.9321875747095199</v>
          </cell>
          <cell r="H345">
            <v>3.08639107177734</v>
          </cell>
          <cell r="I345">
            <v>2.6450541778814398</v>
          </cell>
          <cell r="J345">
            <v>0.65056589708016599</v>
          </cell>
          <cell r="K345">
            <v>4.0686797231541803E-2</v>
          </cell>
        </row>
        <row r="346">
          <cell r="A346" t="str">
            <v>D-TNGA</v>
          </cell>
          <cell r="B346" t="str">
            <v>VAR_fout</v>
          </cell>
          <cell r="C346" t="str">
            <v>TNGA</v>
          </cell>
          <cell r="D346">
            <v>0.30309832024947059</v>
          </cell>
          <cell r="E346">
            <v>0.21877950155219639</v>
          </cell>
          <cell r="F346">
            <v>0.36124304354725961</v>
          </cell>
          <cell r="G346">
            <v>0.14183914158273572</v>
          </cell>
          <cell r="H346">
            <v>5.556396182100419E-2</v>
          </cell>
          <cell r="I346">
            <v>5.363402550127238E-2</v>
          </cell>
          <cell r="J346">
            <v>1.7653127143415954E-2</v>
          </cell>
          <cell r="K346">
            <v>9.0469455540242907E-3</v>
          </cell>
        </row>
        <row r="347">
          <cell r="A347" t="str">
            <v>D-TNGA</v>
          </cell>
          <cell r="B347" t="str">
            <v>VAR_fin</v>
          </cell>
          <cell r="C347" t="str">
            <v>NGA</v>
          </cell>
          <cell r="D347">
            <v>0.28087828676661791</v>
          </cell>
          <cell r="E347">
            <v>0.19041746721636083</v>
          </cell>
          <cell r="F347">
            <v>0.35791961990814747</v>
          </cell>
          <cell r="G347">
            <v>0.14064162366506244</v>
          </cell>
          <cell r="H347">
            <v>5.4723245953498867E-2</v>
          </cell>
          <cell r="I347">
            <v>4.6898123721302164E-2</v>
          </cell>
          <cell r="J347">
            <v>1.1534856331208621E-2</v>
          </cell>
          <cell r="K347">
            <v>7.2139711403443037E-4</v>
          </cell>
        </row>
        <row r="348">
          <cell r="A348" t="str">
            <v>D-TNGA</v>
          </cell>
          <cell r="B348" t="str">
            <v>VAR_fin</v>
          </cell>
          <cell r="C348" t="str">
            <v>BNGA</v>
          </cell>
          <cell r="D348">
            <v>2.318685428109709E-2</v>
          </cell>
          <cell r="E348">
            <v>2.6544677386875985E-2</v>
          </cell>
          <cell r="F348">
            <v>2.2070634069795698E-3</v>
          </cell>
          <cell r="G348">
            <v>7.994285278025814E-4</v>
          </cell>
          <cell r="H348">
            <v>6.110496084533153E-4</v>
          </cell>
          <cell r="I348">
            <v>6.058451678949129E-3</v>
          </cell>
          <cell r="J348">
            <v>5.8758852260446769E-3</v>
          </cell>
          <cell r="K348">
            <v>8.1615407111998422E-3</v>
          </cell>
        </row>
        <row r="349">
          <cell r="A349" t="str">
            <v>D-TNGA</v>
          </cell>
          <cell r="B349" t="str">
            <v>VAR_fin</v>
          </cell>
          <cell r="C349" t="str">
            <v>H2</v>
          </cell>
          <cell r="E349">
            <v>2.5152181979299208E-3</v>
          </cell>
          <cell r="F349">
            <v>2.2686506421719468E-3</v>
          </cell>
          <cell r="G349">
            <v>8.5052684308515572E-4</v>
          </cell>
          <cell r="H349">
            <v>4.069037768223583E-4</v>
          </cell>
          <cell r="I349">
            <v>8.4853152207782924E-4</v>
          </cell>
          <cell r="J349">
            <v>2.9498336829425801E-4</v>
          </cell>
          <cell r="K349">
            <v>1.9264319261539625E-4</v>
          </cell>
        </row>
        <row r="350">
          <cell r="A350" t="str">
            <v>D-TNGA</v>
          </cell>
          <cell r="B350" t="str">
            <v>VAR_ncap</v>
          </cell>
          <cell r="C350" t="str">
            <v>-</v>
          </cell>
          <cell r="D350">
            <v>6.2648525053425197E-6</v>
          </cell>
          <cell r="E350">
            <v>4.6267234295921698E-7</v>
          </cell>
          <cell r="F350">
            <v>5.0982502038018004E-7</v>
          </cell>
          <cell r="G350">
            <v>5.5932004721085601E-7</v>
          </cell>
          <cell r="H350">
            <v>7.2378207589418499E-7</v>
          </cell>
          <cell r="I350">
            <v>8.8086398557039296E-7</v>
          </cell>
          <cell r="J350">
            <v>1.14287762287274E-6</v>
          </cell>
          <cell r="K350">
            <v>1.64961698678695E-6</v>
          </cell>
        </row>
        <row r="351">
          <cell r="A351" t="str">
            <v>D-TNGA</v>
          </cell>
          <cell r="B351" t="str">
            <v>VAR_cap</v>
          </cell>
          <cell r="C351" t="str">
            <v>-</v>
          </cell>
          <cell r="D351">
            <v>0.95962395793414934</v>
          </cell>
          <cell r="E351">
            <v>0.95962442060649233</v>
          </cell>
          <cell r="F351">
            <v>0.95962493043151265</v>
          </cell>
          <cell r="G351">
            <v>0.95962548975155992</v>
          </cell>
          <cell r="H351">
            <v>0.95962621353363575</v>
          </cell>
          <cell r="I351">
            <v>0.95962709439762139</v>
          </cell>
          <cell r="J351">
            <v>0.95962823727524427</v>
          </cell>
          <cell r="K351">
            <v>0.32781494675726502</v>
          </cell>
          <cell r="L351">
            <v>1.2193810587017E-5</v>
          </cell>
          <cell r="M351">
            <v>7.3280255334453201E-6</v>
          </cell>
          <cell r="N351">
            <v>4.8694497942216502E-6</v>
          </cell>
          <cell r="O351">
            <v>4.3971406711242704E-6</v>
          </cell>
        </row>
        <row r="352">
          <cell r="A352" t="str">
            <v>T_C-BAT-ELC-S2</v>
          </cell>
          <cell r="B352" t="str">
            <v>VAR_fout</v>
          </cell>
          <cell r="C352" t="str">
            <v>TPCAR</v>
          </cell>
          <cell r="D352">
            <v>9.7110757259742664E-2</v>
          </cell>
          <cell r="E352">
            <v>0.16264305805375809</v>
          </cell>
          <cell r="F352">
            <v>0.16274110522106255</v>
          </cell>
          <cell r="G352">
            <v>4.7908696310190146</v>
          </cell>
          <cell r="H352">
            <v>14.520641885742378</v>
          </cell>
          <cell r="I352">
            <v>17.322856373216098</v>
          </cell>
          <cell r="J352">
            <v>18.155575533413838</v>
          </cell>
          <cell r="K352">
            <v>17.9916213098826</v>
          </cell>
          <cell r="L352">
            <v>17.933313148788432</v>
          </cell>
          <cell r="M352">
            <v>17.905327427846739</v>
          </cell>
          <cell r="N352">
            <v>17.86123426798212</v>
          </cell>
          <cell r="O352">
            <v>17.860043964510428</v>
          </cell>
        </row>
        <row r="353">
          <cell r="A353" t="str">
            <v>T_C-BAT-ELC-S2</v>
          </cell>
          <cell r="B353" t="str">
            <v>VAR_fin</v>
          </cell>
          <cell r="C353" t="str">
            <v>T-ELC-car-BatSTGOut_S2</v>
          </cell>
          <cell r="D353">
            <v>6.6341626056807282E-2</v>
          </cell>
          <cell r="E353">
            <v>0.11111029552861902</v>
          </cell>
          <cell r="F353">
            <v>0.11117727686717301</v>
          </cell>
          <cell r="G353">
            <v>3.2729029256549262</v>
          </cell>
          <cell r="H353">
            <v>9.5145865469173394</v>
          </cell>
          <cell r="I353">
            <v>11.128742573679741</v>
          </cell>
          <cell r="J353">
            <v>11.240526611740755</v>
          </cell>
          <cell r="K353">
            <v>10.366113256220949</v>
          </cell>
          <cell r="L353">
            <v>9.9295523384486835</v>
          </cell>
          <cell r="M353">
            <v>9.4322909989946471</v>
          </cell>
          <cell r="N353">
            <v>9.0738689252230298</v>
          </cell>
          <cell r="O353">
            <v>8.9210242972079445</v>
          </cell>
        </row>
        <row r="354">
          <cell r="A354" t="str">
            <v>T_C-BAT-ELC-S2</v>
          </cell>
          <cell r="B354" t="str">
            <v>VAR_ncap</v>
          </cell>
          <cell r="C354" t="str">
            <v>-</v>
          </cell>
          <cell r="D354">
            <v>1.0739855607045799E-4</v>
          </cell>
          <cell r="E354">
            <v>1.04427074493965E-3</v>
          </cell>
          <cell r="F354">
            <v>5.0989826947624205E-4</v>
          </cell>
          <cell r="G354">
            <v>0.372741179010317</v>
          </cell>
          <cell r="H354">
            <v>1.2662061414669801</v>
          </cell>
          <cell r="I354">
            <v>0.57275140628613297</v>
          </cell>
          <cell r="J354">
            <v>0.69364056353999803</v>
          </cell>
          <cell r="K354">
            <v>0.99286312258250597</v>
          </cell>
          <cell r="L354">
            <v>0.61644694250689402</v>
          </cell>
          <cell r="M354">
            <v>0.65835202164474904</v>
          </cell>
          <cell r="N354">
            <v>0.72158127402263095</v>
          </cell>
          <cell r="O354">
            <v>0.50384018732919</v>
          </cell>
        </row>
        <row r="355">
          <cell r="A355" t="str">
            <v>T_C-BAT-ELC-S2</v>
          </cell>
          <cell r="B355" t="str">
            <v>VAR_cap</v>
          </cell>
          <cell r="C355" t="str">
            <v>-</v>
          </cell>
          <cell r="D355">
            <v>7.3942217625934384E-3</v>
          </cell>
          <cell r="E355">
            <v>1.2326476006699715E-2</v>
          </cell>
          <cell r="F355">
            <v>1.2329325315997003E-2</v>
          </cell>
          <cell r="G355">
            <v>0.36348841135118204</v>
          </cell>
          <cell r="H355">
            <v>1.5293235568800481</v>
          </cell>
          <cell r="I355">
            <v>1.8270078654357733</v>
          </cell>
          <cell r="J355">
            <v>1.9148774920616025</v>
          </cell>
          <cell r="K355">
            <v>1.8975951800334538</v>
          </cell>
          <cell r="L355">
            <v>1.8914352890409862</v>
          </cell>
          <cell r="M355">
            <v>1.888477392245957</v>
          </cell>
          <cell r="N355">
            <v>1.8838400610998047</v>
          </cell>
          <cell r="O355">
            <v>1.8837730419923062</v>
          </cell>
        </row>
        <row r="356">
          <cell r="A356" t="str">
            <v>TFLGV-BeVELCExt</v>
          </cell>
          <cell r="B356" t="str">
            <v>VAR_fout</v>
          </cell>
          <cell r="C356" t="str">
            <v>TFLGV</v>
          </cell>
          <cell r="D356">
            <v>2.7758024264489735E-2</v>
          </cell>
          <cell r="E356">
            <v>2.4016950259185731E-2</v>
          </cell>
          <cell r="F356">
            <v>1.8656796448768439E-2</v>
          </cell>
          <cell r="G356">
            <v>9.1563572073683624E-3</v>
          </cell>
        </row>
        <row r="357">
          <cell r="A357" t="str">
            <v>TFLGV-BeVELCExt</v>
          </cell>
          <cell r="B357" t="str">
            <v>VAR_fin</v>
          </cell>
          <cell r="C357" t="str">
            <v>TELC</v>
          </cell>
          <cell r="D357">
            <v>4.0274381687356635E-2</v>
          </cell>
          <cell r="E357">
            <v>3.4524650998565672E-2</v>
          </cell>
          <cell r="F357">
            <v>2.6452967447100146E-2</v>
          </cell>
          <cell r="G357">
            <v>1.2982551415279283E-2</v>
          </cell>
        </row>
        <row r="358">
          <cell r="A358" t="str">
            <v>TFLGV-BeVELCExt</v>
          </cell>
          <cell r="B358" t="str">
            <v>VAR_cap</v>
          </cell>
          <cell r="C358" t="str">
            <v>-</v>
          </cell>
          <cell r="D358">
            <v>1.9498749855370926E-3</v>
          </cell>
          <cell r="E358">
            <v>1.6899604171340965E-3</v>
          </cell>
          <cell r="F358">
            <v>1.2999863049216887E-3</v>
          </cell>
          <cell r="G358">
            <v>6.4998924323987541E-4</v>
          </cell>
        </row>
        <row r="359">
          <cell r="A359" t="str">
            <v>T_C-BAT-ELC-S3</v>
          </cell>
          <cell r="B359" t="str">
            <v>VAR_fout</v>
          </cell>
          <cell r="C359" t="str">
            <v>TPCAR</v>
          </cell>
          <cell r="D359">
            <v>6.1122324538222507E-2</v>
          </cell>
          <cell r="E359">
            <v>0.13296500594179031</v>
          </cell>
          <cell r="F359">
            <v>4.0344430242767784</v>
          </cell>
          <cell r="G359">
            <v>3.5453995213749168</v>
          </cell>
          <cell r="H359">
            <v>3.935322346759258</v>
          </cell>
          <cell r="I359">
            <v>8.3375249796610831</v>
          </cell>
          <cell r="J359">
            <v>7.91955404300918</v>
          </cell>
          <cell r="K359">
            <v>14.143703992084706</v>
          </cell>
          <cell r="L359">
            <v>15.145225828410396</v>
          </cell>
          <cell r="M359">
            <v>16.917690783811114</v>
          </cell>
          <cell r="N359">
            <v>24.057903995573895</v>
          </cell>
          <cell r="O359">
            <v>19.684233411749538</v>
          </cell>
        </row>
        <row r="360">
          <cell r="A360" t="str">
            <v>T_C-BAT-ELC-S3</v>
          </cell>
          <cell r="B360" t="str">
            <v>VAR_fin</v>
          </cell>
          <cell r="C360" t="str">
            <v>T-ELC-car-BatSTGOut_S3</v>
          </cell>
          <cell r="D360">
            <v>4.5700549551315174E-2</v>
          </cell>
          <cell r="E360">
            <v>9.9416602502310769E-2</v>
          </cell>
          <cell r="F360">
            <v>3.0165126201576307</v>
          </cell>
          <cell r="G360">
            <v>2.6508596937356486</v>
          </cell>
          <cell r="H360">
            <v>2.8867540216989647</v>
          </cell>
          <cell r="I360">
            <v>5.7031761279903224</v>
          </cell>
          <cell r="J360">
            <v>5.328857353663822</v>
          </cell>
          <cell r="K360">
            <v>8.9079543178155198</v>
          </cell>
          <cell r="L360">
            <v>9.062964738226162</v>
          </cell>
          <cell r="M360">
            <v>9.660405696198815</v>
          </cell>
          <cell r="N360">
            <v>13.23790108672012</v>
          </cell>
          <cell r="O360">
            <v>10.727292683260762</v>
          </cell>
        </row>
        <row r="361">
          <cell r="A361" t="str">
            <v>T_C-BAT-ELC-S3</v>
          </cell>
          <cell r="B361" t="str">
            <v>VAR_ncap</v>
          </cell>
          <cell r="C361" t="str">
            <v>-</v>
          </cell>
          <cell r="D361">
            <v>1.1270179788944699E-4</v>
          </cell>
          <cell r="E361">
            <v>2.9503528551282098E-3</v>
          </cell>
          <cell r="F361">
            <v>0.27221654809373103</v>
          </cell>
          <cell r="G361">
            <v>5.7618262033265596E-4</v>
          </cell>
          <cell r="H361">
            <v>0.102712827717009</v>
          </cell>
          <cell r="I361">
            <v>0.47101596782135202</v>
          </cell>
          <cell r="J361">
            <v>0.10195020219350601</v>
          </cell>
          <cell r="K361">
            <v>0.61803339382205402</v>
          </cell>
          <cell r="L361">
            <v>0.41659691779416302</v>
          </cell>
          <cell r="M361">
            <v>0.51807168834975803</v>
          </cell>
          <cell r="N361">
            <v>1.4136602135932901</v>
          </cell>
          <cell r="O361">
            <v>1.68209466011357E-3</v>
          </cell>
        </row>
        <row r="362">
          <cell r="A362" t="str">
            <v>T_C-BAT-ELC-S3</v>
          </cell>
          <cell r="B362" t="str">
            <v>VAR_cap</v>
          </cell>
          <cell r="C362" t="str">
            <v>-</v>
          </cell>
          <cell r="D362">
            <v>4.3336702888991645E-3</v>
          </cell>
          <cell r="E362">
            <v>9.1488903294697343E-3</v>
          </cell>
          <cell r="F362">
            <v>0.27737763121604908</v>
          </cell>
          <cell r="G362">
            <v>0.24379689109037381</v>
          </cell>
          <cell r="H362">
            <v>0.27064088464728181</v>
          </cell>
          <cell r="I362">
            <v>0.57334051741871972</v>
          </cell>
          <cell r="J362">
            <v>0.54463591492744923</v>
          </cell>
          <cell r="K362">
            <v>0.97267342269290091</v>
          </cell>
          <cell r="L362">
            <v>1.0415300126225966</v>
          </cell>
          <cell r="M362">
            <v>1.3166685734766481</v>
          </cell>
          <cell r="N362">
            <v>2.2678538362810081</v>
          </cell>
          <cell r="O362">
            <v>1.9334136586971031</v>
          </cell>
        </row>
        <row r="363">
          <cell r="A363" t="str">
            <v>T_C-BAT-ELC-S4</v>
          </cell>
          <cell r="B363" t="str">
            <v>VAR_fout</v>
          </cell>
          <cell r="C363" t="str">
            <v>TPCAR</v>
          </cell>
          <cell r="D363">
            <v>0.19333074810467954</v>
          </cell>
          <cell r="E363">
            <v>1.2651232419183989</v>
          </cell>
          <cell r="F363">
            <v>1.3151055262812861</v>
          </cell>
          <cell r="G363">
            <v>11.259082162614709</v>
          </cell>
          <cell r="H363">
            <v>19.408596535435251</v>
          </cell>
          <cell r="I363">
            <v>22.036947185304783</v>
          </cell>
          <cell r="J363">
            <v>21.736598254371703</v>
          </cell>
          <cell r="K363">
            <v>22.301339192298194</v>
          </cell>
          <cell r="L363">
            <v>21.389464215505367</v>
          </cell>
          <cell r="M363">
            <v>19.630589886297827</v>
          </cell>
          <cell r="N363">
            <v>12.542992428320558</v>
          </cell>
          <cell r="O363">
            <v>17.051478043556187</v>
          </cell>
        </row>
        <row r="364">
          <cell r="A364" t="str">
            <v>T_C-BAT-ELC-S4</v>
          </cell>
          <cell r="B364" t="str">
            <v>VAR_fin</v>
          </cell>
          <cell r="C364" t="str">
            <v>T-ELC-car-BatSTGOut_S4</v>
          </cell>
          <cell r="D364">
            <v>0.14929327446918458</v>
          </cell>
          <cell r="E364">
            <v>0.97694957085047651</v>
          </cell>
          <cell r="F364">
            <v>1.0155467364391848</v>
          </cell>
          <cell r="G364">
            <v>8.6944537278892042</v>
          </cell>
          <cell r="H364">
            <v>14.595007525959492</v>
          </cell>
          <cell r="I364">
            <v>16.035989752199537</v>
          </cell>
          <cell r="J364">
            <v>15.087520024926269</v>
          </cell>
          <cell r="K364">
            <v>14.678714610332211</v>
          </cell>
          <cell r="L364">
            <v>13.519998166662734</v>
          </cell>
          <cell r="M364">
            <v>11.926220915194909</v>
          </cell>
          <cell r="N364">
            <v>7.4607664176222475</v>
          </cell>
          <cell r="O364">
            <v>9.8445763944796454</v>
          </cell>
        </row>
        <row r="365">
          <cell r="A365" t="str">
            <v>T_C-BAT-ELC-S4</v>
          </cell>
          <cell r="B365" t="str">
            <v>VAR_ncap</v>
          </cell>
          <cell r="C365" t="str">
            <v>-</v>
          </cell>
          <cell r="D365">
            <v>1.7632170074652299E-4</v>
          </cell>
          <cell r="E365">
            <v>7.2489056555197398E-2</v>
          </cell>
          <cell r="F365">
            <v>9.2752938950533808E-3</v>
          </cell>
          <cell r="G365">
            <v>0.84606749859037</v>
          </cell>
          <cell r="H365">
            <v>0.86671288825674697</v>
          </cell>
          <cell r="I365">
            <v>0.74749959047947601</v>
          </cell>
          <cell r="J365">
            <v>0.85318987239814503</v>
          </cell>
          <cell r="K365">
            <v>1.00987586789907</v>
          </cell>
          <cell r="L365">
            <v>0.97607366532265705</v>
          </cell>
          <cell r="M365">
            <v>0.58074545103661201</v>
          </cell>
          <cell r="N365">
            <v>6.7026402123862294E-2</v>
          </cell>
          <cell r="O365">
            <v>1.27021960775932</v>
          </cell>
        </row>
        <row r="366">
          <cell r="A366" t="str">
            <v>T_C-BAT-ELC-S4</v>
          </cell>
          <cell r="B366" t="str">
            <v>VAR_cap</v>
          </cell>
          <cell r="C366" t="str">
            <v>-</v>
          </cell>
          <cell r="D366">
            <v>1.5378847589581551E-2</v>
          </cell>
          <cell r="E366">
            <v>9.963020908676147E-2</v>
          </cell>
          <cell r="F366">
            <v>0.10353195899226655</v>
          </cell>
          <cell r="G366">
            <v>0.88659965750892855</v>
          </cell>
          <cell r="H366">
            <v>1.5306464392366215</v>
          </cell>
          <cell r="I366">
            <v>1.8645025054520086</v>
          </cell>
          <cell r="J366">
            <v>1.9630657066167354</v>
          </cell>
          <cell r="K366">
            <v>2.1508679029642983</v>
          </cell>
          <cell r="L366">
            <v>2.3641004282061089</v>
          </cell>
          <cell r="M366">
            <v>2.1810130187227657</v>
          </cell>
          <cell r="N366">
            <v>1.3987190314335511</v>
          </cell>
          <cell r="O366">
            <v>1.9179912102296928</v>
          </cell>
        </row>
        <row r="367">
          <cell r="A367" t="str">
            <v>T_B_c-ICENGA-S1</v>
          </cell>
          <cell r="B367" t="str">
            <v>VAR_fout</v>
          </cell>
          <cell r="C367" t="str">
            <v>CO2_T</v>
          </cell>
          <cell r="E367">
            <v>0.13450059417917101</v>
          </cell>
          <cell r="F367">
            <v>2.6168975565870601E-2</v>
          </cell>
          <cell r="G367">
            <v>3.3806072730351501E-2</v>
          </cell>
          <cell r="H367">
            <v>2.5065838698841651E-2</v>
          </cell>
          <cell r="I367">
            <v>2.3528555849557362E-2</v>
          </cell>
          <cell r="J367">
            <v>3.0855207550928621E-2</v>
          </cell>
          <cell r="K367">
            <v>2.638599096801212E-2</v>
          </cell>
        </row>
        <row r="368">
          <cell r="A368" t="str">
            <v>T_B_c-ICENGA-S1</v>
          </cell>
          <cell r="B368" t="str">
            <v>VAR_fout</v>
          </cell>
          <cell r="C368" t="str">
            <v>TPBSc</v>
          </cell>
          <cell r="E368">
            <v>2.867379051205561E-4</v>
          </cell>
          <cell r="F368">
            <v>5.717216779529767E-5</v>
          </cell>
          <cell r="G368">
            <v>7.6526813189998986E-5</v>
          </cell>
          <cell r="H368">
            <v>6.078534105282269E-5</v>
          </cell>
          <cell r="I368">
            <v>6.0739233080545013E-5</v>
          </cell>
          <cell r="J368">
            <v>8.4704227996715401E-5</v>
          </cell>
          <cell r="K368">
            <v>7.3862504677767166E-5</v>
          </cell>
        </row>
        <row r="369">
          <cell r="A369" t="str">
            <v>T_B_c-ICENGA-S1</v>
          </cell>
          <cell r="B369" t="str">
            <v>VAR_fin</v>
          </cell>
          <cell r="C369" t="str">
            <v>TNGA</v>
          </cell>
          <cell r="E369">
            <v>2.3847623081413361E-3</v>
          </cell>
          <cell r="F369">
            <v>4.6398892847288346E-4</v>
          </cell>
          <cell r="G369">
            <v>5.9939845266580741E-4</v>
          </cell>
          <cell r="H369">
            <v>4.4442976416385875E-4</v>
          </cell>
          <cell r="I369">
            <v>4.1717297605598142E-4</v>
          </cell>
          <cell r="J369">
            <v>5.4707814806611037E-4</v>
          </cell>
          <cell r="K369">
            <v>4.6783671929099494E-4</v>
          </cell>
        </row>
        <row r="370">
          <cell r="A370" t="str">
            <v>T_B_c-ICENGA-S1</v>
          </cell>
          <cell r="B370" t="str">
            <v>VAR_ncap</v>
          </cell>
          <cell r="C370" t="str">
            <v>-</v>
          </cell>
          <cell r="E370">
            <v>7.6690919208252306E-6</v>
          </cell>
          <cell r="F370">
            <v>9.9091537088345906E-8</v>
          </cell>
          <cell r="G370">
            <v>4.9015581331443697E-8</v>
          </cell>
          <cell r="J370">
            <v>4.9644206522559298E-7</v>
          </cell>
        </row>
        <row r="371">
          <cell r="A371" t="str">
            <v>T_B_c-ICENGA-S1</v>
          </cell>
          <cell r="B371" t="str">
            <v>VAR_cap</v>
          </cell>
          <cell r="C371" t="str">
            <v>-</v>
          </cell>
          <cell r="E371">
            <v>7.6690919208252306E-6</v>
          </cell>
          <cell r="F371">
            <v>1.8063284413564019E-7</v>
          </cell>
          <cell r="G371">
            <v>1.8111682353109939E-8</v>
          </cell>
          <cell r="H371">
            <v>-2.9744067487601445E-7</v>
          </cell>
          <cell r="I371">
            <v>-2.865610208360034E-7</v>
          </cell>
          <cell r="J371">
            <v>2.5441879081509999E-7</v>
          </cell>
          <cell r="K371">
            <v>4.8226824580772175E-7</v>
          </cell>
        </row>
        <row r="372">
          <cell r="A372" t="str">
            <v>TFLGV-FCLH2O</v>
          </cell>
          <cell r="B372" t="str">
            <v>VAR_fout</v>
          </cell>
          <cell r="C372" t="str">
            <v>TFLGV</v>
          </cell>
          <cell r="E372">
            <v>5.5550647841956792E-5</v>
          </cell>
          <cell r="F372">
            <v>9.1663413027108994E-5</v>
          </cell>
          <cell r="G372">
            <v>9.5735020956881701E-5</v>
          </cell>
          <cell r="H372">
            <v>9.3867534290094468E-5</v>
          </cell>
          <cell r="I372">
            <v>9.2012447054363973E-5</v>
          </cell>
          <cell r="J372">
            <v>9.1990285604611404E-5</v>
          </cell>
          <cell r="K372">
            <v>9.1540190334392555E-5</v>
          </cell>
          <cell r="L372">
            <v>9.1868382532496492E-5</v>
          </cell>
          <cell r="M372">
            <v>9.1654324427754694E-5</v>
          </cell>
          <cell r="N372">
            <v>9.2732583799863181E-5</v>
          </cell>
          <cell r="O372">
            <v>9.85058744221053E-5</v>
          </cell>
        </row>
        <row r="373">
          <cell r="A373" t="str">
            <v>TFLGV-FCLH2O</v>
          </cell>
          <cell r="B373" t="str">
            <v>VAR_fin</v>
          </cell>
          <cell r="C373" t="str">
            <v>TH2O</v>
          </cell>
          <cell r="E373">
            <v>1.1943719193194411E-4</v>
          </cell>
          <cell r="F373">
            <v>1.9339646276982041E-4</v>
          </cell>
          <cell r="G373">
            <v>1.9473934403312109E-4</v>
          </cell>
          <cell r="H373">
            <v>1.7863998086152251E-4</v>
          </cell>
          <cell r="I373">
            <v>1.657120480718464E-4</v>
          </cell>
          <cell r="J373">
            <v>1.6029516957413655E-4</v>
          </cell>
          <cell r="K373">
            <v>1.5459791051043685E-4</v>
          </cell>
          <cell r="L373">
            <v>1.52905097740842E-4</v>
          </cell>
          <cell r="M373">
            <v>1.5154420355248662E-4</v>
          </cell>
          <cell r="N373">
            <v>1.5332703222739507E-4</v>
          </cell>
          <cell r="O373">
            <v>1.6287277635553381E-4</v>
          </cell>
        </row>
        <row r="374">
          <cell r="A374" t="str">
            <v>TFLGV-FCLH2O</v>
          </cell>
          <cell r="B374" t="str">
            <v>VAR_ncap</v>
          </cell>
          <cell r="C374" t="str">
            <v>-</v>
          </cell>
          <cell r="E374">
            <v>2.4995080809786801E-6</v>
          </cell>
          <cell r="F374">
            <v>1.0203641534806199E-6</v>
          </cell>
          <cell r="G374">
            <v>5.7265871754243704E-7</v>
          </cell>
          <cell r="H374">
            <v>1.1636881028859501E-6</v>
          </cell>
          <cell r="I374">
            <v>8.8278504657317598E-7</v>
          </cell>
          <cell r="J374">
            <v>8.0553425140000199E-7</v>
          </cell>
          <cell r="K374">
            <v>1.05780533104687E-6</v>
          </cell>
          <cell r="L374">
            <v>7.5839163508444098E-7</v>
          </cell>
          <cell r="M374">
            <v>9.6322027910322994E-7</v>
          </cell>
          <cell r="N374">
            <v>1.13537466711756E-6</v>
          </cell>
          <cell r="O374">
            <v>9.09045710330142E-7</v>
          </cell>
        </row>
        <row r="375">
          <cell r="A375" t="str">
            <v>TFLGV-FCLH2O</v>
          </cell>
          <cell r="B375" t="str">
            <v>VAR_cap</v>
          </cell>
          <cell r="C375" t="str">
            <v>-</v>
          </cell>
          <cell r="E375">
            <v>2.4995080809786801E-6</v>
          </cell>
          <cell r="F375">
            <v>3.5060406240897363E-6</v>
          </cell>
          <cell r="G375">
            <v>2.2968136005303997E-6</v>
          </cell>
          <cell r="H375">
            <v>2.2154225734515186E-6</v>
          </cell>
          <cell r="I375">
            <v>2.1260300644291737E-6</v>
          </cell>
          <cell r="J375">
            <v>2.1139855258174079E-6</v>
          </cell>
          <cell r="K375">
            <v>2.115162766875123E-6</v>
          </cell>
          <cell r="L375">
            <v>2.1068190462325234E-6</v>
          </cell>
          <cell r="M375">
            <v>2.100677991799198E-6</v>
          </cell>
          <cell r="N375">
            <v>2.1887326987094567E-6</v>
          </cell>
          <cell r="O375">
            <v>2.5407612861438599E-6</v>
          </cell>
        </row>
        <row r="376">
          <cell r="A376" t="str">
            <v>T_B_c-ICENGA-S2</v>
          </cell>
          <cell r="B376" t="str">
            <v>VAR_fout</v>
          </cell>
          <cell r="C376" t="str">
            <v>CO2_T</v>
          </cell>
          <cell r="E376">
            <v>3.27368880356129E-2</v>
          </cell>
          <cell r="F376">
            <v>7.6070548947011207E-2</v>
          </cell>
          <cell r="G376">
            <v>9.3873644790000904E-2</v>
          </cell>
          <cell r="H376">
            <v>3.9910163245742904E-2</v>
          </cell>
          <cell r="I376">
            <v>3.9380872467110903E-2</v>
          </cell>
          <cell r="J376">
            <v>0.30624756517348589</v>
          </cell>
          <cell r="K376">
            <v>0.30123385860574481</v>
          </cell>
        </row>
        <row r="377">
          <cell r="A377" t="str">
            <v>T_B_c-ICENGA-S2</v>
          </cell>
          <cell r="B377" t="str">
            <v>VAR_fout</v>
          </cell>
          <cell r="C377" t="str">
            <v>TPBSc</v>
          </cell>
          <cell r="E377">
            <v>4.9336391930889053E-5</v>
          </cell>
          <cell r="F377">
            <v>1.1737704804387133E-4</v>
          </cell>
          <cell r="G377">
            <v>1.4846580315175086E-4</v>
          </cell>
          <cell r="H377">
            <v>6.7804172419547515E-5</v>
          </cell>
          <cell r="I377">
            <v>7.1129743964160096E-5</v>
          </cell>
          <cell r="J377">
            <v>6.0461357971574659E-4</v>
          </cell>
          <cell r="K377">
            <v>5.967579206629047E-4</v>
          </cell>
        </row>
        <row r="378">
          <cell r="A378" t="str">
            <v>T_B_c-ICENGA-S2</v>
          </cell>
          <cell r="B378" t="str">
            <v>VAR_fin</v>
          </cell>
          <cell r="C378" t="str">
            <v>TNGA</v>
          </cell>
          <cell r="E378">
            <v>5.8044127722717894E-4</v>
          </cell>
          <cell r="F378">
            <v>1.3487685983512628E-3</v>
          </cell>
          <cell r="G378">
            <v>1.6644263260638453E-3</v>
          </cell>
          <cell r="H378">
            <v>7.0762700790324409E-4</v>
          </cell>
          <cell r="I378">
            <v>6.9824241962962604E-4</v>
          </cell>
          <cell r="J378">
            <v>5.4299213683242243E-3</v>
          </cell>
          <cell r="K378">
            <v>5.3410258618039842E-3</v>
          </cell>
        </row>
        <row r="379">
          <cell r="A379" t="str">
            <v>T_B_c-ICENGA-S2</v>
          </cell>
          <cell r="B379" t="str">
            <v>VAR_ncap</v>
          </cell>
          <cell r="C379" t="str">
            <v>-</v>
          </cell>
          <cell r="E379">
            <v>7.7727662334482898E-7</v>
          </cell>
          <cell r="F379">
            <v>7.1820615091176197E-7</v>
          </cell>
          <cell r="G379">
            <v>2.5168301593176601E-7</v>
          </cell>
          <cell r="H379">
            <v>1.15842778542689E-8</v>
          </cell>
          <cell r="I379">
            <v>5.47438351379702E-8</v>
          </cell>
          <cell r="J379">
            <v>1.1832214457137E-5</v>
          </cell>
        </row>
        <row r="380">
          <cell r="A380" t="str">
            <v>T_B_c-ICENGA-S2</v>
          </cell>
          <cell r="B380" t="str">
            <v>VAR_cap</v>
          </cell>
          <cell r="C380" t="str">
            <v>-</v>
          </cell>
          <cell r="E380">
            <v>7.7727662334482898E-7</v>
          </cell>
          <cell r="F380">
            <v>1.4954827742565901E-6</v>
          </cell>
          <cell r="G380">
            <v>1.580131008783087E-6</v>
          </cell>
          <cell r="H380">
            <v>-1.40841205122232E-7</v>
          </cell>
          <cell r="I380">
            <v>-5.0780339414101988E-8</v>
          </cell>
          <cell r="J380">
            <v>1.1716042269278421E-5</v>
          </cell>
          <cell r="K380">
            <v>1.184597169770843E-5</v>
          </cell>
        </row>
        <row r="381">
          <cell r="A381" t="str">
            <v>T_B_u-ICEDSL-S1</v>
          </cell>
          <cell r="B381" t="str">
            <v>VAR_fout</v>
          </cell>
          <cell r="C381" t="str">
            <v>CO2_T</v>
          </cell>
          <cell r="D381">
            <v>9.1813329143774811E-2</v>
          </cell>
          <cell r="E381">
            <v>5.3784513034472639</v>
          </cell>
          <cell r="F381">
            <v>8.6838454505620194E-2</v>
          </cell>
          <cell r="G381">
            <v>0.12327130109095441</v>
          </cell>
          <cell r="H381">
            <v>3.8064006344169399E-2</v>
          </cell>
          <cell r="I381">
            <v>3.2938966552686404E-2</v>
          </cell>
          <cell r="J381">
            <v>3.3452711819902801E-2</v>
          </cell>
          <cell r="K381">
            <v>1.9404118440036151E-2</v>
          </cell>
        </row>
        <row r="382">
          <cell r="A382" t="str">
            <v>T_B_u-ICEDSL-S1</v>
          </cell>
          <cell r="B382" t="str">
            <v>VAR_fout</v>
          </cell>
          <cell r="C382" t="str">
            <v>TPBSu</v>
          </cell>
          <cell r="D382">
            <v>1.5521734395105538E-4</v>
          </cell>
          <cell r="E382">
            <v>9.4236197655725266E-3</v>
          </cell>
          <cell r="F382">
            <v>1.4992039016322213E-4</v>
          </cell>
          <cell r="G382">
            <v>2.1670184185889054E-4</v>
          </cell>
          <cell r="H382">
            <v>7.5568824651743829E-5</v>
          </cell>
          <cell r="I382">
            <v>6.9672465389461932E-5</v>
          </cell>
          <cell r="J382">
            <v>7.4269468936740096E-5</v>
          </cell>
          <cell r="K382">
            <v>4.4230167119625276E-5</v>
          </cell>
        </row>
        <row r="383">
          <cell r="A383" t="str">
            <v>T_B_u-ICEDSL-S1</v>
          </cell>
          <cell r="B383" t="str">
            <v>VAR_fin</v>
          </cell>
          <cell r="C383" t="str">
            <v>TDSL</v>
          </cell>
          <cell r="D383">
            <v>1.2525692925480869E-3</v>
          </cell>
          <cell r="E383">
            <v>7.3375870442664026E-2</v>
          </cell>
          <cell r="F383">
            <v>1.1846992429143291E-3</v>
          </cell>
          <cell r="G383">
            <v>1.6817367133827301E-3</v>
          </cell>
          <cell r="H383">
            <v>5.192906731810279E-4</v>
          </cell>
          <cell r="I383">
            <v>4.493719857119558E-4</v>
          </cell>
          <cell r="J383">
            <v>4.5638078881177061E-4</v>
          </cell>
          <cell r="K383">
            <v>2.64721943247424E-4</v>
          </cell>
        </row>
        <row r="384">
          <cell r="A384" t="str">
            <v>T_B_u-ICEDSL-S1</v>
          </cell>
          <cell r="B384" t="str">
            <v>VAR_ncap</v>
          </cell>
          <cell r="C384" t="str">
            <v>-</v>
          </cell>
          <cell r="E384">
            <v>1.74600654595791E-4</v>
          </cell>
          <cell r="F384">
            <v>1.0940579621793701E-7</v>
          </cell>
          <cell r="G384">
            <v>7.4751291506760995E-8</v>
          </cell>
          <cell r="H384">
            <v>2.68548471111892E-8</v>
          </cell>
          <cell r="I384">
            <v>1.05160823686502E-8</v>
          </cell>
          <cell r="J384">
            <v>2.87374956756588E-8</v>
          </cell>
        </row>
        <row r="385">
          <cell r="A385" t="str">
            <v>T_B_u-ICEDSL-S1</v>
          </cell>
          <cell r="B385" t="str">
            <v>VAR_cap</v>
          </cell>
          <cell r="C385" t="str">
            <v>-</v>
          </cell>
          <cell r="D385">
            <v>7.0464135021097004E-7</v>
          </cell>
          <cell r="E385">
            <v>1.7543258145936343E-4</v>
          </cell>
          <cell r="F385">
            <v>8.3634398103445574E-8</v>
          </cell>
          <cell r="G385">
            <v>8.8088953201361864E-8</v>
          </cell>
          <cell r="H385">
            <v>-9.1519826162198993E-8</v>
          </cell>
          <cell r="I385">
            <v>-1.6019991262095378E-7</v>
          </cell>
          <cell r="J385">
            <v>-1.0071679624732911E-7</v>
          </cell>
          <cell r="K385">
            <v>-1.949446016678586E-7</v>
          </cell>
        </row>
        <row r="386">
          <cell r="A386" t="str">
            <v>T_B_c-ICENGA-S3</v>
          </cell>
          <cell r="B386" t="str">
            <v>VAR_fout</v>
          </cell>
          <cell r="C386" t="str">
            <v>CO2_T</v>
          </cell>
          <cell r="E386">
            <v>4.4018694413945E-2</v>
          </cell>
          <cell r="F386">
            <v>4.3709087133443258</v>
          </cell>
          <cell r="G386">
            <v>4.4009714576225392</v>
          </cell>
          <cell r="H386">
            <v>6.7314550928890604E-2</v>
          </cell>
          <cell r="I386">
            <v>5.7697919072461995E-2</v>
          </cell>
          <cell r="J386">
            <v>6.8053401366542296E-2</v>
          </cell>
        </row>
        <row r="387">
          <cell r="A387" t="str">
            <v>T_B_c-ICENGA-S3</v>
          </cell>
          <cell r="B387" t="str">
            <v>VAR_fout</v>
          </cell>
          <cell r="C387" t="str">
            <v>TPBSc</v>
          </cell>
          <cell r="E387">
            <v>4.4035968989592566E-5</v>
          </cell>
          <cell r="F387">
            <v>4.5970727038878115E-3</v>
          </cell>
          <cell r="G387">
            <v>4.6327383813849817E-3</v>
          </cell>
          <cell r="H387">
            <v>7.8436649793473537E-5</v>
          </cell>
          <cell r="I387">
            <v>7.0629488861620744E-5</v>
          </cell>
          <cell r="J387">
            <v>8.5444887530066602E-5</v>
          </cell>
        </row>
        <row r="388">
          <cell r="A388" t="str">
            <v>T_B_c-ICENGA-S3</v>
          </cell>
          <cell r="B388" t="str">
            <v>VAR_fin</v>
          </cell>
          <cell r="C388" t="str">
            <v>TNGA</v>
          </cell>
          <cell r="E388">
            <v>7.8047330521179145E-4</v>
          </cell>
          <cell r="F388">
            <v>7.7498381442275124E-2</v>
          </cell>
          <cell r="G388">
            <v>7.8031408823094728E-2</v>
          </cell>
          <cell r="H388">
            <v>1.1935204065406141E-3</v>
          </cell>
          <cell r="I388">
            <v>1.0230127495117374E-3</v>
          </cell>
          <cell r="J388">
            <v>1.2066205916053611E-3</v>
          </cell>
        </row>
        <row r="389">
          <cell r="A389" t="str">
            <v>T_B_c-ICENGA-S3</v>
          </cell>
          <cell r="B389" t="str">
            <v>VAR_ncap</v>
          </cell>
          <cell r="C389" t="str">
            <v>-</v>
          </cell>
          <cell r="E389">
            <v>6.62661068445556E-7</v>
          </cell>
          <cell r="F389">
            <v>9.8169824841330005E-5</v>
          </cell>
          <cell r="G389">
            <v>4.7875437678887001E-7</v>
          </cell>
          <cell r="H389">
            <v>2.8510591115806898E-7</v>
          </cell>
          <cell r="I389">
            <v>1.9256574940536601E-7</v>
          </cell>
          <cell r="J389">
            <v>6.4479770138133E-8</v>
          </cell>
        </row>
        <row r="390">
          <cell r="A390" t="str">
            <v>T_B_c-ICENGA-S3</v>
          </cell>
          <cell r="B390" t="str">
            <v>VAR_cap</v>
          </cell>
          <cell r="C390" t="str">
            <v>-</v>
          </cell>
          <cell r="E390">
            <v>6.62661068445556E-7</v>
          </cell>
          <cell r="F390">
            <v>9.8832485909775597E-5</v>
          </cell>
          <cell r="G390">
            <v>9.9021920952802096E-5</v>
          </cell>
          <cell r="H390">
            <v>6.3842379165285775E-7</v>
          </cell>
          <cell r="I390">
            <v>4.7767166056343499E-7</v>
          </cell>
          <cell r="J390">
            <v>2.6129242259918452E-7</v>
          </cell>
        </row>
        <row r="391">
          <cell r="A391" t="str">
            <v>T_B_u-ICEDSL-S2</v>
          </cell>
          <cell r="B391" t="str">
            <v>VAR_fout</v>
          </cell>
          <cell r="C391" t="str">
            <v>CO2_T</v>
          </cell>
          <cell r="D391">
            <v>7.7814650604684008</v>
          </cell>
          <cell r="E391">
            <v>9.6924694853247093</v>
          </cell>
          <cell r="F391">
            <v>0.13388452049708141</v>
          </cell>
          <cell r="G391">
            <v>0.23584380442093489</v>
          </cell>
          <cell r="H391">
            <v>7.9341360487310705E-2</v>
          </cell>
          <cell r="I391">
            <v>6.0243402619467507E-2</v>
          </cell>
          <cell r="J391">
            <v>5.55560041770473E-2</v>
          </cell>
          <cell r="K391">
            <v>2.9569648759251301E-2</v>
          </cell>
        </row>
        <row r="392">
          <cell r="A392" t="str">
            <v>T_B_u-ICEDSL-S2</v>
          </cell>
          <cell r="B392" t="str">
            <v>VAR_fout</v>
          </cell>
          <cell r="C392" t="str">
            <v>TPBSu</v>
          </cell>
          <cell r="D392">
            <v>9.2852992765583946E-3</v>
          </cell>
          <cell r="E392">
            <v>1.1599034015809534E-2</v>
          </cell>
          <cell r="F392">
            <v>1.6296204375018206E-4</v>
          </cell>
          <cell r="G392">
            <v>2.9562169188891843E-4</v>
          </cell>
          <cell r="H392">
            <v>1.1048054593261747E-4</v>
          </cell>
          <cell r="I392">
            <v>8.8754828280657139E-5</v>
          </cell>
          <cell r="J392">
            <v>8.580199945016163E-5</v>
          </cell>
          <cell r="K392">
            <v>4.6874410390533241E-5</v>
          </cell>
        </row>
        <row r="393">
          <cell r="A393" t="str">
            <v>T_B_u-ICEDSL-S2</v>
          </cell>
          <cell r="B393" t="str">
            <v>VAR_fin</v>
          </cell>
          <cell r="C393" t="str">
            <v>TDSL</v>
          </cell>
          <cell r="D393">
            <v>0.10615914134336162</v>
          </cell>
          <cell r="E393">
            <v>0.13223014304672223</v>
          </cell>
          <cell r="F393">
            <v>1.8265282468906071E-3</v>
          </cell>
          <cell r="G393">
            <v>3.2175143850059302E-3</v>
          </cell>
          <cell r="H393">
            <v>1.0824196519414826E-3</v>
          </cell>
          <cell r="I393">
            <v>8.218745241400752E-4</v>
          </cell>
          <cell r="J393">
            <v>7.5792638713570741E-4</v>
          </cell>
          <cell r="K393">
            <v>4.0340584937587E-4</v>
          </cell>
        </row>
        <row r="394">
          <cell r="A394" t="str">
            <v>T_B_u-ICEDSL-S2</v>
          </cell>
          <cell r="B394" t="str">
            <v>VAR_ncap</v>
          </cell>
          <cell r="C394" t="str">
            <v>-</v>
          </cell>
          <cell r="E394">
            <v>9.3930959554536198E-7</v>
          </cell>
          <cell r="F394">
            <v>1.54273767312846E-7</v>
          </cell>
          <cell r="G394">
            <v>7.0629441448825105E-7</v>
          </cell>
          <cell r="H394">
            <v>1.30997796570839E-7</v>
          </cell>
          <cell r="I394">
            <v>6.9010720973126002E-8</v>
          </cell>
          <cell r="J394">
            <v>6.0956903524224297E-8</v>
          </cell>
        </row>
        <row r="395">
          <cell r="A395" t="str">
            <v>T_B_u-ICEDSL-S2</v>
          </cell>
          <cell r="B395" t="str">
            <v>VAR_cap</v>
          </cell>
          <cell r="C395" t="str">
            <v>-</v>
          </cell>
          <cell r="D395">
            <v>1.8243638210432885E-4</v>
          </cell>
          <cell r="E395">
            <v>2.1647539191417512E-4</v>
          </cell>
          <cell r="F395">
            <v>3.0403582016420654E-7</v>
          </cell>
          <cell r="G395">
            <v>1.337527509300175E-6</v>
          </cell>
          <cell r="H395">
            <v>5.8424766820471089E-7</v>
          </cell>
          <cell r="I395">
            <v>2.1136004083447398E-7</v>
          </cell>
          <cell r="J395">
            <v>1.3805254292230999E-7</v>
          </cell>
          <cell r="K395">
            <v>-1.3920226848455959E-7</v>
          </cell>
        </row>
        <row r="396">
          <cell r="A396" t="str">
            <v>T_B_c-ICENGA-S4</v>
          </cell>
          <cell r="B396" t="str">
            <v>VAR_fout</v>
          </cell>
          <cell r="C396" t="str">
            <v>CO2_T</v>
          </cell>
          <cell r="E396">
            <v>1.44960429396168E-2</v>
          </cell>
          <cell r="F396">
            <v>7.1895405584161798E-2</v>
          </cell>
          <cell r="G396">
            <v>9.7398488702733294E-2</v>
          </cell>
          <cell r="H396">
            <v>6.14510096258232E-2</v>
          </cell>
          <cell r="I396">
            <v>6.13008324288737E-2</v>
          </cell>
          <cell r="J396">
            <v>5.4428737921538697E-2</v>
          </cell>
        </row>
        <row r="397">
          <cell r="A397" t="str">
            <v>T_B_c-ICENGA-S4</v>
          </cell>
          <cell r="B397" t="str">
            <v>VAR_fout</v>
          </cell>
          <cell r="C397" t="str">
            <v>TPBSc</v>
          </cell>
          <cell r="E397">
            <v>9.6869441355416505E-6</v>
          </cell>
          <cell r="F397">
            <v>4.9165554503870535E-5</v>
          </cell>
          <cell r="G397">
            <v>6.9023747636730797E-5</v>
          </cell>
          <cell r="H397">
            <v>4.8015100219941822E-5</v>
          </cell>
          <cell r="I397">
            <v>5.0251091401480721E-5</v>
          </cell>
          <cell r="J397">
            <v>4.6862397576703059E-5</v>
          </cell>
        </row>
        <row r="398">
          <cell r="A398" t="str">
            <v>T_B_c-ICENGA-S4</v>
          </cell>
          <cell r="B398" t="str">
            <v>VAR_fin</v>
          </cell>
          <cell r="C398" t="str">
            <v>TNGA</v>
          </cell>
          <cell r="E398">
            <v>2.5702203793646726E-4</v>
          </cell>
          <cell r="F398">
            <v>1.2747412337617335E-3</v>
          </cell>
          <cell r="G398">
            <v>1.7269235585591037E-3</v>
          </cell>
          <cell r="H398">
            <v>1.0895569082592777E-3</v>
          </cell>
          <cell r="I398">
            <v>1.0868941920013065E-3</v>
          </cell>
          <cell r="J398">
            <v>9.6504854470813313E-4</v>
          </cell>
        </row>
        <row r="399">
          <cell r="A399" t="str">
            <v>T_B_c-ICENGA-S4</v>
          </cell>
          <cell r="B399" t="str">
            <v>VAR_ncap</v>
          </cell>
          <cell r="C399" t="str">
            <v>-</v>
          </cell>
          <cell r="H399">
            <v>3.29099430964258E-8</v>
          </cell>
          <cell r="I399">
            <v>1.26024426038089E-8</v>
          </cell>
          <cell r="J399">
            <v>1.05754110159783E-8</v>
          </cell>
        </row>
        <row r="400">
          <cell r="A400" t="str">
            <v>T_B_c-ICENGA-S4</v>
          </cell>
          <cell r="B400" t="str">
            <v>VAR_cap</v>
          </cell>
          <cell r="C400" t="str">
            <v>-</v>
          </cell>
          <cell r="G400">
            <v>-1.14025956100175E-7</v>
          </cell>
          <cell r="H400">
            <v>3.013459458696066E-8</v>
          </cell>
          <cell r="I400">
            <v>3.9251372383547098E-8</v>
          </cell>
          <cell r="J400">
            <v>-5.0581043117447999E-9</v>
          </cell>
        </row>
        <row r="401">
          <cell r="A401" t="str">
            <v>T_B_u-ICEDSL-S3</v>
          </cell>
          <cell r="B401" t="str">
            <v>VAR_fout</v>
          </cell>
          <cell r="C401" t="str">
            <v>CO2_T</v>
          </cell>
          <cell r="D401">
            <v>45.136891044213023</v>
          </cell>
          <cell r="E401">
            <v>65.579079910618319</v>
          </cell>
          <cell r="F401">
            <v>0.1962498708162668</v>
          </cell>
          <cell r="G401">
            <v>2.4440165065879431</v>
          </cell>
          <cell r="H401">
            <v>0.42086414880670436</v>
          </cell>
          <cell r="I401">
            <v>7.9726511674656803E-2</v>
          </cell>
          <cell r="J401">
            <v>8.7572766781717298E-2</v>
          </cell>
        </row>
        <row r="402">
          <cell r="A402" t="str">
            <v>T_B_u-ICEDSL-S3</v>
          </cell>
          <cell r="B402" t="str">
            <v>VAR_fout</v>
          </cell>
          <cell r="C402" t="str">
            <v>TPBSu</v>
          </cell>
          <cell r="D402">
            <v>3.56843319344122E-2</v>
          </cell>
          <cell r="E402">
            <v>5.2026901532698101E-2</v>
          </cell>
          <cell r="F402">
            <v>1.5848100744523947E-4</v>
          </cell>
          <cell r="G402">
            <v>2.2444367491292719E-3</v>
          </cell>
          <cell r="H402">
            <v>3.9340232134333546E-4</v>
          </cell>
          <cell r="I402">
            <v>7.9584347552401086E-5</v>
          </cell>
          <cell r="J402">
            <v>8.9737869913552635E-5</v>
          </cell>
        </row>
        <row r="403">
          <cell r="A403" t="str">
            <v>T_B_u-ICEDSL-S3</v>
          </cell>
          <cell r="B403" t="str">
            <v>VAR_fin</v>
          </cell>
          <cell r="C403" t="str">
            <v>TDSL</v>
          </cell>
          <cell r="D403">
            <v>0.61578296103974162</v>
          </cell>
          <cell r="E403">
            <v>0.8946668473481344</v>
          </cell>
          <cell r="F403">
            <v>2.6773515800309232E-3</v>
          </cell>
          <cell r="G403">
            <v>3.3342653568730368E-2</v>
          </cell>
          <cell r="H403">
            <v>5.7416664230109903E-3</v>
          </cell>
          <cell r="I403">
            <v>1.0876741019734881E-3</v>
          </cell>
          <cell r="J403">
            <v>1.1947171457260227E-3</v>
          </cell>
        </row>
        <row r="404">
          <cell r="A404" t="str">
            <v>T_B_u-ICEDSL-S3</v>
          </cell>
          <cell r="B404" t="str">
            <v>VAR_ncap</v>
          </cell>
          <cell r="C404" t="str">
            <v>-</v>
          </cell>
          <cell r="E404">
            <v>2.5453764138327299E-5</v>
          </cell>
          <cell r="F404">
            <v>1.2982437447122499E-7</v>
          </cell>
          <cell r="G404">
            <v>3.8170016855584801E-5</v>
          </cell>
          <cell r="H404">
            <v>2.9540794308813502E-7</v>
          </cell>
          <cell r="I404">
            <v>1.9696957329210099E-7</v>
          </cell>
          <cell r="J404">
            <v>6.2636728234152504E-8</v>
          </cell>
        </row>
        <row r="405">
          <cell r="A405" t="str">
            <v>T_B_u-ICEDSL-S3</v>
          </cell>
          <cell r="B405" t="str">
            <v>VAR_cap</v>
          </cell>
          <cell r="C405" t="str">
            <v>-</v>
          </cell>
          <cell r="D405">
            <v>8.0641723855890107E-4</v>
          </cell>
          <cell r="E405">
            <v>9.778137893177441E-4</v>
          </cell>
          <cell r="F405">
            <v>2.089697980396394E-7</v>
          </cell>
          <cell r="G405">
            <v>3.8733614566113599E-5</v>
          </cell>
          <cell r="H405">
            <v>6.4577007899344029E-6</v>
          </cell>
          <cell r="I405">
            <v>4.7864123466288008E-7</v>
          </cell>
          <cell r="J405">
            <v>2.748039650317129E-7</v>
          </cell>
        </row>
        <row r="406">
          <cell r="A406" t="str">
            <v>T_B_u-ICEDSL-S4</v>
          </cell>
          <cell r="B406" t="str">
            <v>VAR_fout</v>
          </cell>
          <cell r="C406" t="str">
            <v>CO2_T</v>
          </cell>
          <cell r="D406">
            <v>0.5097698510775982</v>
          </cell>
          <cell r="E406">
            <v>0.23077324316967773</v>
          </cell>
          <cell r="F406">
            <v>0.27166394478818623</v>
          </cell>
          <cell r="G406">
            <v>0.18998562903123742</v>
          </cell>
          <cell r="H406">
            <v>7.5538877554703288E-2</v>
          </cell>
          <cell r="I406">
            <v>6.4509474641042591E-2</v>
          </cell>
          <cell r="J406">
            <v>5.6359135866164298E-2</v>
          </cell>
        </row>
        <row r="407">
          <cell r="A407" t="str">
            <v>T_B_u-ICEDSL-S4</v>
          </cell>
          <cell r="B407" t="str">
            <v>VAR_fout</v>
          </cell>
          <cell r="C407" t="str">
            <v>TPBSu</v>
          </cell>
          <cell r="D407">
            <v>2.6876959156626421E-4</v>
          </cell>
          <cell r="E407">
            <v>1.2269784357502869E-4</v>
          </cell>
          <cell r="F407">
            <v>1.4608597626863476E-4</v>
          </cell>
          <cell r="G407">
            <v>1.0635661557345854E-4</v>
          </cell>
          <cell r="H407">
            <v>4.8119771762323066E-5</v>
          </cell>
          <cell r="I407">
            <v>4.3124342333517473E-5</v>
          </cell>
          <cell r="J407">
            <v>3.9496850294315341E-5</v>
          </cell>
        </row>
        <row r="408">
          <cell r="A408" t="str">
            <v>T_B_u-ICEDSL-S4</v>
          </cell>
          <cell r="B408" t="str">
            <v>VAR_fin</v>
          </cell>
          <cell r="C408" t="str">
            <v>TDSL</v>
          </cell>
          <cell r="D408">
            <v>6.9545682275252178E-3</v>
          </cell>
          <cell r="E408">
            <v>3.1483389245522213E-3</v>
          </cell>
          <cell r="F408">
            <v>3.7061929711894388E-3</v>
          </cell>
          <cell r="G408">
            <v>2.5918912555421177E-3</v>
          </cell>
          <cell r="H408">
            <v>1.0305440321241911E-3</v>
          </cell>
          <cell r="I408">
            <v>8.8007468814519328E-4</v>
          </cell>
          <cell r="J408">
            <v>7.6888316324917247E-4</v>
          </cell>
        </row>
        <row r="409">
          <cell r="A409" t="str">
            <v>T_B_u-ICEDSL-S4</v>
          </cell>
          <cell r="B409" t="str">
            <v>VAR_ncap</v>
          </cell>
          <cell r="C409" t="str">
            <v>-</v>
          </cell>
          <cell r="H409">
            <v>1.65625100122463E-8</v>
          </cell>
        </row>
        <row r="410">
          <cell r="A410" t="str">
            <v>T_B_u-ICEDSL-S4</v>
          </cell>
          <cell r="B410" t="str">
            <v>VAR_cap</v>
          </cell>
          <cell r="C410" t="str">
            <v>-</v>
          </cell>
          <cell r="D410">
            <v>3.3693679622068589E-6</v>
          </cell>
          <cell r="E410">
            <v>-4.9146530752759979E-7</v>
          </cell>
          <cell r="F410">
            <v>-3.961752592275095E-7</v>
          </cell>
          <cell r="G410">
            <v>-2.8568613256439304E-7</v>
          </cell>
          <cell r="H410">
            <v>1.390690816795016E-8</v>
          </cell>
          <cell r="I410">
            <v>1.3411544498856899E-8</v>
          </cell>
          <cell r="J410">
            <v>-7.4580189609750108E-9</v>
          </cell>
        </row>
        <row r="411">
          <cell r="A411" t="str">
            <v>D-TBDS1intl</v>
          </cell>
          <cell r="B411" t="str">
            <v>VAR_fout</v>
          </cell>
          <cell r="C411" t="str">
            <v>TKERintl_SAF</v>
          </cell>
          <cell r="G411">
            <v>5.30310232486001</v>
          </cell>
          <cell r="H411">
            <v>18.522416488522602</v>
          </cell>
          <cell r="I411">
            <v>38.626683567700397</v>
          </cell>
          <cell r="J411">
            <v>68.679636225493098</v>
          </cell>
          <cell r="K411">
            <v>93.872681483388405</v>
          </cell>
          <cell r="L411">
            <v>93.872696976181999</v>
          </cell>
          <cell r="M411">
            <v>94.928440074660301</v>
          </cell>
          <cell r="N411">
            <v>96.636569791011595</v>
          </cell>
          <cell r="O411">
            <v>98.328349620665406</v>
          </cell>
        </row>
        <row r="412">
          <cell r="A412" t="str">
            <v>D-TBDS1intl</v>
          </cell>
          <cell r="B412" t="str">
            <v>VAR_fin</v>
          </cell>
          <cell r="C412" t="str">
            <v>BDS1</v>
          </cell>
          <cell r="G412">
            <v>5.30310232486001</v>
          </cell>
          <cell r="H412">
            <v>18.522416488522602</v>
          </cell>
          <cell r="I412">
            <v>38.626683567700397</v>
          </cell>
          <cell r="J412">
            <v>68.679636225493098</v>
          </cell>
          <cell r="K412">
            <v>93.872681483388405</v>
          </cell>
          <cell r="L412">
            <v>93.872696976181999</v>
          </cell>
          <cell r="M412">
            <v>94.928440074660301</v>
          </cell>
          <cell r="N412">
            <v>96.636569791011595</v>
          </cell>
          <cell r="O412">
            <v>98.328349620665406</v>
          </cell>
        </row>
        <row r="413">
          <cell r="A413" t="str">
            <v>T_B_c-ICENGAEXT</v>
          </cell>
          <cell r="B413" t="str">
            <v>VAR_fout</v>
          </cell>
          <cell r="C413" t="str">
            <v>CO2_T</v>
          </cell>
          <cell r="D413">
            <v>7.8679654671264098E-3</v>
          </cell>
          <cell r="E413">
            <v>7.9569940530065508E-3</v>
          </cell>
          <cell r="F413">
            <v>5.5855154099875102E-3</v>
          </cell>
        </row>
        <row r="414">
          <cell r="A414" t="str">
            <v>T_B_c-ICENGAEXT</v>
          </cell>
          <cell r="B414" t="str">
            <v>VAR_fout</v>
          </cell>
          <cell r="C414" t="str">
            <v>TPBSc</v>
          </cell>
          <cell r="D414">
            <v>1.3880890105748226E-3</v>
          </cell>
          <cell r="E414">
            <v>1.1253782110570831E-3</v>
          </cell>
          <cell r="F414">
            <v>4.9681571272754339E-4</v>
          </cell>
        </row>
        <row r="415">
          <cell r="A415" t="str">
            <v>T_B_c-ICENGAEXT</v>
          </cell>
          <cell r="B415" t="str">
            <v>VAR_fin</v>
          </cell>
          <cell r="C415" t="str">
            <v>TNGA</v>
          </cell>
          <cell r="D415">
            <v>1.39502933814298E-4</v>
          </cell>
          <cell r="E415">
            <v>1.4108145484054179E-4</v>
          </cell>
          <cell r="F415">
            <v>9.9033961169991267E-5</v>
          </cell>
        </row>
        <row r="416">
          <cell r="A416" t="str">
            <v>T_B_c-ICENGAEXT</v>
          </cell>
          <cell r="B416" t="str">
            <v>VAR_cap</v>
          </cell>
          <cell r="C416" t="str">
            <v>-</v>
          </cell>
          <cell r="D416">
            <v>2.9720899513422952E-5</v>
          </cell>
          <cell r="E416">
            <v>2.3778234086242301E-5</v>
          </cell>
          <cell r="F416">
            <v>1.011726623046369E-5</v>
          </cell>
        </row>
        <row r="417">
          <cell r="A417" t="str">
            <v>T_B_u-ICEDSLEXT</v>
          </cell>
          <cell r="B417" t="str">
            <v>VAR_fout</v>
          </cell>
          <cell r="C417" t="str">
            <v>CO2_T</v>
          </cell>
          <cell r="D417">
            <v>1.27039697908945</v>
          </cell>
          <cell r="E417">
            <v>1.2696407355264201</v>
          </cell>
          <cell r="F417">
            <v>1.2647766560198399</v>
          </cell>
        </row>
        <row r="418">
          <cell r="A418" t="str">
            <v>T_B_u-ICEDSLEXT</v>
          </cell>
          <cell r="B418" t="str">
            <v>VAR_fout</v>
          </cell>
          <cell r="C418" t="str">
            <v>TPBSu</v>
          </cell>
          <cell r="D418">
            <v>0.24209781421633347</v>
          </cell>
          <cell r="E418">
            <v>0.19381674738331908</v>
          </cell>
          <cell r="F418">
            <v>0.12114542038959267</v>
          </cell>
        </row>
        <row r="419">
          <cell r="A419" t="str">
            <v>T_B_u-ICEDSLEXT</v>
          </cell>
          <cell r="B419" t="str">
            <v>VAR_fin</v>
          </cell>
          <cell r="C419" t="str">
            <v>TDSL</v>
          </cell>
          <cell r="D419">
            <v>1.7331473111725101E-2</v>
          </cell>
          <cell r="E419">
            <v>1.7321156009910195E-2</v>
          </cell>
          <cell r="F419">
            <v>1.7254797490038651E-2</v>
          </cell>
        </row>
        <row r="420">
          <cell r="A420" t="str">
            <v>T_B_u-ICEDSLEXT</v>
          </cell>
          <cell r="B420" t="str">
            <v>VAR_cap</v>
          </cell>
          <cell r="C420" t="str">
            <v>-</v>
          </cell>
          <cell r="D420">
            <v>4.5677966415825222E-3</v>
          </cell>
          <cell r="E420">
            <v>3.6542689740420198E-3</v>
          </cell>
          <cell r="F420">
            <v>2.2838991327324329E-3</v>
          </cell>
        </row>
        <row r="421">
          <cell r="A421" t="str">
            <v>D-T-ELC-LGV</v>
          </cell>
          <cell r="B421" t="str">
            <v>VAR_fout</v>
          </cell>
          <cell r="C421" t="str">
            <v>T-ELC-LGV_BatSTGin</v>
          </cell>
          <cell r="D421">
            <v>3.4849445799060005E-2</v>
          </cell>
          <cell r="E421">
            <v>0.21239953876928017</v>
          </cell>
          <cell r="F421">
            <v>3.8412012219845995</v>
          </cell>
          <cell r="G421">
            <v>3.9169106211329945</v>
          </cell>
          <cell r="H421">
            <v>6.3480160068422133</v>
          </cell>
          <cell r="I421">
            <v>7.3616958373180008</v>
          </cell>
          <cell r="J421">
            <v>7.6695404501424056</v>
          </cell>
          <cell r="K421">
            <v>7.9793884747147219</v>
          </cell>
          <cell r="L421">
            <v>8.3501458207561186</v>
          </cell>
          <cell r="M421">
            <v>8.8776940294537212</v>
          </cell>
          <cell r="N421">
            <v>9.4578426481839468</v>
          </cell>
          <cell r="O421">
            <v>10.103926136444313</v>
          </cell>
        </row>
        <row r="422">
          <cell r="A422" t="str">
            <v>D-T-ELC-LGV</v>
          </cell>
          <cell r="B422" t="str">
            <v>VAR_fin</v>
          </cell>
          <cell r="C422" t="str">
            <v>TELC</v>
          </cell>
          <cell r="D422">
            <v>3.4849445799060005E-2</v>
          </cell>
          <cell r="E422">
            <v>0.21239953876928017</v>
          </cell>
          <cell r="F422">
            <v>3.8412012219845995</v>
          </cell>
          <cell r="G422">
            <v>3.9169106211329945</v>
          </cell>
          <cell r="H422">
            <v>6.3480160068422133</v>
          </cell>
          <cell r="I422">
            <v>7.3616958373180008</v>
          </cell>
          <cell r="J422">
            <v>7.6695404501424056</v>
          </cell>
          <cell r="K422">
            <v>7.9793884747147219</v>
          </cell>
          <cell r="L422">
            <v>8.3501458207561186</v>
          </cell>
          <cell r="M422">
            <v>8.8776940294537212</v>
          </cell>
          <cell r="N422">
            <v>9.4578426481839468</v>
          </cell>
          <cell r="O422">
            <v>10.103926136444313</v>
          </cell>
        </row>
        <row r="423">
          <cell r="A423" t="str">
            <v>D-T-ELC-LGV</v>
          </cell>
          <cell r="B423" t="str">
            <v>VAR_ncap</v>
          </cell>
          <cell r="C423" t="str">
            <v>-</v>
          </cell>
          <cell r="D423">
            <v>3.8981390017981802E-3</v>
          </cell>
          <cell r="E423">
            <v>1.8635383389832599E-2</v>
          </cell>
          <cell r="F423">
            <v>0.38347741511640798</v>
          </cell>
          <cell r="G423">
            <v>1.1515077888807601E-2</v>
          </cell>
          <cell r="H423">
            <v>0.46299214803397098</v>
          </cell>
          <cell r="I423">
            <v>0.312713457757887</v>
          </cell>
          <cell r="J423">
            <v>0.25788336974500098</v>
          </cell>
          <cell r="K423">
            <v>0.47871408975621499</v>
          </cell>
          <cell r="L423">
            <v>0.28789068503626503</v>
          </cell>
          <cell r="M423">
            <v>0.405215792053086</v>
          </cell>
          <cell r="N423">
            <v>0.543481415727463</v>
          </cell>
          <cell r="O423">
            <v>0.25104987636049603</v>
          </cell>
        </row>
        <row r="424">
          <cell r="A424" t="str">
            <v>D-T-ELC-LGV</v>
          </cell>
          <cell r="B424" t="str">
            <v>VAR_cap</v>
          </cell>
          <cell r="C424" t="str">
            <v>-</v>
          </cell>
          <cell r="D424">
            <v>3.8981390017981802E-3</v>
          </cell>
          <cell r="E424">
            <v>2.2533522391630801E-2</v>
          </cell>
          <cell r="F424">
            <v>0.40601093750803902</v>
          </cell>
          <cell r="G424">
            <v>0.41401102894915798</v>
          </cell>
          <cell r="H424">
            <v>0.67097950155337005</v>
          </cell>
          <cell r="I424">
            <v>0.77812373688779601</v>
          </cell>
          <cell r="J424">
            <v>0.810663347345426</v>
          </cell>
          <cell r="K424">
            <v>0.84341951277883098</v>
          </cell>
          <cell r="L424">
            <v>0.88260346321820804</v>
          </cell>
          <cell r="M424">
            <v>0.93837267239391497</v>
          </cell>
          <cell r="N424">
            <v>0.99968895960311899</v>
          </cell>
          <cell r="O424">
            <v>1.0679963702692099</v>
          </cell>
        </row>
        <row r="425">
          <cell r="A425" t="str">
            <v>T_B_c-FCLH2O-S1</v>
          </cell>
          <cell r="B425" t="str">
            <v>VAR_fout</v>
          </cell>
          <cell r="C425" t="str">
            <v>TPBSc</v>
          </cell>
          <cell r="G425">
            <v>3.7094633352250163E-5</v>
          </cell>
          <cell r="H425">
            <v>5.7128407924307606E-5</v>
          </cell>
          <cell r="I425">
            <v>8.0950589137401924E-5</v>
          </cell>
          <cell r="J425">
            <v>8.4066845552120377E-5</v>
          </cell>
          <cell r="K425">
            <v>8.5210866614845185E-5</v>
          </cell>
          <cell r="L425">
            <v>8.3767012884330375E-5</v>
          </cell>
          <cell r="M425">
            <v>8.4083846636826579E-5</v>
          </cell>
          <cell r="N425">
            <v>8.3557688337922658E-5</v>
          </cell>
          <cell r="O425">
            <v>8.53811813745127E-5</v>
          </cell>
        </row>
        <row r="426">
          <cell r="A426" t="str">
            <v>T_B_c-FCLH2O-S1</v>
          </cell>
          <cell r="B426" t="str">
            <v>VAR_fin</v>
          </cell>
          <cell r="C426" t="str">
            <v>TH2O</v>
          </cell>
          <cell r="G426">
            <v>1.5825236583628146E-4</v>
          </cell>
          <cell r="H426">
            <v>2.3540584178502569E-4</v>
          </cell>
          <cell r="I426">
            <v>3.2165267087223598E-4</v>
          </cell>
          <cell r="J426">
            <v>3.1316226076101442E-4</v>
          </cell>
          <cell r="K426">
            <v>2.9783864991885363E-4</v>
          </cell>
          <cell r="L426">
            <v>2.8130211326196972E-4</v>
          </cell>
          <cell r="M426">
            <v>2.7710118373613007E-4</v>
          </cell>
          <cell r="N426">
            <v>2.7536721112081099E-4</v>
          </cell>
          <cell r="O426">
            <v>2.8137659460151842E-4</v>
          </cell>
        </row>
        <row r="427">
          <cell r="A427" t="str">
            <v>T_B_c-FCLH2O-S1</v>
          </cell>
          <cell r="B427" t="str">
            <v>VAR_ncap</v>
          </cell>
          <cell r="C427" t="str">
            <v>-</v>
          </cell>
          <cell r="G427">
            <v>3.3032318759985802E-7</v>
          </cell>
          <cell r="H427">
            <v>1.3478281404796899E-7</v>
          </cell>
          <cell r="I427">
            <v>1.11340660462909E-7</v>
          </cell>
          <cell r="J427">
            <v>1.2543826070620999E-7</v>
          </cell>
          <cell r="K427">
            <v>1.4539233877237E-7</v>
          </cell>
          <cell r="L427">
            <v>1.2083942588301601E-7</v>
          </cell>
          <cell r="M427">
            <v>1.29289092354731E-7</v>
          </cell>
          <cell r="N427">
            <v>1.4099388056818299E-7</v>
          </cell>
          <cell r="O427">
            <v>1.3672762368793701E-7</v>
          </cell>
        </row>
        <row r="428">
          <cell r="A428" t="str">
            <v>T_B_c-FCLH2O-S1</v>
          </cell>
          <cell r="B428" t="str">
            <v>VAR_cap</v>
          </cell>
          <cell r="C428" t="str">
            <v>-</v>
          </cell>
          <cell r="G428">
            <v>3.3032318759985802E-7</v>
          </cell>
          <cell r="H428">
            <v>1.77379267707537E-7</v>
          </cell>
          <cell r="I428">
            <v>1.6522808211356103E-7</v>
          </cell>
          <cell r="J428">
            <v>2.1780783679967412E-7</v>
          </cell>
          <cell r="K428">
            <v>2.3857464489440926E-7</v>
          </cell>
          <cell r="L428">
            <v>2.0404015922025002E-7</v>
          </cell>
          <cell r="M428">
            <v>2.1157483550395998E-7</v>
          </cell>
          <cell r="N428">
            <v>2.169819092851814E-7</v>
          </cell>
          <cell r="O428">
            <v>2.06925984747682E-7</v>
          </cell>
        </row>
        <row r="429">
          <cell r="A429" t="str">
            <v>T_B_c-FCLH2O-S2</v>
          </cell>
          <cell r="B429" t="str">
            <v>VAR_fout</v>
          </cell>
          <cell r="C429" t="str">
            <v>TPBSc</v>
          </cell>
          <cell r="G429">
            <v>3.5976990793663472E-5</v>
          </cell>
          <cell r="H429">
            <v>6.2020030792035336E-5</v>
          </cell>
          <cell r="I429">
            <v>8.5571880849345461E-5</v>
          </cell>
          <cell r="J429">
            <v>8.5446216775962843E-5</v>
          </cell>
          <cell r="K429">
            <v>8.6302482092760584E-5</v>
          </cell>
          <cell r="L429">
            <v>8.7245570346778644E-5</v>
          </cell>
          <cell r="M429">
            <v>8.710203197904358E-5</v>
          </cell>
          <cell r="N429">
            <v>8.6574184888558255E-5</v>
          </cell>
          <cell r="O429">
            <v>8.8887438582231979E-5</v>
          </cell>
        </row>
        <row r="430">
          <cell r="A430" t="str">
            <v>T_B_c-FCLH2O-S2</v>
          </cell>
          <cell r="B430" t="str">
            <v>VAR_fin</v>
          </cell>
          <cell r="C430" t="str">
            <v>TH2O</v>
          </cell>
          <cell r="G430">
            <v>2.1275380588877226E-4</v>
          </cell>
          <cell r="H430">
            <v>3.5490084964074926E-4</v>
          </cell>
          <cell r="I430">
            <v>4.7199727802859834E-4</v>
          </cell>
          <cell r="J430">
            <v>4.4185182216326368E-4</v>
          </cell>
          <cell r="K430">
            <v>4.184226910691496E-4</v>
          </cell>
          <cell r="L430">
            <v>4.0615091374299845E-4</v>
          </cell>
          <cell r="M430">
            <v>3.9806627720410579E-4</v>
          </cell>
          <cell r="N430">
            <v>3.9565395545375733E-4</v>
          </cell>
          <cell r="O430">
            <v>4.0622579017617777E-4</v>
          </cell>
        </row>
        <row r="431">
          <cell r="A431" t="str">
            <v>T_B_c-FCLH2O-S2</v>
          </cell>
          <cell r="B431" t="str">
            <v>VAR_ncap</v>
          </cell>
          <cell r="C431" t="str">
            <v>-</v>
          </cell>
          <cell r="G431">
            <v>2.9864472746088002E-7</v>
          </cell>
          <cell r="H431">
            <v>1.5338640954316199E-7</v>
          </cell>
          <cell r="I431">
            <v>1.07746083435588E-7</v>
          </cell>
          <cell r="J431">
            <v>1.1078170475424999E-7</v>
          </cell>
          <cell r="K431">
            <v>1.4233535610607201E-7</v>
          </cell>
          <cell r="L431">
            <v>1.22267028464936E-7</v>
          </cell>
          <cell r="M431">
            <v>1.3605404518224299E-7</v>
          </cell>
          <cell r="N431">
            <v>1.5090808065157E-7</v>
          </cell>
          <cell r="O431">
            <v>1.4180420827082701E-7</v>
          </cell>
        </row>
        <row r="432">
          <cell r="A432" t="str">
            <v>T_B_c-FCLH2O-S2</v>
          </cell>
          <cell r="B432" t="str">
            <v>VAR_cap</v>
          </cell>
          <cell r="C432" t="str">
            <v>-</v>
          </cell>
          <cell r="G432">
            <v>2.9864472746088002E-7</v>
          </cell>
          <cell r="H432">
            <v>2.8264956583837401E-7</v>
          </cell>
          <cell r="I432">
            <v>2.6398834800696601E-7</v>
          </cell>
          <cell r="J432">
            <v>2.4554853351543749E-7</v>
          </cell>
          <cell r="K432">
            <v>2.617158349992315E-7</v>
          </cell>
          <cell r="L432">
            <v>2.7961151639069198E-7</v>
          </cell>
          <cell r="M432">
            <v>2.771234736997609E-7</v>
          </cell>
          <cell r="N432">
            <v>2.8249406736943651E-7</v>
          </cell>
          <cell r="O432">
            <v>2.8308125836895599E-7</v>
          </cell>
        </row>
        <row r="433">
          <cell r="A433" t="str">
            <v>T_B_c-FCLH2O-S3</v>
          </cell>
          <cell r="B433" t="str">
            <v>VAR_fout</v>
          </cell>
          <cell r="C433" t="str">
            <v>TPBSc</v>
          </cell>
          <cell r="G433">
            <v>2.9200463176470873E-5</v>
          </cell>
          <cell r="H433">
            <v>5.9507230017894818E-5</v>
          </cell>
          <cell r="I433">
            <v>5.6483324894061058E-5</v>
          </cell>
          <cell r="J433">
            <v>7.8857861750518282E-5</v>
          </cell>
          <cell r="K433">
            <v>5.4313405745362222E-5</v>
          </cell>
          <cell r="L433">
            <v>7.9650142347913064E-5</v>
          </cell>
          <cell r="M433">
            <v>5.4874823744112957E-5</v>
          </cell>
          <cell r="N433">
            <v>5.4462367767649303E-5</v>
          </cell>
          <cell r="O433">
            <v>5.5459264016883373E-5</v>
          </cell>
        </row>
        <row r="434">
          <cell r="A434" t="str">
            <v>T_B_c-FCLH2O-S3</v>
          </cell>
          <cell r="B434" t="str">
            <v>VAR_fin</v>
          </cell>
          <cell r="C434" t="str">
            <v>TH2O</v>
          </cell>
          <cell r="G434">
            <v>2.5816354402910052E-4</v>
          </cell>
          <cell r="H434">
            <v>5.0916456048861005E-4</v>
          </cell>
          <cell r="I434">
            <v>4.5187253161497971E-4</v>
          </cell>
          <cell r="J434">
            <v>6.0882149584247369E-4</v>
          </cell>
          <cell r="K434">
            <v>3.8254598794526334E-4</v>
          </cell>
          <cell r="L434">
            <v>5.5349414621667914E-4</v>
          </cell>
          <cell r="M434">
            <v>3.7434258080501926E-4</v>
          </cell>
          <cell r="N434">
            <v>3.7152890735400577E-4</v>
          </cell>
          <cell r="O434">
            <v>3.7832948891893789E-4</v>
          </cell>
        </row>
        <row r="435">
          <cell r="A435" t="str">
            <v>T_B_c-FCLH2O-S3</v>
          </cell>
          <cell r="B435" t="str">
            <v>VAR_ncap</v>
          </cell>
          <cell r="C435" t="str">
            <v>-</v>
          </cell>
          <cell r="G435">
            <v>1.51026392835325E-7</v>
          </cell>
          <cell r="H435">
            <v>1.2091105713568201E-7</v>
          </cell>
          <cell r="I435">
            <v>5.2879098096981399E-8</v>
          </cell>
          <cell r="J435">
            <v>6.6477907289565203E-8</v>
          </cell>
          <cell r="K435">
            <v>6.3727718378869098E-8</v>
          </cell>
          <cell r="L435">
            <v>7.8179665788682904E-8</v>
          </cell>
          <cell r="M435">
            <v>8.1009442329071899E-8</v>
          </cell>
          <cell r="N435">
            <v>6.3615722828723698E-8</v>
          </cell>
          <cell r="O435">
            <v>9.78393098793908E-8</v>
          </cell>
        </row>
        <row r="436">
          <cell r="A436" t="str">
            <v>T_B_c-FCLH2O-S3</v>
          </cell>
          <cell r="B436" t="str">
            <v>VAR_cap</v>
          </cell>
          <cell r="C436" t="str">
            <v>-</v>
          </cell>
          <cell r="G436">
            <v>1.51026392835325E-7</v>
          </cell>
          <cell r="H436">
            <v>2.2761227748420783E-7</v>
          </cell>
          <cell r="I436">
            <v>1.6255761800279262E-7</v>
          </cell>
          <cell r="J436">
            <v>1.2579784696505367E-7</v>
          </cell>
          <cell r="K436">
            <v>1.146081303192561E-7</v>
          </cell>
          <cell r="L436">
            <v>1.3171448266967469E-7</v>
          </cell>
          <cell r="M436">
            <v>1.2537937744492099E-7</v>
          </cell>
          <cell r="N436">
            <v>1.162323837231752E-7</v>
          </cell>
          <cell r="O436">
            <v>1.3903430881163867E-7</v>
          </cell>
        </row>
        <row r="437">
          <cell r="A437" t="str">
            <v>T_C-HYBGSLEXT</v>
          </cell>
          <cell r="B437" t="str">
            <v>VAR_fout</v>
          </cell>
          <cell r="C437" t="str">
            <v>CO2_T</v>
          </cell>
          <cell r="D437">
            <v>92.555238198739602</v>
          </cell>
          <cell r="E437">
            <v>91.728391595839199</v>
          </cell>
          <cell r="F437">
            <v>68.280953921458902</v>
          </cell>
          <cell r="G437">
            <v>32.3976536399095</v>
          </cell>
        </row>
        <row r="438">
          <cell r="A438" t="str">
            <v>T_C-HYBGSLEXT</v>
          </cell>
          <cell r="B438" t="str">
            <v>VAR_fout</v>
          </cell>
          <cell r="C438" t="str">
            <v>TPCAR</v>
          </cell>
          <cell r="D438">
            <v>0.61928653059740846</v>
          </cell>
          <cell r="E438">
            <v>0.62772076150681477</v>
          </cell>
          <cell r="F438">
            <v>0.48285875899520242</v>
          </cell>
          <cell r="G438">
            <v>0.24143699700529148</v>
          </cell>
        </row>
        <row r="439">
          <cell r="A439" t="str">
            <v>T_C-HYBGSLEXT</v>
          </cell>
          <cell r="B439" t="str">
            <v>VAR_fin</v>
          </cell>
          <cell r="C439" t="str">
            <v>TGSL</v>
          </cell>
          <cell r="D439">
            <v>1.2541360189531099</v>
          </cell>
          <cell r="E439">
            <v>1.2429321354449769</v>
          </cell>
          <cell r="F439">
            <v>0.9252161777975455</v>
          </cell>
          <cell r="G439">
            <v>0.4389925967467409</v>
          </cell>
        </row>
        <row r="440">
          <cell r="A440" t="str">
            <v>T_C-HYBGSLEXT</v>
          </cell>
          <cell r="B440" t="str">
            <v>VAR_cap</v>
          </cell>
          <cell r="C440" t="str">
            <v>-</v>
          </cell>
          <cell r="D440">
            <v>6.5792868670829979E-2</v>
          </cell>
          <cell r="E440">
            <v>5.7062999309973508E-2</v>
          </cell>
          <cell r="F440">
            <v>4.3893608385113823E-2</v>
          </cell>
          <cell r="G440">
            <v>2.1947301848362352E-2</v>
          </cell>
        </row>
        <row r="441">
          <cell r="A441" t="str">
            <v>T_B_c-FCLH2O-S4</v>
          </cell>
          <cell r="B441" t="str">
            <v>VAR_fout</v>
          </cell>
          <cell r="C441" t="str">
            <v>TPBSc</v>
          </cell>
          <cell r="G441">
            <v>2.2160864254768298E-5</v>
          </cell>
          <cell r="H441">
            <v>4.6507546328393001E-5</v>
          </cell>
          <cell r="I441">
            <v>4.8530128855905327E-5</v>
          </cell>
          <cell r="J441">
            <v>4.6728487420475411E-5</v>
          </cell>
          <cell r="K441">
            <v>4.8788028366323634E-5</v>
          </cell>
          <cell r="L441">
            <v>4.9180313383781673E-5</v>
          </cell>
          <cell r="M441">
            <v>4.6834384524731168E-5</v>
          </cell>
          <cell r="N441">
            <v>4.9208124502014249E-5</v>
          </cell>
          <cell r="O441">
            <v>4.9300200732071304E-5</v>
          </cell>
        </row>
        <row r="442">
          <cell r="A442" t="str">
            <v>T_B_c-FCLH2O-S4</v>
          </cell>
          <cell r="B442" t="str">
            <v>VAR_fin</v>
          </cell>
          <cell r="C442" t="str">
            <v>TH2O</v>
          </cell>
          <cell r="G442">
            <v>2.9198738285441333E-4</v>
          </cell>
          <cell r="H442">
            <v>5.9240595119186871E-4</v>
          </cell>
          <cell r="I442">
            <v>5.776114635557101E-4</v>
          </cell>
          <cell r="J442">
            <v>5.2063648116485036E-4</v>
          </cell>
          <cell r="K442">
            <v>5.118569555931004E-4</v>
          </cell>
          <cell r="L442">
            <v>4.9952714582312521E-4</v>
          </cell>
          <cell r="M442">
            <v>4.7569941747741608E-4</v>
          </cell>
          <cell r="N442">
            <v>4.9980962487941843E-4</v>
          </cell>
          <cell r="O442">
            <v>5.0074484820830764E-4</v>
          </cell>
        </row>
        <row r="443">
          <cell r="A443" t="str">
            <v>T_B_c-FCLH2O-S4</v>
          </cell>
          <cell r="B443" t="str">
            <v>VAR_ncap</v>
          </cell>
          <cell r="C443" t="str">
            <v>-</v>
          </cell>
          <cell r="O443">
            <v>2.3272558920732699E-8</v>
          </cell>
        </row>
        <row r="444">
          <cell r="A444" t="str">
            <v>T_B_c-FCLH2O-S4</v>
          </cell>
          <cell r="B444" t="str">
            <v>VAR_cap</v>
          </cell>
          <cell r="C444" t="str">
            <v>-</v>
          </cell>
          <cell r="H444">
            <v>-3.72933310913431E-9</v>
          </cell>
          <cell r="M444">
            <v>-5.6107261188392197E-9</v>
          </cell>
          <cell r="N444">
            <v>-8.3000319000676999E-9</v>
          </cell>
          <cell r="O444">
            <v>1.307056010175699E-9</v>
          </cell>
        </row>
        <row r="445">
          <cell r="A445" t="str">
            <v>TPAVDKEREXT</v>
          </cell>
          <cell r="B445" t="str">
            <v>VAR_fout</v>
          </cell>
          <cell r="C445" t="str">
            <v>CO2_T</v>
          </cell>
          <cell r="D445">
            <v>79.576349423418094</v>
          </cell>
          <cell r="E445">
            <v>100.796237247683</v>
          </cell>
          <cell r="F445">
            <v>132.626068984081</v>
          </cell>
          <cell r="G445">
            <v>185.675788544743</v>
          </cell>
          <cell r="H445">
            <v>170.02894982493601</v>
          </cell>
          <cell r="I445">
            <v>154.38211110512901</v>
          </cell>
          <cell r="J445">
            <v>138.735272385321</v>
          </cell>
          <cell r="K445">
            <v>123.088433665514</v>
          </cell>
          <cell r="L445">
            <v>109.90751284479499</v>
          </cell>
          <cell r="M445">
            <v>98.138070491291401</v>
          </cell>
          <cell r="N445">
            <v>87.628958480337403</v>
          </cell>
          <cell r="O445">
            <v>78.245214379164594</v>
          </cell>
        </row>
        <row r="446">
          <cell r="A446" t="str">
            <v>TPAVDKEREXT</v>
          </cell>
          <cell r="B446" t="str">
            <v>VAR_fout</v>
          </cell>
          <cell r="C446" t="str">
            <v>TPAVD</v>
          </cell>
          <cell r="D446">
            <v>1.0930817228491501</v>
          </cell>
          <cell r="E446">
            <v>1.3845636984571901</v>
          </cell>
          <cell r="F446">
            <v>1.82178666186924</v>
          </cell>
          <cell r="G446">
            <v>2.5504916008893299</v>
          </cell>
          <cell r="H446">
            <v>2.33556249759528</v>
          </cell>
          <cell r="I446">
            <v>2.1206333943012199</v>
          </cell>
          <cell r="J446">
            <v>1.90570429100716</v>
          </cell>
          <cell r="K446">
            <v>1.6907751877131001</v>
          </cell>
          <cell r="L446">
            <v>1.5097185830329001</v>
          </cell>
          <cell r="M446">
            <v>1.34805041883642</v>
          </cell>
          <cell r="N446">
            <v>1.2036944846200199</v>
          </cell>
          <cell r="O446">
            <v>1.0747969008127001</v>
          </cell>
        </row>
        <row r="447">
          <cell r="A447" t="str">
            <v>TPAVDKEREXT</v>
          </cell>
          <cell r="B447" t="str">
            <v>VAR_fin</v>
          </cell>
          <cell r="C447" t="str">
            <v>TKER</v>
          </cell>
          <cell r="D447">
            <v>1.0930817228491501</v>
          </cell>
          <cell r="E447">
            <v>1.3845636984571901</v>
          </cell>
          <cell r="F447">
            <v>1.82178666186924</v>
          </cell>
          <cell r="G447">
            <v>2.5504916008893299</v>
          </cell>
          <cell r="H447">
            <v>2.33556249759528</v>
          </cell>
          <cell r="I447">
            <v>2.1206333943012199</v>
          </cell>
          <cell r="J447">
            <v>1.90570429100716</v>
          </cell>
          <cell r="K447">
            <v>1.6907751877131001</v>
          </cell>
          <cell r="L447">
            <v>1.5097185830329001</v>
          </cell>
          <cell r="M447">
            <v>1.34805041883642</v>
          </cell>
          <cell r="N447">
            <v>1.2036944846200199</v>
          </cell>
          <cell r="O447">
            <v>1.0747969008127001</v>
          </cell>
        </row>
        <row r="448">
          <cell r="A448" t="str">
            <v>TPAVDKEREXT</v>
          </cell>
          <cell r="B448" t="str">
            <v>VAR_ncap</v>
          </cell>
          <cell r="C448" t="str">
            <v>-</v>
          </cell>
          <cell r="D448">
            <v>59.363386798478402</v>
          </cell>
          <cell r="E448">
            <v>93.926502871370602</v>
          </cell>
          <cell r="F448">
            <v>65.732709296421802</v>
          </cell>
          <cell r="G448">
            <v>60.042233091913097</v>
          </cell>
          <cell r="H448">
            <v>67.328045926935502</v>
          </cell>
          <cell r="I448">
            <v>62.145633298771301</v>
          </cell>
          <cell r="J448">
            <v>63.257707222314302</v>
          </cell>
          <cell r="K448">
            <v>63.440432089824498</v>
          </cell>
          <cell r="L448">
            <v>65.124740871768196</v>
          </cell>
          <cell r="M448">
            <v>58.760664401681098</v>
          </cell>
          <cell r="N448">
            <v>51.540955594903799</v>
          </cell>
          <cell r="O448">
            <v>34.915029198747497</v>
          </cell>
        </row>
        <row r="449">
          <cell r="A449" t="str">
            <v>TPAVDKEREXT</v>
          </cell>
          <cell r="B449" t="str">
            <v>VAR_cap</v>
          </cell>
          <cell r="C449" t="str">
            <v>-</v>
          </cell>
          <cell r="D449">
            <v>60.456468521327551</v>
          </cell>
          <cell r="E449">
            <v>154.38297139269815</v>
          </cell>
          <cell r="F449">
            <v>179.91328471827416</v>
          </cell>
          <cell r="G449">
            <v>173.02848880519713</v>
          </cell>
          <cell r="H449">
            <v>172.85150827840116</v>
          </cell>
          <cell r="I449">
            <v>155.038455727632</v>
          </cell>
          <cell r="J449">
            <v>138.951961547005</v>
          </cell>
          <cell r="K449">
            <v>141.73746336956899</v>
          </cell>
          <cell r="L449">
            <v>137.18446673906197</v>
          </cell>
          <cell r="M449">
            <v>131.41769845135198</v>
          </cell>
          <cell r="N449">
            <v>118.05335791384</v>
          </cell>
          <cell r="O449">
            <v>83.087946794615007</v>
          </cell>
        </row>
        <row r="450">
          <cell r="A450" t="str">
            <v>T_C-ICE-GSL-S1</v>
          </cell>
          <cell r="B450" t="str">
            <v>VAR_fout</v>
          </cell>
          <cell r="C450" t="str">
            <v>CO2_T</v>
          </cell>
          <cell r="D450">
            <v>35.880724153433476</v>
          </cell>
          <cell r="E450">
            <v>68.907951806103497</v>
          </cell>
          <cell r="F450">
            <v>135.931524008623</v>
          </cell>
          <cell r="G450">
            <v>79.39831710474138</v>
          </cell>
          <cell r="H450">
            <v>36.921026099417666</v>
          </cell>
          <cell r="I450">
            <v>4.9946948494946204</v>
          </cell>
        </row>
        <row r="451">
          <cell r="A451" t="str">
            <v>T_C-ICE-GSL-S1</v>
          </cell>
          <cell r="B451" t="str">
            <v>VAR_fout</v>
          </cell>
          <cell r="C451" t="str">
            <v>TPCAR</v>
          </cell>
          <cell r="D451">
            <v>0.33244773851556814</v>
          </cell>
          <cell r="E451">
            <v>0.60647126083285641</v>
          </cell>
          <cell r="F451">
            <v>1.1501579701261777</v>
          </cell>
          <cell r="G451">
            <v>0.67169139100490971</v>
          </cell>
          <cell r="H451">
            <v>0.30070816221905344</v>
          </cell>
          <cell r="I451">
            <v>4.051196181720769E-2</v>
          </cell>
        </row>
        <row r="452">
          <cell r="A452" t="str">
            <v>T_C-ICE-GSL-S1</v>
          </cell>
          <cell r="B452" t="str">
            <v>VAR_fin</v>
          </cell>
          <cell r="C452" t="str">
            <v>TGSL</v>
          </cell>
          <cell r="D452">
            <v>0.48618867416576506</v>
          </cell>
          <cell r="E452">
            <v>0.93371208409354378</v>
          </cell>
          <cell r="F452">
            <v>1.841890569222534</v>
          </cell>
          <cell r="G452">
            <v>1.0758579553487986</v>
          </cell>
          <cell r="H452">
            <v>0.50028490649617419</v>
          </cell>
          <cell r="I452">
            <v>6.7678791998572158E-2</v>
          </cell>
        </row>
        <row r="453">
          <cell r="A453" t="str">
            <v>T_C-ICE-GSL-S1</v>
          </cell>
          <cell r="B453" t="str">
            <v>VAR_ncap</v>
          </cell>
          <cell r="C453" t="str">
            <v>-</v>
          </cell>
          <cell r="E453">
            <v>2.5357372202095801E-2</v>
          </cell>
          <cell r="F453">
            <v>6.0786929446512303E-2</v>
          </cell>
          <cell r="G453">
            <v>2.7871795561004199E-4</v>
          </cell>
        </row>
        <row r="454">
          <cell r="A454" t="str">
            <v>T_C-ICE-GSL-S1</v>
          </cell>
          <cell r="B454" t="str">
            <v>VAR_cap</v>
          </cell>
          <cell r="C454" t="str">
            <v>-</v>
          </cell>
          <cell r="D454">
            <v>3.6542248496386168E-2</v>
          </cell>
          <cell r="E454">
            <v>6.4776357369292839E-2</v>
          </cell>
          <cell r="F454">
            <v>0.12285788614427043</v>
          </cell>
          <cell r="G454">
            <v>0.10201676520400553</v>
          </cell>
          <cell r="H454">
            <v>4.5658373575735343E-2</v>
          </cell>
          <cell r="I454">
            <v>6.1426470066041298E-3</v>
          </cell>
        </row>
        <row r="455">
          <cell r="A455" t="str">
            <v>V2G</v>
          </cell>
          <cell r="B455" t="str">
            <v>VAR_fout</v>
          </cell>
          <cell r="C455" t="str">
            <v>ELC35</v>
          </cell>
          <cell r="G455">
            <v>0.17950235637961198</v>
          </cell>
          <cell r="H455">
            <v>1.4125104272337294</v>
          </cell>
          <cell r="I455">
            <v>4.3539057757191282</v>
          </cell>
          <cell r="J455">
            <v>10.005943081087432</v>
          </cell>
          <cell r="K455">
            <v>13.253563492591342</v>
          </cell>
          <cell r="L455">
            <v>13.006566044800236</v>
          </cell>
          <cell r="M455">
            <v>14.340355791005619</v>
          </cell>
          <cell r="N455">
            <v>13.888241880670098</v>
          </cell>
          <cell r="O455">
            <v>14.754849689777245</v>
          </cell>
        </row>
        <row r="456">
          <cell r="A456" t="str">
            <v>V2G</v>
          </cell>
          <cell r="B456" t="str">
            <v>VAR_fin</v>
          </cell>
          <cell r="C456" t="str">
            <v>T-ELC-Bus_c_BatSTGout_S1</v>
          </cell>
          <cell r="G456">
            <v>3.9404569328717375E-3</v>
          </cell>
          <cell r="H456">
            <v>8.6617863120727404E-3</v>
          </cell>
          <cell r="I456">
            <v>5.8194765425894539E-3</v>
          </cell>
          <cell r="J456">
            <v>5.2277796039399372E-3</v>
          </cell>
          <cell r="K456">
            <v>5.9497491477830938E-3</v>
          </cell>
          <cell r="L456">
            <v>6.2617170901609082E-3</v>
          </cell>
          <cell r="M456">
            <v>8.066525090669378E-3</v>
          </cell>
          <cell r="N456">
            <v>7.0178091623610836E-3</v>
          </cell>
          <cell r="O456">
            <v>1.2117570687091635E-2</v>
          </cell>
        </row>
        <row r="457">
          <cell r="A457" t="str">
            <v>V2G</v>
          </cell>
          <cell r="B457" t="str">
            <v>VAR_fin</v>
          </cell>
          <cell r="C457" t="str">
            <v>T-ELC-Bus_c_BatSTGout_S2</v>
          </cell>
          <cell r="G457">
            <v>4.4204840853555531E-3</v>
          </cell>
          <cell r="H457">
            <v>7.053121579812068E-3</v>
          </cell>
          <cell r="I457">
            <v>6.5199217540355932E-3</v>
          </cell>
          <cell r="J457">
            <v>6.0948594024468165E-3</v>
          </cell>
          <cell r="K457">
            <v>6.8624972193273319E-3</v>
          </cell>
          <cell r="L457">
            <v>6.9520718422937909E-3</v>
          </cell>
          <cell r="M457">
            <v>8.7898515649218051E-3</v>
          </cell>
          <cell r="N457">
            <v>7.7588419848032301E-3</v>
          </cell>
          <cell r="O457">
            <v>1.301034956516634E-2</v>
          </cell>
        </row>
        <row r="458">
          <cell r="A458" t="str">
            <v>V2G</v>
          </cell>
          <cell r="B458" t="str">
            <v>VAR_fin</v>
          </cell>
          <cell r="C458" t="str">
            <v>T-ELC-Bus_c_BatSTGout_S3</v>
          </cell>
          <cell r="G458">
            <v>4.7457383835200609E-4</v>
          </cell>
          <cell r="H458">
            <v>2.9479629459799447E-3</v>
          </cell>
          <cell r="I458">
            <v>3.260627211155726E-3</v>
          </cell>
          <cell r="J458">
            <v>2.9770244241621321E-3</v>
          </cell>
          <cell r="K458">
            <v>3.9094271866976053E-3</v>
          </cell>
          <cell r="L458">
            <v>3.8884882718722919E-3</v>
          </cell>
          <cell r="M458">
            <v>4.5828276387230808E-3</v>
          </cell>
          <cell r="N458">
            <v>4.3791173683193699E-3</v>
          </cell>
          <cell r="O458">
            <v>6.366709239365497E-3</v>
          </cell>
        </row>
        <row r="459">
          <cell r="A459" t="str">
            <v>V2G</v>
          </cell>
          <cell r="B459" t="str">
            <v>VAR_fin</v>
          </cell>
          <cell r="C459" t="str">
            <v>T-ELC-Bus_c_BatSTGout_S4</v>
          </cell>
          <cell r="G459">
            <v>8.4528159647016311E-4</v>
          </cell>
          <cell r="H459">
            <v>5.7542469910683498E-4</v>
          </cell>
          <cell r="I459">
            <v>1.2436885001111924E-3</v>
          </cell>
          <cell r="J459">
            <v>1.4414533880446909E-3</v>
          </cell>
          <cell r="K459">
            <v>2.2855641504020098E-3</v>
          </cell>
          <cell r="L459">
            <v>2.3353556834928599E-3</v>
          </cell>
          <cell r="M459">
            <v>2.2525028314048204E-3</v>
          </cell>
          <cell r="N459">
            <v>3.0100052327476372E-3</v>
          </cell>
          <cell r="O459">
            <v>3.949213780274948E-3</v>
          </cell>
        </row>
        <row r="460">
          <cell r="A460" t="str">
            <v>V2G</v>
          </cell>
          <cell r="B460" t="str">
            <v>VAR_fin</v>
          </cell>
          <cell r="C460" t="str">
            <v>T-ELC-car-BatSTGOut_S1</v>
          </cell>
          <cell r="G460">
            <v>1.9737479831832331E-2</v>
          </cell>
          <cell r="H460">
            <v>0.28703948264110862</v>
          </cell>
          <cell r="I460">
            <v>1.4401059368686862</v>
          </cell>
          <cell r="J460">
            <v>2.7228783908982175</v>
          </cell>
          <cell r="K460">
            <v>4.0157246335167835</v>
          </cell>
          <cell r="L460">
            <v>3.3461516430477807</v>
          </cell>
          <cell r="M460">
            <v>4.0447482342508678</v>
          </cell>
          <cell r="N460">
            <v>3.7886128282317206</v>
          </cell>
          <cell r="O460">
            <v>4.3287438807945398</v>
          </cell>
        </row>
        <row r="461">
          <cell r="A461" t="str">
            <v>V2G</v>
          </cell>
          <cell r="B461" t="str">
            <v>VAR_fin</v>
          </cell>
          <cell r="C461" t="str">
            <v>T-ELC-car-BatSTGOut_S2</v>
          </cell>
          <cell r="G461">
            <v>1.5857236026929691E-2</v>
          </cell>
          <cell r="H461">
            <v>0.12697997917738699</v>
          </cell>
          <cell r="I461">
            <v>0.57305964072533688</v>
          </cell>
          <cell r="J461">
            <v>1.5130435519352203</v>
          </cell>
          <cell r="K461">
            <v>2.2880592691897332</v>
          </cell>
          <cell r="L461">
            <v>2.1312285045806973</v>
          </cell>
          <cell r="M461">
            <v>2.3598029016946054</v>
          </cell>
          <cell r="N461">
            <v>2.4048487592040173</v>
          </cell>
          <cell r="O461">
            <v>2.6047902665046392</v>
          </cell>
        </row>
        <row r="462">
          <cell r="A462" t="str">
            <v>V2G</v>
          </cell>
          <cell r="B462" t="str">
            <v>VAR_fin</v>
          </cell>
          <cell r="C462" t="str">
            <v>T-ELC-car-BatSTGOut_S3</v>
          </cell>
          <cell r="G462">
            <v>2.0784800588494759E-2</v>
          </cell>
          <cell r="H462">
            <v>0.18270764099886047</v>
          </cell>
          <cell r="I462">
            <v>0.61831551063017864</v>
          </cell>
          <cell r="J462">
            <v>1.661576510404722</v>
          </cell>
          <cell r="K462">
            <v>2.3370640208887683</v>
          </cell>
          <cell r="L462">
            <v>2.0646158733876687</v>
          </cell>
          <cell r="M462">
            <v>2.3550165699738641</v>
          </cell>
          <cell r="N462">
            <v>2.2135538657153826</v>
          </cell>
          <cell r="O462">
            <v>2.0714199814090084</v>
          </cell>
        </row>
        <row r="463">
          <cell r="A463" t="str">
            <v>V2G</v>
          </cell>
          <cell r="B463" t="str">
            <v>VAR_fin</v>
          </cell>
          <cell r="C463" t="str">
            <v>T-ELC-car-BatSTGOut_S4</v>
          </cell>
          <cell r="G463">
            <v>1.487398783987043E-2</v>
          </cell>
          <cell r="H463">
            <v>0.13611002463653535</v>
          </cell>
          <cell r="I463">
            <v>0.5553899216487872</v>
          </cell>
          <cell r="J463">
            <v>1.5569493288369882</v>
          </cell>
          <cell r="K463">
            <v>2.194329247556936</v>
          </cell>
          <cell r="L463">
            <v>2.1239303080057201</v>
          </cell>
          <cell r="M463">
            <v>2.3055031070907428</v>
          </cell>
          <cell r="N463">
            <v>2.4797669612102058</v>
          </cell>
          <cell r="O463">
            <v>2.3983273602506601</v>
          </cell>
        </row>
        <row r="464">
          <cell r="A464" t="str">
            <v>V2G</v>
          </cell>
          <cell r="B464" t="str">
            <v>VAR_fin</v>
          </cell>
          <cell r="C464" t="str">
            <v>T-ELC-car-PlgSTGOut_S1</v>
          </cell>
          <cell r="G464">
            <v>2.1302133840841366E-3</v>
          </cell>
          <cell r="H464">
            <v>4.1340198720051817E-3</v>
          </cell>
          <cell r="I464">
            <v>3.3681778898718481E-3</v>
          </cell>
          <cell r="J464">
            <v>1.2353714646389692E-2</v>
          </cell>
          <cell r="K464">
            <v>1.074516065923789E-2</v>
          </cell>
          <cell r="L464">
            <v>3.3576653176628446E-2</v>
          </cell>
          <cell r="M464">
            <v>3.4343830310045446E-2</v>
          </cell>
          <cell r="N464">
            <v>2.9507241516380692E-2</v>
          </cell>
          <cell r="O464">
            <v>2.7434557630090426E-2</v>
          </cell>
        </row>
        <row r="465">
          <cell r="A465" t="str">
            <v>V2G</v>
          </cell>
          <cell r="B465" t="str">
            <v>VAR_fin</v>
          </cell>
          <cell r="C465" t="str">
            <v>T-ELC-car-PlgSTGOut_S2</v>
          </cell>
          <cell r="G465">
            <v>9.0724207501944047E-4</v>
          </cell>
          <cell r="H465">
            <v>1.8121024704046136E-3</v>
          </cell>
          <cell r="I465">
            <v>3.175480439155734E-3</v>
          </cell>
          <cell r="J465">
            <v>7.3368113952705614E-3</v>
          </cell>
          <cell r="K465">
            <v>1.4647842773294138E-2</v>
          </cell>
          <cell r="L465">
            <v>1.5503527205309935E-2</v>
          </cell>
          <cell r="M465">
            <v>2.961219507279924E-2</v>
          </cell>
          <cell r="N465">
            <v>2.9808089032078499E-2</v>
          </cell>
          <cell r="O465">
            <v>4.2229770829296701E-2</v>
          </cell>
        </row>
        <row r="466">
          <cell r="A466" t="str">
            <v>V2G</v>
          </cell>
          <cell r="B466" t="str">
            <v>VAR_fin</v>
          </cell>
          <cell r="C466" t="str">
            <v>T-ELC-car-PlgSTGOut_S3</v>
          </cell>
          <cell r="G466">
            <v>1.6855399398043164E-2</v>
          </cell>
          <cell r="H466">
            <v>0.23110017155663123</v>
          </cell>
          <cell r="I466">
            <v>0.59272339809073993</v>
          </cell>
          <cell r="J466">
            <v>1.3605080244527323</v>
          </cell>
          <cell r="K466">
            <v>1.0292390664386331</v>
          </cell>
          <cell r="L466">
            <v>1.1654206178814133</v>
          </cell>
          <cell r="M466">
            <v>3.272350818972844E-2</v>
          </cell>
          <cell r="N466">
            <v>2.8665587580540056E-2</v>
          </cell>
          <cell r="O466">
            <v>1.824628754627396E-2</v>
          </cell>
        </row>
        <row r="467">
          <cell r="A467" t="str">
            <v>V2G</v>
          </cell>
          <cell r="B467" t="str">
            <v>VAR_fin</v>
          </cell>
          <cell r="C467" t="str">
            <v>T-ELC-TWSTGout_S1</v>
          </cell>
          <cell r="G467">
            <v>4.9351199688969826E-3</v>
          </cell>
          <cell r="H467">
            <v>1.5429689266188805E-2</v>
          </cell>
          <cell r="I467">
            <v>1.3448532444331735E-2</v>
          </cell>
          <cell r="J467">
            <v>9.3010191128767225E-3</v>
          </cell>
          <cell r="K467">
            <v>2.2637416432823392E-2</v>
          </cell>
          <cell r="L467">
            <v>1.3984943761718766E-2</v>
          </cell>
          <cell r="M467">
            <v>2.6756673008969178E-2</v>
          </cell>
          <cell r="N467">
            <v>1.957507289627294E-2</v>
          </cell>
          <cell r="O467">
            <v>4.6333269702907569E-2</v>
          </cell>
        </row>
        <row r="468">
          <cell r="A468" t="str">
            <v>V2G</v>
          </cell>
          <cell r="B468" t="str">
            <v>VAR_fin</v>
          </cell>
          <cell r="C468" t="str">
            <v>T-ELC-car-PlgSTGOut_S4</v>
          </cell>
          <cell r="G468">
            <v>1.4404497624517261E-2</v>
          </cell>
          <cell r="H468">
            <v>0.27013741230692251</v>
          </cell>
          <cell r="I468">
            <v>0.34407718301981965</v>
          </cell>
          <cell r="J468">
            <v>0.91468872931689704</v>
          </cell>
          <cell r="K468">
            <v>0.91919220089690001</v>
          </cell>
          <cell r="L468">
            <v>1.8025653947996259</v>
          </cell>
          <cell r="M468">
            <v>2.684311087120451</v>
          </cell>
          <cell r="N468">
            <v>2.4918111901295816</v>
          </cell>
          <cell r="O468">
            <v>2.5246402996535315</v>
          </cell>
        </row>
        <row r="469">
          <cell r="A469" t="str">
            <v>V2G</v>
          </cell>
          <cell r="B469" t="str">
            <v>VAR_fin</v>
          </cell>
          <cell r="C469" t="str">
            <v>T-ELC-TWSTGout_S2</v>
          </cell>
          <cell r="G469">
            <v>1.0807155939374662E-2</v>
          </cell>
          <cell r="H469">
            <v>1.8930622568625911E-2</v>
          </cell>
          <cell r="I469">
            <v>1.9480113850645877E-2</v>
          </cell>
          <cell r="J469">
            <v>1.8462526898645915E-2</v>
          </cell>
          <cell r="K469">
            <v>3.6091311124343606E-2</v>
          </cell>
          <cell r="L469">
            <v>3.0909971569966783E-2</v>
          </cell>
          <cell r="M469">
            <v>4.9322533975537743E-2</v>
          </cell>
          <cell r="N469">
            <v>3.7814497590288612E-2</v>
          </cell>
          <cell r="O469">
            <v>7.7475883922205654E-2</v>
          </cell>
        </row>
        <row r="470">
          <cell r="A470" t="str">
            <v>V2G</v>
          </cell>
          <cell r="B470" t="str">
            <v>VAR_fin</v>
          </cell>
          <cell r="C470" t="str">
            <v>T-ELC-TWSTGout_S3</v>
          </cell>
          <cell r="G470">
            <v>1.2569029803037835E-2</v>
          </cell>
          <cell r="H470">
            <v>3.076108591024334E-2</v>
          </cell>
          <cell r="I470">
            <v>3.1526168078116833E-2</v>
          </cell>
          <cell r="J470">
            <v>2.8336163949337349E-2</v>
          </cell>
          <cell r="K470">
            <v>5.8845671561641409E-2</v>
          </cell>
          <cell r="L470">
            <v>4.5738878322874897E-2</v>
          </cell>
          <cell r="M470">
            <v>6.3220554622407596E-2</v>
          </cell>
          <cell r="N470">
            <v>6.208811374880422E-2</v>
          </cell>
          <cell r="O470">
            <v>0.11099670852210149</v>
          </cell>
        </row>
        <row r="471">
          <cell r="A471" t="str">
            <v>V2G</v>
          </cell>
          <cell r="B471" t="str">
            <v>VAR_fin</v>
          </cell>
          <cell r="C471" t="str">
            <v>T-ELC-TWSTGout_S4</v>
          </cell>
          <cell r="G471">
            <v>1.4700839122765015E-2</v>
          </cell>
          <cell r="H471">
            <v>3.1581771206555781E-2</v>
          </cell>
          <cell r="I471">
            <v>3.7536809224315737E-2</v>
          </cell>
          <cell r="J471">
            <v>3.922027357444044E-2</v>
          </cell>
          <cell r="K471">
            <v>6.8566515526030103E-2</v>
          </cell>
          <cell r="L471">
            <v>5.8046884308956187E-2</v>
          </cell>
          <cell r="M471">
            <v>8.5491676107288639E-2</v>
          </cell>
          <cell r="N471">
            <v>7.9260297348875519E-2</v>
          </cell>
          <cell r="O471">
            <v>0.14568943575791088</v>
          </cell>
        </row>
        <row r="472">
          <cell r="A472" t="str">
            <v>V2G</v>
          </cell>
          <cell r="B472" t="str">
            <v>VAR_fin</v>
          </cell>
          <cell r="C472" t="str">
            <v>T-ELC-Bus_u_BatSTGout_S1</v>
          </cell>
          <cell r="G472">
            <v>6.603143177160972E-4</v>
          </cell>
          <cell r="H472">
            <v>1.0664177776341234E-3</v>
          </cell>
          <cell r="I472">
            <v>9.9732350220102582E-4</v>
          </cell>
          <cell r="J472">
            <v>1.4734195934221347E-3</v>
          </cell>
          <cell r="K472">
            <v>3.1615297342361152E-3</v>
          </cell>
          <cell r="L472">
            <v>2.305647852734764E-3</v>
          </cell>
          <cell r="M472">
            <v>4.129598111945347E-3</v>
          </cell>
          <cell r="N472">
            <v>2.9615499310613222E-3</v>
          </cell>
          <cell r="O472">
            <v>7.1576467298908389E-3</v>
          </cell>
        </row>
        <row r="473">
          <cell r="A473" t="str">
            <v>V2G</v>
          </cell>
          <cell r="B473" t="str">
            <v>VAR_fin</v>
          </cell>
          <cell r="C473" t="str">
            <v>T-ELC-Bus_u_BatSTGout_S2</v>
          </cell>
          <cell r="G473">
            <v>6.0159460675605696E-4</v>
          </cell>
          <cell r="H473">
            <v>9.1371048592996877E-4</v>
          </cell>
          <cell r="I473">
            <v>9.4023355836928653E-4</v>
          </cell>
          <cell r="J473">
            <v>1.2967891095349697E-3</v>
          </cell>
          <cell r="K473">
            <v>3.1044726864599488E-3</v>
          </cell>
          <cell r="L473">
            <v>2.1925583588877522E-3</v>
          </cell>
          <cell r="M473">
            <v>3.8863635535156382E-3</v>
          </cell>
          <cell r="N473">
            <v>2.9360152885068345E-3</v>
          </cell>
          <cell r="O473">
            <v>6.6287540584902003E-3</v>
          </cell>
        </row>
        <row r="474">
          <cell r="A474" t="str">
            <v>V2G</v>
          </cell>
          <cell r="B474" t="str">
            <v>VAR_fin</v>
          </cell>
          <cell r="C474" t="str">
            <v>T-ELC-Bus_u_BatSTGout_S3</v>
          </cell>
          <cell r="G474">
            <v>2.5620411744483278E-4</v>
          </cell>
          <cell r="H474">
            <v>3.554212185183612E-4</v>
          </cell>
          <cell r="I474">
            <v>3.8181583635913123E-4</v>
          </cell>
          <cell r="J474">
            <v>5.6215621355045506E-4</v>
          </cell>
          <cell r="K474">
            <v>1.2680005742748727E-3</v>
          </cell>
          <cell r="L474">
            <v>8.4639624242567124E-4</v>
          </cell>
          <cell r="M474">
            <v>1.2589940443042508E-3</v>
          </cell>
          <cell r="N474">
            <v>1.0846353685084352E-3</v>
          </cell>
          <cell r="O474">
            <v>2.2877435087089808E-3</v>
          </cell>
        </row>
        <row r="475">
          <cell r="A475" t="str">
            <v>V2G</v>
          </cell>
          <cell r="B475" t="str">
            <v>VAR_fin</v>
          </cell>
          <cell r="C475" t="str">
            <v>T-ELC-Bus_u_BatSTGout_S4</v>
          </cell>
          <cell r="G475">
            <v>8.0511256049734241E-4</v>
          </cell>
          <cell r="H475">
            <v>8.1477450515360318E-4</v>
          </cell>
          <cell r="I475">
            <v>1.0304844605260224E-3</v>
          </cell>
          <cell r="J475">
            <v>1.1959828099160415E-3</v>
          </cell>
          <cell r="K475">
            <v>2.5870124144859326E-3</v>
          </cell>
          <cell r="L475">
            <v>1.7711293327812127E-3</v>
          </cell>
          <cell r="M475">
            <v>2.3236630978368884E-3</v>
          </cell>
          <cell r="N475">
            <v>2.4647554962619923E-3</v>
          </cell>
          <cell r="O475">
            <v>3.9984359265034788E-3</v>
          </cell>
        </row>
        <row r="476">
          <cell r="A476" t="str">
            <v>V2G</v>
          </cell>
          <cell r="B476" t="str">
            <v>VAR_fin</v>
          </cell>
          <cell r="C476" t="str">
            <v>T-ELC-LGV_BatSTGout</v>
          </cell>
          <cell r="G476">
            <v>2.9588102860352229E-3</v>
          </cell>
          <cell r="H476">
            <v>2.6050900485222574E-3</v>
          </cell>
          <cell r="I476">
            <v>2.4355800116413954E-3</v>
          </cell>
          <cell r="J476">
            <v>3.0499864334952815E-3</v>
          </cell>
          <cell r="K476">
            <v>5.9963536740643402E-3</v>
          </cell>
          <cell r="L476">
            <v>3.3782750627195288E-3</v>
          </cell>
          <cell r="M476">
            <v>6.4797933740665991E-3</v>
          </cell>
          <cell r="N476">
            <v>4.3943077259555093E-3</v>
          </cell>
          <cell r="O476">
            <v>1.0476199413069929E-2</v>
          </cell>
        </row>
        <row r="477">
          <cell r="A477" t="str">
            <v>V2G</v>
          </cell>
          <cell r="B477" t="str">
            <v>VAR_fin</v>
          </cell>
          <cell r="C477" t="str">
            <v>T-ELC-HGV_BatSTGout</v>
          </cell>
          <cell r="G477">
            <v>1.6850472639719439E-2</v>
          </cell>
          <cell r="H477">
            <v>5.1581803267343178E-2</v>
          </cell>
          <cell r="I477">
            <v>9.9834532772347148E-2</v>
          </cell>
          <cell r="J477">
            <v>0.13872838388087666</v>
          </cell>
          <cell r="K477">
            <v>0.22401908509419682</v>
          </cell>
          <cell r="L477">
            <v>0.14569799633997507</v>
          </cell>
          <cell r="M477">
            <v>0.22848351464133451</v>
          </cell>
          <cell r="N477">
            <v>0.18764772326659662</v>
          </cell>
          <cell r="O477">
            <v>0.2932083176025157</v>
          </cell>
        </row>
        <row r="478">
          <cell r="A478" t="str">
            <v>V2G</v>
          </cell>
          <cell r="B478" t="str">
            <v>VAR_ncap</v>
          </cell>
          <cell r="C478" t="str">
            <v>-</v>
          </cell>
          <cell r="G478">
            <v>3.0062690304634699E-2</v>
          </cell>
          <cell r="H478">
            <v>1.33660115634689</v>
          </cell>
          <cell r="I478">
            <v>2.93830304035464</v>
          </cell>
          <cell r="J478">
            <v>2.18067741909173</v>
          </cell>
          <cell r="K478">
            <v>2.6459127754598701</v>
          </cell>
          <cell r="L478">
            <v>2.1059010977927102</v>
          </cell>
          <cell r="M478">
            <v>2.81337444882395</v>
          </cell>
          <cell r="N478">
            <v>2.4729298171674201</v>
          </cell>
          <cell r="O478">
            <v>1.8032104479204201</v>
          </cell>
        </row>
        <row r="479">
          <cell r="A479" t="str">
            <v>V2G</v>
          </cell>
          <cell r="B479" t="str">
            <v>VAR_cap</v>
          </cell>
          <cell r="C479" t="str">
            <v>-</v>
          </cell>
          <cell r="G479">
            <v>3.0062690304634699E-2</v>
          </cell>
          <cell r="H479">
            <v>1.3666471463362422</v>
          </cell>
          <cell r="I479">
            <v>4.2991952784467848</v>
          </cell>
          <cell r="J479">
            <v>6.4555356246375171</v>
          </cell>
          <cell r="K479">
            <v>7.764818291675545</v>
          </cell>
          <cell r="L479">
            <v>7.0949523665139438</v>
          </cell>
          <cell r="M479">
            <v>7.5651055302013717</v>
          </cell>
          <cell r="N479">
            <v>7.1931322484687543</v>
          </cell>
          <cell r="O479">
            <v>7.0894211192266088</v>
          </cell>
        </row>
        <row r="480">
          <cell r="A480" t="str">
            <v>TPSHPELCEXT</v>
          </cell>
          <cell r="B480" t="str">
            <v>VAR_fout</v>
          </cell>
          <cell r="C480" t="str">
            <v>TPSHP</v>
          </cell>
          <cell r="E480">
            <v>6.2203990630014001E-5</v>
          </cell>
          <cell r="F480">
            <v>0.17024879164804299</v>
          </cell>
          <cell r="G480">
            <v>0.62895464158097902</v>
          </cell>
          <cell r="H480">
            <v>1.1616281340916501</v>
          </cell>
          <cell r="I480">
            <v>8.5441688257761008</v>
          </cell>
          <cell r="J480">
            <v>11.3384078733979</v>
          </cell>
          <cell r="K480">
            <v>13.8905930196188</v>
          </cell>
          <cell r="L480">
            <v>13.890599618492001</v>
          </cell>
          <cell r="M480">
            <v>13.8906028795215</v>
          </cell>
          <cell r="N480">
            <v>13.890605415351899</v>
          </cell>
          <cell r="O480">
            <v>13.8906069791955</v>
          </cell>
        </row>
        <row r="481">
          <cell r="A481" t="str">
            <v>TPSHPELCEXT</v>
          </cell>
          <cell r="B481" t="str">
            <v>VAR_fin</v>
          </cell>
          <cell r="C481" t="str">
            <v>TELC</v>
          </cell>
          <cell r="E481">
            <v>2.5210427920534254E-5</v>
          </cell>
          <cell r="F481">
            <v>6.8999510271453346E-2</v>
          </cell>
          <cell r="G481">
            <v>0.25490672698435968</v>
          </cell>
          <cell r="H481">
            <v>0.47079201910322155</v>
          </cell>
          <cell r="I481">
            <v>3.4628349426052862</v>
          </cell>
          <cell r="J481">
            <v>4.5953018693947376</v>
          </cell>
          <cell r="K481">
            <v>5.6296676555283049</v>
          </cell>
          <cell r="L481">
            <v>5.6296703299615114</v>
          </cell>
          <cell r="M481">
            <v>5.6296716516122212</v>
          </cell>
          <cell r="N481">
            <v>5.6296726793496523</v>
          </cell>
          <cell r="O481">
            <v>5.6296733131541101</v>
          </cell>
        </row>
        <row r="482">
          <cell r="A482" t="str">
            <v>TPSHPELCEXT</v>
          </cell>
          <cell r="B482" t="str">
            <v>VAR_ncap</v>
          </cell>
          <cell r="C482" t="str">
            <v>-</v>
          </cell>
          <cell r="D482">
            <v>2.1715938308555299E-5</v>
          </cell>
          <cell r="E482">
            <v>5.6100419651604002E-5</v>
          </cell>
          <cell r="F482">
            <v>0.17018544966322099</v>
          </cell>
          <cell r="G482">
            <v>0.45871055647780301</v>
          </cell>
          <cell r="H482">
            <v>0.53269589502232395</v>
          </cell>
          <cell r="I482">
            <v>7.3825902724710497</v>
          </cell>
          <cell r="J482">
            <v>3.07973681794271</v>
          </cell>
          <cell r="K482">
            <v>2.8956530360796799</v>
          </cell>
          <cell r="L482">
            <v>1.34916764964473</v>
          </cell>
          <cell r="M482">
            <v>6.5661641538889004</v>
          </cell>
          <cell r="N482">
            <v>3.0797378915012001</v>
          </cell>
          <cell r="O482">
            <v>2.89568336934328</v>
          </cell>
        </row>
        <row r="483">
          <cell r="A483" t="str">
            <v>TPSHPELCEXT</v>
          </cell>
          <cell r="B483" t="str">
            <v>VAR_cap</v>
          </cell>
          <cell r="C483" t="str">
            <v>-</v>
          </cell>
          <cell r="D483">
            <v>2.1715938308555299E-5</v>
          </cell>
          <cell r="E483">
            <v>7.507025208303317E-5</v>
          </cell>
          <cell r="F483">
            <v>0.17025522710334454</v>
          </cell>
          <cell r="G483">
            <v>0.62895759451299638</v>
          </cell>
          <cell r="H483">
            <v>1.1616342778376234</v>
          </cell>
          <cell r="I483">
            <v>8.5441743719194694</v>
          </cell>
          <cell r="J483">
            <v>11.338413994359763</v>
          </cell>
          <cell r="K483">
            <v>13.890608521142662</v>
          </cell>
          <cell r="L483">
            <v>13.890607018926275</v>
          </cell>
          <cell r="M483">
            <v>13.890618060054321</v>
          </cell>
          <cell r="N483">
            <v>13.890617840876729</v>
          </cell>
          <cell r="O483">
            <v>13.890637238228953</v>
          </cell>
        </row>
        <row r="484">
          <cell r="A484" t="str">
            <v>TFLGV-ICEGSL</v>
          </cell>
          <cell r="B484" t="str">
            <v>VAR_fout</v>
          </cell>
          <cell r="C484" t="str">
            <v>CO2_T</v>
          </cell>
          <cell r="D484">
            <v>27.077225283282235</v>
          </cell>
          <cell r="E484">
            <v>42.585664802127411</v>
          </cell>
          <cell r="F484">
            <v>16.72841662364841</v>
          </cell>
          <cell r="G484">
            <v>57.625564230926756</v>
          </cell>
          <cell r="H484">
            <v>63.679379810560988</v>
          </cell>
          <cell r="I484">
            <v>1.98189337792175E-2</v>
          </cell>
        </row>
        <row r="485">
          <cell r="A485" t="str">
            <v>TFLGV-ICEGSL</v>
          </cell>
          <cell r="B485" t="str">
            <v>VAR_fout</v>
          </cell>
          <cell r="C485" t="str">
            <v>TFLGV</v>
          </cell>
          <cell r="D485">
            <v>0.12886616984436106</v>
          </cell>
          <cell r="E485">
            <v>0.20267407224750722</v>
          </cell>
          <cell r="F485">
            <v>7.9614028221026006E-2</v>
          </cell>
          <cell r="G485">
            <v>0.27425209451371024</v>
          </cell>
          <cell r="H485">
            <v>0.30306346711669424</v>
          </cell>
          <cell r="I485">
            <v>9.4322444778108139E-5</v>
          </cell>
        </row>
        <row r="486">
          <cell r="A486" t="str">
            <v>TFLGV-ICEGSL</v>
          </cell>
          <cell r="B486" t="str">
            <v>VAR_fin</v>
          </cell>
          <cell r="C486" t="str">
            <v>TGSL</v>
          </cell>
          <cell r="D486">
            <v>0.36690007158919025</v>
          </cell>
          <cell r="E486">
            <v>0.57704152848411028</v>
          </cell>
          <cell r="F486">
            <v>0.22667231197355597</v>
          </cell>
          <cell r="G486">
            <v>0.78083420367109468</v>
          </cell>
          <cell r="H486">
            <v>0.86286422507535254</v>
          </cell>
          <cell r="I486">
            <v>2.6854923820077863E-4</v>
          </cell>
        </row>
        <row r="487">
          <cell r="A487" t="str">
            <v>TFLGV-ICEGSL</v>
          </cell>
          <cell r="B487" t="str">
            <v>VAR_ncap</v>
          </cell>
          <cell r="C487" t="str">
            <v>-</v>
          </cell>
          <cell r="E487">
            <v>3.2175300731800298E-5</v>
          </cell>
          <cell r="F487">
            <v>1.4715942889925201E-5</v>
          </cell>
          <cell r="G487">
            <v>2.1717717707143699E-2</v>
          </cell>
        </row>
        <row r="488">
          <cell r="A488" t="str">
            <v>TFLGV-ICEGSL</v>
          </cell>
          <cell r="B488" t="str">
            <v>VAR_cap</v>
          </cell>
          <cell r="C488" t="str">
            <v>-</v>
          </cell>
          <cell r="D488">
            <v>1.2434760480108808E-2</v>
          </cell>
          <cell r="E488">
            <v>1.4154002399316143E-2</v>
          </cell>
          <cell r="F488">
            <v>7.9014011688980645E-3</v>
          </cell>
          <cell r="G488">
            <v>2.708683918547573E-2</v>
          </cell>
          <cell r="H488">
            <v>2.1725211195780841E-2</v>
          </cell>
          <cell r="I488">
            <v>5.7748387504103285E-6</v>
          </cell>
        </row>
        <row r="489">
          <cell r="A489" t="str">
            <v>T_C-ICE-GSL-S2</v>
          </cell>
          <cell r="B489" t="str">
            <v>VAR_fout</v>
          </cell>
          <cell r="C489" t="str">
            <v>CO2_T</v>
          </cell>
          <cell r="D489">
            <v>269.4097287366211</v>
          </cell>
          <cell r="E489">
            <v>391.93368356418517</v>
          </cell>
          <cell r="F489">
            <v>548.15595920910664</v>
          </cell>
          <cell r="G489">
            <v>445.2513805593349</v>
          </cell>
          <cell r="H489">
            <v>85.460710805012653</v>
          </cell>
          <cell r="I489">
            <v>11.852157732508756</v>
          </cell>
        </row>
        <row r="490">
          <cell r="A490" t="str">
            <v>T_C-ICE-GSL-S2</v>
          </cell>
          <cell r="B490" t="str">
            <v>VAR_fout</v>
          </cell>
          <cell r="C490" t="str">
            <v>TPCAR</v>
          </cell>
          <cell r="D490">
            <v>2.2067344806132341</v>
          </cell>
          <cell r="E490">
            <v>3.2101402265419869</v>
          </cell>
          <cell r="F490">
            <v>4.3790694626865463</v>
          </cell>
          <cell r="G490">
            <v>3.569028680329378</v>
          </cell>
          <cell r="H490">
            <v>0.64992067391329922</v>
          </cell>
          <cell r="I490">
            <v>8.8782593707809637E-2</v>
          </cell>
        </row>
        <row r="491">
          <cell r="A491" t="str">
            <v>T_C-ICE-GSL-S2</v>
          </cell>
          <cell r="B491" t="str">
            <v>VAR_fin</v>
          </cell>
          <cell r="C491" t="str">
            <v>TGSL</v>
          </cell>
          <cell r="D491">
            <v>3.6505383297645144</v>
          </cell>
          <cell r="E491">
            <v>5.3107545198399162</v>
          </cell>
          <cell r="F491">
            <v>7.4275875231586204</v>
          </cell>
          <cell r="G491">
            <v>6.0332165387443712</v>
          </cell>
          <cell r="H491">
            <v>1.1580042114500355</v>
          </cell>
          <cell r="I491">
            <v>0.16059834325892669</v>
          </cell>
        </row>
        <row r="492">
          <cell r="A492" t="str">
            <v>T_C-ICE-GSL-S2</v>
          </cell>
          <cell r="B492" t="str">
            <v>VAR_ncap</v>
          </cell>
          <cell r="C492" t="str">
            <v>-</v>
          </cell>
          <cell r="E492">
            <v>1.7926214736986701E-4</v>
          </cell>
          <cell r="F492">
            <v>9.3282426857681303E-2</v>
          </cell>
          <cell r="G492">
            <v>1.44702614869767E-4</v>
          </cell>
        </row>
        <row r="493">
          <cell r="A493" t="str">
            <v>T_C-ICE-GSL-S2</v>
          </cell>
          <cell r="B493" t="str">
            <v>VAR_cap</v>
          </cell>
          <cell r="C493" t="str">
            <v>-</v>
          </cell>
          <cell r="D493">
            <v>0.21743079515955915</v>
          </cell>
          <cell r="E493">
            <v>0.24354873843067046</v>
          </cell>
          <cell r="F493">
            <v>0.33223556662820874</v>
          </cell>
          <cell r="G493">
            <v>0.27080228877516904</v>
          </cell>
          <cell r="H493">
            <v>6.8051748117110261E-2</v>
          </cell>
          <cell r="I493">
            <v>9.2979971723015746E-3</v>
          </cell>
        </row>
        <row r="494">
          <cell r="A494" t="str">
            <v>T_C-ICE-DSL-S1</v>
          </cell>
          <cell r="B494" t="str">
            <v>VAR_fout</v>
          </cell>
          <cell r="C494" t="str">
            <v>CO2_T</v>
          </cell>
          <cell r="D494">
            <v>0.37686710868011869</v>
          </cell>
          <cell r="E494">
            <v>3.8868223318109267</v>
          </cell>
          <cell r="F494">
            <v>3.7678508556946104</v>
          </cell>
          <cell r="G494">
            <v>2.2088552602264317</v>
          </cell>
          <cell r="H494">
            <v>0.76519880151225417</v>
          </cell>
          <cell r="I494">
            <v>5.719673869068384E-2</v>
          </cell>
        </row>
        <row r="495">
          <cell r="A495" t="str">
            <v>T_C-ICE-DSL-S1</v>
          </cell>
          <cell r="B495" t="str">
            <v>VAR_fout</v>
          </cell>
          <cell r="C495" t="str">
            <v>TPCAR</v>
          </cell>
          <cell r="D495">
            <v>3.8786468960126199E-3</v>
          </cell>
          <cell r="E495">
            <v>4.907022804816398E-2</v>
          </cell>
          <cell r="F495">
            <v>4.7400474026029926E-2</v>
          </cell>
          <cell r="G495">
            <v>2.7517024849665377E-2</v>
          </cell>
          <cell r="H495">
            <v>9.4382011346708823E-3</v>
          </cell>
          <cell r="I495">
            <v>5.0122418252387111E-4</v>
          </cell>
        </row>
        <row r="496">
          <cell r="A496" t="str">
            <v>T_C-ICE-DSL-S1</v>
          </cell>
          <cell r="B496" t="str">
            <v>VAR_fin</v>
          </cell>
          <cell r="C496" t="str">
            <v>TDSL</v>
          </cell>
          <cell r="D496">
            <v>5.1414339519797979E-3</v>
          </cell>
          <cell r="E496">
            <v>5.3026225536301867E-2</v>
          </cell>
          <cell r="F496">
            <v>5.140314946377364E-2</v>
          </cell>
          <cell r="G496">
            <v>3.0134451026281497E-2</v>
          </cell>
          <cell r="H496">
            <v>1.0439274236183517E-2</v>
          </cell>
          <cell r="I496">
            <v>7.8031021406117101E-4</v>
          </cell>
        </row>
        <row r="497">
          <cell r="A497" t="str">
            <v>T_C-ICE-DSL-S1</v>
          </cell>
          <cell r="B497" t="str">
            <v>VAR_ncap</v>
          </cell>
          <cell r="C497" t="str">
            <v>-</v>
          </cell>
          <cell r="E497">
            <v>4.8191775356978203E-3</v>
          </cell>
          <cell r="F497">
            <v>9.8921867790152898E-5</v>
          </cell>
          <cell r="G497">
            <v>1.21343185422783E-4</v>
          </cell>
        </row>
        <row r="498">
          <cell r="A498" t="str">
            <v>T_C-ICE-DSL-S1</v>
          </cell>
          <cell r="B498" t="str">
            <v>VAR_cap</v>
          </cell>
          <cell r="C498" t="str">
            <v>-</v>
          </cell>
          <cell r="D498">
            <v>4.4464496037692567E-4</v>
          </cell>
          <cell r="E498">
            <v>5.2278324467305839E-3</v>
          </cell>
          <cell r="F498">
            <v>5.0499943894640256E-3</v>
          </cell>
          <cell r="G498">
            <v>4.1308605895416795E-3</v>
          </cell>
          <cell r="H498">
            <v>1.4021653067071763E-3</v>
          </cell>
          <cell r="I498">
            <v>6.4821157399342469E-5</v>
          </cell>
        </row>
        <row r="499">
          <cell r="A499" t="str">
            <v>T_C-ICE-GSL-S3</v>
          </cell>
          <cell r="B499" t="str">
            <v>VAR_fout</v>
          </cell>
          <cell r="C499" t="str">
            <v>CO2_T</v>
          </cell>
          <cell r="D499">
            <v>267.59273695067827</v>
          </cell>
          <cell r="E499">
            <v>423.83632461267911</v>
          </cell>
          <cell r="F499">
            <v>808.63898836142585</v>
          </cell>
          <cell r="G499">
            <v>680.11404947432072</v>
          </cell>
          <cell r="H499">
            <v>264.20692920512113</v>
          </cell>
          <cell r="I499">
            <v>35.547574892550486</v>
          </cell>
        </row>
        <row r="500">
          <cell r="A500" t="str">
            <v>T_C-ICE-GSL-S3</v>
          </cell>
          <cell r="B500" t="str">
            <v>VAR_fout</v>
          </cell>
          <cell r="C500" t="str">
            <v>TPCAR</v>
          </cell>
          <cell r="D500">
            <v>1.8682310478452837</v>
          </cell>
          <cell r="E500">
            <v>2.9635600088352727</v>
          </cell>
          <cell r="F500">
            <v>5.4754613650421424</v>
          </cell>
          <cell r="G500">
            <v>4.6177693243004319</v>
          </cell>
          <cell r="H500">
            <v>1.7359884948188866</v>
          </cell>
          <cell r="I500">
            <v>0.23226837944573619</v>
          </cell>
        </row>
        <row r="501">
          <cell r="A501" t="str">
            <v>T_C-ICE-GSL-S3</v>
          </cell>
          <cell r="B501" t="str">
            <v>VAR_fin</v>
          </cell>
          <cell r="C501" t="str">
            <v>TGSL</v>
          </cell>
          <cell r="D501">
            <v>3.6259178448601364</v>
          </cell>
          <cell r="E501">
            <v>5.7430396288981012</v>
          </cell>
          <cell r="F501">
            <v>10.957167863975956</v>
          </cell>
          <cell r="G501">
            <v>9.2156375267523103</v>
          </cell>
          <cell r="H501">
            <v>3.5800396911263053</v>
          </cell>
          <cell r="I501">
            <v>0.48167445653862406</v>
          </cell>
        </row>
        <row r="502">
          <cell r="A502" t="str">
            <v>T_C-ICE-GSL-S3</v>
          </cell>
          <cell r="B502" t="str">
            <v>VAR_ncap</v>
          </cell>
          <cell r="C502" t="str">
            <v>-</v>
          </cell>
          <cell r="E502">
            <v>1.29852886484959E-4</v>
          </cell>
          <cell r="F502">
            <v>0.17820374801320699</v>
          </cell>
          <cell r="G502">
            <v>7.3485483107719104E-5</v>
          </cell>
        </row>
        <row r="503">
          <cell r="A503" t="str">
            <v>T_C-ICE-GSL-S3</v>
          </cell>
          <cell r="B503" t="str">
            <v>VAR_cap</v>
          </cell>
          <cell r="C503" t="str">
            <v>-</v>
          </cell>
          <cell r="D503">
            <v>0.1820125001919328</v>
          </cell>
          <cell r="E503">
            <v>0.20378180220531703</v>
          </cell>
          <cell r="F503">
            <v>0.37647165744081995</v>
          </cell>
          <cell r="G503">
            <v>0.31756511598051201</v>
          </cell>
          <cell r="H503">
            <v>0.1194229672029827</v>
          </cell>
          <cell r="I503">
            <v>1.7670519598656387E-2</v>
          </cell>
        </row>
        <row r="504">
          <cell r="A504" t="str">
            <v>T_C-ICE-DSL-S2</v>
          </cell>
          <cell r="B504" t="str">
            <v>VAR_fout</v>
          </cell>
          <cell r="C504" t="str">
            <v>CO2_T</v>
          </cell>
          <cell r="D504">
            <v>89.480269187679795</v>
          </cell>
          <cell r="E504">
            <v>94.136124718796182</v>
          </cell>
          <cell r="F504">
            <v>93.495334719105159</v>
          </cell>
          <cell r="G504">
            <v>61.039434623166798</v>
          </cell>
          <cell r="H504">
            <v>1.7112817883447706</v>
          </cell>
          <cell r="I504">
            <v>5.8685957007577796E-2</v>
          </cell>
        </row>
        <row r="505">
          <cell r="A505" t="str">
            <v>T_C-ICE-DSL-S2</v>
          </cell>
          <cell r="B505" t="str">
            <v>VAR_fout</v>
          </cell>
          <cell r="C505" t="str">
            <v>TPCAR</v>
          </cell>
          <cell r="D505">
            <v>0.85014963059956816</v>
          </cell>
          <cell r="E505">
            <v>0.90389386500807345</v>
          </cell>
          <cell r="F505">
            <v>0.89653841580156646</v>
          </cell>
          <cell r="G505">
            <v>0.63454648302368932</v>
          </cell>
          <cell r="H505">
            <v>1.8943221628135887E-2</v>
          </cell>
          <cell r="I505">
            <v>4.2201495384569407E-4</v>
          </cell>
        </row>
        <row r="506">
          <cell r="A506" t="str">
            <v>T_C-ICE-DSL-S2</v>
          </cell>
          <cell r="B506" t="str">
            <v>VAR_fin</v>
          </cell>
          <cell r="C506" t="str">
            <v>TDSL</v>
          </cell>
          <cell r="D506">
            <v>1.2207403709096845</v>
          </cell>
          <cell r="E506">
            <v>1.2842581817025378</v>
          </cell>
          <cell r="F506">
            <v>1.2755161626071676</v>
          </cell>
          <cell r="G506">
            <v>0.83273444233515548</v>
          </cell>
          <cell r="H506">
            <v>2.3346272692288835E-2</v>
          </cell>
          <cell r="I506">
            <v>8.0062697145399323E-4</v>
          </cell>
        </row>
        <row r="507">
          <cell r="A507" t="str">
            <v>T_C-ICE-DSL-S2</v>
          </cell>
          <cell r="B507" t="str">
            <v>VAR_ncap</v>
          </cell>
          <cell r="C507" t="str">
            <v>-</v>
          </cell>
          <cell r="E507">
            <v>6.2840862718671595E-5</v>
          </cell>
          <cell r="F507">
            <v>6.4155193597677099E-5</v>
          </cell>
          <cell r="G507">
            <v>5.82851468585619E-5</v>
          </cell>
        </row>
        <row r="508">
          <cell r="A508" t="str">
            <v>T_C-ICE-DSL-S2</v>
          </cell>
          <cell r="B508" t="str">
            <v>VAR_cap</v>
          </cell>
          <cell r="C508" t="str">
            <v>-</v>
          </cell>
          <cell r="D508">
            <v>6.456959060462808E-2</v>
          </cell>
          <cell r="E508">
            <v>6.8566637050352527E-2</v>
          </cell>
          <cell r="F508">
            <v>6.8005946433499942E-2</v>
          </cell>
          <cell r="G508">
            <v>5.1619036919880762E-2</v>
          </cell>
          <cell r="H508">
            <v>1.866013588081548E-3</v>
          </cell>
          <cell r="I508">
            <v>3.2772999449218838E-5</v>
          </cell>
        </row>
        <row r="509">
          <cell r="A509" t="str">
            <v>TPRLPH2OFCL</v>
          </cell>
          <cell r="B509" t="str">
            <v>VAR_fout</v>
          </cell>
          <cell r="C509" t="str">
            <v>TPRLP</v>
          </cell>
          <cell r="I509">
            <v>-3.1564977653921271E-5</v>
          </cell>
          <cell r="J509">
            <v>-3.2077890217591793E-5</v>
          </cell>
          <cell r="K509">
            <v>-2.670449526221927E-5</v>
          </cell>
          <cell r="L509">
            <v>-2.2631249504766458E-5</v>
          </cell>
          <cell r="M509">
            <v>-2.2866431072819107E-5</v>
          </cell>
          <cell r="N509">
            <v>-9.5019172032707323E-6</v>
          </cell>
          <cell r="O509">
            <v>2.7881439333013142E-5</v>
          </cell>
        </row>
        <row r="510">
          <cell r="A510" t="str">
            <v>TPRLPH2OFCL</v>
          </cell>
          <cell r="B510" t="str">
            <v>VAR_fin</v>
          </cell>
          <cell r="C510" t="str">
            <v>TH2O</v>
          </cell>
          <cell r="I510">
            <v>-1.7592900498473287E-3</v>
          </cell>
          <cell r="J510">
            <v>-1.7217499668762883E-3</v>
          </cell>
          <cell r="K510">
            <v>-1.3822147157000972E-3</v>
          </cell>
          <cell r="L510">
            <v>-1.1713850343550408E-3</v>
          </cell>
          <cell r="M510">
            <v>-1.1835579446097303E-3</v>
          </cell>
          <cell r="N510">
            <v>-4.9181569083261696E-4</v>
          </cell>
          <cell r="O510">
            <v>1.4431329018793652E-3</v>
          </cell>
        </row>
        <row r="511">
          <cell r="A511" t="str">
            <v>TPRLPH2OFCL</v>
          </cell>
          <cell r="B511" t="str">
            <v>VAR_ncap</v>
          </cell>
          <cell r="C511" t="str">
            <v>-</v>
          </cell>
          <cell r="I511">
            <v>1.4576993140200099E-8</v>
          </cell>
          <cell r="K511">
            <v>1.23556062613045E-7</v>
          </cell>
          <cell r="M511">
            <v>1.2615907332205499E-7</v>
          </cell>
          <cell r="N511">
            <v>8.34760209306537E-8</v>
          </cell>
          <cell r="O511">
            <v>8.8759087599200202E-7</v>
          </cell>
        </row>
        <row r="512">
          <cell r="A512" t="str">
            <v>TPRLPH2OFCL</v>
          </cell>
          <cell r="B512" t="str">
            <v>VAR_cap</v>
          </cell>
          <cell r="C512" t="str">
            <v>-</v>
          </cell>
          <cell r="I512">
            <v>1.4576993140200099E-8</v>
          </cell>
          <cell r="J512">
            <v>1.4576993140200099E-8</v>
          </cell>
          <cell r="K512">
            <v>1.3813305575324599E-7</v>
          </cell>
          <cell r="L512">
            <v>1.3813305575324599E-7</v>
          </cell>
          <cell r="M512">
            <v>2.642921290753E-7</v>
          </cell>
          <cell r="N512">
            <v>3.4548612217069802E-7</v>
          </cell>
          <cell r="O512">
            <v>1.2207820328577601E-6</v>
          </cell>
        </row>
        <row r="513">
          <cell r="A513" t="str">
            <v>T_C-ICE-GSL-S4</v>
          </cell>
          <cell r="B513" t="str">
            <v>VAR_fout</v>
          </cell>
          <cell r="C513" t="str">
            <v>CO2_T</v>
          </cell>
          <cell r="D513">
            <v>279.30979700086851</v>
          </cell>
          <cell r="E513">
            <v>387.84027535026559</v>
          </cell>
          <cell r="F513">
            <v>695.8199387587415</v>
          </cell>
          <cell r="G513">
            <v>578.80326758606441</v>
          </cell>
          <cell r="H513">
            <v>212.00615468518379</v>
          </cell>
          <cell r="I513">
            <v>22.419307442101047</v>
          </cell>
        </row>
        <row r="514">
          <cell r="A514" t="str">
            <v>T_C-ICE-GSL-S4</v>
          </cell>
          <cell r="B514" t="str">
            <v>VAR_fout</v>
          </cell>
          <cell r="C514" t="str">
            <v>TPCAR</v>
          </cell>
          <cell r="D514">
            <v>1.6631205308935768</v>
          </cell>
          <cell r="E514">
            <v>2.2771236090982652</v>
          </cell>
          <cell r="F514">
            <v>4.0906607538821484</v>
          </cell>
          <cell r="G514">
            <v>3.4287067786118</v>
          </cell>
          <cell r="H514">
            <v>1.2470675053800708</v>
          </cell>
          <cell r="I514">
            <v>0.13198550453130564</v>
          </cell>
        </row>
        <row r="515">
          <cell r="A515" t="str">
            <v>T_C-ICE-GSL-S4</v>
          </cell>
          <cell r="B515" t="str">
            <v>VAR_fin</v>
          </cell>
          <cell r="C515" t="str">
            <v>TGSL</v>
          </cell>
          <cell r="D515">
            <v>3.7846855962177273</v>
          </cell>
          <cell r="E515">
            <v>5.255288283878941</v>
          </cell>
          <cell r="F515">
            <v>9.4284544547254896</v>
          </cell>
          <cell r="G515">
            <v>7.8428627044182218</v>
          </cell>
          <cell r="H515">
            <v>2.872712123105472</v>
          </cell>
          <cell r="I515">
            <v>0.30378465368700552</v>
          </cell>
        </row>
        <row r="516">
          <cell r="A516" t="str">
            <v>T_C-ICE-GSL-S4</v>
          </cell>
          <cell r="B516" t="str">
            <v>VAR_ncap</v>
          </cell>
          <cell r="C516" t="str">
            <v>-</v>
          </cell>
          <cell r="E516">
            <v>7.0502352607903403E-5</v>
          </cell>
          <cell r="F516">
            <v>0.14764000834618701</v>
          </cell>
          <cell r="G516">
            <v>2.7663752212465302E-4</v>
          </cell>
        </row>
        <row r="517">
          <cell r="A517" t="str">
            <v>T_C-ICE-GSL-S4</v>
          </cell>
          <cell r="B517" t="str">
            <v>VAR_cap</v>
          </cell>
          <cell r="C517" t="str">
            <v>-</v>
          </cell>
          <cell r="D517">
            <v>0.15707569064427415</v>
          </cell>
          <cell r="E517">
            <v>0.17933336131700012</v>
          </cell>
          <cell r="F517">
            <v>0.3221028349277606</v>
          </cell>
          <cell r="G517">
            <v>0.27011370005297725</v>
          </cell>
          <cell r="H517">
            <v>0.10031980685611248</v>
          </cell>
          <cell r="I517">
            <v>1.4737810067539055E-2</v>
          </cell>
        </row>
        <row r="518">
          <cell r="A518" t="str">
            <v>T_C-ICE-DSL-S3</v>
          </cell>
          <cell r="B518" t="str">
            <v>VAR_fout</v>
          </cell>
          <cell r="C518" t="str">
            <v>CO2_T</v>
          </cell>
          <cell r="D518">
            <v>367.37382563653659</v>
          </cell>
          <cell r="E518">
            <v>390.48402737489255</v>
          </cell>
          <cell r="F518">
            <v>386.85116405361396</v>
          </cell>
          <cell r="G518">
            <v>295.36603994246832</v>
          </cell>
          <cell r="H518">
            <v>10.202682547871184</v>
          </cell>
          <cell r="I518">
            <v>4.8251389918451203E-2</v>
          </cell>
        </row>
        <row r="519">
          <cell r="A519" t="str">
            <v>T_C-ICE-DSL-S3</v>
          </cell>
          <cell r="B519" t="str">
            <v>VAR_fout</v>
          </cell>
          <cell r="C519" t="str">
            <v>TPCAR</v>
          </cell>
          <cell r="D519">
            <v>2.6467080281631872</v>
          </cell>
          <cell r="E519">
            <v>2.8363543671536839</v>
          </cell>
          <cell r="F519">
            <v>2.8075263066103857</v>
          </cell>
          <cell r="G519">
            <v>2.1808360207358586</v>
          </cell>
          <cell r="H519">
            <v>8.2187037660173573E-2</v>
          </cell>
          <cell r="I519">
            <v>3.1322307594008149E-4</v>
          </cell>
        </row>
        <row r="520">
          <cell r="A520" t="str">
            <v>T_C-ICE-DSL-S3</v>
          </cell>
          <cell r="B520" t="str">
            <v>VAR_fin</v>
          </cell>
          <cell r="C520" t="str">
            <v>TDSL</v>
          </cell>
          <cell r="D520">
            <v>5.0119212228722514</v>
          </cell>
          <cell r="E520">
            <v>5.3272036476793048</v>
          </cell>
          <cell r="F520">
            <v>5.2776420744012835</v>
          </cell>
          <cell r="G520">
            <v>4.0295503402792505</v>
          </cell>
          <cell r="H520">
            <v>0.13919075781543189</v>
          </cell>
          <cell r="I520">
            <v>6.5827271375786043E-4</v>
          </cell>
        </row>
        <row r="521">
          <cell r="A521" t="str">
            <v>T_C-ICE-DSL-S3</v>
          </cell>
          <cell r="B521" t="str">
            <v>VAR_ncap</v>
          </cell>
          <cell r="C521" t="str">
            <v>-</v>
          </cell>
          <cell r="E521">
            <v>3.6142175533034303E-5</v>
          </cell>
          <cell r="F521">
            <v>4.2116339818044202E-5</v>
          </cell>
          <cell r="G521">
            <v>3.4564055116164897E-5</v>
          </cell>
        </row>
        <row r="522">
          <cell r="A522" t="str">
            <v>T_C-ICE-DSL-S3</v>
          </cell>
          <cell r="B522" t="str">
            <v>VAR_cap</v>
          </cell>
          <cell r="C522" t="str">
            <v>-</v>
          </cell>
          <cell r="D522">
            <v>0.18324144802544665</v>
          </cell>
          <cell r="E522">
            <v>0.19503195454697655</v>
          </cell>
          <cell r="F522">
            <v>0.19303765337143361</v>
          </cell>
          <cell r="G522">
            <v>0.15001579115223809</v>
          </cell>
          <cell r="H522">
            <v>5.6738798521895027E-3</v>
          </cell>
          <cell r="I522">
            <v>1.9829315198217823E-5</v>
          </cell>
        </row>
        <row r="523">
          <cell r="A523" t="str">
            <v>T_C-ICE-DSL-S4</v>
          </cell>
          <cell r="B523" t="str">
            <v>VAR_fout</v>
          </cell>
          <cell r="C523" t="str">
            <v>CO2_T</v>
          </cell>
          <cell r="D523">
            <v>141.41601740296142</v>
          </cell>
          <cell r="E523">
            <v>162.02884389959533</v>
          </cell>
          <cell r="F523">
            <v>159.42702064403295</v>
          </cell>
          <cell r="G523">
            <v>122.40633492702817</v>
          </cell>
          <cell r="H523">
            <v>7.260632476218988</v>
          </cell>
          <cell r="I523">
            <v>3.7674736533664308E-2</v>
          </cell>
        </row>
        <row r="524">
          <cell r="A524" t="str">
            <v>T_C-ICE-DSL-S4</v>
          </cell>
          <cell r="B524" t="str">
            <v>VAR_fout</v>
          </cell>
          <cell r="C524" t="str">
            <v>TPCAR</v>
          </cell>
          <cell r="D524">
            <v>0.89922060437544404</v>
          </cell>
          <cell r="E524">
            <v>1.0074315849846978</v>
          </cell>
          <cell r="F524">
            <v>0.99340698156667107</v>
          </cell>
          <cell r="G524">
            <v>0.77364553105168576</v>
          </cell>
          <cell r="H524">
            <v>3.8742028424216562E-2</v>
          </cell>
          <cell r="I524">
            <v>2.1804416366197604E-4</v>
          </cell>
        </row>
        <row r="525">
          <cell r="A525" t="str">
            <v>T_C-ICE-DSL-S4</v>
          </cell>
          <cell r="B525" t="str">
            <v>VAR_fin</v>
          </cell>
          <cell r="C525" t="str">
            <v>TDSL</v>
          </cell>
          <cell r="D525">
            <v>1.9292771814865139</v>
          </cell>
          <cell r="E525">
            <v>2.210489002722996</v>
          </cell>
          <cell r="F525">
            <v>2.1749934603551564</v>
          </cell>
          <cell r="G525">
            <v>1.6699363564396761</v>
          </cell>
          <cell r="H525">
            <v>9.9053649061650387E-2</v>
          </cell>
          <cell r="I525">
            <v>5.1398003456567924E-4</v>
          </cell>
        </row>
        <row r="526">
          <cell r="A526" t="str">
            <v>T_C-ICE-DSL-S4</v>
          </cell>
          <cell r="B526" t="str">
            <v>VAR_ncap</v>
          </cell>
          <cell r="C526" t="str">
            <v>-</v>
          </cell>
          <cell r="E526">
            <v>1.1227300601617501E-5</v>
          </cell>
          <cell r="F526">
            <v>1.7256878783680799E-5</v>
          </cell>
          <cell r="G526">
            <v>2.8274363501736999E-5</v>
          </cell>
        </row>
        <row r="527">
          <cell r="A527" t="str">
            <v>T_C-ICE-DSL-S4</v>
          </cell>
          <cell r="B527" t="str">
            <v>VAR_cap</v>
          </cell>
          <cell r="C527" t="str">
            <v>-</v>
          </cell>
          <cell r="D527">
            <v>7.1262323132449165E-2</v>
          </cell>
          <cell r="E527">
            <v>7.9348372639449521E-2</v>
          </cell>
          <cell r="F527">
            <v>7.8228870328637914E-2</v>
          </cell>
          <cell r="G527">
            <v>6.1099942680701826E-2</v>
          </cell>
          <cell r="H527">
            <v>3.4002448391893536E-3</v>
          </cell>
          <cell r="I527">
            <v>1.4513261445904663E-5</v>
          </cell>
        </row>
        <row r="528">
          <cell r="A528" t="str">
            <v>TFLGV-ICENGAExt</v>
          </cell>
          <cell r="B528" t="str">
            <v>VAR_fout</v>
          </cell>
          <cell r="C528" t="str">
            <v>CO2_T</v>
          </cell>
          <cell r="D528">
            <v>5.9994010506356696</v>
          </cell>
          <cell r="E528">
            <v>1.8390553020598801</v>
          </cell>
          <cell r="F528">
            <v>3.96106338477508</v>
          </cell>
        </row>
        <row r="529">
          <cell r="A529" t="str">
            <v>TFLGV-ICENGAExt</v>
          </cell>
          <cell r="B529" t="str">
            <v>VAR_fout</v>
          </cell>
          <cell r="C529" t="str">
            <v>TFLGV</v>
          </cell>
          <cell r="D529">
            <v>2.9527185789114278E-2</v>
          </cell>
          <cell r="E529">
            <v>9.1356161383954766E-3</v>
          </cell>
          <cell r="F529">
            <v>1.9949359665381534E-2</v>
          </cell>
        </row>
        <row r="530">
          <cell r="A530" t="str">
            <v>TFLGV-ICENGAExt</v>
          </cell>
          <cell r="B530" t="str">
            <v>VAR_fin</v>
          </cell>
          <cell r="C530" t="str">
            <v>TNGA</v>
          </cell>
          <cell r="D530">
            <v>0.10637235905382372</v>
          </cell>
          <cell r="E530">
            <v>3.2607363511699947E-2</v>
          </cell>
          <cell r="F530">
            <v>7.0231620297430367E-2</v>
          </cell>
        </row>
        <row r="531">
          <cell r="A531" t="str">
            <v>TFLGV-ICENGAExt</v>
          </cell>
          <cell r="B531" t="str">
            <v>VAR_cap</v>
          </cell>
          <cell r="C531" t="str">
            <v>-</v>
          </cell>
          <cell r="D531">
            <v>2.0847696556532667E-3</v>
          </cell>
          <cell r="E531">
            <v>1.8069316948754583E-3</v>
          </cell>
          <cell r="F531">
            <v>1.3899875401051803E-3</v>
          </cell>
        </row>
        <row r="532">
          <cell r="A532" t="str">
            <v>D-TGSL</v>
          </cell>
          <cell r="B532" t="str">
            <v>VAR_fout</v>
          </cell>
          <cell r="C532" t="str">
            <v>CO2</v>
          </cell>
          <cell r="D532">
            <v>5858.3330960201001</v>
          </cell>
          <cell r="E532">
            <v>5579.1603148818003</v>
          </cell>
          <cell r="F532">
            <v>5058.08617791704</v>
          </cell>
          <cell r="G532">
            <v>3416.8320787877801</v>
          </cell>
          <cell r="H532">
            <v>1603.71521030709</v>
          </cell>
          <cell r="I532">
            <v>658.76144644546002</v>
          </cell>
          <cell r="J532">
            <v>380.654114346315</v>
          </cell>
          <cell r="K532">
            <v>16.7721296333048</v>
          </cell>
          <cell r="L532">
            <v>15.2072682491828</v>
          </cell>
          <cell r="M532">
            <v>14.1495370752278</v>
          </cell>
          <cell r="N532">
            <v>17.195977808835</v>
          </cell>
          <cell r="O532">
            <v>14.025518471956101</v>
          </cell>
        </row>
        <row r="533">
          <cell r="A533" t="str">
            <v>D-TGSL</v>
          </cell>
          <cell r="B533" t="str">
            <v>VAR_fout</v>
          </cell>
          <cell r="C533" t="str">
            <v>TGSL</v>
          </cell>
          <cell r="D533">
            <v>82.744221041786346</v>
          </cell>
          <cell r="E533">
            <v>78.801120725864138</v>
          </cell>
          <cell r="F533">
            <v>71.441238956577664</v>
          </cell>
          <cell r="G533">
            <v>48.260547611983817</v>
          </cell>
          <cell r="H533">
            <v>22.991525572508337</v>
          </cell>
          <cell r="I533">
            <v>9.3087275264227802</v>
          </cell>
          <cell r="J533">
            <v>5.3870300667299826</v>
          </cell>
          <cell r="K533">
            <v>1.3630784692289781</v>
          </cell>
          <cell r="L533">
            <v>1.2657635049930567</v>
          </cell>
          <cell r="M533">
            <v>1.2487546077007727</v>
          </cell>
          <cell r="N533">
            <v>1.1388026758380037</v>
          </cell>
          <cell r="O533">
            <v>1.0974228563324244</v>
          </cell>
        </row>
        <row r="534">
          <cell r="A534" t="str">
            <v>D-TGSL</v>
          </cell>
          <cell r="B534" t="str">
            <v>VAR_fin</v>
          </cell>
          <cell r="C534" t="str">
            <v>GSL</v>
          </cell>
          <cell r="D534">
            <v>79.381207263144987</v>
          </cell>
          <cell r="E534">
            <v>75.598378250430841</v>
          </cell>
          <cell r="F534">
            <v>68.537753088306715</v>
          </cell>
          <cell r="G534">
            <v>46.298537652950955</v>
          </cell>
          <cell r="H534">
            <v>21.730558405245123</v>
          </cell>
          <cell r="I534">
            <v>8.9263068624046031</v>
          </cell>
          <cell r="J534">
            <v>5.1579148285408509</v>
          </cell>
          <cell r="K534">
            <v>0.22726462917757143</v>
          </cell>
          <cell r="L534">
            <v>0.20606054538188004</v>
          </cell>
          <cell r="M534">
            <v>0.1917281446507835</v>
          </cell>
          <cell r="N534">
            <v>0.23300782938800807</v>
          </cell>
          <cell r="O534">
            <v>0.19004767577176326</v>
          </cell>
        </row>
        <row r="535">
          <cell r="A535" t="str">
            <v>D-TGSL</v>
          </cell>
          <cell r="B535" t="str">
            <v>VAR_fin</v>
          </cell>
          <cell r="C535" t="str">
            <v>ETH</v>
          </cell>
          <cell r="D535">
            <v>4.597169571741559</v>
          </cell>
          <cell r="E535">
            <v>4.3780849546141383</v>
          </cell>
          <cell r="F535">
            <v>3.969053491390103</v>
          </cell>
          <cell r="G535">
            <v>2.6818870003268009</v>
          </cell>
          <cell r="H535">
            <v>1.6038927045858371</v>
          </cell>
          <cell r="I535">
            <v>0.52126314224873493</v>
          </cell>
          <cell r="J535">
            <v>0.30946441616692938</v>
          </cell>
          <cell r="K535">
            <v>1.1561445664748948</v>
          </cell>
          <cell r="L535">
            <v>1.0785822039964272</v>
          </cell>
          <cell r="M535">
            <v>1.075652014602861</v>
          </cell>
          <cell r="N535">
            <v>0.92278043178162583</v>
          </cell>
          <cell r="O535">
            <v>0.92374357340571667</v>
          </cell>
        </row>
        <row r="536">
          <cell r="A536" t="str">
            <v>T_TW-BEVELC-S1</v>
          </cell>
          <cell r="B536" t="str">
            <v>VAR_fout</v>
          </cell>
          <cell r="C536" t="str">
            <v>TPTWL</v>
          </cell>
          <cell r="D536">
            <v>2.6150290910843862E-2</v>
          </cell>
          <cell r="E536">
            <v>1.1761695782273667</v>
          </cell>
          <cell r="F536">
            <v>1.1838866894012265</v>
          </cell>
          <cell r="G536">
            <v>1.0392762301872092</v>
          </cell>
          <cell r="H536">
            <v>2.7091789990841941E-2</v>
          </cell>
          <cell r="I536">
            <v>7.2546640532267781E-2</v>
          </cell>
          <cell r="J536">
            <v>1.0307188767851783</v>
          </cell>
          <cell r="K536">
            <v>1.8027709726462067</v>
          </cell>
          <cell r="L536">
            <v>1.8263520338109933</v>
          </cell>
          <cell r="M536">
            <v>1.7740921855542966</v>
          </cell>
          <cell r="N536">
            <v>1.7359879992927136</v>
          </cell>
          <cell r="O536">
            <v>1.67342793338156</v>
          </cell>
        </row>
        <row r="537">
          <cell r="A537" t="str">
            <v>T_TW-BEVELC-S1</v>
          </cell>
          <cell r="B537" t="str">
            <v>VAR_fin</v>
          </cell>
          <cell r="C537" t="str">
            <v>T-ELC-TWSTGout_S1</v>
          </cell>
          <cell r="D537">
            <v>2.3561098186836373E-3</v>
          </cell>
          <cell r="E537">
            <v>0.10544453191736231</v>
          </cell>
          <cell r="F537">
            <v>0.10611843175324939</v>
          </cell>
          <cell r="G537">
            <v>9.3148425416429675E-2</v>
          </cell>
          <cell r="H537">
            <v>2.3825532272871717E-3</v>
          </cell>
          <cell r="I537">
            <v>6.2409636792585639E-3</v>
          </cell>
          <cell r="J537">
            <v>8.7552683264893141E-2</v>
          </cell>
          <cell r="K537">
            <v>0.15211717913461173</v>
          </cell>
          <cell r="L537">
            <v>0.15364715058963038</v>
          </cell>
          <cell r="M537">
            <v>0.14890990942873958</v>
          </cell>
          <cell r="N537">
            <v>0.1457116027278422</v>
          </cell>
          <cell r="O537">
            <v>0.14046057134145704</v>
          </cell>
        </row>
        <row r="538">
          <cell r="A538" t="str">
            <v>T_TW-BEVELC-S1</v>
          </cell>
          <cell r="B538" t="str">
            <v>VAR_ncap</v>
          </cell>
          <cell r="C538" t="str">
            <v>-</v>
          </cell>
          <cell r="D538">
            <v>3.2439428338307398E-3</v>
          </cell>
          <cell r="E538">
            <v>0.39389688584633598</v>
          </cell>
          <cell r="F538">
            <v>9.3171953718811495E-3</v>
          </cell>
          <cell r="G538">
            <v>5.2232047370000202E-4</v>
          </cell>
          <cell r="H538">
            <v>4.4475676788489297E-3</v>
          </cell>
          <cell r="I538">
            <v>2.0554417386812501E-2</v>
          </cell>
          <cell r="J538">
            <v>0.341216022019868</v>
          </cell>
          <cell r="K538">
            <v>0.40210021749445601</v>
          </cell>
          <cell r="L538">
            <v>0.22665019099321601</v>
          </cell>
          <cell r="M538">
            <v>0.34528567527478199</v>
          </cell>
          <cell r="N538">
            <v>0.39068769631310202</v>
          </cell>
          <cell r="O538">
            <v>0.14017214857017499</v>
          </cell>
        </row>
        <row r="539">
          <cell r="A539" t="str">
            <v>T_TW-BEVELC-S1</v>
          </cell>
          <cell r="B539" t="str">
            <v>VAR_cap</v>
          </cell>
          <cell r="C539" t="str">
            <v>-</v>
          </cell>
          <cell r="D539">
            <v>9.1846145451398159E-3</v>
          </cell>
          <cell r="E539">
            <v>0.40503481890494009</v>
          </cell>
          <cell r="F539">
            <v>0.41435087832926598</v>
          </cell>
          <cell r="G539">
            <v>0.35911077377597722</v>
          </cell>
          <cell r="H539">
            <v>9.7425667143456324E-3</v>
          </cell>
          <cell r="I539">
            <v>2.5110911827237698E-2</v>
          </cell>
          <cell r="J539">
            <v>0.36407549596483824</v>
          </cell>
          <cell r="K539">
            <v>0.75033568960509811</v>
          </cell>
          <cell r="L539">
            <v>0.78223158231880441</v>
          </cell>
          <cell r="M539">
            <v>0.77794677539287327</v>
          </cell>
          <cell r="N539">
            <v>0.77611647146291995</v>
          </cell>
          <cell r="O539">
            <v>0.76387469093001426</v>
          </cell>
        </row>
        <row r="540">
          <cell r="A540" t="str">
            <v>TPRLPDSLEXT</v>
          </cell>
          <cell r="B540" t="str">
            <v>VAR_ncap</v>
          </cell>
          <cell r="C540" t="str">
            <v>-</v>
          </cell>
          <cell r="O540">
            <v>8.3590370073265096E-8</v>
          </cell>
        </row>
        <row r="541">
          <cell r="A541" t="str">
            <v>TPRLPDSLEXT</v>
          </cell>
          <cell r="B541" t="str">
            <v>VAR_cap</v>
          </cell>
          <cell r="C541" t="str">
            <v>-</v>
          </cell>
          <cell r="L541">
            <v>-3.7406617863187097E-9</v>
          </cell>
          <cell r="N541">
            <v>-4.9240866476248703E-9</v>
          </cell>
          <cell r="O541">
            <v>8.3590370073265096E-8</v>
          </cell>
        </row>
        <row r="542">
          <cell r="A542" t="str">
            <v>T_TW-BEVELC-S2</v>
          </cell>
          <cell r="B542" t="str">
            <v>VAR_fout</v>
          </cell>
          <cell r="C542" t="str">
            <v>TPTWL</v>
          </cell>
          <cell r="D542">
            <v>2.9718638094003943E-3</v>
          </cell>
          <cell r="E542">
            <v>4.4912679097571118E-3</v>
          </cell>
          <cell r="F542">
            <v>6.0524947676963443E-3</v>
          </cell>
          <cell r="G542">
            <v>6.1950773994652441E-3</v>
          </cell>
          <cell r="H542">
            <v>4.9920770986138681E-3</v>
          </cell>
          <cell r="I542">
            <v>5.3214456406497175E-3</v>
          </cell>
          <cell r="J542">
            <v>7.0184569215627733E-3</v>
          </cell>
          <cell r="K542">
            <v>9.350471538175165E-3</v>
          </cell>
          <cell r="L542">
            <v>1.0437607477809059E-2</v>
          </cell>
          <cell r="M542">
            <v>1.3426314005848245E-2</v>
          </cell>
          <cell r="N542">
            <v>1.2751954201091979E-2</v>
          </cell>
          <cell r="O542">
            <v>1.7852533260193586E-2</v>
          </cell>
        </row>
        <row r="543">
          <cell r="A543" t="str">
            <v>T_TW-BEVELC-S2</v>
          </cell>
          <cell r="B543" t="str">
            <v>VAR_fin</v>
          </cell>
          <cell r="C543" t="str">
            <v>T-ELC-TWSTGout_S2</v>
          </cell>
          <cell r="D543">
            <v>4.7288603524674731E-4</v>
          </cell>
          <cell r="E543">
            <v>7.1347188529364148E-4</v>
          </cell>
          <cell r="F543">
            <v>9.5876032399500662E-4</v>
          </cell>
          <cell r="G543">
            <v>9.7873225698711644E-4</v>
          </cell>
          <cell r="H543">
            <v>7.7439616527163384E-4</v>
          </cell>
          <cell r="I543">
            <v>8.1227432809592552E-4</v>
          </cell>
          <cell r="J543">
            <v>1.0623858750429711E-3</v>
          </cell>
          <cell r="K543">
            <v>1.3982136026655229E-3</v>
          </cell>
          <cell r="L543">
            <v>1.550449560845626E-3</v>
          </cell>
          <cell r="M543">
            <v>1.990071446276154E-3</v>
          </cell>
          <cell r="N543">
            <v>1.8901166715422071E-3</v>
          </cell>
          <cell r="O543">
            <v>2.6461333072749019E-3</v>
          </cell>
        </row>
        <row r="544">
          <cell r="A544" t="str">
            <v>T_TW-BEVELC-S2</v>
          </cell>
          <cell r="B544" t="str">
            <v>VAR_ncap</v>
          </cell>
          <cell r="C544" t="str">
            <v>-</v>
          </cell>
          <cell r="D544">
            <v>2.9547251347471399E-4</v>
          </cell>
          <cell r="E544">
            <v>4.7452336837610601E-4</v>
          </cell>
          <cell r="F544">
            <v>5.6609046924892595E-4</v>
          </cell>
          <cell r="G544">
            <v>2.6194654301977898E-4</v>
          </cell>
          <cell r="H544">
            <v>8.8946303044956003E-4</v>
          </cell>
          <cell r="I544">
            <v>9.0474961700803098E-4</v>
          </cell>
          <cell r="J544">
            <v>1.0884588808344E-3</v>
          </cell>
          <cell r="K544">
            <v>1.7011410886297201E-3</v>
          </cell>
          <cell r="L544">
            <v>1.6129202677424E-3</v>
          </cell>
          <cell r="M544">
            <v>2.0350336098039399E-3</v>
          </cell>
          <cell r="N544">
            <v>2.2451971578169201E-3</v>
          </cell>
          <cell r="O544">
            <v>2.9440683606937299E-3</v>
          </cell>
        </row>
        <row r="545">
          <cell r="A545" t="str">
            <v>T_TW-BEVELC-S2</v>
          </cell>
          <cell r="B545" t="str">
            <v>VAR_cap</v>
          </cell>
          <cell r="C545" t="str">
            <v>-</v>
          </cell>
          <cell r="D545">
            <v>1.0802661969587424E-3</v>
          </cell>
          <cell r="E545">
            <v>1.6723778489358548E-3</v>
          </cell>
          <cell r="F545">
            <v>2.2378675180830779E-3</v>
          </cell>
          <cell r="G545">
            <v>2.3333380429711834E-3</v>
          </cell>
          <cell r="H545">
            <v>1.8701372351171406E-3</v>
          </cell>
          <cell r="I545">
            <v>1.9546353304393175E-3</v>
          </cell>
          <cell r="J545">
            <v>2.7425695022764867E-3</v>
          </cell>
          <cell r="K545">
            <v>3.6931542774755193E-3</v>
          </cell>
          <cell r="L545">
            <v>4.1094378714616655E-3</v>
          </cell>
          <cell r="M545">
            <v>5.3465941325201221E-3</v>
          </cell>
          <cell r="N545">
            <v>5.1153720288139772E-3</v>
          </cell>
          <cell r="O545">
            <v>7.2218117371445267E-3</v>
          </cell>
        </row>
        <row r="546">
          <cell r="A546" t="str">
            <v>TFRLFH2OFCL</v>
          </cell>
          <cell r="B546" t="str">
            <v>VAR_fout</v>
          </cell>
          <cell r="C546" t="str">
            <v>TFRLF</v>
          </cell>
          <cell r="I546">
            <v>2.812824376474819E-5</v>
          </cell>
          <cell r="J546">
            <v>2.7825032501303527E-5</v>
          </cell>
          <cell r="K546">
            <v>2.8067381008024251E-5</v>
          </cell>
          <cell r="L546">
            <v>2.7904014670156006E-5</v>
          </cell>
          <cell r="M546">
            <v>2.81132561534193E-5</v>
          </cell>
          <cell r="N546">
            <v>2.7832786365320896E-5</v>
          </cell>
          <cell r="O546">
            <v>2.91032818598325E-5</v>
          </cell>
        </row>
        <row r="547">
          <cell r="A547" t="str">
            <v>TFRLFH2OFCL</v>
          </cell>
          <cell r="B547" t="str">
            <v>VAR_fin</v>
          </cell>
          <cell r="C547" t="str">
            <v>TH2O</v>
          </cell>
          <cell r="I547">
            <v>3.8548353228114998E-3</v>
          </cell>
          <cell r="J547">
            <v>4.2060448433615524E-3</v>
          </cell>
          <cell r="K547">
            <v>4.7298464522517476E-3</v>
          </cell>
          <cell r="L547">
            <v>4.7023163562530321E-3</v>
          </cell>
          <cell r="M547">
            <v>4.7375772196372483E-3</v>
          </cell>
          <cell r="N547">
            <v>4.6903131364004922E-3</v>
          </cell>
          <cell r="O547">
            <v>4.9044139321106238E-3</v>
          </cell>
        </row>
        <row r="548">
          <cell r="A548" t="str">
            <v>TFRLFH2OFCL</v>
          </cell>
          <cell r="B548" t="str">
            <v>VAR_ncap</v>
          </cell>
          <cell r="C548" t="str">
            <v>-</v>
          </cell>
          <cell r="O548">
            <v>2.5009487780982101E-8</v>
          </cell>
        </row>
        <row r="549">
          <cell r="A549" t="str">
            <v>TFRLFH2OFCL</v>
          </cell>
          <cell r="B549" t="str">
            <v>VAR_cap</v>
          </cell>
          <cell r="C549" t="str">
            <v>-</v>
          </cell>
          <cell r="J549">
            <v>-2.8423577387366799E-8</v>
          </cell>
          <cell r="O549">
            <v>1.1729610713569602E-8</v>
          </cell>
        </row>
        <row r="550">
          <cell r="A550" t="str">
            <v>T_TW-BEVELC-S3</v>
          </cell>
          <cell r="B550" t="str">
            <v>VAR_fout</v>
          </cell>
          <cell r="C550" t="str">
            <v>TPTWL</v>
          </cell>
          <cell r="D550">
            <v>1.0972742964660681E-3</v>
          </cell>
          <cell r="E550">
            <v>1.8925279079013196E-3</v>
          </cell>
          <cell r="F550">
            <v>2.9176724144592027E-3</v>
          </cell>
          <cell r="G550">
            <v>3.3657365276753694E-3</v>
          </cell>
          <cell r="H550">
            <v>4.691957919285201E-3</v>
          </cell>
          <cell r="I550">
            <v>5.1690133058758855E-3</v>
          </cell>
          <cell r="J550">
            <v>4.6916047043807892E-3</v>
          </cell>
          <cell r="K550">
            <v>6.1670507188727342E-3</v>
          </cell>
          <cell r="L550">
            <v>7.2620797104917187E-3</v>
          </cell>
          <cell r="M550">
            <v>8.4453480825148353E-3</v>
          </cell>
          <cell r="N550">
            <v>9.6328858520795188E-3</v>
          </cell>
          <cell r="O550">
            <v>1.1502082072253237E-2</v>
          </cell>
        </row>
        <row r="551">
          <cell r="A551" t="str">
            <v>T_TW-BEVELC-S3</v>
          </cell>
          <cell r="B551" t="str">
            <v>VAR_fin</v>
          </cell>
          <cell r="C551" t="str">
            <v>T-ELC-TWSTGout_S3</v>
          </cell>
          <cell r="D551">
            <v>2.6827282642108544E-4</v>
          </cell>
          <cell r="E551">
            <v>4.6155154802051237E-4</v>
          </cell>
          <cell r="F551">
            <v>7.0860010010483109E-4</v>
          </cell>
          <cell r="G551">
            <v>8.1428974200589666E-4</v>
          </cell>
          <cell r="H551">
            <v>1.1247439234312079E-3</v>
          </cell>
          <cell r="I551">
            <v>1.2231383756127168E-3</v>
          </cell>
          <cell r="J551">
            <v>1.0874300072994398E-3</v>
          </cell>
          <cell r="K551">
            <v>1.4124188273564387E-3</v>
          </cell>
          <cell r="L551">
            <v>1.6505165690061229E-3</v>
          </cell>
          <cell r="M551">
            <v>1.9068959650175052E-3</v>
          </cell>
          <cell r="N551">
            <v>2.1700615988033663E-3</v>
          </cell>
          <cell r="O551">
            <v>2.5911473461395795E-3</v>
          </cell>
        </row>
        <row r="552">
          <cell r="A552" t="str">
            <v>T_TW-BEVELC-S3</v>
          </cell>
          <cell r="B552" t="str">
            <v>VAR_ncap</v>
          </cell>
          <cell r="C552" t="str">
            <v>-</v>
          </cell>
          <cell r="D552">
            <v>2.6818439458586402E-4</v>
          </cell>
          <cell r="E552">
            <v>2.5883749908484299E-4</v>
          </cell>
          <cell r="F552">
            <v>3.4717654216722202E-4</v>
          </cell>
          <cell r="G552">
            <v>2.04255082212173E-4</v>
          </cell>
          <cell r="H552">
            <v>5.01226695259932E-4</v>
          </cell>
          <cell r="I552">
            <v>5.0725671443033605E-4</v>
          </cell>
          <cell r="J552">
            <v>6.0201404727082105E-4</v>
          </cell>
          <cell r="K552">
            <v>8.1104224587250095E-4</v>
          </cell>
          <cell r="L552">
            <v>8.2762947907585199E-4</v>
          </cell>
          <cell r="M552">
            <v>1.1030998375490999E-3</v>
          </cell>
          <cell r="N552">
            <v>1.1136326765734999E-3</v>
          </cell>
          <cell r="O552">
            <v>1.59708680709821E-3</v>
          </cell>
        </row>
        <row r="553">
          <cell r="A553" t="str">
            <v>T_TW-BEVELC-S3</v>
          </cell>
          <cell r="B553" t="str">
            <v>VAR_cap</v>
          </cell>
          <cell r="C553" t="str">
            <v>-</v>
          </cell>
          <cell r="D553">
            <v>3.7509924811332328E-4</v>
          </cell>
          <cell r="E553">
            <v>6.8869460714158376E-4</v>
          </cell>
          <cell r="F553">
            <v>1.035602979062068E-3</v>
          </cell>
          <cell r="G553">
            <v>1.2393521286880524E-3</v>
          </cell>
          <cell r="H553">
            <v>1.7394660466729455E-3</v>
          </cell>
          <cell r="I553">
            <v>1.9001273872710802E-3</v>
          </cell>
          <cell r="J553">
            <v>1.8105443287849904E-3</v>
          </cell>
          <cell r="K553">
            <v>2.4202744084521571E-3</v>
          </cell>
          <cell r="L553">
            <v>2.8310192187579989E-3</v>
          </cell>
          <cell r="M553">
            <v>3.3417459121865426E-3</v>
          </cell>
          <cell r="N553">
            <v>3.8535787235417485E-3</v>
          </cell>
          <cell r="O553">
            <v>4.6388591633953645E-3</v>
          </cell>
        </row>
        <row r="554">
          <cell r="A554" t="str">
            <v>T_TW-BEVELC-S4</v>
          </cell>
          <cell r="B554" t="str">
            <v>VAR_fout</v>
          </cell>
          <cell r="C554" t="str">
            <v>TPTWL</v>
          </cell>
          <cell r="D554">
            <v>8.2778586497712946E-4</v>
          </cell>
          <cell r="E554">
            <v>1.3929011983738729E-3</v>
          </cell>
          <cell r="F554">
            <v>2.0661996708948335E-3</v>
          </cell>
          <cell r="G554">
            <v>2.4583741397111317E-3</v>
          </cell>
          <cell r="H554">
            <v>3.2557835834000448E-3</v>
          </cell>
          <cell r="I554">
            <v>4.2146719581107025E-3</v>
          </cell>
          <cell r="J554">
            <v>4.4971134713228146E-3</v>
          </cell>
          <cell r="K554">
            <v>4.8476032836259108E-3</v>
          </cell>
          <cell r="L554">
            <v>5.7555538068440326E-3</v>
          </cell>
          <cell r="M554">
            <v>6.7475448976411787E-3</v>
          </cell>
          <cell r="N554">
            <v>7.4593051343391399E-3</v>
          </cell>
          <cell r="O554">
            <v>9.0831372284679874E-3</v>
          </cell>
        </row>
        <row r="555">
          <cell r="A555" t="str">
            <v>T_TW-BEVELC-S4</v>
          </cell>
          <cell r="B555" t="str">
            <v>VAR_fin</v>
          </cell>
          <cell r="C555" t="str">
            <v>T-ELC-TWSTGout_S4</v>
          </cell>
          <cell r="D555">
            <v>2.1986032037089008E-4</v>
          </cell>
          <cell r="E555">
            <v>3.6892604420628517E-4</v>
          </cell>
          <cell r="F555">
            <v>5.4496507179424114E-4</v>
          </cell>
          <cell r="G555">
            <v>6.4512097162907765E-4</v>
          </cell>
          <cell r="H555">
            <v>8.4695218420344426E-4</v>
          </cell>
          <cell r="I555">
            <v>1.0864437893361853E-3</v>
          </cell>
          <cell r="J555">
            <v>1.1402571936672042E-3</v>
          </cell>
          <cell r="K555">
            <v>1.2005733770668792E-3</v>
          </cell>
          <cell r="L555">
            <v>1.4140919427472576E-3</v>
          </cell>
          <cell r="M555">
            <v>1.6463392662374988E-3</v>
          </cell>
          <cell r="N555">
            <v>1.8121501351478244E-3</v>
          </cell>
          <cell r="O555">
            <v>2.2026359977651432E-3</v>
          </cell>
        </row>
        <row r="556">
          <cell r="A556" t="str">
            <v>T_TW-BEVELC-S4</v>
          </cell>
          <cell r="B556" t="str">
            <v>VAR_ncap</v>
          </cell>
          <cell r="C556" t="str">
            <v>-</v>
          </cell>
          <cell r="D556">
            <v>2.6249508189187697E-4</v>
          </cell>
          <cell r="E556">
            <v>2.0176395697055801E-4</v>
          </cell>
          <cell r="F556">
            <v>2.2129268927997801E-4</v>
          </cell>
          <cell r="G556">
            <v>1.7487034024282801E-4</v>
          </cell>
          <cell r="H556">
            <v>2.9941085746988899E-4</v>
          </cell>
          <cell r="I556">
            <v>3.4527224802378498E-4</v>
          </cell>
          <cell r="J556">
            <v>4.45693772431408E-4</v>
          </cell>
          <cell r="K556">
            <v>6.1396290113978195E-4</v>
          </cell>
          <cell r="L556">
            <v>5.2988632090104795E-4</v>
          </cell>
          <cell r="M556">
            <v>7.1303445939945205E-4</v>
          </cell>
          <cell r="N556">
            <v>7.2124958241284699E-4</v>
          </cell>
          <cell r="O556">
            <v>1.06025866678662E-3</v>
          </cell>
        </row>
        <row r="557">
          <cell r="A557" t="str">
            <v>T_TW-BEVELC-S4</v>
          </cell>
          <cell r="B557" t="str">
            <v>VAR_cap</v>
          </cell>
          <cell r="C557" t="str">
            <v>-</v>
          </cell>
          <cell r="D557">
            <v>2.7542880921264566E-4</v>
          </cell>
          <cell r="E557">
            <v>4.9100698478132321E-4</v>
          </cell>
          <cell r="F557">
            <v>7.1209311143069715E-4</v>
          </cell>
          <cell r="G557">
            <v>8.8659492906114756E-4</v>
          </cell>
          <cell r="H557">
            <v>1.1857013134085608E-3</v>
          </cell>
          <cell r="I557">
            <v>1.530266734208537E-3</v>
          </cell>
          <cell r="J557">
            <v>1.6917839559787854E-3</v>
          </cell>
          <cell r="K557">
            <v>1.8779922789246208E-3</v>
          </cell>
          <cell r="L557">
            <v>2.2326667593868242E-3</v>
          </cell>
          <cell r="M557">
            <v>2.6457512841645808E-3</v>
          </cell>
          <cell r="N557">
            <v>2.9521265317414692E-3</v>
          </cell>
          <cell r="O557">
            <v>3.6361947956133471E-3</v>
          </cell>
        </row>
        <row r="558">
          <cell r="A558" t="str">
            <v>T_B_u-BeVELCEXT</v>
          </cell>
          <cell r="B558" t="str">
            <v>VAR_fout</v>
          </cell>
          <cell r="C558" t="str">
            <v>TPBSu</v>
          </cell>
          <cell r="D558">
            <v>1.9811553970348374E-3</v>
          </cell>
          <cell r="E558">
            <v>1.6379498119651534E-3</v>
          </cell>
          <cell r="F558">
            <v>1.0366482603988742E-3</v>
          </cell>
        </row>
        <row r="559">
          <cell r="A559" t="str">
            <v>T_B_u-BeVELCEXT</v>
          </cell>
          <cell r="B559" t="str">
            <v>VAR_fin</v>
          </cell>
          <cell r="C559" t="str">
            <v>TELC</v>
          </cell>
          <cell r="D559">
            <v>4.7276127633238653E-4</v>
          </cell>
          <cell r="E559">
            <v>4.8549817154455515E-4</v>
          </cell>
          <cell r="F559">
            <v>4.8250523131158386E-4</v>
          </cell>
        </row>
        <row r="560">
          <cell r="A560" t="str">
            <v>T_B_u-BeVELCEXT</v>
          </cell>
          <cell r="B560" t="str">
            <v>VAR_cap</v>
          </cell>
          <cell r="C560" t="str">
            <v>-</v>
          </cell>
          <cell r="D560">
            <v>3.7775668634976159E-5</v>
          </cell>
          <cell r="E560">
            <v>3.02316440049444E-5</v>
          </cell>
          <cell r="F560">
            <v>1.8894777503090199E-5</v>
          </cell>
        </row>
        <row r="561">
          <cell r="A561" t="str">
            <v>T_B_u-HYBDSL-S1</v>
          </cell>
          <cell r="B561" t="str">
            <v>VAR_fout</v>
          </cell>
          <cell r="C561" t="str">
            <v>CO2_T</v>
          </cell>
          <cell r="E561">
            <v>10.3388019722801</v>
          </cell>
          <cell r="F561">
            <v>1.9314994653424639E-2</v>
          </cell>
          <cell r="G561">
            <v>3.3856496955049498E-2</v>
          </cell>
          <cell r="H561">
            <v>2.835407552606125E-2</v>
          </cell>
          <cell r="I561">
            <v>2.5316439428362432E-2</v>
          </cell>
          <cell r="J561">
            <v>2.5876231665736379E-2</v>
          </cell>
          <cell r="K561">
            <v>1.5157577083106302E-2</v>
          </cell>
        </row>
        <row r="562">
          <cell r="A562" t="str">
            <v>T_B_u-HYBDSL-S1</v>
          </cell>
          <cell r="B562" t="str">
            <v>VAR_fout</v>
          </cell>
          <cell r="C562" t="str">
            <v>TPBSu</v>
          </cell>
          <cell r="E562">
            <v>2.2922195891752949E-2</v>
          </cell>
          <cell r="F562">
            <v>4.3833176552259254E-5</v>
          </cell>
          <cell r="G562">
            <v>7.9536871852653216E-5</v>
          </cell>
          <cell r="H562">
            <v>7.0863645098387783E-5</v>
          </cell>
          <cell r="I562">
            <v>6.7337709745849138E-5</v>
          </cell>
          <cell r="J562">
            <v>7.2240170553434344E-5</v>
          </cell>
          <cell r="K562">
            <v>4.3479419344883323E-5</v>
          </cell>
        </row>
        <row r="563">
          <cell r="A563" t="str">
            <v>T_B_u-HYBDSL-S1</v>
          </cell>
          <cell r="B563" t="str">
            <v>VAR_fin</v>
          </cell>
          <cell r="C563" t="str">
            <v>TDSL</v>
          </cell>
          <cell r="E563">
            <v>0.14104777588376599</v>
          </cell>
          <cell r="F563">
            <v>2.6350606621316027E-4</v>
          </cell>
          <cell r="G563">
            <v>4.6188945368416819E-4</v>
          </cell>
          <cell r="H563">
            <v>3.868223127702769E-4</v>
          </cell>
          <cell r="I563">
            <v>3.4538116546197053E-4</v>
          </cell>
          <cell r="J563">
            <v>3.5301816733610279E-4</v>
          </cell>
          <cell r="K563">
            <v>2.0678822760035896E-4</v>
          </cell>
        </row>
        <row r="564">
          <cell r="A564" t="str">
            <v>T_B_u-HYBDSL-S1</v>
          </cell>
          <cell r="B564" t="str">
            <v>VAR_ncap</v>
          </cell>
          <cell r="C564" t="str">
            <v>-</v>
          </cell>
          <cell r="E564">
            <v>4.3224100938005498E-4</v>
          </cell>
          <cell r="F564">
            <v>7.6369930577885898E-8</v>
          </cell>
          <cell r="G564">
            <v>4.7147711096069203E-8</v>
          </cell>
          <cell r="J564">
            <v>1.2965205829209499E-8</v>
          </cell>
        </row>
        <row r="565">
          <cell r="A565" t="str">
            <v>T_B_u-HYBDSL-S1</v>
          </cell>
          <cell r="B565" t="str">
            <v>VAR_cap</v>
          </cell>
          <cell r="C565" t="str">
            <v>-</v>
          </cell>
          <cell r="E565">
            <v>4.3224100938005498E-4</v>
          </cell>
          <cell r="F565">
            <v>1.2360267414001638E-7</v>
          </cell>
          <cell r="G565">
            <v>-4.8859374179996071E-9</v>
          </cell>
          <cell r="H565">
            <v>-1.9426109004314169E-7</v>
          </cell>
          <cell r="I565">
            <v>-2.237067172336252E-7</v>
          </cell>
          <cell r="J565">
            <v>-1.6204014488494948E-7</v>
          </cell>
          <cell r="K565">
            <v>-2.1434696870142449E-7</v>
          </cell>
        </row>
        <row r="566">
          <cell r="A566" t="str">
            <v>T_B_u-HYBDSL-S2</v>
          </cell>
          <cell r="B566" t="str">
            <v>VAR_fout</v>
          </cell>
          <cell r="C566" t="str">
            <v>CO2_T</v>
          </cell>
          <cell r="E566">
            <v>3.13932282540932E-2</v>
          </cell>
          <cell r="F566">
            <v>3.0398793995593601E-2</v>
          </cell>
          <cell r="G566">
            <v>6.7717006451876005E-2</v>
          </cell>
          <cell r="H566">
            <v>4.93866109126678E-2</v>
          </cell>
          <cell r="I566">
            <v>4.10459290350009E-2</v>
          </cell>
          <cell r="J566">
            <v>4.02765360167716E-2</v>
          </cell>
          <cell r="K566">
            <v>2.1826122253693903E-2</v>
          </cell>
        </row>
        <row r="567">
          <cell r="A567" t="str">
            <v>T_B_u-HYBDSL-S2</v>
          </cell>
          <cell r="B567" t="str">
            <v>VAR_fout</v>
          </cell>
          <cell r="C567" t="str">
            <v>TPBSu</v>
          </cell>
          <cell r="E567">
            <v>4.9892505750348057E-5</v>
          </cell>
          <cell r="F567">
            <v>4.9385808315040487E-5</v>
          </cell>
          <cell r="G567">
            <v>1.1439679236723863E-4</v>
          </cell>
          <cell r="H567">
            <v>8.8232549272033284E-5</v>
          </cell>
          <cell r="I567">
            <v>7.8008896322439422E-5</v>
          </cell>
          <cell r="J567">
            <v>8.0442317157425214E-5</v>
          </cell>
          <cell r="K567">
            <v>4.4841195803942721E-5</v>
          </cell>
        </row>
        <row r="568">
          <cell r="A568" t="str">
            <v>T_B_u-HYBDSL-S2</v>
          </cell>
          <cell r="B568" t="str">
            <v>VAR_fin</v>
          </cell>
          <cell r="C568" t="str">
            <v>TDSL</v>
          </cell>
          <cell r="E568">
            <v>4.2828415080618353E-4</v>
          </cell>
          <cell r="F568">
            <v>4.1471751699309221E-4</v>
          </cell>
          <cell r="G568">
            <v>9.2383364872954956E-4</v>
          </cell>
          <cell r="H568">
            <v>6.737600397362588E-4</v>
          </cell>
          <cell r="I568">
            <v>5.5997174672579723E-4</v>
          </cell>
          <cell r="J568">
            <v>5.4947525261625496E-4</v>
          </cell>
          <cell r="K568">
            <v>2.9776428722638217E-4</v>
          </cell>
        </row>
        <row r="569">
          <cell r="A569" t="str">
            <v>T_B_u-HYBDSL-S2</v>
          </cell>
          <cell r="B569" t="str">
            <v>VAR_ncap</v>
          </cell>
          <cell r="C569" t="str">
            <v>-</v>
          </cell>
          <cell r="E569">
            <v>4.8923307128597105E-7</v>
          </cell>
          <cell r="F569">
            <v>9.8813080579938099E-8</v>
          </cell>
          <cell r="G569">
            <v>3.6094243331987298E-7</v>
          </cell>
          <cell r="H569">
            <v>4.6456004927208702E-8</v>
          </cell>
          <cell r="I569">
            <v>2.242377639311E-8</v>
          </cell>
          <cell r="J569">
            <v>2.8943097431302001E-8</v>
          </cell>
        </row>
        <row r="570">
          <cell r="A570" t="str">
            <v>T_B_u-HYBDSL-S2</v>
          </cell>
          <cell r="B570" t="str">
            <v>VAR_cap</v>
          </cell>
          <cell r="C570" t="str">
            <v>-</v>
          </cell>
          <cell r="E570">
            <v>4.8923307128597105E-7</v>
          </cell>
          <cell r="F570">
            <v>2.5496955884901601E-7</v>
          </cell>
          <cell r="G570">
            <v>6.3927279123903211E-7</v>
          </cell>
          <cell r="H570">
            <v>1.4571753378283199E-7</v>
          </cell>
          <cell r="I570">
            <v>-4.8039093430689986E-9</v>
          </cell>
          <cell r="J570">
            <v>9.9486933506819932E-9</v>
          </cell>
          <cell r="K570">
            <v>-1.859189900559613E-7</v>
          </cell>
        </row>
        <row r="571">
          <cell r="A571" t="str">
            <v>T_B_u-HYBDSL-S3</v>
          </cell>
          <cell r="B571" t="str">
            <v>VAR_fout</v>
          </cell>
          <cell r="C571" t="str">
            <v>CO2_T</v>
          </cell>
          <cell r="E571">
            <v>6.5597919138197305E-2</v>
          </cell>
          <cell r="F571">
            <v>7.9353732478906494E-2</v>
          </cell>
          <cell r="G571">
            <v>1.6826346197108546</v>
          </cell>
          <cell r="H571">
            <v>7.6482149159591395E-2</v>
          </cell>
          <cell r="I571">
            <v>4.71428789765682E-2</v>
          </cell>
          <cell r="J571">
            <v>5.8719443667563792E-2</v>
          </cell>
        </row>
        <row r="572">
          <cell r="A572" t="str">
            <v>T_B_u-HYBDSL-S3</v>
          </cell>
          <cell r="B572" t="str">
            <v>VAR_fout</v>
          </cell>
          <cell r="C572" t="str">
            <v>TPBSu</v>
          </cell>
          <cell r="E572">
            <v>7.0015109545019729E-5</v>
          </cell>
          <cell r="F572">
            <v>8.615814080944853E-5</v>
          </cell>
          <cell r="G572">
            <v>2.0285847525364029E-3</v>
          </cell>
          <cell r="H572">
            <v>9.4228002898590039E-5</v>
          </cell>
          <cell r="I572">
            <v>6.1697661743267498E-5</v>
          </cell>
          <cell r="J572">
            <v>7.8989631657911617E-5</v>
          </cell>
        </row>
        <row r="573">
          <cell r="A573" t="str">
            <v>T_B_u-HYBDSL-S3</v>
          </cell>
          <cell r="B573" t="str">
            <v>VAR_fin</v>
          </cell>
          <cell r="C573" t="str">
            <v>TDSL</v>
          </cell>
          <cell r="E573">
            <v>8.9492386273120456E-4</v>
          </cell>
          <cell r="F573">
            <v>1.0825884376385617E-3</v>
          </cell>
          <cell r="G573">
            <v>2.295545183780159E-2</v>
          </cell>
          <cell r="H573">
            <v>1.0434126761199368E-3</v>
          </cell>
          <cell r="I573">
            <v>6.4314978139929182E-4</v>
          </cell>
          <cell r="J573">
            <v>8.0108381538286308E-4</v>
          </cell>
        </row>
        <row r="574">
          <cell r="A574" t="str">
            <v>T_B_u-HYBDSL-S3</v>
          </cell>
          <cell r="B574" t="str">
            <v>VAR_ncap</v>
          </cell>
          <cell r="C574" t="str">
            <v>-</v>
          </cell>
          <cell r="E574">
            <v>8.5776382654705902E-7</v>
          </cell>
          <cell r="F574">
            <v>1.7885472744827301E-7</v>
          </cell>
          <cell r="G574">
            <v>3.6068730249302401E-5</v>
          </cell>
          <cell r="H574">
            <v>9.0523752810592198E-8</v>
          </cell>
          <cell r="I574">
            <v>5.5856049522675299E-8</v>
          </cell>
          <cell r="J574">
            <v>1.2843112649917001E-8</v>
          </cell>
        </row>
        <row r="575">
          <cell r="A575" t="str">
            <v>T_B_u-HYBDSL-S3</v>
          </cell>
          <cell r="B575" t="str">
            <v>VAR_cap</v>
          </cell>
          <cell r="C575" t="str">
            <v>-</v>
          </cell>
          <cell r="E575">
            <v>8.5776382654705902E-7</v>
          </cell>
          <cell r="F575">
            <v>9.0199813678332201E-7</v>
          </cell>
          <cell r="G575">
            <v>3.6723608854217302E-5</v>
          </cell>
          <cell r="H575">
            <v>8.077939877446017E-7</v>
          </cell>
          <cell r="I575">
            <v>1.3528112504003661E-7</v>
          </cell>
          <cell r="J575">
            <v>5.9918783431724702E-8</v>
          </cell>
        </row>
        <row r="576">
          <cell r="A576" t="str">
            <v>T_C-HY-GSL-S1</v>
          </cell>
          <cell r="B576" t="str">
            <v>VAR_fout</v>
          </cell>
          <cell r="C576" t="str">
            <v>CO2_T</v>
          </cell>
          <cell r="D576">
            <v>3.2769753270582394</v>
          </cell>
          <cell r="E576">
            <v>3.9516355411365494</v>
          </cell>
          <cell r="F576">
            <v>2.6723279229815589</v>
          </cell>
          <cell r="G576">
            <v>1.6953787259207063</v>
          </cell>
          <cell r="H576">
            <v>0.21967427544632612</v>
          </cell>
          <cell r="I576">
            <v>4.9660728439724876E-2</v>
          </cell>
        </row>
        <row r="577">
          <cell r="A577" t="str">
            <v>T_C-HY-GSL-S1</v>
          </cell>
          <cell r="B577" t="str">
            <v>VAR_fout</v>
          </cell>
          <cell r="C577" t="str">
            <v>TPCAR</v>
          </cell>
          <cell r="D577">
            <v>5.0570807124251181E-2</v>
          </cell>
          <cell r="E577">
            <v>6.205093065932709E-2</v>
          </cell>
          <cell r="F577">
            <v>5.1103612430639128E-2</v>
          </cell>
          <cell r="G577">
            <v>3.1407015415599281E-2</v>
          </cell>
          <cell r="H577">
            <v>3.5699954246009385E-3</v>
          </cell>
          <cell r="I577">
            <v>6.0753655386400641E-4</v>
          </cell>
        </row>
        <row r="578">
          <cell r="A578" t="str">
            <v>T_C-HY-GSL-S1</v>
          </cell>
          <cell r="B578" t="str">
            <v>VAR_fin</v>
          </cell>
          <cell r="C578" t="str">
            <v>TGSL</v>
          </cell>
          <cell r="D578">
            <v>4.4403459716236278E-2</v>
          </cell>
          <cell r="E578">
            <v>5.3545197034370592E-2</v>
          </cell>
          <cell r="F578">
            <v>3.6210405460454675E-2</v>
          </cell>
          <cell r="G578">
            <v>2.2972611462340215E-2</v>
          </cell>
          <cell r="H578">
            <v>2.9766161984597027E-3</v>
          </cell>
          <cell r="I578">
            <v>6.7290959945426668E-4</v>
          </cell>
        </row>
        <row r="579">
          <cell r="A579" t="str">
            <v>T_C-HY-GSL-S1</v>
          </cell>
          <cell r="B579" t="str">
            <v>VAR_ncap</v>
          </cell>
          <cell r="C579" t="str">
            <v>-</v>
          </cell>
          <cell r="E579">
            <v>5.4487517495615101E-5</v>
          </cell>
          <cell r="F579">
            <v>4.2187307682474403E-5</v>
          </cell>
          <cell r="G579">
            <v>1.6805177636316601E-4</v>
          </cell>
        </row>
        <row r="580">
          <cell r="A580" t="str">
            <v>T_C-HY-GSL-S1</v>
          </cell>
          <cell r="B580" t="str">
            <v>VAR_cap</v>
          </cell>
          <cell r="C580" t="str">
            <v>-</v>
          </cell>
          <cell r="D580">
            <v>5.668931877619997E-3</v>
          </cell>
          <cell r="E580">
            <v>6.6132217474745491E-3</v>
          </cell>
          <cell r="F580">
            <v>5.4392249672526923E-3</v>
          </cell>
          <cell r="G580">
            <v>4.7131294886223656E-3</v>
          </cell>
          <cell r="H580">
            <v>5.0731296991094604E-4</v>
          </cell>
          <cell r="I580">
            <v>8.0407642937691738E-5</v>
          </cell>
        </row>
        <row r="581">
          <cell r="A581" t="str">
            <v>T_B_u-HYBDSL-S4</v>
          </cell>
          <cell r="B581" t="str">
            <v>VAR_fout</v>
          </cell>
          <cell r="C581" t="str">
            <v>CO2_T</v>
          </cell>
          <cell r="E581">
            <v>2.32346211045221E-2</v>
          </cell>
          <cell r="F581">
            <v>3.7870009931861799E-2</v>
          </cell>
          <cell r="G581">
            <v>8.2676950289732196E-2</v>
          </cell>
          <cell r="H581">
            <v>5.7652815472595098E-2</v>
          </cell>
          <cell r="I581">
            <v>5.25497631494454E-2</v>
          </cell>
          <cell r="J581">
            <v>4.71410525509975E-2</v>
          </cell>
        </row>
        <row r="582">
          <cell r="A582" t="str">
            <v>T_B_u-HYBDSL-S4</v>
          </cell>
          <cell r="B582" t="str">
            <v>VAR_fout</v>
          </cell>
          <cell r="C582" t="str">
            <v>TPBSu</v>
          </cell>
          <cell r="E582">
            <v>1.6721142117047895E-5</v>
          </cell>
          <cell r="F582">
            <v>2.7905716228424853E-5</v>
          </cell>
          <cell r="G582">
            <v>6.3239389039113962E-5</v>
          </cell>
          <cell r="H582">
            <v>4.839893012462636E-5</v>
          </cell>
          <cell r="I582">
            <v>4.6498916983461847E-5</v>
          </cell>
          <cell r="J582">
            <v>4.3888704726547474E-5</v>
          </cell>
        </row>
        <row r="583">
          <cell r="A583" t="str">
            <v>T_B_u-HYBDSL-S4</v>
          </cell>
          <cell r="B583" t="str">
            <v>VAR_fin</v>
          </cell>
          <cell r="C583" t="str">
            <v>TDSL</v>
          </cell>
          <cell r="E583">
            <v>3.1697982407260692E-4</v>
          </cell>
          <cell r="F583">
            <v>5.1664406455472986E-4</v>
          </cell>
          <cell r="G583">
            <v>1.127925651974517E-3</v>
          </cell>
          <cell r="H583">
            <v>7.8653227111316756E-4</v>
          </cell>
          <cell r="I583">
            <v>7.1691354910566731E-4</v>
          </cell>
          <cell r="J583">
            <v>6.4312486427008791E-4</v>
          </cell>
        </row>
        <row r="584">
          <cell r="A584" t="str">
            <v>T_B_u-HYBDSL-S4</v>
          </cell>
          <cell r="B584" t="str">
            <v>VAR_cap</v>
          </cell>
          <cell r="C584" t="str">
            <v>-</v>
          </cell>
          <cell r="G584">
            <v>-1.93916889303599E-7</v>
          </cell>
          <cell r="H584">
            <v>-3.0555376800629402E-9</v>
          </cell>
          <cell r="I584">
            <v>-1.16704162351817E-8</v>
          </cell>
          <cell r="J584">
            <v>-1.0971053983846801E-8</v>
          </cell>
        </row>
        <row r="585">
          <cell r="A585" t="str">
            <v>TFRLFDSLEXT</v>
          </cell>
          <cell r="B585" t="str">
            <v>VAR_fout</v>
          </cell>
          <cell r="C585" t="str">
            <v>CO2_T</v>
          </cell>
          <cell r="D585">
            <v>28.519507308470502</v>
          </cell>
          <cell r="E585">
            <v>-0.60436157517397704</v>
          </cell>
          <cell r="F585">
            <v>-0.96733041452894397</v>
          </cell>
          <cell r="G585">
            <v>-0.51892255497002104</v>
          </cell>
          <cell r="H585">
            <v>-0.517878369274821</v>
          </cell>
          <cell r="I585">
            <v>0.50821845284244305</v>
          </cell>
          <cell r="J585">
            <v>0.50756556296060895</v>
          </cell>
          <cell r="K585">
            <v>0.18145363799455599</v>
          </cell>
          <cell r="L585">
            <v>0.50427359709187702</v>
          </cell>
          <cell r="M585">
            <v>0.313155628477292</v>
          </cell>
          <cell r="N585">
            <v>0.508290200242142</v>
          </cell>
          <cell r="O585">
            <v>0.51023196907260304</v>
          </cell>
        </row>
        <row r="586">
          <cell r="A586" t="str">
            <v>TFRLFDSLEXT</v>
          </cell>
          <cell r="B586" t="str">
            <v>VAR_fout</v>
          </cell>
          <cell r="C586" t="str">
            <v>TFRLF</v>
          </cell>
          <cell r="D586">
            <v>1.5769668531507544E-3</v>
          </cell>
          <cell r="E586">
            <v>-3.3417764236210152E-5</v>
          </cell>
          <cell r="F586">
            <v>-5.3487880532341944E-5</v>
          </cell>
          <cell r="G586">
            <v>-2.8693471443560861E-5</v>
          </cell>
          <cell r="H586">
            <v>-2.8635733902303424E-5</v>
          </cell>
          <cell r="I586">
            <v>2.810159536150393E-5</v>
          </cell>
          <cell r="J586">
            <v>2.806549425739744E-5</v>
          </cell>
          <cell r="K586">
            <v>1.0033356095743074E-5</v>
          </cell>
          <cell r="L586">
            <v>2.7883467232857897E-5</v>
          </cell>
          <cell r="M586">
            <v>1.7315728516796974E-5</v>
          </cell>
          <cell r="N586">
            <v>2.8105562585407956E-5</v>
          </cell>
          <cell r="O586">
            <v>2.8212931378599198E-5</v>
          </cell>
        </row>
        <row r="587">
          <cell r="A587" t="str">
            <v>TFRLFDSLEXT</v>
          </cell>
          <cell r="B587" t="str">
            <v>VAR_fin</v>
          </cell>
          <cell r="C587" t="str">
            <v>TDSL</v>
          </cell>
          <cell r="D587">
            <v>0.38907922658213479</v>
          </cell>
          <cell r="E587">
            <v>-8.2450419532602588E-3</v>
          </cell>
          <cell r="F587">
            <v>-1.3196867865333469E-2</v>
          </cell>
          <cell r="G587">
            <v>-7.0794345834927774E-3</v>
          </cell>
          <cell r="H587">
            <v>-7.0651892124805084E-3</v>
          </cell>
          <cell r="I587">
            <v>6.9334031765681146E-3</v>
          </cell>
          <cell r="J587">
            <v>6.9244960840465107E-3</v>
          </cell>
          <cell r="K587">
            <v>2.4754930149325561E-3</v>
          </cell>
          <cell r="L587">
            <v>6.8795852263557533E-3</v>
          </cell>
          <cell r="M587">
            <v>4.27224595466974E-3</v>
          </cell>
          <cell r="N587">
            <v>6.9343819951178933E-3</v>
          </cell>
          <cell r="O587">
            <v>6.960872702218325E-3</v>
          </cell>
        </row>
        <row r="588">
          <cell r="A588" t="str">
            <v>TFRLFDSLEXT</v>
          </cell>
          <cell r="B588" t="str">
            <v>VAR_ncap</v>
          </cell>
          <cell r="C588" t="str">
            <v>-</v>
          </cell>
          <cell r="D588">
            <v>1.48231373550568E-4</v>
          </cell>
          <cell r="E588">
            <v>1.19307708112753E-8</v>
          </cell>
          <cell r="L588">
            <v>1.01993268492265E-8</v>
          </cell>
          <cell r="O588">
            <v>1.32555464278436E-8</v>
          </cell>
        </row>
        <row r="589">
          <cell r="A589" t="str">
            <v>TFRLFDSLEXT</v>
          </cell>
          <cell r="B589" t="str">
            <v>VAR_cap</v>
          </cell>
          <cell r="C589" t="str">
            <v>-</v>
          </cell>
          <cell r="D589">
            <v>1.48231373550568E-4</v>
          </cell>
          <cell r="E589">
            <v>4.8903261589978292E-9</v>
          </cell>
          <cell r="F589">
            <v>7.2426114999563258E-10</v>
          </cell>
          <cell r="G589">
            <v>1.6571983969826138E-9</v>
          </cell>
          <cell r="H589">
            <v>6.9001247659963676E-9</v>
          </cell>
          <cell r="I589">
            <v>-1.0557330550140659E-9</v>
          </cell>
          <cell r="J589">
            <v>-2.4548610400053957E-9</v>
          </cell>
          <cell r="K589">
            <v>-4.076794314297489E-9</v>
          </cell>
          <cell r="L589">
            <v>1.01993268492265E-8</v>
          </cell>
          <cell r="M589">
            <v>1.01993268492265E-8</v>
          </cell>
          <cell r="N589">
            <v>6.3301019404702603E-9</v>
          </cell>
          <cell r="O589">
            <v>7.8066649123351017E-9</v>
          </cell>
        </row>
        <row r="590">
          <cell r="A590" t="str">
            <v>T_C-HY-GSL-S2</v>
          </cell>
          <cell r="B590" t="str">
            <v>VAR_fout</v>
          </cell>
          <cell r="C590" t="str">
            <v>CO2_T</v>
          </cell>
          <cell r="D590">
            <v>10.28658490326913</v>
          </cell>
          <cell r="E590">
            <v>24.4993069063608</v>
          </cell>
          <cell r="F590">
            <v>71.246870538370416</v>
          </cell>
          <cell r="G590">
            <v>60.469520072866565</v>
          </cell>
          <cell r="H590">
            <v>25.842498010844356</v>
          </cell>
          <cell r="I590">
            <v>3.5335052718406073</v>
          </cell>
        </row>
        <row r="591">
          <cell r="A591" t="str">
            <v>T_C-HY-GSL-S2</v>
          </cell>
          <cell r="B591" t="str">
            <v>VAR_fout</v>
          </cell>
          <cell r="C591" t="str">
            <v>TPCAR</v>
          </cell>
          <cell r="D591">
            <v>0.2220545711146697</v>
          </cell>
          <cell r="E591">
            <v>0.71057570410858273</v>
          </cell>
          <cell r="F591">
            <v>1.8801858329247478</v>
          </cell>
          <cell r="G591">
            <v>1.6012280942089603</v>
          </cell>
          <cell r="H591">
            <v>0.68513664760170068</v>
          </cell>
          <cell r="I591">
            <v>8.8134613296116909E-2</v>
          </cell>
        </row>
        <row r="592">
          <cell r="A592" t="str">
            <v>T_C-HY-GSL-S2</v>
          </cell>
          <cell r="B592" t="str">
            <v>VAR_fin</v>
          </cell>
          <cell r="C592" t="str">
            <v>TGSL</v>
          </cell>
          <cell r="D592">
            <v>0.13938461928548965</v>
          </cell>
          <cell r="E592">
            <v>0.33196892827047109</v>
          </cell>
          <cell r="F592">
            <v>0.96540474984241786</v>
          </cell>
          <cell r="G592">
            <v>0.81937019068924943</v>
          </cell>
          <cell r="H592">
            <v>0.35016934974043851</v>
          </cell>
          <cell r="I592">
            <v>4.7879475228192594E-2</v>
          </cell>
        </row>
        <row r="593">
          <cell r="A593" t="str">
            <v>T_C-HY-GSL-S2</v>
          </cell>
          <cell r="B593" t="str">
            <v>VAR_ncap</v>
          </cell>
          <cell r="C593" t="str">
            <v>-</v>
          </cell>
          <cell r="E593">
            <v>2.50007158257303E-2</v>
          </cell>
          <cell r="F593">
            <v>9.2464751807906295E-2</v>
          </cell>
          <cell r="G593">
            <v>1.0931831412576599E-4</v>
          </cell>
        </row>
        <row r="594">
          <cell r="A594" t="str">
            <v>T_C-HY-GSL-S2</v>
          </cell>
          <cell r="B594" t="str">
            <v>VAR_cap</v>
          </cell>
          <cell r="C594" t="str">
            <v>-</v>
          </cell>
          <cell r="D594">
            <v>1.722700918346361E-2</v>
          </cell>
          <cell r="E594">
            <v>5.3898211528000714E-2</v>
          </cell>
          <cell r="F594">
            <v>0.14263734218332205</v>
          </cell>
          <cell r="G594">
            <v>0.12148281805880294</v>
          </cell>
          <cell r="H594">
            <v>6.751917921144962E-2</v>
          </cell>
          <cell r="I594">
            <v>9.2010169570482855E-3</v>
          </cell>
        </row>
        <row r="595">
          <cell r="A595" t="str">
            <v>TPSHPNGAEXT</v>
          </cell>
          <cell r="B595" t="str">
            <v>VAR_ncap</v>
          </cell>
          <cell r="C595" t="str">
            <v>-</v>
          </cell>
          <cell r="D595">
            <v>2.1667583486248099E-5</v>
          </cell>
          <cell r="E595">
            <v>2.01489869765509E-5</v>
          </cell>
          <cell r="F595">
            <v>2.2087531432805901E-5</v>
          </cell>
          <cell r="G595">
            <v>2.09058581010909E-5</v>
          </cell>
          <cell r="H595">
            <v>6.5559702382792106E-5</v>
          </cell>
          <cell r="I595">
            <v>2.25105969621289E-3</v>
          </cell>
          <cell r="J595">
            <v>3.8806512879785998E-5</v>
          </cell>
          <cell r="K595">
            <v>2.7767405453646701E-5</v>
          </cell>
          <cell r="L595">
            <v>2.77285939493319E-5</v>
          </cell>
          <cell r="M595">
            <v>2.93595125496726E-5</v>
          </cell>
          <cell r="N595">
            <v>1.71560031969456E-5</v>
          </cell>
          <cell r="O595">
            <v>6.0067580221369499E-5</v>
          </cell>
        </row>
        <row r="596">
          <cell r="A596" t="str">
            <v>TPSHPNGAEXT</v>
          </cell>
          <cell r="B596" t="str">
            <v>VAR_cap</v>
          </cell>
          <cell r="C596" t="str">
            <v>-</v>
          </cell>
          <cell r="D596">
            <v>2.1667583486248099E-5</v>
          </cell>
          <cell r="E596">
            <v>3.6945134247662093E-5</v>
          </cell>
          <cell r="F596">
            <v>4.8373058359562197E-5</v>
          </cell>
          <cell r="G596">
            <v>5.3834624830567108E-5</v>
          </cell>
          <cell r="H596">
            <v>1.0393932355138891E-4</v>
          </cell>
          <cell r="I596">
            <v>2.333311048781601E-3</v>
          </cell>
          <cell r="J596">
            <v>7.1399476197844987E-4</v>
          </cell>
          <cell r="K596">
            <v>2.5476581769234017E-4</v>
          </cell>
          <cell r="L596">
            <v>8.011136801037988E-5</v>
          </cell>
          <cell r="M596">
            <v>6.8996585177600185E-5</v>
          </cell>
          <cell r="N596">
            <v>5.4919527478508396E-5</v>
          </cell>
          <cell r="O596">
            <v>1.019761535627035E-4</v>
          </cell>
        </row>
        <row r="597">
          <cell r="A597" t="str">
            <v>T_C-HY-DSL-S1</v>
          </cell>
          <cell r="B597" t="str">
            <v>VAR_fout</v>
          </cell>
          <cell r="C597" t="str">
            <v>CO2_T</v>
          </cell>
          <cell r="D597">
            <v>7.7458828205304404E-3</v>
          </cell>
          <cell r="E597">
            <v>4.7804379984594039E-2</v>
          </cell>
          <cell r="F597">
            <v>7.495646080701579E-2</v>
          </cell>
          <cell r="G597">
            <v>0.1988779572334064</v>
          </cell>
          <cell r="H597">
            <v>0.14812638386699001</v>
          </cell>
          <cell r="I597">
            <v>7.7848133866604732E-2</v>
          </cell>
        </row>
        <row r="598">
          <cell r="A598" t="str">
            <v>T_C-HY-DSL-S1</v>
          </cell>
          <cell r="B598" t="str">
            <v>VAR_fout</v>
          </cell>
          <cell r="C598" t="str">
            <v>TPCAR</v>
          </cell>
          <cell r="D598">
            <v>4.4197096093614806E-5</v>
          </cell>
          <cell r="E598">
            <v>9.7286694393062352E-4</v>
          </cell>
          <cell r="F598">
            <v>1.4811309549660082E-3</v>
          </cell>
          <cell r="G598">
            <v>2.7366666442144197E-3</v>
          </cell>
          <cell r="H598">
            <v>1.9812883368676253E-3</v>
          </cell>
          <cell r="I598">
            <v>9.6065652329284997E-4</v>
          </cell>
        </row>
        <row r="599">
          <cell r="A599" t="str">
            <v>T_C-HY-DSL-S1</v>
          </cell>
          <cell r="B599" t="str">
            <v>VAR_fin</v>
          </cell>
          <cell r="C599" t="str">
            <v>TDSL</v>
          </cell>
          <cell r="D599">
            <v>1.0567370832920097E-4</v>
          </cell>
          <cell r="E599">
            <v>6.5217435176799456E-4</v>
          </cell>
          <cell r="F599">
            <v>1.0225983739019881E-3</v>
          </cell>
          <cell r="G599">
            <v>2.7132054192824848E-3</v>
          </cell>
          <cell r="H599">
            <v>2.0208237908184178E-3</v>
          </cell>
          <cell r="I599">
            <v>1.0620482110041559E-3</v>
          </cell>
        </row>
        <row r="600">
          <cell r="A600" t="str">
            <v>T_C-HY-DSL-S1</v>
          </cell>
          <cell r="B600" t="str">
            <v>VAR_ncap</v>
          </cell>
          <cell r="C600" t="str">
            <v>-</v>
          </cell>
          <cell r="E600">
            <v>9.92537203100865E-5</v>
          </cell>
          <cell r="F600">
            <v>5.67106305575484E-5</v>
          </cell>
          <cell r="G600">
            <v>2.8304019634183198E-4</v>
          </cell>
        </row>
        <row r="601">
          <cell r="A601" t="str">
            <v>T_C-HY-DSL-S1</v>
          </cell>
          <cell r="B601" t="str">
            <v>VAR_cap</v>
          </cell>
          <cell r="C601" t="str">
            <v>-</v>
          </cell>
          <cell r="D601">
            <v>1.5869280198580235E-6</v>
          </cell>
          <cell r="E601">
            <v>9.9504664267152394E-5</v>
          </cell>
          <cell r="F601">
            <v>1.4974937858503262E-4</v>
          </cell>
          <cell r="G601">
            <v>3.925153562966961E-4</v>
          </cell>
          <cell r="H601">
            <v>2.7914311026048887E-4</v>
          </cell>
          <cell r="I601">
            <v>1.3408214491800194E-4</v>
          </cell>
        </row>
        <row r="602">
          <cell r="A602" t="str">
            <v>T_C-HY-GSL-S3</v>
          </cell>
          <cell r="B602" t="str">
            <v>VAR_fout</v>
          </cell>
          <cell r="C602" t="str">
            <v>CO2_T</v>
          </cell>
          <cell r="D602">
            <v>7.5108045030162955</v>
          </cell>
          <cell r="E602">
            <v>84.069934036061937</v>
          </cell>
          <cell r="F602">
            <v>79.989369233496149</v>
          </cell>
          <cell r="G602">
            <v>63.995251699329671</v>
          </cell>
          <cell r="H602">
            <v>20.444262843217796</v>
          </cell>
          <cell r="I602">
            <v>6.6604905977903806E-2</v>
          </cell>
        </row>
        <row r="603">
          <cell r="A603" t="str">
            <v>T_C-HY-GSL-S3</v>
          </cell>
          <cell r="B603" t="str">
            <v>VAR_fout</v>
          </cell>
          <cell r="C603" t="str">
            <v>TPCAR</v>
          </cell>
          <cell r="D603">
            <v>0.20056710434977479</v>
          </cell>
          <cell r="E603">
            <v>2.8379249366466532</v>
          </cell>
          <cell r="F603">
            <v>2.6929590652321664</v>
          </cell>
          <cell r="G603">
            <v>2.1690227251505703</v>
          </cell>
          <cell r="H603">
            <v>0.70271688092562545</v>
          </cell>
          <cell r="I603">
            <v>1.2994045400837313E-3</v>
          </cell>
        </row>
        <row r="604">
          <cell r="A604" t="str">
            <v>T_C-HY-GSL-S3</v>
          </cell>
          <cell r="B604" t="str">
            <v>VAR_fin</v>
          </cell>
          <cell r="C604" t="str">
            <v>TGSL</v>
          </cell>
          <cell r="D604">
            <v>0.10177241874005825</v>
          </cell>
          <cell r="E604">
            <v>1.1391589977786161</v>
          </cell>
          <cell r="F604">
            <v>1.0838667917817906</v>
          </cell>
          <cell r="G604">
            <v>0.86714433196923602</v>
          </cell>
          <cell r="H604">
            <v>0.27702253175091845</v>
          </cell>
          <cell r="I604">
            <v>9.0250550105560701E-4</v>
          </cell>
        </row>
        <row r="605">
          <cell r="A605" t="str">
            <v>T_C-HY-GSL-S3</v>
          </cell>
          <cell r="B605" t="str">
            <v>VAR_ncap</v>
          </cell>
          <cell r="C605" t="str">
            <v>-</v>
          </cell>
          <cell r="E605">
            <v>0.17147216483890701</v>
          </cell>
          <cell r="F605">
            <v>7.96736745690323E-4</v>
          </cell>
          <cell r="G605">
            <v>2.8620590941832002E-5</v>
          </cell>
        </row>
        <row r="606">
          <cell r="A606" t="str">
            <v>T_C-HY-GSL-S3</v>
          </cell>
          <cell r="B606" t="str">
            <v>VAR_cap</v>
          </cell>
          <cell r="C606" t="str">
            <v>-</v>
          </cell>
          <cell r="D606">
            <v>1.4248759735363376E-2</v>
          </cell>
          <cell r="E606">
            <v>0.19512390250004955</v>
          </cell>
          <cell r="F606">
            <v>0.18514486013324227</v>
          </cell>
          <cell r="G606">
            <v>0.14915759498173545</v>
          </cell>
          <cell r="H606">
            <v>4.8348061743681114E-2</v>
          </cell>
          <cell r="I606">
            <v>9.1805247149859476E-5</v>
          </cell>
        </row>
        <row r="607">
          <cell r="A607" t="str">
            <v>T_C-HY-DSL-S2</v>
          </cell>
          <cell r="B607" t="str">
            <v>VAR_fout</v>
          </cell>
          <cell r="C607" t="str">
            <v>CO2_T</v>
          </cell>
          <cell r="D607">
            <v>0.19997938415156807</v>
          </cell>
          <cell r="E607">
            <v>34.516465757882131</v>
          </cell>
          <cell r="F607">
            <v>107.2969411950714</v>
          </cell>
          <cell r="G607">
            <v>91.962820284971244</v>
          </cell>
          <cell r="H607">
            <v>45.858633053770248</v>
          </cell>
          <cell r="I607">
            <v>5.4833725792584813</v>
          </cell>
        </row>
        <row r="608">
          <cell r="A608" t="str">
            <v>T_C-HY-DSL-S2</v>
          </cell>
          <cell r="B608" t="str">
            <v>VAR_fout</v>
          </cell>
          <cell r="C608" t="str">
            <v>TPCAR</v>
          </cell>
          <cell r="D608">
            <v>3.2525410056829782E-3</v>
          </cell>
          <cell r="E608">
            <v>1.2614121386176567</v>
          </cell>
          <cell r="F608">
            <v>3.1812561783158642</v>
          </cell>
          <cell r="G608">
            <v>2.7071742923441264</v>
          </cell>
          <cell r="H608">
            <v>1.3092012657900252</v>
          </cell>
          <cell r="I608">
            <v>0.14518286751258813</v>
          </cell>
        </row>
        <row r="609">
          <cell r="A609" t="str">
            <v>T_C-HY-DSL-S2</v>
          </cell>
          <cell r="B609" t="str">
            <v>VAR_fin</v>
          </cell>
          <cell r="C609" t="str">
            <v>TDSL</v>
          </cell>
          <cell r="D609">
            <v>2.7282317073883734E-3</v>
          </cell>
          <cell r="E609">
            <v>0.47089312084423129</v>
          </cell>
          <cell r="F609">
            <v>1.4638054733297607</v>
          </cell>
          <cell r="G609">
            <v>1.2546087351292139</v>
          </cell>
          <cell r="H609">
            <v>0.62562937317558487</v>
          </cell>
          <cell r="I609">
            <v>7.4807265747046131E-2</v>
          </cell>
        </row>
        <row r="610">
          <cell r="A610" t="str">
            <v>T_C-HY-DSL-S2</v>
          </cell>
          <cell r="B610" t="str">
            <v>VAR_ncap</v>
          </cell>
          <cell r="C610" t="str">
            <v>-</v>
          </cell>
          <cell r="E610">
            <v>9.6457366328994695E-2</v>
          </cell>
          <cell r="F610">
            <v>0.15317578415075001</v>
          </cell>
          <cell r="G610">
            <v>1.07581478275679E-4</v>
          </cell>
        </row>
        <row r="611">
          <cell r="A611" t="str">
            <v>T_C-HY-DSL-S2</v>
          </cell>
          <cell r="B611" t="str">
            <v>VAR_cap</v>
          </cell>
          <cell r="C611" t="str">
            <v>-</v>
          </cell>
          <cell r="D611">
            <v>2.5979163004770389E-4</v>
          </cell>
          <cell r="E611">
            <v>9.5693773713461397E-2</v>
          </cell>
          <cell r="F611">
            <v>0.24135574591484363</v>
          </cell>
          <cell r="G611">
            <v>0.20540626093068673</v>
          </cell>
          <cell r="H611">
            <v>0.11961212022471542</v>
          </cell>
          <cell r="I611">
            <v>1.5208941127747793E-2</v>
          </cell>
        </row>
        <row r="612">
          <cell r="A612" t="str">
            <v>D-T-ELC-Bus_c_S1</v>
          </cell>
          <cell r="B612" t="str">
            <v>VAR_fout</v>
          </cell>
          <cell r="C612" t="str">
            <v>T-ELC-Bus_c_BatSTGin_S1</v>
          </cell>
          <cell r="D612">
            <v>4.7646364332257045E-4</v>
          </cell>
          <cell r="E612">
            <v>1.4289519552538694E-3</v>
          </cell>
          <cell r="F612">
            <v>7.5707061110646415E-2</v>
          </cell>
          <cell r="G612">
            <v>0.15295367108548275</v>
          </cell>
          <cell r="H612">
            <v>0.14687414575468019</v>
          </cell>
          <cell r="I612">
            <v>0.14321123297519403</v>
          </cell>
          <cell r="J612">
            <v>0.13705511758731148</v>
          </cell>
          <cell r="K612">
            <v>0.12867423151734628</v>
          </cell>
          <cell r="L612">
            <v>0.1313235984121203</v>
          </cell>
          <cell r="M612">
            <v>0.13558569668627535</v>
          </cell>
          <cell r="N612">
            <v>0.13806597501963599</v>
          </cell>
          <cell r="O612">
            <v>0.14639113826335537</v>
          </cell>
        </row>
        <row r="613">
          <cell r="A613" t="str">
            <v>D-T-ELC-Bus_c_S1</v>
          </cell>
          <cell r="B613" t="str">
            <v>VAR_fin</v>
          </cell>
          <cell r="C613" t="str">
            <v>TELC</v>
          </cell>
          <cell r="D613">
            <v>4.7646364332257045E-4</v>
          </cell>
          <cell r="E613">
            <v>1.4289519552538694E-3</v>
          </cell>
          <cell r="F613">
            <v>7.5707061110646415E-2</v>
          </cell>
          <cell r="G613">
            <v>0.15295367108548275</v>
          </cell>
          <cell r="H613">
            <v>0.14687414575468019</v>
          </cell>
          <cell r="I613">
            <v>0.14321123297519403</v>
          </cell>
          <cell r="J613">
            <v>0.13705511758731148</v>
          </cell>
          <cell r="K613">
            <v>0.12867423151734628</v>
          </cell>
          <cell r="L613">
            <v>0.1313235984121203</v>
          </cell>
          <cell r="M613">
            <v>0.13558569668627535</v>
          </cell>
          <cell r="N613">
            <v>0.13806597501963599</v>
          </cell>
          <cell r="O613">
            <v>0.14639113826335537</v>
          </cell>
        </row>
        <row r="614">
          <cell r="A614" t="str">
            <v>D-T-ELC-Bus_c_S1</v>
          </cell>
          <cell r="B614" t="str">
            <v>VAR_ncap</v>
          </cell>
          <cell r="C614" t="str">
            <v>-</v>
          </cell>
          <cell r="D614">
            <v>9.6799193919663997E-5</v>
          </cell>
          <cell r="E614">
            <v>6.43374666224108E-5</v>
          </cell>
          <cell r="F614">
            <v>8.8586483917835208E-3</v>
          </cell>
          <cell r="G614">
            <v>9.7716143832256193E-3</v>
          </cell>
          <cell r="H614">
            <v>3.79949407898961E-3</v>
          </cell>
          <cell r="I614">
            <v>1.1740218776259199E-2</v>
          </cell>
          <cell r="J614">
            <v>3.2465869806862298E-3</v>
          </cell>
          <cell r="K614">
            <v>8.7767087320350899E-3</v>
          </cell>
          <cell r="L614">
            <v>5.9144392953149102E-3</v>
          </cell>
          <cell r="M614">
            <v>6.3300781207467297E-3</v>
          </cell>
          <cell r="N614">
            <v>9.5948032283398495E-3</v>
          </cell>
          <cell r="O614">
            <v>4.3534810275195302E-3</v>
          </cell>
        </row>
        <row r="615">
          <cell r="A615" t="str">
            <v>D-T-ELC-Bus_c_S1</v>
          </cell>
          <cell r="B615" t="str">
            <v>VAR_cap</v>
          </cell>
          <cell r="C615" t="str">
            <v>-</v>
          </cell>
          <cell r="D615">
            <v>9.6799193919663997E-5</v>
          </cell>
          <cell r="E615">
            <v>1.6113666054207501E-4</v>
          </cell>
          <cell r="F615">
            <v>9.0197850523255907E-3</v>
          </cell>
          <cell r="G615">
            <v>1.8756903477589699E-2</v>
          </cell>
          <cell r="H615">
            <v>1.8109782031861199E-2</v>
          </cell>
          <cell r="I615">
            <v>1.7591721953733899E-2</v>
          </cell>
          <cell r="J615">
            <v>1.69568852163458E-2</v>
          </cell>
          <cell r="K615">
            <v>1.6033722013527998E-2</v>
          </cell>
          <cell r="L615">
            <v>1.6151497455822401E-2</v>
          </cell>
          <cell r="M615">
            <v>1.67412097091563E-2</v>
          </cell>
          <cell r="N615">
            <v>1.69724582120836E-2</v>
          </cell>
          <cell r="O615">
            <v>1.8220218721722099E-2</v>
          </cell>
        </row>
        <row r="616">
          <cell r="A616" t="str">
            <v>T_C-HY-GSL-S4</v>
          </cell>
          <cell r="B616" t="str">
            <v>VAR_fout</v>
          </cell>
          <cell r="C616" t="str">
            <v>CO2_T</v>
          </cell>
          <cell r="D616">
            <v>6.6703900480259506</v>
          </cell>
          <cell r="E616">
            <v>10.02507347526935</v>
          </cell>
          <cell r="F616">
            <v>9.2416789698511153</v>
          </cell>
          <cell r="G616">
            <v>7.7903149323386103</v>
          </cell>
          <cell r="H616">
            <v>1.244249393057844</v>
          </cell>
          <cell r="I616">
            <v>3.8062083333836205E-2</v>
          </cell>
        </row>
        <row r="617">
          <cell r="A617" t="str">
            <v>T_C-HY-GSL-S4</v>
          </cell>
          <cell r="B617" t="str">
            <v>VAR_fout</v>
          </cell>
          <cell r="C617" t="str">
            <v>TPCAR</v>
          </cell>
          <cell r="D617">
            <v>0.10300663508620782</v>
          </cell>
          <cell r="E617">
            <v>0.18044700278940073</v>
          </cell>
          <cell r="F617">
            <v>0.17241350047278162</v>
          </cell>
          <cell r="G617">
            <v>0.14484765111491679</v>
          </cell>
          <cell r="H617">
            <v>2.6341825728917863E-2</v>
          </cell>
          <cell r="I617">
            <v>4.2354816471375326E-4</v>
          </cell>
        </row>
        <row r="618">
          <cell r="A618" t="str">
            <v>T_C-HY-GSL-S4</v>
          </cell>
          <cell r="B618" t="str">
            <v>VAR_fin</v>
          </cell>
          <cell r="C618" t="str">
            <v>TGSL</v>
          </cell>
          <cell r="D618">
            <v>9.0384688997641682E-2</v>
          </cell>
          <cell r="E618">
            <v>0.13584110400093954</v>
          </cell>
          <cell r="F618">
            <v>0.12522600230150568</v>
          </cell>
          <cell r="G618">
            <v>0.10555982293141773</v>
          </cell>
          <cell r="H618">
            <v>1.685974787341251E-2</v>
          </cell>
          <cell r="I618">
            <v>5.1574638663734755E-4</v>
          </cell>
        </row>
        <row r="619">
          <cell r="A619" t="str">
            <v>T_C-HY-GSL-S4</v>
          </cell>
          <cell r="B619" t="str">
            <v>VAR_ncap</v>
          </cell>
          <cell r="C619" t="str">
            <v>-</v>
          </cell>
          <cell r="E619">
            <v>1.3122854977209501E-4</v>
          </cell>
          <cell r="F619">
            <v>1.34647150022242E-4</v>
          </cell>
          <cell r="G619">
            <v>4.2681093915562501E-5</v>
          </cell>
        </row>
        <row r="620">
          <cell r="A620" t="str">
            <v>T_C-HY-GSL-S4</v>
          </cell>
          <cell r="B620" t="str">
            <v>VAR_cap</v>
          </cell>
          <cell r="C620" t="str">
            <v>-</v>
          </cell>
          <cell r="D620">
            <v>8.3195711571262213E-3</v>
          </cell>
          <cell r="E620">
            <v>1.4207641314429861E-2</v>
          </cell>
          <cell r="F620">
            <v>1.356317906197795E-2</v>
          </cell>
          <cell r="G620">
            <v>1.1432744260896322E-2</v>
          </cell>
          <cell r="H620">
            <v>2.1137236695974101E-3</v>
          </cell>
          <cell r="I620">
            <v>3.2661447995989357E-5</v>
          </cell>
        </row>
        <row r="621">
          <cell r="A621" t="str">
            <v>T_C-HY-DSL-S3</v>
          </cell>
          <cell r="B621" t="str">
            <v>VAR_fout</v>
          </cell>
          <cell r="C621" t="str">
            <v>CO2_T</v>
          </cell>
          <cell r="D621">
            <v>2.0836062378103106</v>
          </cell>
          <cell r="E621">
            <v>3.3983372299115073</v>
          </cell>
          <cell r="F621">
            <v>3.3487643102599365</v>
          </cell>
          <cell r="G621">
            <v>2.5296651994096453</v>
          </cell>
          <cell r="H621">
            <v>0.54441173337376692</v>
          </cell>
          <cell r="I621">
            <v>3.1493432801545665E-2</v>
          </cell>
        </row>
        <row r="622">
          <cell r="A622" t="str">
            <v>T_C-HY-DSL-S3</v>
          </cell>
          <cell r="B622" t="str">
            <v>VAR_fout</v>
          </cell>
          <cell r="C622" t="str">
            <v>TPCAR</v>
          </cell>
          <cell r="D622">
            <v>2.5558365740777113E-2</v>
          </cell>
          <cell r="E622">
            <v>5.5523849422403744E-2</v>
          </cell>
          <cell r="F622">
            <v>5.4545735011206589E-2</v>
          </cell>
          <cell r="G622">
            <v>4.3433182410286708E-2</v>
          </cell>
          <cell r="H622">
            <v>1.0513197474601889E-2</v>
          </cell>
          <cell r="I622">
            <v>3.6411444078950946E-4</v>
          </cell>
        </row>
        <row r="623">
          <cell r="A623" t="str">
            <v>T_C-HY-DSL-S3</v>
          </cell>
          <cell r="B623" t="str">
            <v>VAR_fin</v>
          </cell>
          <cell r="C623" t="str">
            <v>TDSL</v>
          </cell>
          <cell r="D623">
            <v>2.8425733121559469E-2</v>
          </cell>
          <cell r="E623">
            <v>4.6362035878738203E-2</v>
          </cell>
          <cell r="F623">
            <v>4.5685734109958333E-2</v>
          </cell>
          <cell r="G623">
            <v>3.451112141077281E-2</v>
          </cell>
          <cell r="H623">
            <v>7.4271723516202894E-3</v>
          </cell>
          <cell r="I623">
            <v>4.2965119783827595E-4</v>
          </cell>
        </row>
        <row r="624">
          <cell r="A624" t="str">
            <v>T_C-HY-DSL-S3</v>
          </cell>
          <cell r="B624" t="str">
            <v>VAR_ncap</v>
          </cell>
          <cell r="C624" t="str">
            <v>-</v>
          </cell>
          <cell r="E624">
            <v>1.3949843819952899E-4</v>
          </cell>
          <cell r="F624">
            <v>1.08369287753125E-4</v>
          </cell>
          <cell r="G624">
            <v>2.80660957859761E-5</v>
          </cell>
        </row>
        <row r="625">
          <cell r="A625" t="str">
            <v>T_C-HY-DSL-S3</v>
          </cell>
          <cell r="B625" t="str">
            <v>VAR_cap</v>
          </cell>
          <cell r="C625" t="str">
            <v>-</v>
          </cell>
          <cell r="D625">
            <v>1.8563571768780997E-3</v>
          </cell>
          <cell r="E625">
            <v>3.8118471409355902E-3</v>
          </cell>
          <cell r="F625">
            <v>3.7345238932410289E-3</v>
          </cell>
          <cell r="G625">
            <v>3.0012897744892725E-3</v>
          </cell>
          <cell r="H625">
            <v>7.3297532558257834E-4</v>
          </cell>
          <cell r="I625">
            <v>2.343367104308452E-5</v>
          </cell>
        </row>
        <row r="626">
          <cell r="A626" t="str">
            <v>D-T-ELC-Bus_c_S2</v>
          </cell>
          <cell r="B626" t="str">
            <v>VAR_fout</v>
          </cell>
          <cell r="C626" t="str">
            <v>T-ELC-Bus_c_BatSTGin_S2</v>
          </cell>
          <cell r="D626">
            <v>1.8395551435027239E-3</v>
          </cell>
          <cell r="E626">
            <v>3.7308888492318176E-3</v>
          </cell>
          <cell r="F626">
            <v>0.13377555810242037</v>
          </cell>
          <cell r="G626">
            <v>0.1877920603002057</v>
          </cell>
          <cell r="H626">
            <v>0.17784184272249964</v>
          </cell>
          <cell r="I626">
            <v>0.17398047158327098</v>
          </cell>
          <cell r="J626">
            <v>0.16560770549549941</v>
          </cell>
          <cell r="K626">
            <v>0.1563759443665442</v>
          </cell>
          <cell r="L626">
            <v>0.16021481042511354</v>
          </cell>
          <cell r="M626">
            <v>0.16534408869820671</v>
          </cell>
          <cell r="N626">
            <v>0.16864598998030303</v>
          </cell>
          <cell r="O626">
            <v>0.17805891137298391</v>
          </cell>
        </row>
        <row r="627">
          <cell r="A627" t="str">
            <v>D-T-ELC-Bus_c_S2</v>
          </cell>
          <cell r="B627" t="str">
            <v>VAR_fin</v>
          </cell>
          <cell r="C627" t="str">
            <v>TELC</v>
          </cell>
          <cell r="D627">
            <v>1.8395551435027239E-3</v>
          </cell>
          <cell r="E627">
            <v>3.7308888492318176E-3</v>
          </cell>
          <cell r="F627">
            <v>0.13377555810242037</v>
          </cell>
          <cell r="G627">
            <v>0.1877920603002057</v>
          </cell>
          <cell r="H627">
            <v>0.17784184272249964</v>
          </cell>
          <cell r="I627">
            <v>0.17398047158327098</v>
          </cell>
          <cell r="J627">
            <v>0.16560770549549941</v>
          </cell>
          <cell r="K627">
            <v>0.1563759443665442</v>
          </cell>
          <cell r="L627">
            <v>0.16021481042511354</v>
          </cell>
          <cell r="M627">
            <v>0.16534408869820671</v>
          </cell>
          <cell r="N627">
            <v>0.16864598998030303</v>
          </cell>
          <cell r="O627">
            <v>0.17805891137298391</v>
          </cell>
        </row>
        <row r="628">
          <cell r="A628" t="str">
            <v>D-T-ELC-Bus_c_S2</v>
          </cell>
          <cell r="B628" t="str">
            <v>VAR_ncap</v>
          </cell>
          <cell r="C628" t="str">
            <v>-</v>
          </cell>
          <cell r="D628">
            <v>2.6495480469602501E-4</v>
          </cell>
          <cell r="E628">
            <v>1.3713990655034401E-4</v>
          </cell>
          <cell r="F628">
            <v>1.3953696021294501E-2</v>
          </cell>
          <cell r="G628">
            <v>8.9964309542636903E-3</v>
          </cell>
          <cell r="H628">
            <v>4.8948648785425101E-3</v>
          </cell>
          <cell r="I628">
            <v>1.46403998129618E-2</v>
          </cell>
          <cell r="J628">
            <v>3.3038822163909002E-3</v>
          </cell>
          <cell r="K628">
            <v>1.1133542125268001E-2</v>
          </cell>
          <cell r="L628">
            <v>7.1019728733440696E-3</v>
          </cell>
          <cell r="M628">
            <v>7.5984034594076804E-3</v>
          </cell>
          <cell r="N628">
            <v>1.1902691293159099E-2</v>
          </cell>
          <cell r="O628">
            <v>5.0609488005063999E-3</v>
          </cell>
        </row>
        <row r="629">
          <cell r="A629" t="str">
            <v>D-T-ELC-Bus_c_S2</v>
          </cell>
          <cell r="B629" t="str">
            <v>VAR_cap</v>
          </cell>
          <cell r="C629" t="str">
            <v>-</v>
          </cell>
          <cell r="D629">
            <v>2.6495480469602501E-4</v>
          </cell>
          <cell r="E629">
            <v>4.0209471124636999E-4</v>
          </cell>
          <cell r="F629">
            <v>1.4355790732540801E-2</v>
          </cell>
          <cell r="G629">
            <v>2.3262963042488101E-2</v>
          </cell>
          <cell r="H629">
            <v>2.10403854602332E-2</v>
          </cell>
          <cell r="I629">
            <v>2.1424487643622901E-2</v>
          </cell>
          <cell r="J629">
            <v>2.0482323293078301E-2</v>
          </cell>
          <cell r="K629">
            <v>1.94385444726532E-2</v>
          </cell>
          <cell r="L629">
            <v>1.9721636434800099E-2</v>
          </cell>
          <cell r="M629">
            <v>2.0404577599771399E-2</v>
          </cell>
          <cell r="N629">
            <v>2.0759009846841502E-2</v>
          </cell>
          <cell r="O629">
            <v>2.2091520193184E-2</v>
          </cell>
        </row>
        <row r="630">
          <cell r="A630" t="str">
            <v>T_C-HY-DSL-S4</v>
          </cell>
          <cell r="B630" t="str">
            <v>VAR_fout</v>
          </cell>
          <cell r="C630" t="str">
            <v>CO2_T</v>
          </cell>
          <cell r="D630">
            <v>2.5572920294523085</v>
          </cell>
          <cell r="E630">
            <v>5.2856201954537916</v>
          </cell>
          <cell r="F630">
            <v>5.1280608618433234</v>
          </cell>
          <cell r="G630">
            <v>4.2312126377849442</v>
          </cell>
          <cell r="H630">
            <v>1.0111417631114032</v>
          </cell>
          <cell r="I630">
            <v>3.83534205449826E-2</v>
          </cell>
        </row>
        <row r="631">
          <cell r="A631" t="str">
            <v>T_C-HY-DSL-S4</v>
          </cell>
          <cell r="B631" t="str">
            <v>VAR_fout</v>
          </cell>
          <cell r="C631" t="str">
            <v>TPCAR</v>
          </cell>
          <cell r="D631">
            <v>4.6883732598012887E-2</v>
          </cell>
          <cell r="E631">
            <v>0.1138344493876017</v>
          </cell>
          <cell r="F631">
            <v>0.11056539152701104</v>
          </cell>
          <cell r="G631">
            <v>9.2627170510424447E-2</v>
          </cell>
          <cell r="H631">
            <v>2.1178919207985529E-2</v>
          </cell>
          <cell r="I631">
            <v>4.3800652910632533E-4</v>
          </cell>
        </row>
        <row r="632">
          <cell r="A632" t="str">
            <v>T_C-HY-DSL-S4</v>
          </cell>
          <cell r="B632" t="str">
            <v>VAR_fin</v>
          </cell>
          <cell r="C632" t="str">
            <v>TDSL</v>
          </cell>
          <cell r="D632">
            <v>3.4888022229908722E-2</v>
          </cell>
          <cell r="E632">
            <v>7.2109416036204632E-2</v>
          </cell>
          <cell r="F632">
            <v>6.9959902617235184E-2</v>
          </cell>
          <cell r="G632">
            <v>5.7724592602795846E-2</v>
          </cell>
          <cell r="H632">
            <v>1.3794567027440653E-2</v>
          </cell>
          <cell r="I632">
            <v>5.232390251702938E-4</v>
          </cell>
        </row>
        <row r="633">
          <cell r="A633" t="str">
            <v>T_C-HY-DSL-S4</v>
          </cell>
          <cell r="B633" t="str">
            <v>VAR_ncap</v>
          </cell>
          <cell r="C633" t="str">
            <v>-</v>
          </cell>
          <cell r="E633">
            <v>1.889950256674E-4</v>
          </cell>
          <cell r="F633">
            <v>1.5296733693369701E-4</v>
          </cell>
          <cell r="G633">
            <v>4.2584549708213401E-5</v>
          </cell>
        </row>
        <row r="634">
          <cell r="A634" t="str">
            <v>T_C-HY-DSL-S4</v>
          </cell>
          <cell r="B634" t="str">
            <v>VAR_cap</v>
          </cell>
          <cell r="C634" t="str">
            <v>-</v>
          </cell>
          <cell r="D634">
            <v>3.7728990981485107E-3</v>
          </cell>
          <cell r="E634">
            <v>8.9561795764939462E-3</v>
          </cell>
          <cell r="F634">
            <v>8.6882412733065885E-3</v>
          </cell>
          <cell r="G634">
            <v>7.3217241197007328E-3</v>
          </cell>
          <cell r="H634">
            <v>1.7050803413854827E-3</v>
          </cell>
          <cell r="I634">
            <v>3.4434469401545644E-5</v>
          </cell>
        </row>
        <row r="635">
          <cell r="A635" t="str">
            <v>D-T-ELC-Bus_c_S3</v>
          </cell>
          <cell r="B635" t="str">
            <v>VAR_fout</v>
          </cell>
          <cell r="C635" t="str">
            <v>T-ELC-Bus_c_BatSTGin_S3</v>
          </cell>
          <cell r="D635">
            <v>6.3642509525796442E-4</v>
          </cell>
          <cell r="E635">
            <v>1.4806521712737051E-3</v>
          </cell>
          <cell r="F635">
            <v>2.443873581393744E-3</v>
          </cell>
          <cell r="G635">
            <v>3.1845606011969307E-3</v>
          </cell>
          <cell r="H635">
            <v>4.596922002193491E-2</v>
          </cell>
          <cell r="I635">
            <v>5.6396976865500832E-2</v>
          </cell>
          <cell r="J635">
            <v>5.3115879886762848E-2</v>
          </cell>
          <cell r="K635">
            <v>5.257120161529491E-2</v>
          </cell>
          <cell r="L635">
            <v>5.2812497910676146E-2</v>
          </cell>
          <cell r="M635">
            <v>5.470159812998622E-2</v>
          </cell>
          <cell r="N635">
            <v>5.5887646932320734E-2</v>
          </cell>
          <cell r="O635">
            <v>5.9206416605590284E-2</v>
          </cell>
        </row>
        <row r="636">
          <cell r="A636" t="str">
            <v>D-T-ELC-Bus_c_S3</v>
          </cell>
          <cell r="B636" t="str">
            <v>VAR_fin</v>
          </cell>
          <cell r="C636" t="str">
            <v>TELC</v>
          </cell>
          <cell r="D636">
            <v>6.3642509525796442E-4</v>
          </cell>
          <cell r="E636">
            <v>1.4806521712737051E-3</v>
          </cell>
          <cell r="F636">
            <v>2.443873581393744E-3</v>
          </cell>
          <cell r="G636">
            <v>3.1845606011969307E-3</v>
          </cell>
          <cell r="H636">
            <v>4.596922002193491E-2</v>
          </cell>
          <cell r="I636">
            <v>5.6396976865500832E-2</v>
          </cell>
          <cell r="J636">
            <v>5.3115879886762848E-2</v>
          </cell>
          <cell r="K636">
            <v>5.257120161529491E-2</v>
          </cell>
          <cell r="L636">
            <v>5.2812497910676146E-2</v>
          </cell>
          <cell r="M636">
            <v>5.470159812998622E-2</v>
          </cell>
          <cell r="N636">
            <v>5.5887646932320734E-2</v>
          </cell>
          <cell r="O636">
            <v>5.9206416605590284E-2</v>
          </cell>
        </row>
        <row r="637">
          <cell r="A637" t="str">
            <v>D-T-ELC-Bus_c_S3</v>
          </cell>
          <cell r="B637" t="str">
            <v>VAR_ncap</v>
          </cell>
          <cell r="C637" t="str">
            <v>-</v>
          </cell>
          <cell r="D637">
            <v>1.06731465571094E-4</v>
          </cell>
          <cell r="E637">
            <v>5.7430967839174598E-5</v>
          </cell>
          <cell r="F637">
            <v>1.06711595385194E-4</v>
          </cell>
          <cell r="G637">
            <v>1.91459980507348E-4</v>
          </cell>
          <cell r="H637">
            <v>5.1417995114689599E-3</v>
          </cell>
          <cell r="I637">
            <v>1.7213229227000799E-3</v>
          </cell>
          <cell r="J637">
            <v>4.1867381223227697E-3</v>
          </cell>
          <cell r="K637">
            <v>2.3319502711395502E-3</v>
          </cell>
          <cell r="L637">
            <v>3.4990605639830001E-3</v>
          </cell>
          <cell r="M637">
            <v>4.00001737285831E-3</v>
          </cell>
          <cell r="N637">
            <v>2.8625772359880102E-3</v>
          </cell>
          <cell r="O637">
            <v>4.5616308637706302E-3</v>
          </cell>
        </row>
        <row r="638">
          <cell r="A638" t="str">
            <v>D-T-ELC-Bus_c_S3</v>
          </cell>
          <cell r="B638" t="str">
            <v>VAR_cap</v>
          </cell>
          <cell r="C638" t="str">
            <v>-</v>
          </cell>
          <cell r="D638">
            <v>1.06731465571094E-4</v>
          </cell>
          <cell r="E638">
            <v>1.64162433410269E-4</v>
          </cell>
          <cell r="F638">
            <v>2.70874028795462E-4</v>
          </cell>
          <cell r="G638">
            <v>3.8020801594308701E-4</v>
          </cell>
          <cell r="H638">
            <v>5.2871525061484797E-3</v>
          </cell>
          <cell r="I638">
            <v>6.8631224341690403E-3</v>
          </cell>
          <cell r="J638">
            <v>6.5493134120251399E-3</v>
          </cell>
          <cell r="K638">
            <v>6.5186883934623199E-3</v>
          </cell>
          <cell r="L638">
            <v>6.4743202207281098E-3</v>
          </cell>
          <cell r="M638">
            <v>6.6564416041374804E-3</v>
          </cell>
          <cell r="N638">
            <v>6.8625946088463202E-3</v>
          </cell>
          <cell r="O638">
            <v>7.4242080997586404E-3</v>
          </cell>
        </row>
        <row r="639">
          <cell r="A639" t="str">
            <v>D-T-ELC-Bus_c_S4</v>
          </cell>
          <cell r="B639" t="str">
            <v>VAR_fout</v>
          </cell>
          <cell r="C639" t="str">
            <v>T-ELC-Bus_c_BatSTGin_S4</v>
          </cell>
          <cell r="D639">
            <v>2.8421977992963196E-5</v>
          </cell>
          <cell r="E639">
            <v>2.2814107905992192E-4</v>
          </cell>
          <cell r="F639">
            <v>5.0794166874036997E-4</v>
          </cell>
          <cell r="G639">
            <v>1.0034536664518109E-3</v>
          </cell>
          <cell r="H639">
            <v>8.5720387987469281E-4</v>
          </cell>
          <cell r="I639">
            <v>1.5970096898581072E-3</v>
          </cell>
          <cell r="J639">
            <v>1.7762334765952677E-3</v>
          </cell>
          <cell r="K639">
            <v>2.9046272158766411E-3</v>
          </cell>
          <cell r="L639">
            <v>2.8090183261676362E-3</v>
          </cell>
          <cell r="M639">
            <v>2.9630380435153774E-3</v>
          </cell>
          <cell r="N639">
            <v>3.72508597151667E-3</v>
          </cell>
          <cell r="O639">
            <v>5.1836475973748332E-3</v>
          </cell>
        </row>
        <row r="640">
          <cell r="A640" t="str">
            <v>D-T-ELC-Bus_c_S4</v>
          </cell>
          <cell r="B640" t="str">
            <v>VAR_fin</v>
          </cell>
          <cell r="C640" t="str">
            <v>TELC</v>
          </cell>
          <cell r="D640">
            <v>2.8421977992963196E-5</v>
          </cell>
          <cell r="E640">
            <v>2.2814107905992192E-4</v>
          </cell>
          <cell r="F640">
            <v>5.0794166874036997E-4</v>
          </cell>
          <cell r="G640">
            <v>1.0034536664518109E-3</v>
          </cell>
          <cell r="H640">
            <v>8.5720387987469281E-4</v>
          </cell>
          <cell r="I640">
            <v>1.5970096898581072E-3</v>
          </cell>
          <cell r="J640">
            <v>1.7762334765952677E-3</v>
          </cell>
          <cell r="K640">
            <v>2.9046272158766411E-3</v>
          </cell>
          <cell r="L640">
            <v>2.8090183261676362E-3</v>
          </cell>
          <cell r="M640">
            <v>2.9630380435153774E-3</v>
          </cell>
          <cell r="N640">
            <v>3.72508597151667E-3</v>
          </cell>
          <cell r="O640">
            <v>5.1836475973748332E-3</v>
          </cell>
        </row>
        <row r="641">
          <cell r="A641" t="str">
            <v>D-T-ELC-Bus_c_S4</v>
          </cell>
          <cell r="B641" t="str">
            <v>VAR_ncap</v>
          </cell>
          <cell r="C641" t="str">
            <v>-</v>
          </cell>
          <cell r="D641">
            <v>1.9872398422560401E-5</v>
          </cell>
          <cell r="E641">
            <v>1.5687431352876501E-5</v>
          </cell>
          <cell r="F641">
            <v>3.20047554834836E-5</v>
          </cell>
          <cell r="G641">
            <v>8.7493595418985001E-5</v>
          </cell>
          <cell r="H641">
            <v>9.4726650632509106E-5</v>
          </cell>
          <cell r="I641">
            <v>2.1801483565819701E-4</v>
          </cell>
          <cell r="J641">
            <v>2.4803513367404998E-4</v>
          </cell>
          <cell r="K641">
            <v>3.3327095407225299E-4</v>
          </cell>
          <cell r="L641">
            <v>3.0586902412480302E-4</v>
          </cell>
          <cell r="M641">
            <v>4.2810410060597099E-4</v>
          </cell>
          <cell r="N641">
            <v>4.2971646295086202E-4</v>
          </cell>
          <cell r="O641">
            <v>6.9115873667403003E-4</v>
          </cell>
        </row>
        <row r="642">
          <cell r="A642" t="str">
            <v>D-T-ELC-Bus_c_S4</v>
          </cell>
          <cell r="B642" t="str">
            <v>VAR_cap</v>
          </cell>
          <cell r="C642" t="str">
            <v>-</v>
          </cell>
          <cell r="D642">
            <v>1.9872398422560401E-5</v>
          </cell>
          <cell r="E642">
            <v>3.5559829775436902E-5</v>
          </cell>
          <cell r="F642">
            <v>6.7564585258920502E-5</v>
          </cell>
          <cell r="G642">
            <v>1.18726930668399E-4</v>
          </cell>
          <cell r="H642">
            <v>1.17416759806598E-4</v>
          </cell>
          <cell r="I642">
            <v>2.9472003850765702E-4</v>
          </cell>
          <cell r="J642">
            <v>3.6107822326585402E-4</v>
          </cell>
          <cell r="K642">
            <v>5.0066064754447897E-4</v>
          </cell>
          <cell r="L642">
            <v>5.4972230006454699E-4</v>
          </cell>
          <cell r="M642">
            <v>5.0742649577248497E-4</v>
          </cell>
          <cell r="N642">
            <v>7.2210570277223701E-4</v>
          </cell>
          <cell r="O642">
            <v>9.81158407074915E-4</v>
          </cell>
        </row>
        <row r="643">
          <cell r="A643" t="str">
            <v>D-TH2O</v>
          </cell>
          <cell r="B643" t="str">
            <v>VAR_fout</v>
          </cell>
          <cell r="C643" t="str">
            <v>TH2Ointl</v>
          </cell>
          <cell r="K643">
            <v>4.3440437305810301E-4</v>
          </cell>
          <cell r="L643">
            <v>5.1581909534402601E-4</v>
          </cell>
          <cell r="M643">
            <v>4.1733675525888102E-4</v>
          </cell>
          <cell r="N643">
            <v>5.29056551312409E-4</v>
          </cell>
          <cell r="O643">
            <v>7.4683939643537098E-4</v>
          </cell>
        </row>
        <row r="644">
          <cell r="A644" t="str">
            <v>D-TH2O</v>
          </cell>
          <cell r="B644" t="str">
            <v>VAR_fout</v>
          </cell>
          <cell r="C644" t="str">
            <v>TH2O</v>
          </cell>
          <cell r="D644">
            <v>5.027796464448047E-3</v>
          </cell>
          <cell r="E644">
            <v>1.5830271634056956E-2</v>
          </cell>
          <cell r="F644">
            <v>1.6136648177569927E-2</v>
          </cell>
          <cell r="G644">
            <v>2.6121274251540393E-3</v>
          </cell>
          <cell r="H644">
            <v>3.1572599737958243E-3</v>
          </cell>
          <cell r="I644">
            <v>8.2401545866185366E-2</v>
          </cell>
          <cell r="J644">
            <v>0.13874134081257986</v>
          </cell>
          <cell r="K644">
            <v>0.14018755376973974</v>
          </cell>
          <cell r="L644">
            <v>0.14145037864726573</v>
          </cell>
          <cell r="M644">
            <v>0.14241782368723199</v>
          </cell>
          <cell r="N644">
            <v>0.143536817952651</v>
          </cell>
          <cell r="O644">
            <v>0.14836536629515548</v>
          </cell>
        </row>
        <row r="645">
          <cell r="A645" t="str">
            <v>D-TH2O</v>
          </cell>
          <cell r="B645" t="str">
            <v>VAR_fin</v>
          </cell>
          <cell r="C645" t="str">
            <v>H2</v>
          </cell>
          <cell r="D645">
            <v>5.027796464448047E-3</v>
          </cell>
          <cell r="E645">
            <v>1.5830271634056956E-2</v>
          </cell>
          <cell r="F645">
            <v>1.6136648177569927E-2</v>
          </cell>
          <cell r="G645">
            <v>2.6121274251540393E-3</v>
          </cell>
          <cell r="H645">
            <v>3.1572599737958243E-3</v>
          </cell>
          <cell r="I645">
            <v>8.2401545866185366E-2</v>
          </cell>
          <cell r="J645">
            <v>0.13874134081257986</v>
          </cell>
          <cell r="K645">
            <v>0.14062195814279763</v>
          </cell>
          <cell r="L645">
            <v>0.14196619774260985</v>
          </cell>
          <cell r="M645">
            <v>0.14283516044249092</v>
          </cell>
          <cell r="N645">
            <v>0.14406587450396321</v>
          </cell>
          <cell r="O645">
            <v>0.14911220569159084</v>
          </cell>
        </row>
        <row r="646">
          <cell r="A646" t="str">
            <v>D-TH2O</v>
          </cell>
          <cell r="B646" t="str">
            <v>VAR_ncap</v>
          </cell>
          <cell r="C646" t="str">
            <v>-</v>
          </cell>
          <cell r="D646">
            <v>1.22252051942308E-3</v>
          </cell>
          <cell r="E646">
            <v>1.7117801689502099E-3</v>
          </cell>
          <cell r="F646">
            <v>3.3234117918603999E-6</v>
          </cell>
          <cell r="G646">
            <v>8.5822834250147103E-7</v>
          </cell>
          <cell r="H646">
            <v>7.4086751748947199E-6</v>
          </cell>
          <cell r="I646">
            <v>6.0991230627951898E-3</v>
          </cell>
          <cell r="J646">
            <v>6.1052430444944903E-3</v>
          </cell>
          <cell r="K646">
            <v>6.97984148829037E-4</v>
          </cell>
          <cell r="L646">
            <v>1.92375190682393E-4</v>
          </cell>
          <cell r="M646">
            <v>2.45590260816857E-3</v>
          </cell>
          <cell r="N646">
            <v>1.28453607192125E-3</v>
          </cell>
          <cell r="O646">
            <v>1.8387870133152399E-3</v>
          </cell>
        </row>
        <row r="647">
          <cell r="A647" t="str">
            <v>D-TH2O</v>
          </cell>
          <cell r="B647" t="str">
            <v>VAR_cap</v>
          </cell>
          <cell r="C647" t="str">
            <v>-</v>
          </cell>
          <cell r="D647">
            <v>1.22252051942308E-3</v>
          </cell>
          <cell r="E647">
            <v>2.9343006883732902E-3</v>
          </cell>
          <cell r="F647">
            <v>2.9376241001651498E-3</v>
          </cell>
          <cell r="G647">
            <v>2.93848232850765E-3</v>
          </cell>
          <cell r="H647">
            <v>2.9458910036825399E-3</v>
          </cell>
          <cell r="I647">
            <v>9.0450140664777405E-3</v>
          </cell>
          <cell r="J647">
            <v>1.51502571109722E-2</v>
          </cell>
          <cell r="K647">
            <v>1.5848241259801301E-2</v>
          </cell>
          <cell r="L647">
            <v>1.60406164504837E-2</v>
          </cell>
          <cell r="M647">
            <v>1.67562800913682E-2</v>
          </cell>
          <cell r="N647">
            <v>1.6843747609362698E-2</v>
          </cell>
          <cell r="O647">
            <v>1.8681359815381101E-2</v>
          </cell>
        </row>
        <row r="648">
          <cell r="A648" t="str">
            <v>TFHGV-HYBDSL</v>
          </cell>
          <cell r="B648" t="str">
            <v>VAR_fout</v>
          </cell>
          <cell r="C648" t="str">
            <v>CO2_T</v>
          </cell>
          <cell r="E648">
            <v>57.124213217826302</v>
          </cell>
          <cell r="F648">
            <v>0.17651770949623402</v>
          </cell>
          <cell r="G648">
            <v>286.67251047084716</v>
          </cell>
          <cell r="H648">
            <v>863.32924098417811</v>
          </cell>
          <cell r="I648">
            <v>811.92100513392904</v>
          </cell>
          <cell r="J648">
            <v>68.113061399827444</v>
          </cell>
          <cell r="K648">
            <v>0.15231829642773101</v>
          </cell>
        </row>
        <row r="649">
          <cell r="A649" t="str">
            <v>TFHGV-HYBDSL</v>
          </cell>
          <cell r="B649" t="str">
            <v>VAR_fout</v>
          </cell>
          <cell r="C649" t="str">
            <v>TFHGV</v>
          </cell>
          <cell r="E649">
            <v>0.12739311477792739</v>
          </cell>
          <cell r="F649">
            <v>3.9365340123709888E-4</v>
          </cell>
          <cell r="G649">
            <v>0.63931040749446533</v>
          </cell>
          <cell r="H649">
            <v>1.9253166895875435</v>
          </cell>
          <cell r="I649">
            <v>1.8106708166504637</v>
          </cell>
          <cell r="J649">
            <v>0.15189942337930393</v>
          </cell>
          <cell r="K649">
            <v>3.3968611778693153E-4</v>
          </cell>
        </row>
        <row r="650">
          <cell r="A650" t="str">
            <v>TFHGV-HYBDSL</v>
          </cell>
          <cell r="B650" t="str">
            <v>VAR_fin</v>
          </cell>
          <cell r="C650" t="str">
            <v>TDSL</v>
          </cell>
          <cell r="E650">
            <v>0.779320780597903</v>
          </cell>
          <cell r="F650">
            <v>2.4081542905352504E-3</v>
          </cell>
          <cell r="G650">
            <v>3.9109483011029624</v>
          </cell>
          <cell r="H650">
            <v>11.778025115745947</v>
          </cell>
          <cell r="I650">
            <v>11.076684926793023</v>
          </cell>
          <cell r="J650">
            <v>0.92923685402220313</v>
          </cell>
          <cell r="K650">
            <v>2.0780122295734125E-3</v>
          </cell>
        </row>
        <row r="651">
          <cell r="A651" t="str">
            <v>TFHGV-HYBDSL</v>
          </cell>
          <cell r="B651" t="str">
            <v>VAR_ncap</v>
          </cell>
          <cell r="C651" t="str">
            <v>-</v>
          </cell>
          <cell r="E651">
            <v>2.3964327528571798E-3</v>
          </cell>
          <cell r="F651">
            <v>9.8517931853089193E-7</v>
          </cell>
          <cell r="G651">
            <v>1.27190165736287E-2</v>
          </cell>
          <cell r="H651">
            <v>3.4742168118758403E-2</v>
          </cell>
          <cell r="I651">
            <v>7.8050506311471502E-3</v>
          </cell>
          <cell r="J651">
            <v>1.2169473672970399E-5</v>
          </cell>
        </row>
        <row r="652">
          <cell r="A652" t="str">
            <v>TFHGV-HYBDSL</v>
          </cell>
          <cell r="B652" t="str">
            <v>VAR_cap</v>
          </cell>
          <cell r="C652" t="str">
            <v>-</v>
          </cell>
          <cell r="E652">
            <v>2.3964327528571798E-3</v>
          </cell>
          <cell r="F652">
            <v>8.4802736402900605E-6</v>
          </cell>
          <cell r="G652">
            <v>1.2722038967690646E-2</v>
          </cell>
          <cell r="H652">
            <v>3.8040642850457308E-2</v>
          </cell>
          <cell r="I652">
            <v>3.593761431182018E-2</v>
          </cell>
          <cell r="J652">
            <v>4.0591670861748223E-3</v>
          </cell>
          <cell r="K652">
            <v>8.1639223511461854E-6</v>
          </cell>
        </row>
        <row r="653">
          <cell r="A653" t="str">
            <v>D-TKER</v>
          </cell>
          <cell r="B653" t="str">
            <v>VAR_fout</v>
          </cell>
          <cell r="C653" t="str">
            <v>CO2</v>
          </cell>
          <cell r="D653">
            <v>80.750556660777903</v>
          </cell>
          <cell r="E653">
            <v>102.29113830970201</v>
          </cell>
          <cell r="F653">
            <v>134.59828949540301</v>
          </cell>
          <cell r="G653">
            <v>188.250711275188</v>
          </cell>
          <cell r="H653">
            <v>172.13427242634501</v>
          </cell>
          <cell r="I653">
            <v>156.534738034474</v>
          </cell>
          <cell r="J653">
            <v>140.50412050080899</v>
          </cell>
          <cell r="K653">
            <v>1.2484742636054499E-4</v>
          </cell>
          <cell r="L653">
            <v>3.3307044317107702E-2</v>
          </cell>
          <cell r="M653">
            <v>3.1527675793731801E-2</v>
          </cell>
          <cell r="N653">
            <v>3.1301354840411202E-2</v>
          </cell>
          <cell r="O653">
            <v>5.2631672965074101E-2</v>
          </cell>
        </row>
        <row r="654">
          <cell r="A654" t="str">
            <v>D-TKER</v>
          </cell>
          <cell r="B654" t="str">
            <v>VAR_fout</v>
          </cell>
          <cell r="C654" t="str">
            <v>TKER</v>
          </cell>
          <cell r="D654">
            <v>1.0929098629546801</v>
          </cell>
          <cell r="E654">
            <v>1.3844485855518101</v>
          </cell>
          <cell r="F654">
            <v>1.82170630407315</v>
          </cell>
          <cell r="G654">
            <v>2.5478593283904898</v>
          </cell>
          <cell r="H654">
            <v>2.3297330924612401</v>
          </cell>
          <cell r="I654">
            <v>2.1186028451987098</v>
          </cell>
          <cell r="J654">
            <v>1.9016381487769201</v>
          </cell>
          <cell r="K654">
            <v>1.6897342789492299E-6</v>
          </cell>
          <cell r="L654">
            <v>4.5079066628548199E-4</v>
          </cell>
          <cell r="M654">
            <v>4.2670799132389701E-4</v>
          </cell>
          <cell r="N654">
            <v>4.23644874333677E-4</v>
          </cell>
          <cell r="O654">
            <v>7.1233780751476096E-4</v>
          </cell>
        </row>
        <row r="655">
          <cell r="A655" t="str">
            <v>D-TKER</v>
          </cell>
          <cell r="B655" t="str">
            <v>VAR_fin</v>
          </cell>
          <cell r="C655" t="str">
            <v>KER</v>
          </cell>
          <cell r="D655">
            <v>1.1092109431425541</v>
          </cell>
          <cell r="E655">
            <v>1.4050980537047013</v>
          </cell>
          <cell r="F655">
            <v>1.8488776029588259</v>
          </cell>
          <cell r="G655">
            <v>2.5858614186152269</v>
          </cell>
          <cell r="H655">
            <v>2.3644817640981484</v>
          </cell>
          <cell r="I655">
            <v>2.1502024455284832</v>
          </cell>
          <cell r="J655">
            <v>1.9300016552308852</v>
          </cell>
          <cell r="K655">
            <v>1.714937175282215E-6</v>
          </cell>
          <cell r="L655">
            <v>4.5751434501521286E-4</v>
          </cell>
          <cell r="M655">
            <v>4.3307246969411742E-4</v>
          </cell>
          <cell r="N655">
            <v>4.2996366539026437E-4</v>
          </cell>
          <cell r="O655">
            <v>7.2296254072904114E-4</v>
          </cell>
        </row>
        <row r="656">
          <cell r="A656" t="str">
            <v>T_B_u-BEVELC-S1</v>
          </cell>
          <cell r="B656" t="str">
            <v>VAR_fout</v>
          </cell>
          <cell r="C656" t="str">
            <v>TPBSu</v>
          </cell>
          <cell r="D656">
            <v>1.3664230140931946E-4</v>
          </cell>
          <cell r="E656">
            <v>2.2176504882936059E-3</v>
          </cell>
          <cell r="F656">
            <v>6.3934190890111958E-2</v>
          </cell>
          <cell r="G656">
            <v>0.11052977948802523</v>
          </cell>
          <cell r="H656">
            <v>0.1152151453655899</v>
          </cell>
          <cell r="I656">
            <v>0.1201156417752771</v>
          </cell>
          <cell r="J656">
            <v>0.12429992807257047</v>
          </cell>
          <cell r="K656">
            <v>0.12843405726949222</v>
          </cell>
          <cell r="L656">
            <v>0.13203976258454117</v>
          </cell>
          <cell r="M656">
            <v>0.13576374034977187</v>
          </cell>
          <cell r="N656">
            <v>0.13991030519264069</v>
          </cell>
          <cell r="O656">
            <v>0.14453951304978557</v>
          </cell>
        </row>
        <row r="657">
          <cell r="A657" t="str">
            <v>T_B_u-BEVELC-S1</v>
          </cell>
          <cell r="B657" t="str">
            <v>VAR_fin</v>
          </cell>
          <cell r="C657" t="str">
            <v>T-ELC-Bus_u_BatSTGout_S1</v>
          </cell>
          <cell r="D657">
            <v>3.6082584865143103E-4</v>
          </cell>
          <cell r="E657">
            <v>5.6643342092990955E-3</v>
          </cell>
          <cell r="F657">
            <v>0.15509203612229383</v>
          </cell>
          <cell r="G657">
            <v>0.24720631233384413</v>
          </cell>
          <cell r="H657">
            <v>0.24466815614001561</v>
          </cell>
          <cell r="I657">
            <v>0.25365304814071654</v>
          </cell>
          <cell r="J657">
            <v>0.25049426118398838</v>
          </cell>
          <cell r="K657">
            <v>0.24178513487203337</v>
          </cell>
          <cell r="L657">
            <v>0.24543452423208925</v>
          </cell>
          <cell r="M657">
            <v>0.25032165084646507</v>
          </cell>
          <cell r="N657">
            <v>0.25796710134845302</v>
          </cell>
          <cell r="O657">
            <v>0.26650245069818657</v>
          </cell>
        </row>
        <row r="658">
          <cell r="A658" t="str">
            <v>T_B_u-BEVELC-S1</v>
          </cell>
          <cell r="B658" t="str">
            <v>VAR_ncap</v>
          </cell>
          <cell r="C658" t="str">
            <v>-</v>
          </cell>
          <cell r="E658">
            <v>3.8798524234684299E-5</v>
          </cell>
          <cell r="F658">
            <v>1.1641313778637801E-3</v>
          </cell>
          <cell r="G658">
            <v>2.6151343105046301E-3</v>
          </cell>
          <cell r="H658">
            <v>2.5983607427056501E-3</v>
          </cell>
          <cell r="I658">
            <v>2.58182708390204E-4</v>
          </cell>
          <cell r="J658">
            <v>1.32427490713449E-3</v>
          </cell>
          <cell r="K658">
            <v>1.59888266967602E-3</v>
          </cell>
          <cell r="L658">
            <v>9.7048001489009102E-4</v>
          </cell>
          <cell r="M658">
            <v>1.4719643245318401E-3</v>
          </cell>
          <cell r="N658">
            <v>1.69444969611923E-3</v>
          </cell>
          <cell r="O658">
            <v>6.8927297050544098E-4</v>
          </cell>
        </row>
        <row r="659">
          <cell r="A659" t="str">
            <v>T_B_u-BEVELC-S1</v>
          </cell>
          <cell r="B659" t="str">
            <v>VAR_cap</v>
          </cell>
          <cell r="C659" t="str">
            <v>-</v>
          </cell>
          <cell r="D659">
            <v>3.02390998593531E-8</v>
          </cell>
          <cell r="E659">
            <v>3.8840015092630854E-5</v>
          </cell>
          <cell r="F659">
            <v>1.2029237634693828E-3</v>
          </cell>
          <cell r="G659">
            <v>2.6225948343155496E-3</v>
          </cell>
          <cell r="H659">
            <v>2.6135351391916202E-3</v>
          </cell>
          <cell r="I659">
            <v>2.8559264451485369E-3</v>
          </cell>
          <cell r="J659">
            <v>2.9278823485625791E-3</v>
          </cell>
          <cell r="K659">
            <v>3.0108155519274877E-3</v>
          </cell>
          <cell r="L659">
            <v>3.1642822710770428E-3</v>
          </cell>
          <cell r="M659">
            <v>3.2597636345249492E-3</v>
          </cell>
          <cell r="N659">
            <v>3.337761263424238E-3</v>
          </cell>
          <cell r="O659">
            <v>3.3732357089982985E-3</v>
          </cell>
        </row>
        <row r="660">
          <cell r="A660" t="str">
            <v>TPSHPH2OEXT</v>
          </cell>
          <cell r="B660" t="str">
            <v>VAR_fout</v>
          </cell>
          <cell r="C660" t="str">
            <v>TPSHP</v>
          </cell>
          <cell r="H660">
            <v>2.2880098273782499E-4</v>
          </cell>
          <cell r="I660">
            <v>0.14144625077077899</v>
          </cell>
          <cell r="J660">
            <v>0.242004531614427</v>
          </cell>
          <cell r="K660">
            <v>0.24202491417168101</v>
          </cell>
          <cell r="L660">
            <v>0.24202756767609299</v>
          </cell>
          <cell r="M660">
            <v>0.24202915339644801</v>
          </cell>
          <cell r="N660">
            <v>0.24203060171589999</v>
          </cell>
          <cell r="O660">
            <v>0.24203211048367301</v>
          </cell>
        </row>
        <row r="661">
          <cell r="A661" t="str">
            <v>TPSHPH2OEXT</v>
          </cell>
          <cell r="B661" t="str">
            <v>VAR_fin</v>
          </cell>
          <cell r="C661" t="str">
            <v>TH2O</v>
          </cell>
          <cell r="H661">
            <v>1.2757388128412E-4</v>
          </cell>
          <cell r="I661">
            <v>7.8867000429767409E-2</v>
          </cell>
          <cell r="J661">
            <v>0.13493586005168021</v>
          </cell>
          <cell r="K661">
            <v>0.13494722487148186</v>
          </cell>
          <cell r="L661">
            <v>0.1349487044012149</v>
          </cell>
          <cell r="M661">
            <v>0.13494958856044331</v>
          </cell>
          <cell r="N661">
            <v>0.1349503961082586</v>
          </cell>
          <cell r="O661">
            <v>0.134951237360593</v>
          </cell>
        </row>
        <row r="662">
          <cell r="A662" t="str">
            <v>TPSHPH2OEXT</v>
          </cell>
          <cell r="B662" t="str">
            <v>VAR_ncap</v>
          </cell>
          <cell r="C662" t="str">
            <v>-</v>
          </cell>
          <cell r="H662">
            <v>2.3396700172141201E-4</v>
          </cell>
          <cell r="I662">
            <v>0.141222604593503</v>
          </cell>
          <cell r="J662">
            <v>0.10056858814910601</v>
          </cell>
          <cell r="K662">
            <v>1.00282940819042E-4</v>
          </cell>
          <cell r="L662">
            <v>1.8885086654606701E-2</v>
          </cell>
          <cell r="M662">
            <v>0.122592764166707</v>
          </cell>
          <cell r="N662">
            <v>0.100548515974869</v>
          </cell>
          <cell r="O662">
            <v>1.2196306895365E-4</v>
          </cell>
        </row>
        <row r="663">
          <cell r="A663" t="str">
            <v>TPSHPH2OEXT</v>
          </cell>
          <cell r="B663" t="str">
            <v>VAR_cap</v>
          </cell>
          <cell r="C663" t="str">
            <v>-</v>
          </cell>
          <cell r="H663">
            <v>2.3396700172141201E-4</v>
          </cell>
          <cell r="I663">
            <v>0.14145292223696232</v>
          </cell>
          <cell r="J663">
            <v>0.24200992396219942</v>
          </cell>
          <cell r="K663">
            <v>0.24204178593325998</v>
          </cell>
          <cell r="L663">
            <v>0.24203656128195933</v>
          </cell>
          <cell r="M663">
            <v>0.24204290485649566</v>
          </cell>
          <cell r="N663">
            <v>0.24204032866146469</v>
          </cell>
          <cell r="O663">
            <v>0.24205482943662093</v>
          </cell>
        </row>
        <row r="664">
          <cell r="A664" t="str">
            <v>T_B_u-BEVELC-S2</v>
          </cell>
          <cell r="B664" t="str">
            <v>VAR_fout</v>
          </cell>
          <cell r="C664" t="str">
            <v>TPBSu</v>
          </cell>
          <cell r="D664">
            <v>5.1410034448773183E-4</v>
          </cell>
          <cell r="E664">
            <v>1.2056336955974596E-3</v>
          </cell>
          <cell r="F664">
            <v>2.3206688372291572E-2</v>
          </cell>
          <cell r="G664">
            <v>3.9841674531429228E-2</v>
          </cell>
          <cell r="H664">
            <v>4.1562201961651439E-2</v>
          </cell>
          <cell r="I664">
            <v>4.3362555082754349E-2</v>
          </cell>
          <cell r="J664">
            <v>4.4870296672930625E-2</v>
          </cell>
          <cell r="K664">
            <v>4.6410739950851633E-2</v>
          </cell>
          <cell r="L664">
            <v>4.7722184453831938E-2</v>
          </cell>
          <cell r="M664">
            <v>4.9078566288927983E-2</v>
          </cell>
          <cell r="N664">
            <v>5.0576668309980831E-2</v>
          </cell>
          <cell r="O664">
            <v>5.2302834577345282E-2</v>
          </cell>
        </row>
        <row r="665">
          <cell r="A665" t="str">
            <v>T_B_u-BEVELC-S2</v>
          </cell>
          <cell r="B665" t="str">
            <v>VAR_fin</v>
          </cell>
          <cell r="C665" t="str">
            <v>T-ELC-Bus_u_BatSTGout_S2</v>
          </cell>
          <cell r="D665">
            <v>1.868228168662093E-3</v>
          </cell>
          <cell r="E665">
            <v>4.3110154343713293E-3</v>
          </cell>
          <cell r="F665">
            <v>7.7708435926847244E-2</v>
          </cell>
          <cell r="G665">
            <v>0.12858461391674531</v>
          </cell>
          <cell r="H665">
            <v>0.12255533332139985</v>
          </cell>
          <cell r="I665">
            <v>0.12611851336118124</v>
          </cell>
          <cell r="J665">
            <v>0.12539711494682454</v>
          </cell>
          <cell r="K665">
            <v>0.12103929882281891</v>
          </cell>
          <cell r="L665">
            <v>0.12261135247984928</v>
          </cell>
          <cell r="M665">
            <v>0.12506767854740167</v>
          </cell>
          <cell r="N665">
            <v>0.12888531537275669</v>
          </cell>
          <cell r="O665">
            <v>0.13328413188616436</v>
          </cell>
        </row>
        <row r="666">
          <cell r="A666" t="str">
            <v>T_B_u-BEVELC-S2</v>
          </cell>
          <cell r="B666" t="str">
            <v>VAR_ncap</v>
          </cell>
          <cell r="C666" t="str">
            <v>-</v>
          </cell>
          <cell r="E666">
            <v>8.3967220201676196E-6</v>
          </cell>
          <cell r="F666">
            <v>4.1421486882978198E-4</v>
          </cell>
          <cell r="G666">
            <v>3.29333770859802E-4</v>
          </cell>
          <cell r="H666">
            <v>6.88376675688318E-4</v>
          </cell>
          <cell r="I666">
            <v>1.26604932075696E-4</v>
          </cell>
          <cell r="J666">
            <v>3.6341552398424902E-4</v>
          </cell>
          <cell r="K666">
            <v>4.7073413233553001E-4</v>
          </cell>
          <cell r="L666">
            <v>2.6653664940358299E-4</v>
          </cell>
          <cell r="M666">
            <v>4.2124762240191801E-4</v>
          </cell>
          <cell r="N666">
            <v>4.8659026367473099E-4</v>
          </cell>
          <cell r="O666">
            <v>2.2172004220167801E-4</v>
          </cell>
        </row>
        <row r="667">
          <cell r="A667" t="str">
            <v>T_B_u-BEVELC-S2</v>
          </cell>
          <cell r="B667" t="str">
            <v>VAR_cap</v>
          </cell>
          <cell r="C667" t="str">
            <v>-</v>
          </cell>
          <cell r="D667">
            <v>7.8347995938593213E-6</v>
          </cell>
          <cell r="E667">
            <v>1.9218642261902785E-5</v>
          </cell>
          <cell r="F667">
            <v>4.3346360069746685E-4</v>
          </cell>
          <cell r="G667">
            <v>7.4733258904129878E-4</v>
          </cell>
          <cell r="H667">
            <v>7.8386328510822987E-4</v>
          </cell>
          <cell r="I667">
            <v>8.1759974412697132E-4</v>
          </cell>
          <cell r="J667">
            <v>8.4671814017531189E-4</v>
          </cell>
          <cell r="K667">
            <v>8.772205333692206E-4</v>
          </cell>
          <cell r="L667">
            <v>9.0051582232086511E-4</v>
          </cell>
          <cell r="M667">
            <v>9.2843361492895291E-4</v>
          </cell>
          <cell r="N667">
            <v>9.5488504569576395E-4</v>
          </cell>
          <cell r="O667">
            <v>9.9182324318810352E-4</v>
          </cell>
        </row>
        <row r="668">
          <cell r="A668" t="str">
            <v>TFHGV-ICEDSL</v>
          </cell>
          <cell r="B668" t="str">
            <v>VAR_fout</v>
          </cell>
          <cell r="C668" t="str">
            <v>CO2_T</v>
          </cell>
          <cell r="D668">
            <v>386.38886624082721</v>
          </cell>
          <cell r="E668">
            <v>452.6613198983776</v>
          </cell>
          <cell r="F668">
            <v>0.11513696733636389</v>
          </cell>
          <cell r="G668">
            <v>0.71085726699638774</v>
          </cell>
          <cell r="H668">
            <v>0.32282001671751803</v>
          </cell>
          <cell r="I668">
            <v>0.234100300987445</v>
          </cell>
          <cell r="J668">
            <v>0.14934599944783039</v>
          </cell>
          <cell r="K668">
            <v>5.5753821981335397E-2</v>
          </cell>
        </row>
        <row r="669">
          <cell r="A669" t="str">
            <v>TFHGV-ICEDSL</v>
          </cell>
          <cell r="B669" t="str">
            <v>VAR_fout</v>
          </cell>
          <cell r="C669" t="str">
            <v>TFHGV</v>
          </cell>
          <cell r="D669">
            <v>0.62572601042840681</v>
          </cell>
          <cell r="E669">
            <v>0.73304897351449605</v>
          </cell>
          <cell r="F669">
            <v>1.8645515313400735E-4</v>
          </cell>
          <cell r="G669">
            <v>1.1511767561761346E-3</v>
          </cell>
          <cell r="H669">
            <v>5.2278131901757196E-4</v>
          </cell>
          <cell r="I669">
            <v>3.7910680191717485E-4</v>
          </cell>
          <cell r="J669">
            <v>2.418539574318089E-4</v>
          </cell>
          <cell r="K669">
            <v>9.0288876421124869E-5</v>
          </cell>
        </row>
        <row r="670">
          <cell r="A670" t="str">
            <v>TFHGV-ICEDSL</v>
          </cell>
          <cell r="B670" t="str">
            <v>VAR_fin</v>
          </cell>
          <cell r="C670" t="str">
            <v>TDSL</v>
          </cell>
          <cell r="D670">
            <v>5.2713351465324312</v>
          </cell>
          <cell r="E670">
            <v>6.175461390155224</v>
          </cell>
          <cell r="F670">
            <v>1.5707635380131514E-3</v>
          </cell>
          <cell r="G670">
            <v>9.6979163301007705E-3</v>
          </cell>
          <cell r="H670">
            <v>4.4040929975104779E-3</v>
          </cell>
          <cell r="I670">
            <v>3.1937285264317236E-3</v>
          </cell>
          <cell r="J670">
            <v>2.0374624754137846E-3</v>
          </cell>
          <cell r="K670">
            <v>7.6062512934973266E-4</v>
          </cell>
        </row>
        <row r="671">
          <cell r="A671" t="str">
            <v>TFHGV-ICEDSL</v>
          </cell>
          <cell r="B671" t="str">
            <v>VAR_ncap</v>
          </cell>
          <cell r="C671" t="str">
            <v>-</v>
          </cell>
          <cell r="E671">
            <v>1.4475874072130799E-6</v>
          </cell>
          <cell r="F671">
            <v>3.5371416523182702E-7</v>
          </cell>
          <cell r="G671">
            <v>2.58478655184189E-5</v>
          </cell>
          <cell r="H671">
            <v>4.3107143125451897E-6</v>
          </cell>
          <cell r="I671">
            <v>4.6908240798673201E-6</v>
          </cell>
          <cell r="J671">
            <v>2.8395036865093799E-6</v>
          </cell>
        </row>
        <row r="672">
          <cell r="A672" t="str">
            <v>TFHGV-ICEDSL</v>
          </cell>
          <cell r="B672" t="str">
            <v>VAR_cap</v>
          </cell>
          <cell r="C672" t="str">
            <v>-</v>
          </cell>
          <cell r="D672">
            <v>1.1788814174349457E-2</v>
          </cell>
          <cell r="E672">
            <v>1.3789447587407213E-2</v>
          </cell>
          <cell r="F672">
            <v>2.0635466838458266E-6</v>
          </cell>
          <cell r="G672">
            <v>2.6570323959044986E-5</v>
          </cell>
          <cell r="H672">
            <v>1.1007637254853798E-5</v>
          </cell>
          <cell r="I672">
            <v>8.1660904349423473E-6</v>
          </cell>
          <cell r="J672">
            <v>5.2644240535686808E-6</v>
          </cell>
          <cell r="K672">
            <v>1.8782921457983346E-6</v>
          </cell>
        </row>
        <row r="673">
          <cell r="A673" t="str">
            <v>D-T-ELC-Bus_u_S1</v>
          </cell>
          <cell r="B673" t="str">
            <v>VAR_fout</v>
          </cell>
          <cell r="C673" t="str">
            <v>T-ELC-Bus_u_BatSTGin_S1</v>
          </cell>
          <cell r="D673">
            <v>1.4064672147798464E-4</v>
          </cell>
          <cell r="E673">
            <v>5.3565220080013347E-3</v>
          </cell>
          <cell r="F673">
            <v>0.15477023874688595</v>
          </cell>
          <cell r="G673">
            <v>0.24748642257900033</v>
          </cell>
          <cell r="H673">
            <v>0.24564593472125656</v>
          </cell>
          <cell r="I673">
            <v>0.25457204968724068</v>
          </cell>
          <cell r="J673">
            <v>0.25189642429767428</v>
          </cell>
          <cell r="K673">
            <v>0.24488131195156351</v>
          </cell>
          <cell r="L673">
            <v>0.24767929142328582</v>
          </cell>
          <cell r="M673">
            <v>0.25439303976851801</v>
          </cell>
          <cell r="N673">
            <v>0.26087108989463431</v>
          </cell>
          <cell r="O673">
            <v>0.27360343821393202</v>
          </cell>
        </row>
        <row r="674">
          <cell r="A674" t="str">
            <v>D-T-ELC-Bus_u_S1</v>
          </cell>
          <cell r="B674" t="str">
            <v>VAR_fin</v>
          </cell>
          <cell r="C674" t="str">
            <v>TELC</v>
          </cell>
          <cell r="D674">
            <v>1.4064672147798464E-4</v>
          </cell>
          <cell r="E674">
            <v>5.3565220080013347E-3</v>
          </cell>
          <cell r="F674">
            <v>0.15477023874688595</v>
          </cell>
          <cell r="G674">
            <v>0.24748642257900033</v>
          </cell>
          <cell r="H674">
            <v>0.24564593472125656</v>
          </cell>
          <cell r="I674">
            <v>0.25457204968724068</v>
          </cell>
          <cell r="J674">
            <v>0.25189642429767428</v>
          </cell>
          <cell r="K674">
            <v>0.24488131195156351</v>
          </cell>
          <cell r="L674">
            <v>0.24767929142328582</v>
          </cell>
          <cell r="M674">
            <v>0.25439303976851801</v>
          </cell>
          <cell r="N674">
            <v>0.26087108989463431</v>
          </cell>
          <cell r="O674">
            <v>0.27360343821393202</v>
          </cell>
        </row>
        <row r="675">
          <cell r="A675" t="str">
            <v>D-T-ELC-Bus_u_S1</v>
          </cell>
          <cell r="B675" t="str">
            <v>VAR_ncap</v>
          </cell>
          <cell r="C675" t="str">
            <v>-</v>
          </cell>
          <cell r="D675">
            <v>6.6770244748677501E-4</v>
          </cell>
          <cell r="E675">
            <v>7.0182036633264101E-4</v>
          </cell>
          <cell r="F675">
            <v>1.5001499362324E-2</v>
          </cell>
          <cell r="G675">
            <v>1.00622744321913E-2</v>
          </cell>
          <cell r="H675">
            <v>8.2293410402706595E-3</v>
          </cell>
          <cell r="I675">
            <v>1.6567938207438199E-2</v>
          </cell>
          <cell r="J675">
            <v>5.8020861984890001E-3</v>
          </cell>
          <cell r="K675">
            <v>1.4430606564334101E-2</v>
          </cell>
          <cell r="L675">
            <v>9.1497383866904897E-3</v>
          </cell>
          <cell r="M675">
            <v>1.03760977546455E-2</v>
          </cell>
          <cell r="N675">
            <v>1.55902400973007E-2</v>
          </cell>
          <cell r="O675">
            <v>6.3948425868160502E-3</v>
          </cell>
        </row>
        <row r="676">
          <cell r="A676" t="str">
            <v>D-T-ELC-Bus_u_S1</v>
          </cell>
          <cell r="B676" t="str">
            <v>VAR_cap</v>
          </cell>
          <cell r="C676" t="str">
            <v>-</v>
          </cell>
          <cell r="D676">
            <v>6.6770244748677501E-4</v>
          </cell>
          <cell r="E676">
            <v>1.36952281381942E-3</v>
          </cell>
          <cell r="F676">
            <v>1.6371022176143401E-2</v>
          </cell>
          <cell r="G676">
            <v>2.6161161885425801E-2</v>
          </cell>
          <cell r="H676">
            <v>2.59775406440707E-2</v>
          </cell>
          <cell r="I676">
            <v>2.6910326066436702E-2</v>
          </cell>
          <cell r="J676">
            <v>2.6637028225590699E-2</v>
          </cell>
          <cell r="K676">
            <v>2.5892254684412901E-2</v>
          </cell>
          <cell r="L676">
            <v>2.6190185166092599E-2</v>
          </cell>
          <cell r="M676">
            <v>2.69192679280915E-2</v>
          </cell>
          <cell r="N676">
            <v>2.75869571123325E-2</v>
          </cell>
          <cell r="O676">
            <v>2.89875254302739E-2</v>
          </cell>
        </row>
        <row r="677">
          <cell r="A677" t="str">
            <v>T-Plg-DSL-mix_S1</v>
          </cell>
          <cell r="B677" t="str">
            <v>VAR_fout</v>
          </cell>
          <cell r="C677" t="str">
            <v>CO2_T</v>
          </cell>
          <cell r="D677">
            <v>4.3764970803202496E-3</v>
          </cell>
          <cell r="E677">
            <v>0.25160749037282204</v>
          </cell>
          <cell r="F677">
            <v>0.30881435180940198</v>
          </cell>
          <cell r="G677">
            <v>0.3766244564273471</v>
          </cell>
          <cell r="H677">
            <v>0.37370193196374601</v>
          </cell>
          <cell r="I677">
            <v>0.1931990219567418</v>
          </cell>
          <cell r="J677">
            <v>0.78714951555086898</v>
          </cell>
          <cell r="K677">
            <v>0.49750048751926401</v>
          </cell>
          <cell r="L677">
            <v>1.167064571993724</v>
          </cell>
          <cell r="M677">
            <v>6.2570176373444003E-2</v>
          </cell>
          <cell r="N677">
            <v>3.2850367077795602E-2</v>
          </cell>
          <cell r="O677">
            <v>2.7103679812032197E-2</v>
          </cell>
        </row>
        <row r="678">
          <cell r="A678" t="str">
            <v>T-Plg-DSL-mix_S1</v>
          </cell>
          <cell r="B678" t="str">
            <v>VAR_fout</v>
          </cell>
          <cell r="C678" t="str">
            <v>T-PEVmix-ELC_DSL_S1</v>
          </cell>
          <cell r="D678">
            <v>4.3490660314723688E-5</v>
          </cell>
          <cell r="E678">
            <v>2.5003046261929097E-3</v>
          </cell>
          <cell r="F678">
            <v>3.0687876236105052E-3</v>
          </cell>
          <cell r="G678">
            <v>3.7426384617856518E-3</v>
          </cell>
          <cell r="H678">
            <v>3.7135963954080713E-3</v>
          </cell>
          <cell r="I678">
            <v>1.9850947164460789E-3</v>
          </cell>
          <cell r="J678">
            <v>8.6303003108081661E-3</v>
          </cell>
          <cell r="K678">
            <v>5.7527424610667611E-3</v>
          </cell>
          <cell r="L678">
            <v>1.4184802799352437E-2</v>
          </cell>
          <cell r="M678">
            <v>7.9729697801164993E-4</v>
          </cell>
          <cell r="N678">
            <v>4.2970857048852274E-4</v>
          </cell>
          <cell r="O678">
            <v>3.7479686299689231E-4</v>
          </cell>
        </row>
        <row r="679">
          <cell r="A679" t="str">
            <v>T-Plg-DSL-mix_S1</v>
          </cell>
          <cell r="B679" t="str">
            <v>VAR_fin</v>
          </cell>
          <cell r="C679" t="str">
            <v>TDSL</v>
          </cell>
          <cell r="D679">
            <v>5.9706645024832931E-5</v>
          </cell>
          <cell r="E679">
            <v>3.4325714921258081E-3</v>
          </cell>
          <cell r="F679">
            <v>4.2130198064038579E-3</v>
          </cell>
          <cell r="G679">
            <v>5.1381235528969622E-3</v>
          </cell>
          <cell r="H679">
            <v>5.0982528235163152E-3</v>
          </cell>
          <cell r="I679">
            <v>2.6357301767631885E-3</v>
          </cell>
          <cell r="J679">
            <v>1.073873827490953E-2</v>
          </cell>
          <cell r="K679">
            <v>6.7871826400990893E-3</v>
          </cell>
          <cell r="L679">
            <v>1.5921754051756127E-2</v>
          </cell>
          <cell r="M679">
            <v>8.5361768585871692E-4</v>
          </cell>
          <cell r="N679">
            <v>4.4816326163432023E-4</v>
          </cell>
          <cell r="O679">
            <v>3.6976370821326424E-4</v>
          </cell>
        </row>
        <row r="680">
          <cell r="A680" t="str">
            <v>T_B_u-BEVELC-S3</v>
          </cell>
          <cell r="B680" t="str">
            <v>VAR_fout</v>
          </cell>
          <cell r="C680" t="str">
            <v>TPBSu</v>
          </cell>
          <cell r="D680">
            <v>1.5233294003552656E-3</v>
          </cell>
          <cell r="E680">
            <v>3.0018503891279646E-3</v>
          </cell>
          <cell r="F680">
            <v>0.10070550607010111</v>
          </cell>
          <cell r="G680">
            <v>0.1698810477910202</v>
          </cell>
          <cell r="H680">
            <v>0.18127962451413021</v>
          </cell>
          <cell r="I680">
            <v>0.18937498990057011</v>
          </cell>
          <cell r="J680">
            <v>0.19603070097410857</v>
          </cell>
          <cell r="K680">
            <v>0.20264254440735535</v>
          </cell>
          <cell r="L680">
            <v>0.20834807974590402</v>
          </cell>
          <cell r="M680">
            <v>0.21425866683884509</v>
          </cell>
          <cell r="N680">
            <v>0.22080326054394048</v>
          </cell>
          <cell r="O680">
            <v>0.22834370697301734</v>
          </cell>
        </row>
        <row r="681">
          <cell r="A681" t="str">
            <v>T_B_u-BEVELC-S3</v>
          </cell>
          <cell r="B681" t="str">
            <v>VAR_fin</v>
          </cell>
          <cell r="C681" t="str">
            <v>T-ELC-Bus_u_BatSTGout_S3</v>
          </cell>
          <cell r="D681">
            <v>8.3255506953991681E-3</v>
          </cell>
          <cell r="E681">
            <v>1.6276728662298161E-2</v>
          </cell>
          <cell r="F681">
            <v>0.50604444295212803</v>
          </cell>
          <cell r="G681">
            <v>0.82482532280348442</v>
          </cell>
          <cell r="H681">
            <v>0.80931291225537094</v>
          </cell>
          <cell r="I681">
            <v>0.81911190317120131</v>
          </cell>
          <cell r="J681">
            <v>0.80140863427719899</v>
          </cell>
          <cell r="K681">
            <v>0.79428992421643996</v>
          </cell>
          <cell r="L681">
            <v>0.798059925089463</v>
          </cell>
          <cell r="M681">
            <v>0.81733563472553494</v>
          </cell>
          <cell r="N681">
            <v>0.84230139097192169</v>
          </cell>
          <cell r="O681">
            <v>0.87106604100523466</v>
          </cell>
        </row>
        <row r="682">
          <cell r="A682" t="str">
            <v>T_B_u-BEVELC-S3</v>
          </cell>
          <cell r="B682" t="str">
            <v>VAR_ncap</v>
          </cell>
          <cell r="C682" t="str">
            <v>-</v>
          </cell>
          <cell r="E682">
            <v>5.5034260717801698E-6</v>
          </cell>
          <cell r="F682">
            <v>1.8416551676079501E-3</v>
          </cell>
          <cell r="G682">
            <v>1.3379140075040401E-3</v>
          </cell>
          <cell r="H682">
            <v>2.40211072975319E-3</v>
          </cell>
          <cell r="I682">
            <v>1.1681570833578399E-3</v>
          </cell>
          <cell r="J682">
            <v>2.2845441170254001E-3</v>
          </cell>
          <cell r="K682">
            <v>1.5367375790948201E-3</v>
          </cell>
          <cell r="L682">
            <v>2.0398684326971999E-3</v>
          </cell>
          <cell r="M682">
            <v>2.49158224168011E-3</v>
          </cell>
          <cell r="N682">
            <v>1.67181386973484E-3</v>
          </cell>
          <cell r="O682">
            <v>2.63506411762959E-3</v>
          </cell>
        </row>
        <row r="683">
          <cell r="A683" t="str">
            <v>T_B_u-BEVELC-S3</v>
          </cell>
          <cell r="B683" t="str">
            <v>VAR_cap</v>
          </cell>
          <cell r="C683" t="str">
            <v>-</v>
          </cell>
          <cell r="D683">
            <v>3.4352312538640908E-5</v>
          </cell>
          <cell r="E683">
            <v>5.2938237407530457E-5</v>
          </cell>
          <cell r="F683">
            <v>1.8946656260285344E-3</v>
          </cell>
          <cell r="G683">
            <v>3.1998331577926791E-3</v>
          </cell>
          <cell r="H683">
            <v>3.4177985684399402E-3</v>
          </cell>
          <cell r="I683">
            <v>3.5702528175617361E-3</v>
          </cell>
          <cell r="J683">
            <v>3.6952611279645118E-3</v>
          </cell>
          <cell r="K683">
            <v>3.8212531674545001E-3</v>
          </cell>
          <cell r="L683">
            <v>3.9275985802783861E-3</v>
          </cell>
          <cell r="M683">
            <v>4.0401864833553612E-3</v>
          </cell>
          <cell r="N683">
            <v>4.1633686236728223E-3</v>
          </cell>
          <cell r="O683">
            <v>4.3068349190288086E-3</v>
          </cell>
        </row>
        <row r="684">
          <cell r="A684" t="str">
            <v>D-T-ELC-Bus_u_S2</v>
          </cell>
          <cell r="B684" t="str">
            <v>VAR_fout</v>
          </cell>
          <cell r="C684" t="str">
            <v>T-ELC-Bus_u_BatSTGin_S2</v>
          </cell>
          <cell r="D684">
            <v>1.5525199623754558E-3</v>
          </cell>
          <cell r="E684">
            <v>3.8562962951360028E-3</v>
          </cell>
          <cell r="F684">
            <v>7.7210459958071354E-2</v>
          </cell>
          <cell r="G684">
            <v>0.12860613788327593</v>
          </cell>
          <cell r="H684">
            <v>0.12330732127591332</v>
          </cell>
          <cell r="I684">
            <v>0.1269099168736938</v>
          </cell>
          <cell r="J684">
            <v>0.12655535919153732</v>
          </cell>
          <cell r="K684">
            <v>0.12401399813572801</v>
          </cell>
          <cell r="L684">
            <v>0.12467993545686507</v>
          </cell>
          <cell r="M684">
            <v>0.12883321785216229</v>
          </cell>
          <cell r="N684">
            <v>0.13170079317004027</v>
          </cell>
          <cell r="O684">
            <v>0.13979200492247937</v>
          </cell>
        </row>
        <row r="685">
          <cell r="A685" t="str">
            <v>D-T-ELC-Bus_u_S2</v>
          </cell>
          <cell r="B685" t="str">
            <v>VAR_fin</v>
          </cell>
          <cell r="C685" t="str">
            <v>TELC</v>
          </cell>
          <cell r="D685">
            <v>1.5525199623754558E-3</v>
          </cell>
          <cell r="E685">
            <v>3.8562962951360028E-3</v>
          </cell>
          <cell r="F685">
            <v>7.7210459958071354E-2</v>
          </cell>
          <cell r="G685">
            <v>0.12860613788327593</v>
          </cell>
          <cell r="H685">
            <v>0.12330732127591332</v>
          </cell>
          <cell r="I685">
            <v>0.1269099168736938</v>
          </cell>
          <cell r="J685">
            <v>0.12655535919153732</v>
          </cell>
          <cell r="K685">
            <v>0.12401399813572801</v>
          </cell>
          <cell r="L685">
            <v>0.12467993545686507</v>
          </cell>
          <cell r="M685">
            <v>0.12883321785216229</v>
          </cell>
          <cell r="N685">
            <v>0.13170079317004027</v>
          </cell>
          <cell r="O685">
            <v>0.13979200492247937</v>
          </cell>
        </row>
        <row r="686">
          <cell r="A686" t="str">
            <v>D-T-ELC-Bus_u_S2</v>
          </cell>
          <cell r="B686" t="str">
            <v>VAR_ncap</v>
          </cell>
          <cell r="C686" t="str">
            <v>-</v>
          </cell>
          <cell r="D686">
            <v>6.1989576940865395E-4</v>
          </cell>
          <cell r="E686">
            <v>6.3887716781712905E-4</v>
          </cell>
          <cell r="F686">
            <v>6.9193424557551404E-3</v>
          </cell>
          <cell r="G686">
            <v>5.6747494569157697E-3</v>
          </cell>
          <cell r="H686">
            <v>3.8295876193276401E-3</v>
          </cell>
          <cell r="I686">
            <v>8.3979874160173395E-3</v>
          </cell>
          <cell r="J686">
            <v>3.0109380502792399E-3</v>
          </cell>
          <cell r="K686">
            <v>7.2396703489834204E-3</v>
          </cell>
          <cell r="L686">
            <v>4.5997022352322796E-3</v>
          </cell>
          <cell r="M686">
            <v>5.3471575824235902E-3</v>
          </cell>
          <cell r="N686">
            <v>7.7747554922831296E-3</v>
          </cell>
          <cell r="O686">
            <v>3.4770102223534599E-3</v>
          </cell>
        </row>
        <row r="687">
          <cell r="A687" t="str">
            <v>D-T-ELC-Bus_u_S2</v>
          </cell>
          <cell r="B687" t="str">
            <v>VAR_cap</v>
          </cell>
          <cell r="C687" t="str">
            <v>-</v>
          </cell>
          <cell r="D687">
            <v>6.1989576940865395E-4</v>
          </cell>
          <cell r="E687">
            <v>1.2587729372257801E-3</v>
          </cell>
          <cell r="F687">
            <v>8.1781153929809201E-3</v>
          </cell>
          <cell r="G687">
            <v>1.36018964998635E-2</v>
          </cell>
          <cell r="H687">
            <v>1.3049419275509001E-2</v>
          </cell>
          <cell r="I687">
            <v>1.34192550444542E-2</v>
          </cell>
          <cell r="J687">
            <v>1.33946087572724E-2</v>
          </cell>
          <cell r="K687">
            <v>1.3119337700555201E-2</v>
          </cell>
          <cell r="L687">
            <v>1.31937246120679E-2</v>
          </cell>
          <cell r="M687">
            <v>1.36560600266129E-2</v>
          </cell>
          <cell r="N687">
            <v>1.39366211810393E-2</v>
          </cell>
          <cell r="O687">
            <v>1.48603636395007E-2</v>
          </cell>
        </row>
        <row r="688">
          <cell r="A688" t="str">
            <v>T-Plg-DSL-mix_S2</v>
          </cell>
          <cell r="B688" t="str">
            <v>VAR_fout</v>
          </cell>
          <cell r="C688" t="str">
            <v>CO2_T</v>
          </cell>
          <cell r="D688">
            <v>3.9516501693143396E-3</v>
          </cell>
          <cell r="E688">
            <v>0.1909854010272333</v>
          </cell>
          <cell r="F688">
            <v>0.31407867723042099</v>
          </cell>
          <cell r="G688">
            <v>176.91146843688529</v>
          </cell>
          <cell r="H688">
            <v>109.081769881022</v>
          </cell>
          <cell r="I688">
            <v>53.660806996112242</v>
          </cell>
          <cell r="J688">
            <v>3.6086666600926414</v>
          </cell>
          <cell r="K688">
            <v>2.2797103081342081</v>
          </cell>
          <cell r="L688">
            <v>1.474866837793031</v>
          </cell>
          <cell r="M688">
            <v>8.9448667255936698E-2</v>
          </cell>
          <cell r="N688">
            <v>7.9254398888581212E-2</v>
          </cell>
          <cell r="O688">
            <v>4.7386778218508299E-2</v>
          </cell>
        </row>
        <row r="689">
          <cell r="A689" t="str">
            <v>T-Plg-DSL-mix_S2</v>
          </cell>
          <cell r="B689" t="str">
            <v>VAR_fout</v>
          </cell>
          <cell r="C689" t="str">
            <v>T-PEVmix-ELC_DSL_S2</v>
          </cell>
          <cell r="D689">
            <v>3.2105085179123729E-5</v>
          </cell>
          <cell r="E689">
            <v>1.5516562208775556E-3</v>
          </cell>
          <cell r="F689">
            <v>2.5517245336468633E-3</v>
          </cell>
          <cell r="G689">
            <v>1.4373128996678322</v>
          </cell>
          <cell r="H689">
            <v>0.88623217224905459</v>
          </cell>
          <cell r="I689">
            <v>0.46147147503076824</v>
          </cell>
          <cell r="J689">
            <v>3.2662699509582505E-2</v>
          </cell>
          <cell r="K689">
            <v>2.1834884985823092E-2</v>
          </cell>
          <cell r="L689">
            <v>1.4765609197197138E-2</v>
          </cell>
          <cell r="M689">
            <v>9.383534952969268E-4</v>
          </cell>
          <cell r="N689">
            <v>8.5491538893116715E-4</v>
          </cell>
          <cell r="O689">
            <v>5.4030018376127449E-4</v>
          </cell>
        </row>
        <row r="690">
          <cell r="A690" t="str">
            <v>T-Plg-DSL-mix_S2</v>
          </cell>
          <cell r="B690" t="str">
            <v>VAR_fin</v>
          </cell>
          <cell r="C690" t="str">
            <v>TDSL</v>
          </cell>
          <cell r="D690">
            <v>5.3910643510427512E-5</v>
          </cell>
          <cell r="E690">
            <v>2.6055307097848988E-3</v>
          </cell>
          <cell r="F690">
            <v>4.2848387070998726E-3</v>
          </cell>
          <cell r="G690">
            <v>2.4135261723995289</v>
          </cell>
          <cell r="H690">
            <v>1.4881551143386358</v>
          </cell>
          <cell r="I690">
            <v>0.73207103678188623</v>
          </cell>
          <cell r="J690">
            <v>4.9231468759790425E-2</v>
          </cell>
          <cell r="K690">
            <v>3.110109560892511E-2</v>
          </cell>
          <cell r="L690">
            <v>2.0120966409181918E-2</v>
          </cell>
          <cell r="M690">
            <v>1.2203092395080058E-3</v>
          </cell>
          <cell r="N690">
            <v>1.0812332726955133E-3</v>
          </cell>
          <cell r="O690">
            <v>6.4647719261266509E-4</v>
          </cell>
        </row>
        <row r="691">
          <cell r="A691" t="str">
            <v>T_B_u-BEVELC-S4</v>
          </cell>
          <cell r="B691" t="str">
            <v>VAR_fout</v>
          </cell>
          <cell r="C691" t="str">
            <v>TPBSu</v>
          </cell>
          <cell r="D691">
            <v>1.6934978753715355E-4</v>
          </cell>
          <cell r="E691">
            <v>2.1790684078039233E-4</v>
          </cell>
          <cell r="F691">
            <v>3.1249047193081204E-4</v>
          </cell>
          <cell r="G691">
            <v>1.2756930346902542E-4</v>
          </cell>
          <cell r="H691">
            <v>7.6922335269212383E-5</v>
          </cell>
          <cell r="I691">
            <v>8.688070305291666E-5</v>
          </cell>
          <cell r="J691">
            <v>8.3837155075433564E-5</v>
          </cell>
          <cell r="K691">
            <v>1.3118728445224009E-4</v>
          </cell>
          <cell r="L691">
            <v>1.3226157937306932E-4</v>
          </cell>
          <cell r="M691">
            <v>1.6498337791866853E-4</v>
          </cell>
          <cell r="N691">
            <v>1.7105521402889284E-4</v>
          </cell>
          <cell r="O691">
            <v>3.1484317562257023E-4</v>
          </cell>
        </row>
        <row r="692">
          <cell r="A692" t="str">
            <v>T_B_u-BEVELC-S4</v>
          </cell>
          <cell r="B692" t="str">
            <v>VAR_fin</v>
          </cell>
          <cell r="C692" t="str">
            <v>T-ELC-Bus_u_BatSTGout_S4</v>
          </cell>
          <cell r="D692">
            <v>1.38825973050981E-3</v>
          </cell>
          <cell r="E692">
            <v>1.7643728885031796E-3</v>
          </cell>
          <cell r="F692">
            <v>2.4911733261597292E-3</v>
          </cell>
          <cell r="G692">
            <v>9.5743295681027839E-4</v>
          </cell>
          <cell r="H692">
            <v>5.1554344976434353E-4</v>
          </cell>
          <cell r="I692">
            <v>5.5392164647319179E-4</v>
          </cell>
          <cell r="J692">
            <v>5.0900648498259293E-4</v>
          </cell>
          <cell r="K692">
            <v>7.6171436218460222E-4</v>
          </cell>
          <cell r="L692">
            <v>7.537296805267482E-4</v>
          </cell>
          <cell r="M692">
            <v>9.4020402085250097E-4</v>
          </cell>
          <cell r="N692">
            <v>9.7480608074973778E-4</v>
          </cell>
          <cell r="O692">
            <v>1.7942220809919268E-3</v>
          </cell>
        </row>
        <row r="693">
          <cell r="A693" t="str">
            <v>T_B_u-BEVELC-S4</v>
          </cell>
          <cell r="B693" t="str">
            <v>VAR_ncap</v>
          </cell>
          <cell r="C693" t="str">
            <v>-</v>
          </cell>
          <cell r="E693">
            <v>7.2992999619087904E-7</v>
          </cell>
          <cell r="F693">
            <v>7.8327367815417101E-7</v>
          </cell>
          <cell r="G693">
            <v>8.1610052375591899E-7</v>
          </cell>
          <cell r="H693">
            <v>1.51159360652037E-6</v>
          </cell>
          <cell r="I693">
            <v>1.48055140440694E-6</v>
          </cell>
          <cell r="J693">
            <v>1.69191052363693E-6</v>
          </cell>
          <cell r="K693">
            <v>2.4373928354109102E-6</v>
          </cell>
          <cell r="L693">
            <v>2.14238439315197E-6</v>
          </cell>
          <cell r="M693">
            <v>2.9653671772245398E-6</v>
          </cell>
          <cell r="N693">
            <v>2.9964338739512499E-6</v>
          </cell>
          <cell r="O693">
            <v>4.4868391935496602E-6</v>
          </cell>
        </row>
        <row r="694">
          <cell r="A694" t="str">
            <v>T_B_u-BEVELC-S4</v>
          </cell>
          <cell r="B694" t="str">
            <v>VAR_cap</v>
          </cell>
          <cell r="C694" t="str">
            <v>-</v>
          </cell>
          <cell r="D694">
            <v>4.2334739803094299E-7</v>
          </cell>
          <cell r="E694">
            <v>8.5261171421446899E-7</v>
          </cell>
          <cell r="F694">
            <v>1.7592758604704344E-6</v>
          </cell>
          <cell r="G694">
            <v>6.2927628071415888E-7</v>
          </cell>
          <cell r="H694">
            <v>1.6883085513298984E-6</v>
          </cell>
          <cell r="I694">
            <v>1.7412254956829351E-6</v>
          </cell>
          <cell r="J694">
            <v>1.943636551364433E-6</v>
          </cell>
          <cell r="K694">
            <v>3.2721595410869732E-6</v>
          </cell>
          <cell r="L694">
            <v>2.4569940915705502E-6</v>
          </cell>
          <cell r="M694">
            <v>3.4975248914573556E-6</v>
          </cell>
          <cell r="N694">
            <v>3.6438649742456296E-6</v>
          </cell>
          <cell r="O694">
            <v>6.2856336714141647E-6</v>
          </cell>
        </row>
        <row r="695">
          <cell r="A695" t="str">
            <v>D-TBDS1</v>
          </cell>
          <cell r="B695" t="str">
            <v>VAR_fout</v>
          </cell>
          <cell r="C695" t="str">
            <v>TDSL</v>
          </cell>
          <cell r="D695">
            <v>2.9711298793761745</v>
          </cell>
          <cell r="E695">
            <v>2.9710814261880061</v>
          </cell>
          <cell r="F695">
            <v>3.1561190602749001</v>
          </cell>
          <cell r="G695">
            <v>2.9698265011178551</v>
          </cell>
          <cell r="H695">
            <v>2.974744274988117</v>
          </cell>
          <cell r="I695">
            <v>2.9725848554614194</v>
          </cell>
          <cell r="J695">
            <v>2.9719254007993041</v>
          </cell>
          <cell r="K695">
            <v>2.9296630314005019</v>
          </cell>
          <cell r="L695">
            <v>2.6560114069163778</v>
          </cell>
          <cell r="M695">
            <v>2.8920237525849917</v>
          </cell>
          <cell r="N695">
            <v>2.7699284539964522</v>
          </cell>
          <cell r="O695">
            <v>2.7412021252953185</v>
          </cell>
        </row>
        <row r="696">
          <cell r="A696" t="str">
            <v>D-TBDS1</v>
          </cell>
          <cell r="B696" t="str">
            <v>VAR_fout</v>
          </cell>
          <cell r="C696" t="str">
            <v>TKER</v>
          </cell>
          <cell r="D696">
            <v>2.00378267327074E-4</v>
          </cell>
          <cell r="E696">
            <v>1.4363066909150001E-4</v>
          </cell>
          <cell r="F696">
            <v>1.08874639064796E-4</v>
          </cell>
          <cell r="G696">
            <v>2.66228237805253E-3</v>
          </cell>
          <cell r="H696">
            <v>5.8580195905709896E-3</v>
          </cell>
          <cell r="I696">
            <v>2.17359012916736E-3</v>
          </cell>
          <cell r="J696">
            <v>4.1271875280630898E-3</v>
          </cell>
          <cell r="K696">
            <v>1.69081091193235</v>
          </cell>
          <cell r="L696">
            <v>1.5092996138177399</v>
          </cell>
          <cell r="M696">
            <v>1.34765782899037</v>
          </cell>
          <cell r="N696">
            <v>1.20330203907141</v>
          </cell>
          <cell r="O696">
            <v>1.07411845461911</v>
          </cell>
        </row>
        <row r="697">
          <cell r="A697" t="str">
            <v>D-TBDS1</v>
          </cell>
          <cell r="B697" t="str">
            <v>VAR_fin</v>
          </cell>
          <cell r="C697" t="str">
            <v>BDS</v>
          </cell>
          <cell r="D697">
            <v>3.0156268954008842</v>
          </cell>
          <cell r="E697">
            <v>3.0155328457538122</v>
          </cell>
          <cell r="F697">
            <v>3.2033040263668644</v>
          </cell>
          <cell r="G697">
            <v>3.0167953769466456</v>
          </cell>
          <cell r="H697">
            <v>3.0250587828081783</v>
          </cell>
          <cell r="I697">
            <v>3.0191258900650206</v>
          </cell>
          <cell r="J697">
            <v>3.0204412092475827</v>
          </cell>
          <cell r="K697">
            <v>4.6893896117291982</v>
          </cell>
          <cell r="L697">
            <v>4.2274377968793102</v>
          </cell>
          <cell r="M697">
            <v>4.3029176170629855</v>
          </cell>
          <cell r="N697">
            <v>4.0324923302184192</v>
          </cell>
          <cell r="O697">
            <v>3.8722271430904143</v>
          </cell>
        </row>
        <row r="698">
          <cell r="A698" t="str">
            <v>D-T-ELC-Bus_u_S3</v>
          </cell>
          <cell r="B698" t="str">
            <v>VAR_fout</v>
          </cell>
          <cell r="C698" t="str">
            <v>T-ELC-Bus_u_BatSTGin_S3</v>
          </cell>
          <cell r="D698">
            <v>7.8369652727745334E-3</v>
          </cell>
          <cell r="E698">
            <v>1.5565249921999591E-2</v>
          </cell>
          <cell r="F698">
            <v>0.50529162968555907</v>
          </cell>
          <cell r="G698">
            <v>0.82436621074137062</v>
          </cell>
          <cell r="H698">
            <v>0.8095592355361968</v>
          </cell>
          <cell r="I698">
            <v>0.81939557503862193</v>
          </cell>
          <cell r="J698">
            <v>0.80180066792661875</v>
          </cell>
          <cell r="K698">
            <v>0.79547629214664151</v>
          </cell>
          <cell r="L698">
            <v>0.79875834806449342</v>
          </cell>
          <cell r="M698">
            <v>0.81851945807614446</v>
          </cell>
          <cell r="N698">
            <v>0.84331333503443207</v>
          </cell>
          <cell r="O698">
            <v>0.87328230146109298</v>
          </cell>
        </row>
        <row r="699">
          <cell r="A699" t="str">
            <v>D-T-ELC-Bus_u_S3</v>
          </cell>
          <cell r="B699" t="str">
            <v>VAR_fin</v>
          </cell>
          <cell r="C699" t="str">
            <v>TELC</v>
          </cell>
          <cell r="D699">
            <v>7.8369652727745334E-3</v>
          </cell>
          <cell r="E699">
            <v>1.5565249921999591E-2</v>
          </cell>
          <cell r="F699">
            <v>0.50529162968555907</v>
          </cell>
          <cell r="G699">
            <v>0.82436621074137062</v>
          </cell>
          <cell r="H699">
            <v>0.8095592355361968</v>
          </cell>
          <cell r="I699">
            <v>0.81939557503862193</v>
          </cell>
          <cell r="J699">
            <v>0.80180066792661875</v>
          </cell>
          <cell r="K699">
            <v>0.79547629214664151</v>
          </cell>
          <cell r="L699">
            <v>0.79875834806449342</v>
          </cell>
          <cell r="M699">
            <v>0.81851945807614446</v>
          </cell>
          <cell r="N699">
            <v>0.84331333503443207</v>
          </cell>
          <cell r="O699">
            <v>0.87328230146109298</v>
          </cell>
        </row>
        <row r="700">
          <cell r="A700" t="str">
            <v>D-T-ELC-Bus_u_S3</v>
          </cell>
          <cell r="B700" t="str">
            <v>VAR_ncap</v>
          </cell>
          <cell r="C700" t="str">
            <v>-</v>
          </cell>
          <cell r="D700">
            <v>1.0039085199246801E-3</v>
          </cell>
          <cell r="E700">
            <v>9.5785464639070296E-4</v>
          </cell>
          <cell r="F700">
            <v>5.1450502484371399E-2</v>
          </cell>
          <cell r="G700">
            <v>3.4660233600160698E-2</v>
          </cell>
          <cell r="H700">
            <v>5.9257422848914498E-2</v>
          </cell>
          <cell r="I700">
            <v>2.73518862411159E-2</v>
          </cell>
          <cell r="J700">
            <v>5.1184881086459501E-2</v>
          </cell>
          <cell r="K700">
            <v>3.2899488104814301E-2</v>
          </cell>
          <cell r="L700">
            <v>4.3665768139087797E-2</v>
          </cell>
          <cell r="M700">
            <v>5.3368785801360598E-2</v>
          </cell>
          <cell r="N700">
            <v>3.5774437247287398E-2</v>
          </cell>
          <cell r="O700">
            <v>5.6548932229057401E-2</v>
          </cell>
        </row>
        <row r="701">
          <cell r="A701" t="str">
            <v>D-T-ELC-Bus_u_S3</v>
          </cell>
          <cell r="B701" t="str">
            <v>VAR_cap</v>
          </cell>
          <cell r="C701" t="str">
            <v>-</v>
          </cell>
          <cell r="D701">
            <v>1.0039085199246801E-3</v>
          </cell>
          <cell r="E701">
            <v>1.9617631663153799E-3</v>
          </cell>
          <cell r="F701">
            <v>5.3412265650686797E-2</v>
          </cell>
          <cell r="G701">
            <v>8.7129827723787204E-2</v>
          </cell>
          <cell r="H701">
            <v>8.55708526148906E-2</v>
          </cell>
          <cell r="I701">
            <v>8.6609309090030506E-2</v>
          </cell>
          <cell r="J701">
            <v>8.4750619066207206E-2</v>
          </cell>
          <cell r="K701">
            <v>8.4084369191273906E-2</v>
          </cell>
          <cell r="L701">
            <v>8.4430021949800996E-2</v>
          </cell>
          <cell r="M701">
            <v>8.6519056407152295E-2</v>
          </cell>
          <cell r="N701">
            <v>8.9143223048648093E-2</v>
          </cell>
          <cell r="O701">
            <v>9.2323369476344799E-2</v>
          </cell>
        </row>
        <row r="702">
          <cell r="A702" t="str">
            <v>T-Plg-DSL-mix_S3</v>
          </cell>
          <cell r="B702" t="str">
            <v>VAR_fout</v>
          </cell>
          <cell r="C702" t="str">
            <v>CO2_T</v>
          </cell>
          <cell r="D702">
            <v>1.9041683358183702E-2</v>
          </cell>
          <cell r="E702">
            <v>48.824372286357104</v>
          </cell>
          <cell r="F702">
            <v>104.6573595780072</v>
          </cell>
          <cell r="G702">
            <v>83.136262963123301</v>
          </cell>
          <cell r="H702">
            <v>406.555433070449</v>
          </cell>
          <cell r="I702">
            <v>267.53082018827183</v>
          </cell>
          <cell r="J702">
            <v>168.4613869610719</v>
          </cell>
          <cell r="K702">
            <v>16.190830385685356</v>
          </cell>
          <cell r="L702">
            <v>10.310988484761664</v>
          </cell>
          <cell r="M702">
            <v>0.11359617033763769</v>
          </cell>
          <cell r="N702">
            <v>9.8558882463208E-2</v>
          </cell>
          <cell r="O702">
            <v>5.5142151953016499E-2</v>
          </cell>
        </row>
        <row r="703">
          <cell r="A703" t="str">
            <v>T-Plg-DSL-mix_S3</v>
          </cell>
          <cell r="B703" t="str">
            <v>VAR_fout</v>
          </cell>
          <cell r="C703" t="str">
            <v>T-PEVmix-ELC_DSL_S3</v>
          </cell>
          <cell r="D703">
            <v>1.4380833204665779E-4</v>
          </cell>
          <cell r="E703">
            <v>0.36873586277278753</v>
          </cell>
          <cell r="F703">
            <v>0.79040282490844582</v>
          </cell>
          <cell r="G703">
            <v>0.62786924267285538</v>
          </cell>
          <cell r="H703">
            <v>3.0704248996578651</v>
          </cell>
          <cell r="I703">
            <v>2.1397691319250143</v>
          </cell>
          <cell r="J703">
            <v>1.4225913339595355</v>
          </cell>
          <cell r="K703">
            <v>0.14482968218470996</v>
          </cell>
          <cell r="L703">
            <v>9.7251663729083504E-2</v>
          </cell>
          <cell r="M703">
            <v>1.1094717539938104E-3</v>
          </cell>
          <cell r="N703">
            <v>9.8986245783397276E-4</v>
          </cell>
          <cell r="O703">
            <v>5.8532162801175889E-4</v>
          </cell>
        </row>
        <row r="704">
          <cell r="A704" t="str">
            <v>T-Plg-DSL-mix_S3</v>
          </cell>
          <cell r="B704" t="str">
            <v>VAR_fin</v>
          </cell>
          <cell r="C704" t="str">
            <v>TDSL</v>
          </cell>
          <cell r="D704">
            <v>2.5977739915666664E-4</v>
          </cell>
          <cell r="E704">
            <v>0.66608966284252524</v>
          </cell>
          <cell r="F704">
            <v>1.427794810068312</v>
          </cell>
          <cell r="G704">
            <v>1.1341918548857193</v>
          </cell>
          <cell r="H704">
            <v>5.5464588413430942</v>
          </cell>
          <cell r="I704">
            <v>3.6498065509996112</v>
          </cell>
          <cell r="J704">
            <v>2.298245388282024</v>
          </cell>
          <cell r="K704">
            <v>0.22088445273786303</v>
          </cell>
          <cell r="L704">
            <v>0.14066832857792189</v>
          </cell>
          <cell r="M704">
            <v>1.5497431151110185E-3</v>
          </cell>
          <cell r="N704">
            <v>1.3445959408350345E-3</v>
          </cell>
          <cell r="O704">
            <v>7.5228038135083928E-4</v>
          </cell>
        </row>
        <row r="705">
          <cell r="A705" t="str">
            <v>D-T-ELC-Bus_u_S4</v>
          </cell>
          <cell r="B705" t="str">
            <v>VAR_fout</v>
          </cell>
          <cell r="C705" t="str">
            <v>T-ELC-Bus_u_BatSTGin_S4</v>
          </cell>
          <cell r="D705">
            <v>4.8476047947270512E-4</v>
          </cell>
          <cell r="E705">
            <v>6.6662469438700362E-4</v>
          </cell>
          <cell r="F705">
            <v>1.2439600036729098E-3</v>
          </cell>
          <cell r="G705">
            <v>9.1934225198599877E-4</v>
          </cell>
          <cell r="H705">
            <v>1.0340918874715182E-3</v>
          </cell>
          <cell r="I705">
            <v>1.3032348432112219E-3</v>
          </cell>
          <cell r="J705">
            <v>1.4393775323666323E-3</v>
          </cell>
          <cell r="K705">
            <v>3.0964458726532511E-3</v>
          </cell>
          <cell r="L705">
            <v>2.2788095596328502E-3</v>
          </cell>
          <cell r="M705">
            <v>3.017898140131931E-3</v>
          </cell>
          <cell r="N705">
            <v>3.1935878817637123E-3</v>
          </cell>
          <cell r="O705">
            <v>5.5440903819835964E-3</v>
          </cell>
        </row>
        <row r="706">
          <cell r="A706" t="str">
            <v>D-T-ELC-Bus_u_S4</v>
          </cell>
          <cell r="B706" t="str">
            <v>VAR_fin</v>
          </cell>
          <cell r="C706" t="str">
            <v>TELC</v>
          </cell>
          <cell r="D706">
            <v>4.8476047947270512E-4</v>
          </cell>
          <cell r="E706">
            <v>6.6662469438700362E-4</v>
          </cell>
          <cell r="F706">
            <v>1.2439600036729098E-3</v>
          </cell>
          <cell r="G706">
            <v>9.1934225198599877E-4</v>
          </cell>
          <cell r="H706">
            <v>1.0340918874715182E-3</v>
          </cell>
          <cell r="I706">
            <v>1.3032348432112219E-3</v>
          </cell>
          <cell r="J706">
            <v>1.4393775323666323E-3</v>
          </cell>
          <cell r="K706">
            <v>3.0964458726532511E-3</v>
          </cell>
          <cell r="L706">
            <v>2.2788095596328502E-3</v>
          </cell>
          <cell r="M706">
            <v>3.017898140131931E-3</v>
          </cell>
          <cell r="N706">
            <v>3.1935878817637123E-3</v>
          </cell>
          <cell r="O706">
            <v>5.5440903819835964E-3</v>
          </cell>
        </row>
        <row r="707">
          <cell r="A707" t="str">
            <v>D-T-ELC-Bus_u_S4</v>
          </cell>
          <cell r="B707" t="str">
            <v>VAR_ncap</v>
          </cell>
          <cell r="C707" t="str">
            <v>-</v>
          </cell>
          <cell r="D707">
            <v>3.14895092436075E-4</v>
          </cell>
          <cell r="E707">
            <v>2.4516398857607198E-4</v>
          </cell>
          <cell r="F707">
            <v>1.7836916164518899E-4</v>
          </cell>
          <cell r="G707">
            <v>2.13692648090053E-4</v>
          </cell>
          <cell r="H707">
            <v>2.4003588123491901E-4</v>
          </cell>
          <cell r="I707">
            <v>2.7233293899250102E-4</v>
          </cell>
          <cell r="J707">
            <v>3.20072262433508E-4</v>
          </cell>
          <cell r="K707">
            <v>3.6759762492747402E-4</v>
          </cell>
          <cell r="L707">
            <v>4.27282674977617E-4</v>
          </cell>
          <cell r="M707">
            <v>4.7157304848876902E-4</v>
          </cell>
          <cell r="N707">
            <v>5.2900271368923303E-4</v>
          </cell>
          <cell r="O707">
            <v>7.3553253382757904E-4</v>
          </cell>
        </row>
        <row r="708">
          <cell r="A708" t="str">
            <v>D-T-ELC-Bus_u_S4</v>
          </cell>
          <cell r="B708" t="str">
            <v>VAR_cap</v>
          </cell>
          <cell r="C708" t="str">
            <v>-</v>
          </cell>
          <cell r="D708">
            <v>3.14895092436075E-4</v>
          </cell>
          <cell r="E708">
            <v>5.6005908101214698E-4</v>
          </cell>
          <cell r="F708">
            <v>7.3842824265733602E-4</v>
          </cell>
          <cell r="G708">
            <v>4.6701180190653399E-4</v>
          </cell>
          <cell r="H708">
            <v>2.9545376058533499E-4</v>
          </cell>
          <cell r="I708">
            <v>4.6670274768237499E-4</v>
          </cell>
          <cell r="J708">
            <v>4.6127988588897702E-4</v>
          </cell>
          <cell r="K708">
            <v>5.8360249933415195E-4</v>
          </cell>
          <cell r="L708">
            <v>6.9625266462394004E-4</v>
          </cell>
          <cell r="M708">
            <v>5.8238219396977795E-4</v>
          </cell>
          <cell r="N708">
            <v>8.5108064980970002E-4</v>
          </cell>
          <cell r="O708">
            <v>1.09253680487082E-3</v>
          </cell>
        </row>
        <row r="709">
          <cell r="A709" t="str">
            <v>T_C-FC-H2O-S1</v>
          </cell>
          <cell r="B709" t="str">
            <v>VAR_fout</v>
          </cell>
          <cell r="C709" t="str">
            <v>TPCAR</v>
          </cell>
          <cell r="E709">
            <v>1.262621617698131E-4</v>
          </cell>
          <cell r="F709">
            <v>1.8621534578223105E-4</v>
          </cell>
          <cell r="G709">
            <v>8.8030434179495168E-5</v>
          </cell>
          <cell r="H709">
            <v>1.3278772271522156E-4</v>
          </cell>
          <cell r="I709">
            <v>1.392610456815839E-4</v>
          </cell>
          <cell r="J709">
            <v>1.0564675198798441E-4</v>
          </cell>
          <cell r="K709">
            <v>1.0580293979095914E-4</v>
          </cell>
          <cell r="L709">
            <v>1.325449845317355E-4</v>
          </cell>
          <cell r="M709">
            <v>1.0404991484554981E-4</v>
          </cell>
          <cell r="N709">
            <v>1.3422867183140259E-4</v>
          </cell>
          <cell r="O709">
            <v>1.1158403244199338E-4</v>
          </cell>
        </row>
        <row r="710">
          <cell r="A710" t="str">
            <v>T_C-FC-H2O-S1</v>
          </cell>
          <cell r="B710" t="str">
            <v>VAR_fin</v>
          </cell>
          <cell r="C710" t="str">
            <v>TH2O</v>
          </cell>
          <cell r="E710">
            <v>1.1514285478508584E-4</v>
          </cell>
          <cell r="F710">
            <v>1.6981624754094923E-4</v>
          </cell>
          <cell r="G710">
            <v>8.027801328062651E-5</v>
          </cell>
          <cell r="H710">
            <v>1.1862776946187172E-4</v>
          </cell>
          <cell r="I710">
            <v>1.2052802160045937E-4</v>
          </cell>
          <cell r="J710">
            <v>8.5467956283201795E-5</v>
          </cell>
          <cell r="K710">
            <v>8.0457607685679194E-5</v>
          </cell>
          <cell r="L710">
            <v>9.7336368130093511E-5</v>
          </cell>
          <cell r="M710">
            <v>7.0029408652635687E-5</v>
          </cell>
          <cell r="N710">
            <v>8.8673865060693999E-5</v>
          </cell>
          <cell r="O710">
            <v>7.0724465790228622E-5</v>
          </cell>
        </row>
        <row r="711">
          <cell r="A711" t="str">
            <v>T_C-FC-H2O-S1</v>
          </cell>
          <cell r="B711" t="str">
            <v>VAR_ncap</v>
          </cell>
          <cell r="C711" t="str">
            <v>-</v>
          </cell>
          <cell r="E711">
            <v>1.08095474037292E-5</v>
          </cell>
          <cell r="F711">
            <v>3.8939493709176097E-6</v>
          </cell>
          <cell r="G711">
            <v>5.7085685617843502E-8</v>
          </cell>
          <cell r="H711">
            <v>1.9992845024480499E-6</v>
          </cell>
          <cell r="I711">
            <v>1.4023635104785699E-6</v>
          </cell>
          <cell r="J711">
            <v>7.4922303664914698E-7</v>
          </cell>
          <cell r="K711">
            <v>1.0786714916415601E-6</v>
          </cell>
          <cell r="L711">
            <v>9.6127578716441604E-7</v>
          </cell>
          <cell r="M711">
            <v>8.7161425925459799E-7</v>
          </cell>
          <cell r="N711">
            <v>1.1116579497327601E-6</v>
          </cell>
          <cell r="O711">
            <v>1.3973041123269601E-6</v>
          </cell>
        </row>
        <row r="712">
          <cell r="A712" t="str">
            <v>T_C-FC-H2O-S1</v>
          </cell>
          <cell r="B712" t="str">
            <v>VAR_cap</v>
          </cell>
          <cell r="C712" t="str">
            <v>-</v>
          </cell>
          <cell r="E712">
            <v>1.06656382677883E-5</v>
          </cell>
          <cell r="F712">
            <v>1.387839989760292E-5</v>
          </cell>
          <cell r="G712">
            <v>3.4867200697279959E-7</v>
          </cell>
          <cell r="H712">
            <v>2.2765577643304598E-6</v>
          </cell>
          <cell r="I712">
            <v>3.10770615012013E-6</v>
          </cell>
          <cell r="J712">
            <v>2.478841437233899E-6</v>
          </cell>
          <cell r="K712">
            <v>2.3389815757529129E-6</v>
          </cell>
          <cell r="L712">
            <v>2.2589871802692112E-6</v>
          </cell>
          <cell r="M712">
            <v>2.1279771800392011E-6</v>
          </cell>
          <cell r="N712">
            <v>2.4562448598654598E-6</v>
          </cell>
          <cell r="O712">
            <v>3.2224603213397509E-6</v>
          </cell>
        </row>
        <row r="713">
          <cell r="A713" t="str">
            <v>T_B_c-ICEDSL-S1</v>
          </cell>
          <cell r="B713" t="str">
            <v>VAR_fout</v>
          </cell>
          <cell r="C713" t="str">
            <v>CO2_T</v>
          </cell>
          <cell r="D713">
            <v>8.3400246098532893</v>
          </cell>
          <cell r="E713">
            <v>10.071246664588379</v>
          </cell>
          <cell r="F713">
            <v>0.71460849313513597</v>
          </cell>
          <cell r="G713">
            <v>0.11733181360734131</v>
          </cell>
          <cell r="H713">
            <v>3.1346804088396199E-2</v>
          </cell>
          <cell r="I713">
            <v>2.852309217558345E-2</v>
          </cell>
          <cell r="J713">
            <v>3.1038126959696516E-2</v>
          </cell>
          <cell r="K713">
            <v>2.4464590845596802E-2</v>
          </cell>
        </row>
        <row r="714">
          <cell r="A714" t="str">
            <v>T_B_c-ICEDSL-S1</v>
          </cell>
          <cell r="B714" t="str">
            <v>VAR_fout</v>
          </cell>
          <cell r="C714" t="str">
            <v>TPBSc</v>
          </cell>
          <cell r="D714">
            <v>1.4099439378793497E-2</v>
          </cell>
          <cell r="E714">
            <v>1.7091226393690505E-2</v>
          </cell>
          <cell r="F714">
            <v>1.2318936232453956E-3</v>
          </cell>
          <cell r="G714">
            <v>2.0685569350058621E-4</v>
          </cell>
          <cell r="H714">
            <v>6.2335409237108196E-5</v>
          </cell>
          <cell r="I714">
            <v>6.0375453864045566E-5</v>
          </cell>
          <cell r="J714">
            <v>6.9216282266604292E-5</v>
          </cell>
          <cell r="K714">
            <v>5.5811222038802612E-5</v>
          </cell>
        </row>
        <row r="715">
          <cell r="A715" t="str">
            <v>T_B_c-ICEDSL-S1</v>
          </cell>
          <cell r="B715" t="str">
            <v>VAR_fin</v>
          </cell>
          <cell r="C715" t="str">
            <v>TDSL</v>
          </cell>
          <cell r="D715">
            <v>0.11377932619172283</v>
          </cell>
          <cell r="E715">
            <v>0.13739763526041465</v>
          </cell>
          <cell r="F715">
            <v>9.749092675786308E-3</v>
          </cell>
          <cell r="G715">
            <v>1.6007068704957887E-3</v>
          </cell>
          <cell r="H715">
            <v>4.2765080611727418E-4</v>
          </cell>
          <cell r="I715">
            <v>3.8912813336403036E-4</v>
          </cell>
          <cell r="J715">
            <v>4.2343965838603662E-4</v>
          </cell>
          <cell r="K715">
            <v>3.3375976596994214E-4</v>
          </cell>
        </row>
        <row r="716">
          <cell r="A716" t="str">
            <v>T_B_c-ICEDSL-S1</v>
          </cell>
          <cell r="B716" t="str">
            <v>VAR_ncap</v>
          </cell>
          <cell r="C716" t="str">
            <v>-</v>
          </cell>
          <cell r="E716">
            <v>1.2026163122189099E-5</v>
          </cell>
          <cell r="F716">
            <v>1.95814185292176E-6</v>
          </cell>
          <cell r="G716">
            <v>1.18102496527058E-7</v>
          </cell>
          <cell r="J716">
            <v>1.2769141217061299E-7</v>
          </cell>
        </row>
        <row r="717">
          <cell r="A717" t="str">
            <v>T_B_c-ICEDSL-S1</v>
          </cell>
          <cell r="B717" t="str">
            <v>VAR_cap</v>
          </cell>
          <cell r="C717" t="str">
            <v>-</v>
          </cell>
          <cell r="D717">
            <v>3.05805288461538E-4</v>
          </cell>
          <cell r="E717">
            <v>3.7121085026749575E-4</v>
          </cell>
          <cell r="F717">
            <v>3.0322601283123876E-5</v>
          </cell>
          <cell r="G717">
            <v>3.1291740190781086E-7</v>
          </cell>
          <cell r="H717">
            <v>-2.6430459170994001E-7</v>
          </cell>
          <cell r="I717">
            <v>-2.9474892939643741E-7</v>
          </cell>
          <cell r="J717">
            <v>-1.1294738787313203E-7</v>
          </cell>
          <cell r="K717">
            <v>8.0834417585220289E-8</v>
          </cell>
        </row>
        <row r="718">
          <cell r="A718" t="str">
            <v>T-Plg-DSL-mix_S4</v>
          </cell>
          <cell r="B718" t="str">
            <v>VAR_fout</v>
          </cell>
          <cell r="C718" t="str">
            <v>CO2_T</v>
          </cell>
          <cell r="D718">
            <v>0.425411070213843</v>
          </cell>
          <cell r="E718">
            <v>2.3533161187115601</v>
          </cell>
          <cell r="F718">
            <v>2.9606576847315047</v>
          </cell>
          <cell r="G718">
            <v>197.93345801194081</v>
          </cell>
          <cell r="H718">
            <v>150.645530836587</v>
          </cell>
          <cell r="I718">
            <v>52.120252660827646</v>
          </cell>
          <cell r="J718">
            <v>86.79705061387078</v>
          </cell>
          <cell r="K718">
            <v>55.599459046699799</v>
          </cell>
          <cell r="L718">
            <v>55.295970608524584</v>
          </cell>
          <cell r="M718">
            <v>62.596833229189841</v>
          </cell>
          <cell r="N718">
            <v>56.973946713363887</v>
          </cell>
          <cell r="O718">
            <v>54.446716467705201</v>
          </cell>
        </row>
        <row r="719">
          <cell r="A719" t="str">
            <v>T-Plg-DSL-mix_S4</v>
          </cell>
          <cell r="B719" t="str">
            <v>VAR_fout</v>
          </cell>
          <cell r="C719" t="str">
            <v>T-PEVmix-ELC_DSL_S4</v>
          </cell>
          <cell r="D719">
            <v>3.0585400325150434E-3</v>
          </cell>
          <cell r="E719">
            <v>1.6919427025310237E-2</v>
          </cell>
          <cell r="F719">
            <v>2.1285976518600598E-2</v>
          </cell>
          <cell r="G719">
            <v>1.4230645309708168</v>
          </cell>
          <cell r="H719">
            <v>1.083082738189141</v>
          </cell>
          <cell r="I719">
            <v>0.3955211116168299</v>
          </cell>
          <cell r="J719">
            <v>0.6936475171443266</v>
          </cell>
          <cell r="K719">
            <v>0.46931564933641134</v>
          </cell>
          <cell r="L719">
            <v>0.49145468616241522</v>
          </cell>
          <cell r="M719">
            <v>0.58815177233049309</v>
          </cell>
          <cell r="N719">
            <v>0.56379704966200628</v>
          </cell>
          <cell r="O719">
            <v>0.53928386792708427</v>
          </cell>
        </row>
        <row r="720">
          <cell r="A720" t="str">
            <v>T-Plg-DSL-mix_S4</v>
          </cell>
          <cell r="B720" t="str">
            <v>VAR_fin</v>
          </cell>
          <cell r="C720" t="str">
            <v>TDSL</v>
          </cell>
          <cell r="D720">
            <v>5.8036980929582881E-3</v>
          </cell>
          <cell r="E720">
            <v>3.2105267649543863E-2</v>
          </cell>
          <cell r="F720">
            <v>4.0390964321030141E-2</v>
          </cell>
          <cell r="G720">
            <v>2.7003200274480275</v>
          </cell>
          <cell r="H720">
            <v>2.0551914165973728</v>
          </cell>
          <cell r="I720">
            <v>0.71105392443148208</v>
          </cell>
          <cell r="J720">
            <v>1.1841343876380743</v>
          </cell>
          <cell r="K720">
            <v>0.75851922301091135</v>
          </cell>
          <cell r="L720">
            <v>0.75437886232639295</v>
          </cell>
          <cell r="M720">
            <v>0.85398135374065254</v>
          </cell>
          <cell r="N720">
            <v>0.77727076007317708</v>
          </cell>
          <cell r="O720">
            <v>0.74279285767674197</v>
          </cell>
        </row>
        <row r="721">
          <cell r="A721" t="str">
            <v>T_C-FC-H2O-S2</v>
          </cell>
          <cell r="B721" t="str">
            <v>VAR_fout</v>
          </cell>
          <cell r="C721" t="str">
            <v>TPCAR</v>
          </cell>
          <cell r="D721">
            <v>1.3909061278831797E-4</v>
          </cell>
          <cell r="E721">
            <v>2.1962169793916933E-4</v>
          </cell>
          <cell r="F721">
            <v>2.8264835484914847E-4</v>
          </cell>
          <cell r="G721">
            <v>2.1672038586616421E-4</v>
          </cell>
          <cell r="H721">
            <v>1.9048919803326623E-4</v>
          </cell>
          <cell r="I721">
            <v>1.889772659415448E-4</v>
          </cell>
          <cell r="J721">
            <v>1.6269968821238593E-4</v>
          </cell>
          <cell r="K721">
            <v>1.6027977721942937E-4</v>
          </cell>
          <cell r="L721">
            <v>1.8837089554216914E-4</v>
          </cell>
          <cell r="M721">
            <v>1.6099142575589086E-4</v>
          </cell>
          <cell r="N721">
            <v>1.9041957619396864E-4</v>
          </cell>
          <cell r="O721">
            <v>1.7096631613128292E-4</v>
          </cell>
        </row>
        <row r="722">
          <cell r="A722" t="str">
            <v>T_C-FC-H2O-S2</v>
          </cell>
          <cell r="B722" t="str">
            <v>VAR_fin</v>
          </cell>
          <cell r="C722" t="str">
            <v>TH2O</v>
          </cell>
          <cell r="D722">
            <v>1.560194750243669E-4</v>
          </cell>
          <cell r="E722">
            <v>2.4635208177979282E-4</v>
          </cell>
          <cell r="F722">
            <v>3.1704977824189131E-4</v>
          </cell>
          <cell r="G722">
            <v>2.4309764801580457E-4</v>
          </cell>
          <cell r="H722">
            <v>2.0895287616808233E-4</v>
          </cell>
          <cell r="I722">
            <v>1.9939259326814062E-4</v>
          </cell>
          <cell r="J722">
            <v>1.6102078848889771E-4</v>
          </cell>
          <cell r="K722">
            <v>1.4841703621721664E-4</v>
          </cell>
          <cell r="L722">
            <v>1.6714816368904999E-4</v>
          </cell>
          <cell r="M722">
            <v>1.3165273224145555E-4</v>
          </cell>
          <cell r="N722">
            <v>1.5189426887624545E-4</v>
          </cell>
          <cell r="O722">
            <v>1.3143042779133191E-4</v>
          </cell>
        </row>
        <row r="723">
          <cell r="A723" t="str">
            <v>T_C-FC-H2O-S2</v>
          </cell>
          <cell r="B723" t="str">
            <v>VAR_ncap</v>
          </cell>
          <cell r="C723" t="str">
            <v>-</v>
          </cell>
          <cell r="E723">
            <v>3.78791515449598E-6</v>
          </cell>
          <cell r="F723">
            <v>2.6246085003194798E-6</v>
          </cell>
          <cell r="G723">
            <v>7.5596039659561997E-7</v>
          </cell>
          <cell r="H723">
            <v>3.09595057370342E-6</v>
          </cell>
          <cell r="I723">
            <v>2.6973347213491699E-6</v>
          </cell>
          <cell r="J723">
            <v>1.9938459312407798E-6</v>
          </cell>
          <cell r="K723">
            <v>2.5774119855638701E-6</v>
          </cell>
          <cell r="L723">
            <v>2.24213532199314E-6</v>
          </cell>
          <cell r="M723">
            <v>2.0280437665799301E-6</v>
          </cell>
          <cell r="N723">
            <v>2.30115472994974E-6</v>
          </cell>
          <cell r="O723">
            <v>2.81649012531787E-6</v>
          </cell>
        </row>
        <row r="724">
          <cell r="A724" t="str">
            <v>T_C-FC-H2O-S2</v>
          </cell>
          <cell r="B724" t="str">
            <v>VAR_cap</v>
          </cell>
          <cell r="C724" t="str">
            <v>-</v>
          </cell>
          <cell r="D724">
            <v>6.3188993618503113E-6</v>
          </cell>
          <cell r="E724">
            <v>1.003508673455995E-5</v>
          </cell>
          <cell r="F724">
            <v>1.2410941405590858E-5</v>
          </cell>
          <cell r="G724">
            <v>5.4614338126971998E-6</v>
          </cell>
          <cell r="H724">
            <v>5.8776229072482286E-6</v>
          </cell>
          <cell r="I724">
            <v>5.8517260273735008E-6</v>
          </cell>
          <cell r="J724">
            <v>5.9008220265413087E-6</v>
          </cell>
          <cell r="K724">
            <v>5.7271710549096992E-6</v>
          </cell>
          <cell r="L724">
            <v>5.6755379099987343E-6</v>
          </cell>
          <cell r="M724">
            <v>5.7151830444812391E-6</v>
          </cell>
          <cell r="N724">
            <v>5.9448860776417069E-6</v>
          </cell>
          <cell r="O724">
            <v>7.0444649414380971E-6</v>
          </cell>
        </row>
        <row r="725">
          <cell r="A725" t="str">
            <v>T_B_c-ICEDSL-S2</v>
          </cell>
          <cell r="B725" t="str">
            <v>VAR_fout</v>
          </cell>
          <cell r="C725" t="str">
            <v>CO2_T</v>
          </cell>
          <cell r="D725">
            <v>38.094141533861503</v>
          </cell>
          <cell r="E725">
            <v>28.561308756996311</v>
          </cell>
          <cell r="F725">
            <v>2.8406022860011655</v>
          </cell>
          <cell r="G725">
            <v>0.94911549145145135</v>
          </cell>
          <cell r="H725">
            <v>5.3236665803039707E-2</v>
          </cell>
          <cell r="I725">
            <v>4.85823244299151E-2</v>
          </cell>
          <cell r="J725">
            <v>6.5689693789413403E-2</v>
          </cell>
          <cell r="K725">
            <v>5.1910333230296202E-2</v>
          </cell>
        </row>
        <row r="726">
          <cell r="A726" t="str">
            <v>T_B_c-ICEDSL-S2</v>
          </cell>
          <cell r="B726" t="str">
            <v>VAR_fout</v>
          </cell>
          <cell r="C726" t="str">
            <v>TPBSc</v>
          </cell>
          <cell r="D726">
            <v>4.545615794414247E-2</v>
          </cell>
          <cell r="E726">
            <v>3.4222017409392909E-2</v>
          </cell>
          <cell r="F726">
            <v>3.4363773869928236E-3</v>
          </cell>
          <cell r="G726">
            <v>1.1514238982950529E-3</v>
          </cell>
          <cell r="H726">
            <v>7.387518290369907E-5</v>
          </cell>
          <cell r="I726">
            <v>7.1660010415855937E-5</v>
          </cell>
          <cell r="J726">
            <v>1.0284510582185656E-4</v>
          </cell>
          <cell r="K726">
            <v>8.2891556115698321E-5</v>
          </cell>
        </row>
        <row r="727">
          <cell r="A727" t="str">
            <v>T_B_c-ICEDSL-S2</v>
          </cell>
          <cell r="B727" t="str">
            <v>VAR_fin</v>
          </cell>
          <cell r="C727" t="str">
            <v>TDSL</v>
          </cell>
          <cell r="D727">
            <v>0.51970179445922926</v>
          </cell>
          <cell r="E727">
            <v>0.3896495055524738</v>
          </cell>
          <cell r="F727">
            <v>3.8753100763999508E-2</v>
          </cell>
          <cell r="G727">
            <v>1.2948369596882E-2</v>
          </cell>
          <cell r="H727">
            <v>7.262846630701191E-4</v>
          </cell>
          <cell r="I727">
            <v>6.6278750927578471E-4</v>
          </cell>
          <cell r="J727">
            <v>8.9617590435761845E-4</v>
          </cell>
          <cell r="K727">
            <v>7.081900849972185E-4</v>
          </cell>
        </row>
        <row r="728">
          <cell r="A728" t="str">
            <v>T_B_c-ICEDSL-S2</v>
          </cell>
          <cell r="B728" t="str">
            <v>VAR_ncap</v>
          </cell>
          <cell r="C728" t="str">
            <v>-</v>
          </cell>
          <cell r="E728">
            <v>1.28701501591925E-6</v>
          </cell>
          <cell r="F728">
            <v>9.7016150019688999E-7</v>
          </cell>
          <cell r="G728">
            <v>3.0731615890685E-7</v>
          </cell>
          <cell r="H728">
            <v>2.3455981173545099E-8</v>
          </cell>
          <cell r="I728">
            <v>4.33026028153165E-8</v>
          </cell>
          <cell r="J728">
            <v>6.8392948971982804E-7</v>
          </cell>
        </row>
        <row r="729">
          <cell r="A729" t="str">
            <v>T_B_c-ICEDSL-S2</v>
          </cell>
          <cell r="B729" t="str">
            <v>VAR_cap</v>
          </cell>
          <cell r="C729" t="str">
            <v>-</v>
          </cell>
          <cell r="D729">
            <v>9.8779721219676157E-4</v>
          </cell>
          <cell r="E729">
            <v>7.417219701827772E-4</v>
          </cell>
          <cell r="F729">
            <v>9.1336212839306097E-5</v>
          </cell>
          <cell r="G729">
            <v>2.0835986659173389E-5</v>
          </cell>
          <cell r="H729">
            <v>-7.9428926723989062E-9</v>
          </cell>
          <cell r="I729">
            <v>-3.8323069175915989E-8</v>
          </cell>
          <cell r="J729">
            <v>6.4471038214593977E-7</v>
          </cell>
          <cell r="K729">
            <v>6.7127625155066847E-7</v>
          </cell>
        </row>
        <row r="730">
          <cell r="A730" t="str">
            <v>T_TW-FCLH2O-S1</v>
          </cell>
          <cell r="B730" t="str">
            <v>VAR_fout</v>
          </cell>
          <cell r="C730" t="str">
            <v>TPTWL</v>
          </cell>
          <cell r="G730">
            <v>3.8447558424217743E-4</v>
          </cell>
          <cell r="H730">
            <v>1.3404143653499155E-3</v>
          </cell>
          <cell r="I730">
            <v>2.4874529918530327E-3</v>
          </cell>
          <cell r="J730">
            <v>4.0073472344069536E-3</v>
          </cell>
          <cell r="K730">
            <v>6.795360147960082E-3</v>
          </cell>
          <cell r="L730">
            <v>9.8361036046095401E-3</v>
          </cell>
          <cell r="M730">
            <v>1.2169223979293164E-2</v>
          </cell>
          <cell r="N730">
            <v>1.1800495725788125E-2</v>
          </cell>
          <cell r="O730">
            <v>1.7709072482280267E-2</v>
          </cell>
        </row>
        <row r="731">
          <cell r="A731" t="str">
            <v>T_TW-FCLH2O-S1</v>
          </cell>
          <cell r="B731" t="str">
            <v>VAR_fin</v>
          </cell>
          <cell r="C731" t="str">
            <v>TH2O</v>
          </cell>
          <cell r="G731">
            <v>8.2876871963008536E-5</v>
          </cell>
          <cell r="H731">
            <v>2.8567310770475924E-4</v>
          </cell>
          <cell r="I731">
            <v>5.2333797423603605E-4</v>
          </cell>
          <cell r="J731">
            <v>8.315525352128641E-4</v>
          </cell>
          <cell r="K731">
            <v>1.3861685272046674E-3</v>
          </cell>
          <cell r="L731">
            <v>1.9952416397105905E-3</v>
          </cell>
          <cell r="M731">
            <v>2.4645993880998661E-3</v>
          </cell>
          <cell r="N731">
            <v>2.3899218713157289E-3</v>
          </cell>
          <cell r="O731">
            <v>3.5865696348354398E-3</v>
          </cell>
        </row>
        <row r="732">
          <cell r="A732" t="str">
            <v>T_TW-FCLH2O-S1</v>
          </cell>
          <cell r="B732" t="str">
            <v>VAR_ncap</v>
          </cell>
          <cell r="C732" t="str">
            <v>-</v>
          </cell>
          <cell r="G732">
            <v>1.4018015624761801E-4</v>
          </cell>
          <cell r="H732">
            <v>3.6183416204373E-4</v>
          </cell>
          <cell r="I732">
            <v>5.3250353588906905E-4</v>
          </cell>
          <cell r="J732">
            <v>8.8798051162109805E-4</v>
          </cell>
          <cell r="K732">
            <v>1.6911056884136499E-3</v>
          </cell>
          <cell r="L732">
            <v>1.9589491552116402E-3</v>
          </cell>
          <cell r="M732">
            <v>2.1880243286802798E-3</v>
          </cell>
          <cell r="N732">
            <v>2.3225798521623298E-3</v>
          </cell>
          <cell r="O732">
            <v>3.3685599315564502E-3</v>
          </cell>
        </row>
        <row r="733">
          <cell r="A733" t="str">
            <v>T_TW-FCLH2O-S1</v>
          </cell>
          <cell r="B733" t="str">
            <v>VAR_cap</v>
          </cell>
          <cell r="C733" t="str">
            <v>-</v>
          </cell>
          <cell r="G733">
            <v>1.4018015624761801E-4</v>
          </cell>
          <cell r="H733">
            <v>5.0183576391983067E-4</v>
          </cell>
          <cell r="I733">
            <v>9.2328693229821817E-4</v>
          </cell>
          <cell r="J733">
            <v>1.6072756259976723E-3</v>
          </cell>
          <cell r="K733">
            <v>2.7598728819687264E-3</v>
          </cell>
          <cell r="L733">
            <v>4.0482561593478275E-3</v>
          </cell>
          <cell r="M733">
            <v>5.0109853006936106E-3</v>
          </cell>
          <cell r="N733">
            <v>4.8563010139443183E-3</v>
          </cell>
          <cell r="O733">
            <v>7.1631543240186233E-3</v>
          </cell>
        </row>
        <row r="734">
          <cell r="A734" t="str">
            <v>D-T-ELC-TW_Bat_S1</v>
          </cell>
          <cell r="B734" t="str">
            <v>VAR_fout</v>
          </cell>
          <cell r="C734" t="str">
            <v>T-ELC-TWSTGin_S1</v>
          </cell>
          <cell r="D734">
            <v>2.3768494383939625E-3</v>
          </cell>
          <cell r="E734">
            <v>0.10548986703513256</v>
          </cell>
          <cell r="F734">
            <v>0.10613344859550501</v>
          </cell>
          <cell r="G734">
            <v>9.8046951153792999E-2</v>
          </cell>
          <cell r="H734">
            <v>1.7792411551694583E-2</v>
          </cell>
          <cell r="I734">
            <v>1.9669934739061781E-2</v>
          </cell>
          <cell r="J734">
            <v>9.6833977016841447E-2</v>
          </cell>
          <cell r="K734">
            <v>0.17473495603516076</v>
          </cell>
          <cell r="L734">
            <v>0.16761249556715149</v>
          </cell>
          <cell r="M734">
            <v>0.17564700379816189</v>
          </cell>
          <cell r="N734">
            <v>0.16526709698456474</v>
          </cell>
          <cell r="O734">
            <v>0.18677415467018327</v>
          </cell>
        </row>
        <row r="735">
          <cell r="A735" t="str">
            <v>D-T-ELC-TW_Bat_S1</v>
          </cell>
          <cell r="B735" t="str">
            <v>VAR_fin</v>
          </cell>
          <cell r="C735" t="str">
            <v>TELC</v>
          </cell>
          <cell r="D735">
            <v>2.3768494383939625E-3</v>
          </cell>
          <cell r="E735">
            <v>0.10548986703513256</v>
          </cell>
          <cell r="F735">
            <v>0.10613344859550501</v>
          </cell>
          <cell r="G735">
            <v>9.8046951153792999E-2</v>
          </cell>
          <cell r="H735">
            <v>1.7792411551694583E-2</v>
          </cell>
          <cell r="I735">
            <v>1.9669934739061781E-2</v>
          </cell>
          <cell r="J735">
            <v>9.6833977016841447E-2</v>
          </cell>
          <cell r="K735">
            <v>0.17473495603516076</v>
          </cell>
          <cell r="L735">
            <v>0.16761249556715149</v>
          </cell>
          <cell r="M735">
            <v>0.17564700379816189</v>
          </cell>
          <cell r="N735">
            <v>0.16526709698456474</v>
          </cell>
          <cell r="O735">
            <v>0.18677415467018327</v>
          </cell>
        </row>
        <row r="736">
          <cell r="A736" t="str">
            <v>D-T-ELC-TW_Bat_S1</v>
          </cell>
          <cell r="B736" t="str">
            <v>VAR_ncap</v>
          </cell>
          <cell r="C736" t="str">
            <v>-</v>
          </cell>
          <cell r="D736">
            <v>7.7805627596045995E-4</v>
          </cell>
          <cell r="E736">
            <v>1.0374074015418599E-2</v>
          </cell>
          <cell r="F736">
            <v>7.2519983787756406E-5</v>
          </cell>
          <cell r="G736">
            <v>7.2182289000074704E-4</v>
          </cell>
          <cell r="H736">
            <v>1.12559383494976E-3</v>
          </cell>
          <cell r="I736">
            <v>8.0557209081921299E-4</v>
          </cell>
          <cell r="J736">
            <v>8.8484817253632296E-3</v>
          </cell>
          <cell r="K736">
            <v>9.3578717853803998E-3</v>
          </cell>
          <cell r="L736">
            <v>4.3855344546423602E-3</v>
          </cell>
          <cell r="M736">
            <v>9.4013787049111504E-3</v>
          </cell>
          <cell r="N736">
            <v>7.3011629060733803E-3</v>
          </cell>
          <cell r="O736">
            <v>6.12753195834704E-3</v>
          </cell>
        </row>
        <row r="737">
          <cell r="A737" t="str">
            <v>D-T-ELC-TW_Bat_S1</v>
          </cell>
          <cell r="B737" t="str">
            <v>VAR_cap</v>
          </cell>
          <cell r="C737" t="str">
            <v>-</v>
          </cell>
          <cell r="D737">
            <v>7.7805627596045995E-4</v>
          </cell>
          <cell r="E737">
            <v>1.1152130291379099E-2</v>
          </cell>
          <cell r="F737">
            <v>1.12246502751668E-2</v>
          </cell>
          <cell r="G737">
            <v>1.03632007602012E-2</v>
          </cell>
          <cell r="H737">
            <v>1.88457188893624E-3</v>
          </cell>
          <cell r="I737">
            <v>2.0827465223507398E-3</v>
          </cell>
          <cell r="J737">
            <v>1.0237686596695101E-2</v>
          </cell>
          <cell r="K737">
            <v>1.8481534711519101E-2</v>
          </cell>
          <cell r="L737">
            <v>1.77235476338478E-2</v>
          </cell>
          <cell r="M737">
            <v>1.8581360739145299E-2</v>
          </cell>
          <cell r="N737">
            <v>1.7479315908118499E-2</v>
          </cell>
          <cell r="O737">
            <v>1.9773335949418599E-2</v>
          </cell>
        </row>
        <row r="738">
          <cell r="A738" t="str">
            <v>T_C-FC-H2O-S3</v>
          </cell>
          <cell r="B738" t="str">
            <v>VAR_fout</v>
          </cell>
          <cell r="C738" t="str">
            <v>TPCAR</v>
          </cell>
          <cell r="D738">
            <v>7.8349559178186661E-4</v>
          </cell>
          <cell r="E738">
            <v>1.7352648660715758E-3</v>
          </cell>
          <cell r="F738">
            <v>1.7734342965967701E-3</v>
          </cell>
          <cell r="G738">
            <v>3.5455391242834151E-4</v>
          </cell>
          <cell r="H738">
            <v>2.7356580175301335E-4</v>
          </cell>
          <cell r="I738">
            <v>2.0183390774405663E-4</v>
          </cell>
          <cell r="J738">
            <v>1.774084194892742E-4</v>
          </cell>
          <cell r="K738">
            <v>1.8092305946940492E-4</v>
          </cell>
          <cell r="L738">
            <v>2.1031628519761707E-4</v>
          </cell>
          <cell r="M738">
            <v>1.8300229257360419E-4</v>
          </cell>
          <cell r="N738">
            <v>2.1097672304499034E-4</v>
          </cell>
          <cell r="O738">
            <v>1.8789415303836185E-4</v>
          </cell>
        </row>
        <row r="739">
          <cell r="A739" t="str">
            <v>T_C-FC-H2O-S3</v>
          </cell>
          <cell r="B739" t="str">
            <v>VAR_fin</v>
          </cell>
          <cell r="C739" t="str">
            <v>TH2O</v>
          </cell>
          <cell r="D739">
            <v>9.439648234446143E-4</v>
          </cell>
          <cell r="E739">
            <v>2.0906677843657165E-3</v>
          </cell>
          <cell r="F739">
            <v>2.1366547690081579E-3</v>
          </cell>
          <cell r="G739">
            <v>4.2717077780342745E-4</v>
          </cell>
          <cell r="H739">
            <v>3.2421379763321204E-4</v>
          </cell>
          <cell r="I739">
            <v>2.2831441972460373E-4</v>
          </cell>
          <cell r="J739">
            <v>1.881140555436809E-4</v>
          </cell>
          <cell r="K739">
            <v>1.7938917945078056E-4</v>
          </cell>
          <cell r="L739">
            <v>1.9948013318387613E-4</v>
          </cell>
          <cell r="M739">
            <v>1.6030801240360002E-4</v>
          </cell>
          <cell r="N739">
            <v>1.7997287052806516E-4</v>
          </cell>
          <cell r="O739">
            <v>1.5459911008367774E-4</v>
          </cell>
        </row>
        <row r="740">
          <cell r="A740" t="str">
            <v>T_C-FC-H2O-S3</v>
          </cell>
          <cell r="B740" t="str">
            <v>VAR_ncap</v>
          </cell>
          <cell r="C740" t="str">
            <v>-</v>
          </cell>
          <cell r="E740">
            <v>3.4464161618641399E-6</v>
          </cell>
          <cell r="F740">
            <v>2.69564642416913E-6</v>
          </cell>
          <cell r="G740">
            <v>7.9474108103898505E-7</v>
          </cell>
          <cell r="H740">
            <v>2.9759507829093199E-6</v>
          </cell>
          <cell r="I740">
            <v>2.8624515981639399E-6</v>
          </cell>
          <cell r="J740">
            <v>2.2470372455708601E-6</v>
          </cell>
          <cell r="K740">
            <v>2.99429067553026E-6</v>
          </cell>
          <cell r="L740">
            <v>2.5729947463929602E-6</v>
          </cell>
          <cell r="M740">
            <v>2.2651883703687798E-6</v>
          </cell>
          <cell r="N740">
            <v>2.5655606222073199E-6</v>
          </cell>
          <cell r="O740">
            <v>3.0105110912810099E-6</v>
          </cell>
        </row>
        <row r="741">
          <cell r="A741" t="str">
            <v>T_C-FC-H2O-S3</v>
          </cell>
          <cell r="B741" t="str">
            <v>VAR_cap</v>
          </cell>
          <cell r="C741" t="str">
            <v>-</v>
          </cell>
          <cell r="D741">
            <v>5.3633563654534633E-5</v>
          </cell>
          <cell r="E741">
            <v>1.113851680986336E-4</v>
          </cell>
          <cell r="F741">
            <v>1.0869417252848714E-4</v>
          </cell>
          <cell r="G741">
            <v>9.7734881580699456E-6</v>
          </cell>
          <cell r="H741">
            <v>6.8883857244262552E-6</v>
          </cell>
          <cell r="I741">
            <v>5.9461717699478124E-6</v>
          </cell>
          <cell r="J741">
            <v>6.2476233477771614E-6</v>
          </cell>
          <cell r="K741">
            <v>6.4706090528204435E-6</v>
          </cell>
          <cell r="L741">
            <v>6.52850610970174E-6</v>
          </cell>
          <cell r="M741">
            <v>6.5661554893124278E-6</v>
          </cell>
          <cell r="N741">
            <v>6.7373535994410543E-6</v>
          </cell>
          <cell r="O741">
            <v>7.7565019947410721E-6</v>
          </cell>
        </row>
        <row r="742">
          <cell r="A742" t="str">
            <v>T_B_c-ICEDSL-S3</v>
          </cell>
          <cell r="B742" t="str">
            <v>VAR_fout</v>
          </cell>
          <cell r="C742" t="str">
            <v>CO2_T</v>
          </cell>
          <cell r="D742">
            <v>11.29306965420473</v>
          </cell>
          <cell r="E742">
            <v>9.2493730200632438</v>
          </cell>
          <cell r="F742">
            <v>3.6839733738679095</v>
          </cell>
          <cell r="G742">
            <v>5.9024013500692902</v>
          </cell>
          <cell r="H742">
            <v>2.615321414622088</v>
          </cell>
          <cell r="I742">
            <v>0.10527269202510819</v>
          </cell>
          <cell r="J742">
            <v>0.1020891635010171</v>
          </cell>
        </row>
        <row r="743">
          <cell r="A743" t="str">
            <v>T_B_c-ICEDSL-S3</v>
          </cell>
          <cell r="B743" t="str">
            <v>VAR_fout</v>
          </cell>
          <cell r="C743" t="str">
            <v>TPBSc</v>
          </cell>
          <cell r="D743">
            <v>8.9280771620788447E-3</v>
          </cell>
          <cell r="E743">
            <v>7.3437196480965429E-3</v>
          </cell>
          <cell r="F743">
            <v>2.9416198394224863E-3</v>
          </cell>
          <cell r="G743">
            <v>5.1586833234829547E-3</v>
          </cell>
          <cell r="H743">
            <v>2.4353769868608261E-3</v>
          </cell>
          <cell r="I743">
            <v>1.0489177121132769E-4</v>
          </cell>
          <cell r="J743">
            <v>1.0459379999340342E-4</v>
          </cell>
        </row>
        <row r="744">
          <cell r="A744" t="str">
            <v>T_B_c-ICEDSL-S3</v>
          </cell>
          <cell r="B744" t="str">
            <v>VAR_fin</v>
          </cell>
          <cell r="C744" t="str">
            <v>TDSL</v>
          </cell>
          <cell r="D744">
            <v>0.15406643457305222</v>
          </cell>
          <cell r="E744">
            <v>0.12618517080577438</v>
          </cell>
          <cell r="F744">
            <v>5.0258845482508918E-2</v>
          </cell>
          <cell r="G744">
            <v>8.0523892906811556E-2</v>
          </cell>
          <cell r="H744">
            <v>3.5679691877518377E-2</v>
          </cell>
          <cell r="I744">
            <v>1.4361895228527705E-3</v>
          </cell>
          <cell r="J744">
            <v>1.3927580286632619E-3</v>
          </cell>
        </row>
        <row r="745">
          <cell r="A745" t="str">
            <v>T_B_c-ICEDSL-S3</v>
          </cell>
          <cell r="B745" t="str">
            <v>VAR_ncap</v>
          </cell>
          <cell r="C745" t="str">
            <v>-</v>
          </cell>
          <cell r="E745">
            <v>4.1354997690733398E-7</v>
          </cell>
          <cell r="F745">
            <v>9.0305183814333499E-7</v>
          </cell>
          <cell r="G745">
            <v>6.7260042078341804E-5</v>
          </cell>
          <cell r="H745">
            <v>8.0845428603837403E-7</v>
          </cell>
          <cell r="I745">
            <v>4.3079000578190699E-7</v>
          </cell>
          <cell r="J745">
            <v>1.96145442117195E-7</v>
          </cell>
        </row>
        <row r="746">
          <cell r="A746" t="str">
            <v>T_B_c-ICEDSL-S3</v>
          </cell>
          <cell r="B746" t="str">
            <v>VAR_cap</v>
          </cell>
          <cell r="C746" t="str">
            <v>-</v>
          </cell>
          <cell r="D746">
            <v>1.936220630964583E-4</v>
          </cell>
          <cell r="E746">
            <v>1.5655629484027432E-4</v>
          </cell>
          <cell r="F746">
            <v>7.9198131595398637E-5</v>
          </cell>
          <cell r="G746">
            <v>1.0811026235996881E-4</v>
          </cell>
          <cell r="H746">
            <v>5.1857350226022047E-5</v>
          </cell>
          <cell r="I746">
            <v>1.2161242642670786E-6</v>
          </cell>
          <cell r="J746">
            <v>6.8230672129870261E-7</v>
          </cell>
        </row>
        <row r="747">
          <cell r="A747" t="str">
            <v>T_TW-FCLH2O-S2</v>
          </cell>
          <cell r="B747" t="str">
            <v>VAR_fout</v>
          </cell>
          <cell r="C747" t="str">
            <v>TPTWL</v>
          </cell>
          <cell r="G747">
            <v>1.9862654757015584E-4</v>
          </cell>
          <cell r="H747">
            <v>5.7012399595422866E-4</v>
          </cell>
          <cell r="I747">
            <v>9.8122123671313976E-4</v>
          </cell>
          <cell r="J747">
            <v>1.4095762970771342E-3</v>
          </cell>
          <cell r="K747">
            <v>2.0516000527297123E-3</v>
          </cell>
          <cell r="L747">
            <v>2.4806510301044727E-3</v>
          </cell>
          <cell r="M747">
            <v>3.3107689416610668E-3</v>
          </cell>
          <cell r="N747">
            <v>3.2660828691733331E-3</v>
          </cell>
          <cell r="O747">
            <v>4.7805218301606696E-3</v>
          </cell>
        </row>
        <row r="748">
          <cell r="A748" t="str">
            <v>T_TW-FCLH2O-S2</v>
          </cell>
          <cell r="B748" t="str">
            <v>VAR_fin</v>
          </cell>
          <cell r="C748" t="str">
            <v>TH2O</v>
          </cell>
          <cell r="G748">
            <v>7.3541232390635469E-5</v>
          </cell>
          <cell r="H748">
            <v>2.0905278796627474E-4</v>
          </cell>
          <cell r="I748">
            <v>3.5610377405047544E-4</v>
          </cell>
          <cell r="J748">
            <v>5.0507089789640061E-4</v>
          </cell>
          <cell r="K748">
            <v>7.2458404737498947E-4</v>
          </cell>
          <cell r="L748">
            <v>8.6885774067009514E-4</v>
          </cell>
          <cell r="M748">
            <v>1.1564339723942768E-3</v>
          </cell>
          <cell r="N748">
            <v>1.1408253650803046E-3</v>
          </cell>
          <cell r="O748">
            <v>1.6698108347593065E-3</v>
          </cell>
        </row>
        <row r="749">
          <cell r="A749" t="str">
            <v>T_TW-FCLH2O-S2</v>
          </cell>
          <cell r="B749" t="str">
            <v>VAR_ncap</v>
          </cell>
          <cell r="C749" t="str">
            <v>-</v>
          </cell>
          <cell r="G749">
            <v>6.7894957202262396E-5</v>
          </cell>
          <cell r="H749">
            <v>1.3575427849923499E-4</v>
          </cell>
          <cell r="I749">
            <v>1.77100216297854E-4</v>
          </cell>
          <cell r="J749">
            <v>2.4701020793816997E-4</v>
          </cell>
          <cell r="K749">
            <v>3.7024656570903801E-4</v>
          </cell>
          <cell r="L749">
            <v>4.2391175311769799E-4</v>
          </cell>
          <cell r="M749">
            <v>5.1806138111298405E-4</v>
          </cell>
          <cell r="N749">
            <v>5.5898123629332199E-4</v>
          </cell>
          <cell r="O749">
            <v>8.2489001038057097E-4</v>
          </cell>
        </row>
        <row r="750">
          <cell r="A750" t="str">
            <v>T_TW-FCLH2O-S2</v>
          </cell>
          <cell r="B750" t="str">
            <v>VAR_cap</v>
          </cell>
          <cell r="C750" t="str">
            <v>-</v>
          </cell>
          <cell r="G750">
            <v>6.7894957202262396E-5</v>
          </cell>
          <cell r="H750">
            <v>2.035260623246215E-4</v>
          </cell>
          <cell r="I750">
            <v>3.5415872690699779E-4</v>
          </cell>
          <cell r="J750">
            <v>5.3794708689140931E-4</v>
          </cell>
          <cell r="K750">
            <v>7.9333917155052704E-4</v>
          </cell>
          <cell r="L750">
            <v>9.7392138962860552E-4</v>
          </cell>
          <cell r="M750">
            <v>1.3098693754437808E-3</v>
          </cell>
          <cell r="N750">
            <v>1.2957607847728281E-3</v>
          </cell>
          <cell r="O750">
            <v>1.8997430794445846E-3</v>
          </cell>
        </row>
        <row r="751">
          <cell r="A751" t="str">
            <v>D-T-ELC-TW_Bat_S2</v>
          </cell>
          <cell r="B751" t="str">
            <v>VAR_fout</v>
          </cell>
          <cell r="C751" t="str">
            <v>T-ELC-TWSTGin_S2</v>
          </cell>
          <cell r="D751">
            <v>4.8774040986874844E-4</v>
          </cell>
          <cell r="E751">
            <v>7.4999092393705335E-4</v>
          </cell>
          <cell r="F751">
            <v>9.635092501457112E-4</v>
          </cell>
          <cell r="G751">
            <v>1.1737593177811036E-2</v>
          </cell>
          <cell r="H751">
            <v>1.9667023563954018E-2</v>
          </cell>
          <cell r="I751">
            <v>2.0268804711124418E-2</v>
          </cell>
          <cell r="J751">
            <v>1.9500970126105365E-2</v>
          </cell>
          <cell r="K751">
            <v>3.7465728470048199E-2</v>
          </cell>
          <cell r="L751">
            <v>3.2436696185761421E-2</v>
          </cell>
          <cell r="M751">
            <v>5.1288915734827766E-2</v>
          </cell>
          <cell r="N751">
            <v>3.9680924574844754E-2</v>
          </cell>
          <cell r="O751">
            <v>8.0098236653292063E-2</v>
          </cell>
        </row>
        <row r="752">
          <cell r="A752" t="str">
            <v>D-T-ELC-TW_Bat_S2</v>
          </cell>
          <cell r="B752" t="str">
            <v>VAR_fin</v>
          </cell>
          <cell r="C752" t="str">
            <v>TELC</v>
          </cell>
          <cell r="D752">
            <v>4.8774040986874844E-4</v>
          </cell>
          <cell r="E752">
            <v>7.4999092393705335E-4</v>
          </cell>
          <cell r="F752">
            <v>9.635092501457112E-4</v>
          </cell>
          <cell r="G752">
            <v>1.1737593177811036E-2</v>
          </cell>
          <cell r="H752">
            <v>1.9667023563954018E-2</v>
          </cell>
          <cell r="I752">
            <v>2.0268804711124418E-2</v>
          </cell>
          <cell r="J752">
            <v>1.9500970126105365E-2</v>
          </cell>
          <cell r="K752">
            <v>3.7465728470048199E-2</v>
          </cell>
          <cell r="L752">
            <v>3.2436696185761421E-2</v>
          </cell>
          <cell r="M752">
            <v>5.1288915734827766E-2</v>
          </cell>
          <cell r="N752">
            <v>3.9680924574844754E-2</v>
          </cell>
          <cell r="O752">
            <v>8.0098236653292063E-2</v>
          </cell>
        </row>
        <row r="753">
          <cell r="A753" t="str">
            <v>D-T-ELC-TW_Bat_S2</v>
          </cell>
          <cell r="B753" t="str">
            <v>VAR_ncap</v>
          </cell>
          <cell r="C753" t="str">
            <v>-</v>
          </cell>
          <cell r="D753">
            <v>4.2884546555855901E-4</v>
          </cell>
          <cell r="E753">
            <v>3.06427307383376E-6</v>
          </cell>
          <cell r="F753">
            <v>1.42042996494613E-5</v>
          </cell>
          <cell r="G753">
            <v>7.9479779758414096E-4</v>
          </cell>
          <cell r="H753">
            <v>1.27243819293288E-3</v>
          </cell>
          <cell r="I753">
            <v>3.8684956297521E-4</v>
          </cell>
          <cell r="J753">
            <v>6.0435855028975304E-4</v>
          </cell>
          <cell r="K753">
            <v>2.98088542723137E-3</v>
          </cell>
          <cell r="L753">
            <v>1.4173647611409199E-5</v>
          </cell>
          <cell r="M753">
            <v>2.4441916472756498E-3</v>
          </cell>
          <cell r="N753">
            <v>1.7546892016115799E-3</v>
          </cell>
          <cell r="O753">
            <v>4.3033457351516003E-3</v>
          </cell>
        </row>
        <row r="754">
          <cell r="A754" t="str">
            <v>D-T-ELC-TW_Bat_S2</v>
          </cell>
          <cell r="B754" t="str">
            <v>VAR_cap</v>
          </cell>
          <cell r="C754" t="str">
            <v>-</v>
          </cell>
          <cell r="D754">
            <v>4.2884546555855901E-4</v>
          </cell>
          <cell r="E754">
            <v>4.31909738632393E-4</v>
          </cell>
          <cell r="F754">
            <v>4.4611403828185398E-4</v>
          </cell>
          <cell r="G754">
            <v>1.2409118358659901E-3</v>
          </cell>
          <cell r="H754">
            <v>2.0822349619393299E-3</v>
          </cell>
          <cell r="I754">
            <v>2.14788978766488E-3</v>
          </cell>
          <cell r="J754">
            <v>2.0644461455756702E-3</v>
          </cell>
          <cell r="K754">
            <v>3.9720935404963303E-3</v>
          </cell>
          <cell r="L754">
            <v>3.43726626550722E-3</v>
          </cell>
          <cell r="M754">
            <v>5.4392507221184298E-3</v>
          </cell>
          <cell r="N754">
            <v>4.2062300410279502E-3</v>
          </cell>
          <cell r="O754">
            <v>8.5022265840388293E-3</v>
          </cell>
        </row>
        <row r="755">
          <cell r="A755" t="str">
            <v>T_C-FC-H2O-S4</v>
          </cell>
          <cell r="B755" t="str">
            <v>VAR_fout</v>
          </cell>
          <cell r="C755" t="str">
            <v>TPCAR</v>
          </cell>
          <cell r="E755">
            <v>8.6182383838662673E-5</v>
          </cell>
          <cell r="F755">
            <v>1.4885995119659105E-4</v>
          </cell>
          <cell r="G755">
            <v>1.5437830247841121E-4</v>
          </cell>
          <cell r="H755">
            <v>1.9316638924392321E-4</v>
          </cell>
          <cell r="I755">
            <v>1.9161813184373979E-4</v>
          </cell>
          <cell r="J755">
            <v>1.6673633104502249E-4</v>
          </cell>
          <cell r="K755">
            <v>1.6668000175542653E-4</v>
          </cell>
          <cell r="L755">
            <v>1.9510710760717285E-4</v>
          </cell>
          <cell r="M755">
            <v>1.670835649375043E-4</v>
          </cell>
          <cell r="N755">
            <v>1.9687649685216427E-4</v>
          </cell>
          <cell r="O755">
            <v>1.7432932299145038E-4</v>
          </cell>
        </row>
        <row r="756">
          <cell r="A756" t="str">
            <v>T_C-FC-H2O-S4</v>
          </cell>
          <cell r="B756" t="str">
            <v>VAR_fin</v>
          </cell>
          <cell r="C756" t="str">
            <v>TH2O</v>
          </cell>
          <cell r="E756">
            <v>1.0299622741529879E-4</v>
          </cell>
          <cell r="F756">
            <v>1.7790194125027426E-4</v>
          </cell>
          <cell r="G756">
            <v>1.8449690112796679E-4</v>
          </cell>
          <cell r="H756">
            <v>2.2605767660375796E-4</v>
          </cell>
          <cell r="I756">
            <v>2.1593717911203193E-4</v>
          </cell>
          <cell r="J756">
            <v>1.7685078636381471E-4</v>
          </cell>
          <cell r="K756">
            <v>1.6602033872989265E-4</v>
          </cell>
          <cell r="L756">
            <v>1.8663061843744396E-4</v>
          </cell>
          <cell r="M756">
            <v>1.4820594928641144E-4</v>
          </cell>
          <cell r="N756">
            <v>1.7051606054833477E-4</v>
          </cell>
          <cell r="O756">
            <v>1.4591445281160199E-4</v>
          </cell>
        </row>
        <row r="757">
          <cell r="A757" t="str">
            <v>T_C-FC-H2O-S4</v>
          </cell>
          <cell r="B757" t="str">
            <v>VAR_ncap</v>
          </cell>
          <cell r="C757" t="str">
            <v>-</v>
          </cell>
          <cell r="E757">
            <v>4.6437548196820699E-6</v>
          </cell>
          <cell r="F757">
            <v>2.9690312179921499E-6</v>
          </cell>
          <cell r="G757">
            <v>7.4578987231072305E-7</v>
          </cell>
          <cell r="H757">
            <v>3.2308416915103702E-6</v>
          </cell>
          <cell r="I757">
            <v>2.9673602676215199E-6</v>
          </cell>
          <cell r="J757">
            <v>2.2348438060102801E-6</v>
          </cell>
          <cell r="K757">
            <v>2.942880916622E-6</v>
          </cell>
          <cell r="L757">
            <v>2.5431644413479901E-6</v>
          </cell>
          <cell r="M757">
            <v>2.22603240217717E-6</v>
          </cell>
          <cell r="N757">
            <v>2.5819439068230399E-6</v>
          </cell>
          <cell r="O757">
            <v>2.9490099060013499E-6</v>
          </cell>
        </row>
        <row r="758">
          <cell r="A758" t="str">
            <v>T_C-FC-H2O-S4</v>
          </cell>
          <cell r="B758" t="str">
            <v>VAR_cap</v>
          </cell>
          <cell r="C758" t="str">
            <v>-</v>
          </cell>
          <cell r="E758">
            <v>4.5819318109415501E-6</v>
          </cell>
          <cell r="F758">
            <v>7.2365916657510082E-6</v>
          </cell>
          <cell r="G758">
            <v>5.4323476578633799E-6</v>
          </cell>
          <cell r="H758">
            <v>6.3048409726488808E-6</v>
          </cell>
          <cell r="I758">
            <v>6.2655804366353132E-6</v>
          </cell>
          <cell r="J758">
            <v>6.4482050776197461E-6</v>
          </cell>
          <cell r="K758">
            <v>6.4562611960376893E-6</v>
          </cell>
          <cell r="L758">
            <v>6.4423366274493858E-6</v>
          </cell>
          <cell r="M758">
            <v>6.4303192635256299E-6</v>
          </cell>
          <cell r="N758">
            <v>6.6712141857207859E-6</v>
          </cell>
          <cell r="O758">
            <v>7.6577636625472437E-6</v>
          </cell>
        </row>
        <row r="759">
          <cell r="A759" t="str">
            <v>T_B_c-ICEDSL-S4</v>
          </cell>
          <cell r="B759" t="str">
            <v>VAR_fout</v>
          </cell>
          <cell r="C759" t="str">
            <v>CO2_T</v>
          </cell>
          <cell r="D759">
            <v>1.22404286778327</v>
          </cell>
          <cell r="E759">
            <v>0.1864249663695135</v>
          </cell>
          <cell r="F759">
            <v>0.22725565064975212</v>
          </cell>
          <cell r="G759">
            <v>0.20382301686495652</v>
          </cell>
          <cell r="H759">
            <v>7.4036597712210397E-2</v>
          </cell>
          <cell r="I759">
            <v>7.1727000727969004E-2</v>
          </cell>
          <cell r="J759">
            <v>6.2761898852935802E-2</v>
          </cell>
        </row>
        <row r="760">
          <cell r="A760" t="str">
            <v>T_B_c-ICEDSL-S4</v>
          </cell>
          <cell r="B760" t="str">
            <v>VAR_fout</v>
          </cell>
          <cell r="C760" t="str">
            <v>TPBSc</v>
          </cell>
          <cell r="D760">
            <v>6.4536084458166458E-4</v>
          </cell>
          <cell r="E760">
            <v>9.9298621655176741E-5</v>
          </cell>
          <cell r="F760">
            <v>1.2258251391734129E-4</v>
          </cell>
          <cell r="G760">
            <v>1.1392070792859783E-4</v>
          </cell>
          <cell r="H760">
            <v>4.7153028683096663E-5</v>
          </cell>
          <cell r="I760">
            <v>4.7917874741672511E-5</v>
          </cell>
          <cell r="J760">
            <v>4.3987490520242477E-5</v>
          </cell>
        </row>
        <row r="761">
          <cell r="A761" t="str">
            <v>T_B_c-ICEDSL-S4</v>
          </cell>
          <cell r="B761" t="str">
            <v>VAR_fin</v>
          </cell>
          <cell r="C761" t="str">
            <v>TDSL</v>
          </cell>
          <cell r="D761">
            <v>1.6699084144382939E-2</v>
          </cell>
          <cell r="E761">
            <v>2.5433146844408344E-3</v>
          </cell>
          <cell r="F761">
            <v>3.1003499406514596E-3</v>
          </cell>
          <cell r="G761">
            <v>2.7806687157565682E-3</v>
          </cell>
          <cell r="H761">
            <v>1.0100490820219694E-3</v>
          </cell>
          <cell r="I761">
            <v>9.7854025549753217E-4</v>
          </cell>
          <cell r="J761">
            <v>8.5623327220921976E-4</v>
          </cell>
        </row>
        <row r="762">
          <cell r="A762" t="str">
            <v>T_B_c-ICEDSL-S4</v>
          </cell>
          <cell r="B762" t="str">
            <v>VAR_ncap</v>
          </cell>
          <cell r="C762" t="str">
            <v>-</v>
          </cell>
          <cell r="H762">
            <v>2.01310463401223E-8</v>
          </cell>
        </row>
        <row r="763">
          <cell r="A763" t="str">
            <v>T_B_c-ICEDSL-S4</v>
          </cell>
          <cell r="B763" t="str">
            <v>VAR_cap</v>
          </cell>
          <cell r="C763" t="str">
            <v>-</v>
          </cell>
          <cell r="D763">
            <v>1.2706792543446903E-5</v>
          </cell>
          <cell r="E763">
            <v>-3.9342323562879578E-7</v>
          </cell>
          <cell r="F763">
            <v>-3.6280452673549549E-7</v>
          </cell>
          <cell r="G763">
            <v>-2.0272567869566007E-7</v>
          </cell>
          <cell r="H763">
            <v>1.7513991885902939E-8</v>
          </cell>
          <cell r="I763">
            <v>6.045910352394101E-9</v>
          </cell>
          <cell r="J763">
            <v>-9.1136019856273897E-9</v>
          </cell>
        </row>
        <row r="764">
          <cell r="A764" t="str">
            <v>D-T-ELC-HGV</v>
          </cell>
          <cell r="B764" t="str">
            <v>VAR_fout</v>
          </cell>
          <cell r="C764" t="str">
            <v>T-ELC-HGV_BatSTGin</v>
          </cell>
          <cell r="D764">
            <v>9.3376104490693421E-3</v>
          </cell>
          <cell r="E764">
            <v>5.788986552011121E-2</v>
          </cell>
          <cell r="F764">
            <v>7.5726491851437014</v>
          </cell>
          <cell r="G764">
            <v>5.5204979488665824</v>
          </cell>
          <cell r="H764">
            <v>1.64748435879373</v>
          </cell>
          <cell r="I764">
            <v>2.3649040024743533</v>
          </cell>
          <cell r="J764">
            <v>7.6712347274349897</v>
          </cell>
          <cell r="K764">
            <v>8.3961101619551961</v>
          </cell>
          <cell r="L764">
            <v>8.4334440351998676</v>
          </cell>
          <cell r="M764">
            <v>8.8051000248632718</v>
          </cell>
          <cell r="N764">
            <v>9.0696376046032885</v>
          </cell>
          <cell r="O764">
            <v>9.5228594050276261</v>
          </cell>
        </row>
        <row r="765">
          <cell r="A765" t="str">
            <v>D-T-ELC-HGV</v>
          </cell>
          <cell r="B765" t="str">
            <v>VAR_fin</v>
          </cell>
          <cell r="C765" t="str">
            <v>TELC</v>
          </cell>
          <cell r="D765">
            <v>9.3376104490693421E-3</v>
          </cell>
          <cell r="E765">
            <v>5.788986552011121E-2</v>
          </cell>
          <cell r="F765">
            <v>7.5726491851437014</v>
          </cell>
          <cell r="G765">
            <v>5.5204979488665824</v>
          </cell>
          <cell r="H765">
            <v>1.64748435879373</v>
          </cell>
          <cell r="I765">
            <v>2.3649040024743533</v>
          </cell>
          <cell r="J765">
            <v>7.6712347274349897</v>
          </cell>
          <cell r="K765">
            <v>8.3961101619551961</v>
          </cell>
          <cell r="L765">
            <v>8.4334440351998676</v>
          </cell>
          <cell r="M765">
            <v>8.8051000248632718</v>
          </cell>
          <cell r="N765">
            <v>9.0696376046032885</v>
          </cell>
          <cell r="O765">
            <v>9.5228594050276261</v>
          </cell>
        </row>
        <row r="766">
          <cell r="A766" t="str">
            <v>D-T-ELC-HGV</v>
          </cell>
          <cell r="B766" t="str">
            <v>VAR_ncap</v>
          </cell>
          <cell r="C766" t="str">
            <v>-</v>
          </cell>
          <cell r="D766">
            <v>2.1542770352278801E-3</v>
          </cell>
          <cell r="E766">
            <v>5.82602845889369E-3</v>
          </cell>
          <cell r="F766">
            <v>0.95076423499288099</v>
          </cell>
          <cell r="G766">
            <v>6.1470496313962197E-4</v>
          </cell>
          <cell r="H766">
            <v>0.203026007449158</v>
          </cell>
          <cell r="I766">
            <v>0.123987244110498</v>
          </cell>
          <cell r="J766">
            <v>0.88964045078711596</v>
          </cell>
          <cell r="K766">
            <v>0.43444129062201198</v>
          </cell>
          <cell r="L766">
            <v>0.73142247011498795</v>
          </cell>
          <cell r="M766">
            <v>0.89631853447437004</v>
          </cell>
          <cell r="N766">
            <v>0.51245671196468501</v>
          </cell>
          <cell r="O766">
            <v>0.82314829757568897</v>
          </cell>
        </row>
        <row r="767">
          <cell r="A767" t="str">
            <v>D-T-ELC-HGV</v>
          </cell>
          <cell r="B767" t="str">
            <v>VAR_cap</v>
          </cell>
          <cell r="C767" t="str">
            <v>-</v>
          </cell>
          <cell r="D767">
            <v>2.1542770352278801E-3</v>
          </cell>
          <cell r="E767">
            <v>7.9803054941215701E-3</v>
          </cell>
          <cell r="F767">
            <v>0.95874454048700197</v>
          </cell>
          <cell r="G767">
            <v>0.69838537689634095</v>
          </cell>
          <cell r="H767">
            <v>0.203185421662926</v>
          </cell>
          <cell r="I767">
            <v>0.28838819126864701</v>
          </cell>
          <cell r="J767">
            <v>0.95392920022891103</v>
          </cell>
          <cell r="K767">
            <v>1.034826567304</v>
          </cell>
          <cell r="L767">
            <v>1.04930175310435</v>
          </cell>
          <cell r="M767">
            <v>1.0860016263603101</v>
          </cell>
          <cell r="N767">
            <v>1.1246300001014</v>
          </cell>
          <cell r="O767">
            <v>1.16898628698843</v>
          </cell>
        </row>
        <row r="768">
          <cell r="A768" t="str">
            <v>T_TW-FCLH2O-S3</v>
          </cell>
          <cell r="B768" t="str">
            <v>VAR_fout</v>
          </cell>
          <cell r="C768" t="str">
            <v>TPTWL</v>
          </cell>
          <cell r="G768">
            <v>1.1306794794593782E-4</v>
          </cell>
          <cell r="H768">
            <v>3.4283773306546567E-4</v>
          </cell>
          <cell r="I768">
            <v>5.7750618077447241E-4</v>
          </cell>
          <cell r="J768">
            <v>8.4842796389907776E-4</v>
          </cell>
          <cell r="K768">
            <v>1.2351718456924184E-3</v>
          </cell>
          <cell r="L768">
            <v>1.5831486759448202E-3</v>
          </cell>
          <cell r="M768">
            <v>1.9359165087350007E-3</v>
          </cell>
          <cell r="N768">
            <v>2.3026047609096614E-3</v>
          </cell>
          <cell r="O768">
            <v>2.8950871078238772E-3</v>
          </cell>
        </row>
        <row r="769">
          <cell r="A769" t="str">
            <v>T_TW-FCLH2O-S3</v>
          </cell>
          <cell r="B769" t="str">
            <v>VAR_fin</v>
          </cell>
          <cell r="C769" t="str">
            <v>TH2O</v>
          </cell>
          <cell r="G769">
            <v>6.4219488266489946E-5</v>
          </cell>
          <cell r="H769">
            <v>1.926316843066082E-4</v>
          </cell>
          <cell r="I769">
            <v>3.2170320319271711E-4</v>
          </cell>
          <cell r="J769">
            <v>4.6755292302429598E-4</v>
          </cell>
          <cell r="K769">
            <v>6.7095611512661766E-4</v>
          </cell>
          <cell r="L769">
            <v>8.5243846693071649E-4</v>
          </cell>
          <cell r="M769">
            <v>1.0349152146279794E-3</v>
          </cell>
          <cell r="N769">
            <v>1.2279083835209528E-3</v>
          </cell>
          <cell r="O769">
            <v>1.5438610182131197E-3</v>
          </cell>
        </row>
        <row r="770">
          <cell r="A770" t="str">
            <v>T_TW-FCLH2O-S3</v>
          </cell>
          <cell r="B770" t="str">
            <v>VAR_ncap</v>
          </cell>
          <cell r="C770" t="str">
            <v>-</v>
          </cell>
          <cell r="G770">
            <v>3.4538873693368203E-5</v>
          </cell>
          <cell r="H770">
            <v>8.0467783101384805E-5</v>
          </cell>
          <cell r="I770">
            <v>8.3033856812270902E-5</v>
          </cell>
          <cell r="J770">
            <v>1.14176970969135E-4</v>
          </cell>
          <cell r="K770">
            <v>1.7680199753525999E-4</v>
          </cell>
          <cell r="L770">
            <v>2.0015310948844699E-4</v>
          </cell>
          <cell r="M770">
            <v>2.4903296379676201E-4</v>
          </cell>
          <cell r="N770">
            <v>2.6640588523206901E-4</v>
          </cell>
          <cell r="O770">
            <v>4.1056810060121702E-4</v>
          </cell>
        </row>
        <row r="771">
          <cell r="A771" t="str">
            <v>T_TW-FCLH2O-S3</v>
          </cell>
          <cell r="B771" t="str">
            <v>VAR_cap</v>
          </cell>
          <cell r="C771" t="str">
            <v>-</v>
          </cell>
          <cell r="G771">
            <v>3.4538873693368203E-5</v>
          </cell>
          <cell r="H771">
            <v>1.1492311113304753E-4</v>
          </cell>
          <cell r="I771">
            <v>1.9776456006196822E-4</v>
          </cell>
          <cell r="J771">
            <v>3.0065852803730554E-4</v>
          </cell>
          <cell r="K771">
            <v>4.5357432844698759E-4</v>
          </cell>
          <cell r="L771">
            <v>5.8622596183801603E-4</v>
          </cell>
          <cell r="M771">
            <v>7.3849453924211376E-4</v>
          </cell>
          <cell r="N771">
            <v>8.9072103933804825E-4</v>
          </cell>
          <cell r="O771">
            <v>1.1241369899543312E-3</v>
          </cell>
        </row>
        <row r="772">
          <cell r="A772" t="str">
            <v>D-T-ELC-TW_Bat_S3</v>
          </cell>
          <cell r="B772" t="str">
            <v>VAR_fout</v>
          </cell>
          <cell r="C772" t="str">
            <v>T-ELC-TWSTGin_S3</v>
          </cell>
          <cell r="D772">
            <v>2.7584811806095791E-4</v>
          </cell>
          <cell r="E772">
            <v>4.8717368047767668E-4</v>
          </cell>
          <cell r="F772">
            <v>7.0066810880197795E-4</v>
          </cell>
          <cell r="G772">
            <v>1.3320594081793462E-2</v>
          </cell>
          <cell r="H772">
            <v>3.1811009558097708E-2</v>
          </cell>
          <cell r="I772">
            <v>3.2675023118415171E-2</v>
          </cell>
          <cell r="J772">
            <v>2.9370074875964658E-2</v>
          </cell>
          <cell r="K772">
            <v>6.0217185756085277E-2</v>
          </cell>
          <cell r="L772">
            <v>4.7336591159969972E-2</v>
          </cell>
          <cell r="M772">
            <v>6.508686487845694E-2</v>
          </cell>
          <cell r="N772">
            <v>6.4217650463634271E-2</v>
          </cell>
          <cell r="O772">
            <v>0.11354720431389755</v>
          </cell>
        </row>
        <row r="773">
          <cell r="A773" t="str">
            <v>D-T-ELC-TW_Bat_S3</v>
          </cell>
          <cell r="B773" t="str">
            <v>VAR_fin</v>
          </cell>
          <cell r="C773" t="str">
            <v>TELC</v>
          </cell>
          <cell r="D773">
            <v>2.7584811806095791E-4</v>
          </cell>
          <cell r="E773">
            <v>4.8717368047767668E-4</v>
          </cell>
          <cell r="F773">
            <v>7.0066810880197795E-4</v>
          </cell>
          <cell r="G773">
            <v>1.3320594081793462E-2</v>
          </cell>
          <cell r="H773">
            <v>3.1811009558097708E-2</v>
          </cell>
          <cell r="I773">
            <v>3.2675023118415171E-2</v>
          </cell>
          <cell r="J773">
            <v>2.9370074875964658E-2</v>
          </cell>
          <cell r="K773">
            <v>6.0217185756085277E-2</v>
          </cell>
          <cell r="L773">
            <v>4.7336591159969972E-2</v>
          </cell>
          <cell r="M773">
            <v>6.508686487845694E-2</v>
          </cell>
          <cell r="N773">
            <v>6.4217650463634271E-2</v>
          </cell>
          <cell r="O773">
            <v>0.11354720431389755</v>
          </cell>
        </row>
        <row r="774">
          <cell r="A774" t="str">
            <v>D-T-ELC-TW_Bat_S3</v>
          </cell>
          <cell r="B774" t="str">
            <v>VAR_ncap</v>
          </cell>
          <cell r="C774" t="str">
            <v>-</v>
          </cell>
          <cell r="D774">
            <v>4.7468494340786101E-4</v>
          </cell>
          <cell r="E774">
            <v>3.2664236620654501E-6</v>
          </cell>
          <cell r="F774">
            <v>8.02479077040977E-6</v>
          </cell>
          <cell r="G774">
            <v>9.2268076035942998E-4</v>
          </cell>
          <cell r="H774">
            <v>1.9591545829944499E-3</v>
          </cell>
          <cell r="I774">
            <v>3.68030905739193E-4</v>
          </cell>
          <cell r="J774">
            <v>1.4849515004800999E-4</v>
          </cell>
          <cell r="K774">
            <v>3.9057762753706101E-3</v>
          </cell>
          <cell r="L774">
            <v>4.2888727787353502E-5</v>
          </cell>
          <cell r="M774">
            <v>2.7992677426160102E-3</v>
          </cell>
          <cell r="N774">
            <v>5.6063045903248401E-5</v>
          </cell>
          <cell r="O774">
            <v>9.1427965288086097E-3</v>
          </cell>
        </row>
        <row r="775">
          <cell r="A775" t="str">
            <v>D-T-ELC-TW_Bat_S3</v>
          </cell>
          <cell r="B775" t="str">
            <v>VAR_cap</v>
          </cell>
          <cell r="C775" t="str">
            <v>-</v>
          </cell>
          <cell r="D775">
            <v>4.7468494340786101E-4</v>
          </cell>
          <cell r="E775">
            <v>4.7795136706992698E-4</v>
          </cell>
          <cell r="F775">
            <v>4.8597615784033699E-4</v>
          </cell>
          <cell r="G775">
            <v>1.40865691819977E-3</v>
          </cell>
          <cell r="H775">
            <v>3.3678115011942199E-3</v>
          </cell>
          <cell r="I775">
            <v>3.45683256562308E-3</v>
          </cell>
          <cell r="J775">
            <v>3.1072803326649499E-3</v>
          </cell>
          <cell r="K775">
            <v>6.3814569141522701E-3</v>
          </cell>
          <cell r="L775">
            <v>5.0111505821024598E-3</v>
          </cell>
          <cell r="M775">
            <v>6.8964278958219896E-3</v>
          </cell>
          <cell r="N775">
            <v>6.8039957916772196E-3</v>
          </cell>
          <cell r="O775">
            <v>1.20410160451152E-2</v>
          </cell>
        </row>
        <row r="776">
          <cell r="A776" t="str">
            <v>T_TW-FCLH2O-S4</v>
          </cell>
          <cell r="B776" t="str">
            <v>VAR_fout</v>
          </cell>
          <cell r="C776" t="str">
            <v>TPTWL</v>
          </cell>
          <cell r="G776">
            <v>6.9969708179877743E-5</v>
          </cell>
          <cell r="H776">
            <v>1.8234918680961563E-4</v>
          </cell>
          <cell r="I776">
            <v>3.2031543696527202E-4</v>
          </cell>
          <cell r="J776">
            <v>5.010783496274976E-4</v>
          </cell>
          <cell r="K776">
            <v>8.0144144646218413E-4</v>
          </cell>
          <cell r="L776">
            <v>1.0234255709275855E-3</v>
          </cell>
          <cell r="M776">
            <v>1.2864167594486841E-3</v>
          </cell>
          <cell r="N776">
            <v>1.5130506330079173E-3</v>
          </cell>
          <cell r="O776">
            <v>1.9769120258050594E-3</v>
          </cell>
        </row>
        <row r="777">
          <cell r="A777" t="str">
            <v>T_TW-FCLH2O-S4</v>
          </cell>
          <cell r="B777" t="str">
            <v>VAR_fin</v>
          </cell>
          <cell r="C777" t="str">
            <v>TH2O</v>
          </cell>
          <cell r="G777">
            <v>4.4793766732569121E-5</v>
          </cell>
          <cell r="H777">
            <v>1.1542771427466157E-4</v>
          </cell>
          <cell r="I777">
            <v>2.0058524743607839E-4</v>
          </cell>
          <cell r="J777">
            <v>3.1014057405024791E-4</v>
          </cell>
          <cell r="K777">
            <v>4.8918741575922878E-4</v>
          </cell>
          <cell r="L777">
            <v>6.1836395737883856E-4</v>
          </cell>
          <cell r="M777">
            <v>7.7147856294751556E-4</v>
          </cell>
          <cell r="N777">
            <v>9.0336883784257872E-4</v>
          </cell>
          <cell r="O777">
            <v>1.1781459960806613E-3</v>
          </cell>
        </row>
        <row r="778">
          <cell r="A778" t="str">
            <v>T_TW-FCLH2O-S4</v>
          </cell>
          <cell r="B778" t="str">
            <v>VAR_ncap</v>
          </cell>
          <cell r="C778" t="str">
            <v>-</v>
          </cell>
          <cell r="G778">
            <v>1.7764257463762402E-5</v>
          </cell>
          <cell r="H778">
            <v>3.4351717693858502E-5</v>
          </cell>
          <cell r="I778">
            <v>4.4653039603743998E-5</v>
          </cell>
          <cell r="J778">
            <v>6.3832211995948297E-5</v>
          </cell>
          <cell r="K778">
            <v>1.0879291721156801E-4</v>
          </cell>
          <cell r="L778">
            <v>1.08349956801138E-4</v>
          </cell>
          <cell r="M778">
            <v>1.3959568892746399E-4</v>
          </cell>
          <cell r="N778">
            <v>1.4780201762445099E-4</v>
          </cell>
          <cell r="O778">
            <v>2.3841539059975299E-4</v>
          </cell>
        </row>
        <row r="779">
          <cell r="A779" t="str">
            <v>T_TW-FCLH2O-S4</v>
          </cell>
          <cell r="B779" t="str">
            <v>VAR_cap</v>
          </cell>
          <cell r="C779" t="str">
            <v>-</v>
          </cell>
          <cell r="G779">
            <v>1.7764257463762402E-5</v>
          </cell>
          <cell r="H779">
            <v>5.2053126859440377E-5</v>
          </cell>
          <cell r="I779">
            <v>9.6569955186671895E-5</v>
          </cell>
          <cell r="J779">
            <v>1.6022393148302906E-4</v>
          </cell>
          <cell r="K779">
            <v>2.6866996064273249E-4</v>
          </cell>
          <cell r="L779">
            <v>3.5903598945936563E-4</v>
          </cell>
          <cell r="M779">
            <v>4.6401362431064332E-4</v>
          </cell>
          <cell r="N779">
            <v>5.5703731314260692E-4</v>
          </cell>
          <cell r="O779">
            <v>7.4141215636641146E-4</v>
          </cell>
        </row>
        <row r="780">
          <cell r="A780" t="str">
            <v>D-T-ELC-TW_Bat_S4</v>
          </cell>
          <cell r="B780" t="str">
            <v>VAR_fout</v>
          </cell>
          <cell r="C780" t="str">
            <v>T-ELC-TWSTGin_S4</v>
          </cell>
          <cell r="D780">
            <v>2.256356256528758E-4</v>
          </cell>
          <cell r="E780">
            <v>3.9185778826999443E-4</v>
          </cell>
          <cell r="F780">
            <v>5.3390841760741082E-4</v>
          </cell>
          <cell r="G780">
            <v>1.5279690654644993E-2</v>
          </cell>
          <cell r="H780">
            <v>3.23499537443293E-2</v>
          </cell>
          <cell r="I780">
            <v>3.8534748219514907E-2</v>
          </cell>
          <cell r="J780">
            <v>4.0267998363745262E-2</v>
          </cell>
          <cell r="K780">
            <v>6.9712030266729064E-2</v>
          </cell>
          <cell r="L780">
            <v>5.9406261561887309E-2</v>
          </cell>
          <cell r="M780">
            <v>8.7083526206793327E-2</v>
          </cell>
          <cell r="N780">
            <v>8.1018106510866869E-2</v>
          </cell>
          <cell r="O780">
            <v>0.14783762560523711</v>
          </cell>
        </row>
        <row r="781">
          <cell r="A781" t="str">
            <v>D-T-ELC-TW_Bat_S4</v>
          </cell>
          <cell r="B781" t="str">
            <v>VAR_fin</v>
          </cell>
          <cell r="C781" t="str">
            <v>TELC</v>
          </cell>
          <cell r="D781">
            <v>2.256356256528758E-4</v>
          </cell>
          <cell r="E781">
            <v>3.9185778826999443E-4</v>
          </cell>
          <cell r="F781">
            <v>5.3390841760741082E-4</v>
          </cell>
          <cell r="G781">
            <v>1.5279690654644993E-2</v>
          </cell>
          <cell r="H781">
            <v>3.23499537443293E-2</v>
          </cell>
          <cell r="I781">
            <v>3.8534748219514907E-2</v>
          </cell>
          <cell r="J781">
            <v>4.0267998363745262E-2</v>
          </cell>
          <cell r="K781">
            <v>6.9712030266729064E-2</v>
          </cell>
          <cell r="L781">
            <v>5.9406261561887309E-2</v>
          </cell>
          <cell r="M781">
            <v>8.7083526206793327E-2</v>
          </cell>
          <cell r="N781">
            <v>8.1018106510866869E-2</v>
          </cell>
          <cell r="O781">
            <v>0.14783762560523711</v>
          </cell>
        </row>
        <row r="782">
          <cell r="A782" t="str">
            <v>D-T-ELC-TW_Bat_S4</v>
          </cell>
          <cell r="B782" t="str">
            <v>VAR_ncap</v>
          </cell>
          <cell r="C782" t="str">
            <v>-</v>
          </cell>
          <cell r="D782">
            <v>4.8891143410502295E-4</v>
          </cell>
          <cell r="E782">
            <v>3.3620286732564099E-6</v>
          </cell>
          <cell r="F782">
            <v>8.4443606152813301E-6</v>
          </cell>
          <cell r="G782">
            <v>1.11571026248632E-3</v>
          </cell>
          <cell r="H782">
            <v>1.8081833495926199E-3</v>
          </cell>
          <cell r="I782">
            <v>6.5260426343286004E-4</v>
          </cell>
          <cell r="J782">
            <v>5.0096642556819899E-4</v>
          </cell>
          <cell r="K782">
            <v>3.3054759006274702E-3</v>
          </cell>
          <cell r="L782">
            <v>2.2326245342436501E-5</v>
          </cell>
          <cell r="M782">
            <v>4.7418437770549498E-3</v>
          </cell>
          <cell r="N782">
            <v>8.7804789775253796E-5</v>
          </cell>
          <cell r="O782">
            <v>7.5089696236508704E-3</v>
          </cell>
        </row>
        <row r="783">
          <cell r="A783" t="str">
            <v>D-T-ELC-TW_Bat_S4</v>
          </cell>
          <cell r="B783" t="str">
            <v>VAR_cap</v>
          </cell>
          <cell r="C783" t="str">
            <v>-</v>
          </cell>
          <cell r="D783">
            <v>4.8891143410502295E-4</v>
          </cell>
          <cell r="E783">
            <v>4.9227346277827999E-4</v>
          </cell>
          <cell r="F783">
            <v>5.0071782339356104E-4</v>
          </cell>
          <cell r="G783">
            <v>1.6164280858798801E-3</v>
          </cell>
          <cell r="H783">
            <v>3.4246114354724998E-3</v>
          </cell>
          <cell r="I783">
            <v>4.0772156989053602E-3</v>
          </cell>
          <cell r="J783">
            <v>4.2587336572278501E-3</v>
          </cell>
          <cell r="K783">
            <v>7.3829402017074703E-3</v>
          </cell>
          <cell r="L783">
            <v>6.2895561845635996E-3</v>
          </cell>
          <cell r="M783">
            <v>9.2232166120259293E-3</v>
          </cell>
          <cell r="N783">
            <v>8.5799908595959994E-3</v>
          </cell>
          <cell r="O783">
            <v>1.5666420336450999E-2</v>
          </cell>
        </row>
        <row r="784">
          <cell r="A784" t="str">
            <v>T_B_u-ICENGA-S1</v>
          </cell>
          <cell r="B784" t="str">
            <v>VAR_fout</v>
          </cell>
          <cell r="C784" t="str">
            <v>CO2_T</v>
          </cell>
          <cell r="E784">
            <v>0.23955580608355101</v>
          </cell>
          <cell r="F784">
            <v>2.4382788460873099E-2</v>
          </cell>
          <cell r="G784">
            <v>3.46273987095937E-2</v>
          </cell>
          <cell r="H784">
            <v>2.9735946297351528E-2</v>
          </cell>
          <cell r="I784">
            <v>2.7431317687754871E-2</v>
          </cell>
          <cell r="J784">
            <v>2.7486986495535548E-2</v>
          </cell>
          <cell r="K784">
            <v>1.9666862482075533E-2</v>
          </cell>
        </row>
        <row r="785">
          <cell r="A785" t="str">
            <v>T_B_u-ICENGA-S1</v>
          </cell>
          <cell r="B785" t="str">
            <v>VAR_fout</v>
          </cell>
          <cell r="C785" t="str">
            <v>TPBSu</v>
          </cell>
          <cell r="E785">
            <v>5.1070205611404443E-4</v>
          </cell>
          <cell r="F785">
            <v>5.3315616084751378E-5</v>
          </cell>
          <cell r="G785">
            <v>7.8537156791875473E-5</v>
          </cell>
          <cell r="H785">
            <v>7.1995931069184239E-5</v>
          </cell>
          <cell r="I785">
            <v>7.0775901696727199E-5</v>
          </cell>
          <cell r="J785">
            <v>7.4570259841429012E-5</v>
          </cell>
          <cell r="K785">
            <v>5.4744286384866162E-5</v>
          </cell>
        </row>
        <row r="786">
          <cell r="A786" t="str">
            <v>T_B_u-ICENGA-S1</v>
          </cell>
          <cell r="B786" t="str">
            <v>VAR_fin</v>
          </cell>
          <cell r="C786" t="str">
            <v>TNGA</v>
          </cell>
          <cell r="E786">
            <v>4.2474433702757225E-3</v>
          </cell>
          <cell r="F786">
            <v>4.3231894434172282E-4</v>
          </cell>
          <cell r="G786">
            <v>6.1396097002825779E-4</v>
          </cell>
          <cell r="H786">
            <v>5.2723309037857246E-4</v>
          </cell>
          <cell r="I786">
            <v>4.863708809885612E-4</v>
          </cell>
          <cell r="J786">
            <v>4.8735791658750989E-4</v>
          </cell>
          <cell r="K786">
            <v>3.4870323549779348E-4</v>
          </cell>
        </row>
        <row r="787">
          <cell r="A787" t="str">
            <v>T_B_u-ICENGA-S1</v>
          </cell>
          <cell r="B787" t="str">
            <v>VAR_ncap</v>
          </cell>
          <cell r="C787" t="str">
            <v>-</v>
          </cell>
          <cell r="E787">
            <v>1.29044368549125E-5</v>
          </cell>
          <cell r="F787">
            <v>3.4079713165140802E-8</v>
          </cell>
          <cell r="G787">
            <v>3.0911499738799198E-8</v>
          </cell>
          <cell r="I787">
            <v>1.32134438275661E-8</v>
          </cell>
          <cell r="J787">
            <v>3.42814141106194E-8</v>
          </cell>
        </row>
        <row r="788">
          <cell r="A788" t="str">
            <v>T_B_u-ICENGA-S1</v>
          </cell>
          <cell r="B788" t="str">
            <v>VAR_cap</v>
          </cell>
          <cell r="C788" t="str">
            <v>-</v>
          </cell>
          <cell r="E788">
            <v>1.29044368549125E-5</v>
          </cell>
          <cell r="F788">
            <v>4.1427929117995209E-9</v>
          </cell>
          <cell r="G788">
            <v>-4.4302080559798643E-8</v>
          </cell>
          <cell r="H788">
            <v>-1.82716807178159E-7</v>
          </cell>
          <cell r="I788">
            <v>-1.5996037604347852E-7</v>
          </cell>
          <cell r="J788">
            <v>-1.2409933598970249E-7</v>
          </cell>
          <cell r="K788">
            <v>8.3671057606810966E-9</v>
          </cell>
        </row>
        <row r="789">
          <cell r="A789" t="str">
            <v>T_B_u-ICENGA-S2</v>
          </cell>
          <cell r="B789" t="str">
            <v>VAR_fout</v>
          </cell>
          <cell r="C789" t="str">
            <v>CO2_T</v>
          </cell>
          <cell r="E789">
            <v>1.98165044548766E-2</v>
          </cell>
          <cell r="F789">
            <v>3.7807688738577802E-2</v>
          </cell>
          <cell r="G789">
            <v>6.2480782415253705E-2</v>
          </cell>
          <cell r="H789">
            <v>5.1752078568065102E-2</v>
          </cell>
          <cell r="I789">
            <v>4.7167661484440897E-2</v>
          </cell>
          <cell r="J789">
            <v>4.5910407905528597E-2</v>
          </cell>
          <cell r="K789">
            <v>3.1294049903483001E-2</v>
          </cell>
        </row>
        <row r="790">
          <cell r="A790" t="str">
            <v>T_B_u-ICENGA-S2</v>
          </cell>
          <cell r="B790" t="str">
            <v>VAR_fout</v>
          </cell>
          <cell r="C790" t="str">
            <v>TPBSu</v>
          </cell>
          <cell r="E790">
            <v>2.9864623339348465E-5</v>
          </cell>
          <cell r="F790">
            <v>5.8311890518620912E-5</v>
          </cell>
          <cell r="G790">
            <v>1.0022387808967503E-4</v>
          </cell>
          <cell r="H790">
            <v>8.7941078353827499E-5</v>
          </cell>
          <cell r="I790">
            <v>8.521649608423381E-5</v>
          </cell>
          <cell r="J790">
            <v>8.7112953266770197E-5</v>
          </cell>
          <cell r="K790">
            <v>6.0888490656344612E-5</v>
          </cell>
        </row>
        <row r="791">
          <cell r="A791" t="str">
            <v>T_B_u-ICENGA-S2</v>
          </cell>
          <cell r="B791" t="str">
            <v>VAR_fin</v>
          </cell>
          <cell r="C791" t="str">
            <v>TNGA</v>
          </cell>
          <cell r="E791">
            <v>3.5135646196589792E-4</v>
          </cell>
          <cell r="F791">
            <v>6.7034909110953624E-4</v>
          </cell>
          <cell r="G791">
            <v>1.1078152910505977E-3</v>
          </cell>
          <cell r="H791">
            <v>9.1759004553306899E-4</v>
          </cell>
          <cell r="I791">
            <v>8.3630605468866851E-4</v>
          </cell>
          <cell r="J791">
            <v>8.1401432456610961E-4</v>
          </cell>
          <cell r="K791">
            <v>5.5485904084189768E-4</v>
          </cell>
        </row>
        <row r="792">
          <cell r="A792" t="str">
            <v>T_B_u-ICENGA-S2</v>
          </cell>
          <cell r="B792" t="str">
            <v>VAR_ncap</v>
          </cell>
          <cell r="C792" t="str">
            <v>-</v>
          </cell>
          <cell r="E792">
            <v>2.21916231767976E-7</v>
          </cell>
          <cell r="F792">
            <v>4.8420069745251799E-8</v>
          </cell>
          <cell r="G792">
            <v>2.3144190244637099E-7</v>
          </cell>
          <cell r="H792">
            <v>4.87711561162261E-8</v>
          </cell>
          <cell r="I792">
            <v>8.2489145997487494E-8</v>
          </cell>
          <cell r="J792">
            <v>1.2223145590315599E-7</v>
          </cell>
        </row>
        <row r="793">
          <cell r="A793" t="str">
            <v>T_B_u-ICENGA-S2</v>
          </cell>
          <cell r="B793" t="str">
            <v>VAR_cap</v>
          </cell>
          <cell r="C793" t="str">
            <v>-</v>
          </cell>
          <cell r="E793">
            <v>2.21916231767976E-7</v>
          </cell>
          <cell r="F793">
            <v>8.2650885705736016E-8</v>
          </cell>
          <cell r="G793">
            <v>3.5999596653554698E-7</v>
          </cell>
          <cell r="H793">
            <v>1.2668360083730197E-7</v>
          </cell>
          <cell r="I793">
            <v>1.2311689811414889E-7</v>
          </cell>
          <cell r="J793">
            <v>1.2028479408573497E-7</v>
          </cell>
          <cell r="K793">
            <v>1.4412658516117479E-7</v>
          </cell>
        </row>
        <row r="794">
          <cell r="A794" t="str">
            <v>T_B_c-ICEDSLEXT</v>
          </cell>
          <cell r="B794" t="str">
            <v>VAR_fout</v>
          </cell>
          <cell r="C794" t="str">
            <v>CO2_T</v>
          </cell>
          <cell r="D794">
            <v>0.44182279512169997</v>
          </cell>
          <cell r="E794">
            <v>0.44104146534616301</v>
          </cell>
          <cell r="F794">
            <v>0.437998871197814</v>
          </cell>
        </row>
        <row r="795">
          <cell r="A795" t="str">
            <v>T_B_c-ICEDSLEXT</v>
          </cell>
          <cell r="B795" t="str">
            <v>VAR_fout</v>
          </cell>
          <cell r="C795" t="str">
            <v>TPBSc</v>
          </cell>
          <cell r="D795">
            <v>5.9976085782620515E-2</v>
          </cell>
          <cell r="E795">
            <v>4.8013510713604601E-2</v>
          </cell>
          <cell r="F795">
            <v>3.0020205029206205E-2</v>
          </cell>
        </row>
        <row r="796">
          <cell r="A796" t="str">
            <v>T_B_c-ICEDSLEXT</v>
          </cell>
          <cell r="B796" t="str">
            <v>VAR_fin</v>
          </cell>
          <cell r="C796" t="str">
            <v>TDSL</v>
          </cell>
          <cell r="D796">
            <v>6.0275961135293279E-3</v>
          </cell>
          <cell r="E796">
            <v>6.0169367714346953E-3</v>
          </cell>
          <cell r="F796">
            <v>5.9754279835991077E-3</v>
          </cell>
        </row>
        <row r="797">
          <cell r="A797" t="str">
            <v>T_B_c-ICEDSLEXT</v>
          </cell>
          <cell r="B797" t="str">
            <v>VAR_cap</v>
          </cell>
          <cell r="C797" t="str">
            <v>-</v>
          </cell>
          <cell r="D797">
            <v>1.3032977976544958E-3</v>
          </cell>
          <cell r="E797">
            <v>1.04265638017014E-3</v>
          </cell>
          <cell r="F797">
            <v>6.5166023760633498E-4</v>
          </cell>
        </row>
        <row r="798">
          <cell r="A798" t="str">
            <v>T_B_u-ICENGA-S3</v>
          </cell>
          <cell r="B798" t="str">
            <v>VAR_fout</v>
          </cell>
          <cell r="C798" t="str">
            <v>CO2_T</v>
          </cell>
          <cell r="E798">
            <v>8.7868868293728405E-2</v>
          </cell>
          <cell r="F798">
            <v>0.20645421534849939</v>
          </cell>
          <cell r="G798">
            <v>0.35556544098383469</v>
          </cell>
          <cell r="H798">
            <v>7.0577955288392891E-2</v>
          </cell>
          <cell r="I798">
            <v>5.3162299635555105E-2</v>
          </cell>
          <cell r="J798">
            <v>6.4739078059569299E-2</v>
          </cell>
        </row>
        <row r="799">
          <cell r="A799" t="str">
            <v>T_B_u-ICENGA-S3</v>
          </cell>
          <cell r="B799" t="str">
            <v>VAR_fout</v>
          </cell>
          <cell r="C799" t="str">
            <v>TPBSu</v>
          </cell>
          <cell r="E799">
            <v>8.7903351311287368E-5</v>
          </cell>
          <cell r="F799">
            <v>2.122221244076734E-4</v>
          </cell>
          <cell r="G799">
            <v>3.8576510382306223E-4</v>
          </cell>
          <cell r="H799">
            <v>8.192578634944171E-5</v>
          </cell>
          <cell r="I799">
            <v>6.5120814540400407E-5</v>
          </cell>
          <cell r="J799">
            <v>8.1369297197238783E-5</v>
          </cell>
        </row>
        <row r="800">
          <cell r="A800" t="str">
            <v>T_B_u-ICENGA-S3</v>
          </cell>
          <cell r="B800" t="str">
            <v>VAR_fin</v>
          </cell>
          <cell r="C800" t="str">
            <v>TNGA</v>
          </cell>
          <cell r="E800">
            <v>1.5579586576902177E-3</v>
          </cell>
          <cell r="F800">
            <v>3.660535733129426E-3</v>
          </cell>
          <cell r="G800">
            <v>6.3043517904935262E-3</v>
          </cell>
          <cell r="H800">
            <v>1.2513821859644143E-3</v>
          </cell>
          <cell r="I800">
            <v>9.4259396516941621E-4</v>
          </cell>
          <cell r="J800">
            <v>1.1478559939639952E-3</v>
          </cell>
        </row>
        <row r="801">
          <cell r="A801" t="str">
            <v>T_B_u-ICENGA-S3</v>
          </cell>
          <cell r="B801" t="str">
            <v>VAR_ncap</v>
          </cell>
          <cell r="C801" t="str">
            <v>-</v>
          </cell>
          <cell r="E801">
            <v>1.30577491295123E-6</v>
          </cell>
          <cell r="F801">
            <v>1.70453050446205E-6</v>
          </cell>
          <cell r="G801">
            <v>3.2699810699525498E-6</v>
          </cell>
          <cell r="H801">
            <v>1.1520382619430401E-7</v>
          </cell>
          <cell r="I801">
            <v>9.3487354375775403E-8</v>
          </cell>
          <cell r="J801">
            <v>2.3008282569131999E-8</v>
          </cell>
        </row>
        <row r="802">
          <cell r="A802" t="str">
            <v>T_B_u-ICENGA-S3</v>
          </cell>
          <cell r="B802" t="str">
            <v>VAR_cap</v>
          </cell>
          <cell r="C802" t="str">
            <v>-</v>
          </cell>
          <cell r="E802">
            <v>1.30577491295123E-6</v>
          </cell>
          <cell r="F802">
            <v>2.9738016485570951E-6</v>
          </cell>
          <cell r="G802">
            <v>5.7481750426849E-6</v>
          </cell>
          <cell r="H802">
            <v>5.7505639454287973E-7</v>
          </cell>
          <cell r="I802">
            <v>2.0869118057008E-7</v>
          </cell>
          <cell r="J802">
            <v>1.0538347436186919E-7</v>
          </cell>
        </row>
        <row r="803">
          <cell r="A803" t="str">
            <v>T_B_u-ICENGA-S4</v>
          </cell>
          <cell r="B803" t="str">
            <v>VAR_fout</v>
          </cell>
          <cell r="C803" t="str">
            <v>CO2_T</v>
          </cell>
          <cell r="E803">
            <v>1.3185495651731501E-2</v>
          </cell>
          <cell r="F803">
            <v>7.86111695967497E-2</v>
          </cell>
          <cell r="G803">
            <v>9.7580411223542107E-2</v>
          </cell>
          <cell r="H803">
            <v>6.6033952987052807E-2</v>
          </cell>
          <cell r="I803">
            <v>6.4159451372806001E-2</v>
          </cell>
          <cell r="J803">
            <v>5.7741005643401302E-2</v>
          </cell>
        </row>
        <row r="804">
          <cell r="A804" t="str">
            <v>T_B_u-ICENGA-S4</v>
          </cell>
          <cell r="B804" t="str">
            <v>VAR_fout</v>
          </cell>
          <cell r="C804" t="str">
            <v>TPBSu</v>
          </cell>
          <cell r="E804">
            <v>8.8111742155978526E-6</v>
          </cell>
          <cell r="F804">
            <v>5.375571883074943E-5</v>
          </cell>
          <cell r="G804">
            <v>6.9379522651996295E-5</v>
          </cell>
          <cell r="H804">
            <v>5.1653014653789861E-5</v>
          </cell>
          <cell r="I804">
            <v>5.2645753380098339E-5</v>
          </cell>
          <cell r="J804">
            <v>4.9714689793832438E-5</v>
          </cell>
        </row>
        <row r="805">
          <cell r="A805" t="str">
            <v>T_B_u-ICENGA-S4</v>
          </cell>
          <cell r="B805" t="str">
            <v>VAR_fin</v>
          </cell>
          <cell r="C805" t="str">
            <v>TNGA</v>
          </cell>
          <cell r="E805">
            <v>2.3378538389594899E-4</v>
          </cell>
          <cell r="F805">
            <v>1.3938150637721586E-3</v>
          </cell>
          <cell r="G805">
            <v>1.7301491351691851E-3</v>
          </cell>
          <cell r="H805">
            <v>1.1708147692739864E-3</v>
          </cell>
          <cell r="I805">
            <v>1.137578925049751E-3</v>
          </cell>
          <cell r="J805">
            <v>1.0237766958049873E-3</v>
          </cell>
        </row>
        <row r="806">
          <cell r="A806" t="str">
            <v>T_B_u-ICENGA-S4</v>
          </cell>
          <cell r="B806" t="str">
            <v>VAR_ncap</v>
          </cell>
          <cell r="C806" t="str">
            <v>-</v>
          </cell>
          <cell r="H806">
            <v>3.90396399481005E-8</v>
          </cell>
        </row>
        <row r="807">
          <cell r="A807" t="str">
            <v>T_B_u-ICENGA-S4</v>
          </cell>
          <cell r="B807" t="str">
            <v>VAR_cap</v>
          </cell>
          <cell r="C807" t="str">
            <v>-</v>
          </cell>
          <cell r="G807">
            <v>-1.3308935076042701E-7</v>
          </cell>
          <cell r="H807">
            <v>3.90396399481005E-8</v>
          </cell>
          <cell r="I807">
            <v>3.1612471056389597E-8</v>
          </cell>
          <cell r="J807">
            <v>-8.4204014536298092E-9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B9">
            <v>18.873134262307417</v>
          </cell>
          <cell r="C9">
            <v>22.216943256434529</v>
          </cell>
          <cell r="D9">
            <v>26.844174396951175</v>
          </cell>
          <cell r="E9">
            <v>39.091081103360459</v>
          </cell>
          <cell r="F9">
            <v>58.786229067903733</v>
          </cell>
          <cell r="G9">
            <v>75.566087065755653</v>
          </cell>
          <cell r="H9">
            <v>82.554832390898127</v>
          </cell>
          <cell r="I9">
            <v>94.199225514398435</v>
          </cell>
          <cell r="J9">
            <v>95.73878750428409</v>
          </cell>
          <cell r="K9">
            <v>98.601456610147537</v>
          </cell>
          <cell r="L9">
            <v>98.244370116601857</v>
          </cell>
          <cell r="M9">
            <v>99.739617083862129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2.4338017361466334E-3</v>
          </cell>
          <cell r="H28">
            <v>0.4944660371144971</v>
          </cell>
          <cell r="I28">
            <v>1.1960326570207576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</row>
      </sheetData>
      <sheetData sheetId="56"/>
      <sheetData sheetId="57"/>
      <sheetData sheetId="58">
        <row r="14">
          <cell r="B14">
            <v>82.760085092361351</v>
          </cell>
          <cell r="C14">
            <v>83.109779703596232</v>
          </cell>
          <cell r="D14">
            <v>73.080107109424674</v>
          </cell>
          <cell r="E14">
            <v>73.06055813095702</v>
          </cell>
          <cell r="F14">
            <v>56.287933791987768</v>
          </cell>
          <cell r="G14">
            <v>33.159612070253523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  <row r="15">
          <cell r="B15">
            <v>66.745708281990133</v>
          </cell>
          <cell r="C15">
            <v>49.79887989838307</v>
          </cell>
          <cell r="D15">
            <v>68.897628517817694</v>
          </cell>
          <cell r="E15">
            <v>67.436176323598133</v>
          </cell>
          <cell r="F15">
            <v>69.602693607232482</v>
          </cell>
          <cell r="G15">
            <v>72.110610586777625</v>
          </cell>
          <cell r="H15">
            <v>74.384203130425917</v>
          </cell>
          <cell r="I15">
            <v>74.836122087372644</v>
          </cell>
          <cell r="J15">
            <v>74.836120767225623</v>
          </cell>
          <cell r="K15">
            <v>74.836121311270801</v>
          </cell>
          <cell r="L15">
            <v>74.836121465747624</v>
          </cell>
          <cell r="M15">
            <v>74.836110192055827</v>
          </cell>
        </row>
        <row r="16">
          <cell r="B16">
            <v>66.632456704505273</v>
          </cell>
          <cell r="C16">
            <v>55.764165713605053</v>
          </cell>
          <cell r="D16">
            <v>65.579025810201756</v>
          </cell>
          <cell r="E16">
            <v>67.20614308569202</v>
          </cell>
          <cell r="F16">
            <v>66.883813285455119</v>
          </cell>
          <cell r="G16">
            <v>66.204245097786654</v>
          </cell>
          <cell r="H16">
            <v>65.605812293477044</v>
          </cell>
          <cell r="I16">
            <v>67.134916696870022</v>
          </cell>
          <cell r="J16">
            <v>67.134923157520916</v>
          </cell>
          <cell r="K16">
            <v>67.13494239530003</v>
          </cell>
          <cell r="L16">
            <v>67.1349506734133</v>
          </cell>
          <cell r="M16">
            <v>67.134986787595707</v>
          </cell>
        </row>
        <row r="17">
          <cell r="B17">
            <v>12.841935131452248</v>
          </cell>
          <cell r="C17">
            <v>16.040385799293674</v>
          </cell>
          <cell r="D17">
            <v>1.8014894066303999</v>
          </cell>
          <cell r="E17">
            <v>13.773185302741553</v>
          </cell>
          <cell r="F17">
            <v>13.049560699439779</v>
          </cell>
          <cell r="G17">
            <v>13.547568019620497</v>
          </cell>
          <cell r="H17">
            <v>13.894471432052024</v>
          </cell>
          <cell r="I17">
            <v>14.116423077798562</v>
          </cell>
          <cell r="J17">
            <v>14.605869242835967</v>
          </cell>
          <cell r="K17">
            <v>14.239161986854343</v>
          </cell>
          <cell r="L17">
            <v>14.181274751025333</v>
          </cell>
          <cell r="M17">
            <v>14.213030340921701</v>
          </cell>
        </row>
        <row r="18">
          <cell r="B18">
            <v>3.9628421894954115E-2</v>
          </cell>
          <cell r="C18">
            <v>1.5048991307034745E-4</v>
          </cell>
          <cell r="D18">
            <v>9.6172898053957373E-3</v>
          </cell>
          <cell r="E18">
            <v>1.0983233432042764E-3</v>
          </cell>
          <cell r="F18">
            <v>1.3985054085508878E-3</v>
          </cell>
          <cell r="G18">
            <v>0.17006036599600638</v>
          </cell>
          <cell r="H18">
            <v>1.7439406904199799E-2</v>
          </cell>
          <cell r="I18">
            <v>6.5447333646418868E-5</v>
          </cell>
          <cell r="J18">
            <v>2.8698721465886127E-4</v>
          </cell>
          <cell r="K18">
            <v>4.3666315334153587E-4</v>
          </cell>
          <cell r="L18">
            <v>4.4171781102587097E-4</v>
          </cell>
          <cell r="M18">
            <v>6.0923957929699007E-4</v>
          </cell>
        </row>
        <row r="19">
          <cell r="B19">
            <v>6.5070284083309566</v>
          </cell>
          <cell r="C19">
            <v>7.3431082250502637</v>
          </cell>
          <cell r="D19">
            <v>8.3773350245992351</v>
          </cell>
          <cell r="E19">
            <v>7.3981701169678624</v>
          </cell>
          <cell r="F19">
            <v>7.4918965591486462</v>
          </cell>
          <cell r="G19">
            <v>7.0796093966815272</v>
          </cell>
          <cell r="H19">
            <v>4.3378416728033313</v>
          </cell>
          <cell r="I19">
            <v>5.126400307115607</v>
          </cell>
          <cell r="J19">
            <v>4.8881786223219494</v>
          </cell>
          <cell r="K19">
            <v>4.7848124473425058</v>
          </cell>
          <cell r="L19">
            <v>4.7791633804489067</v>
          </cell>
          <cell r="M19">
            <v>4.7842361720836202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1.229272633976489</v>
          </cell>
          <cell r="H20">
            <v>4.3378752817565527</v>
          </cell>
          <cell r="I20">
            <v>4.8959125208856538</v>
          </cell>
          <cell r="J20">
            <v>4.668355804919007</v>
          </cell>
          <cell r="K20">
            <v>4.5696789942372158</v>
          </cell>
          <cell r="L20">
            <v>4.564296030963888</v>
          </cell>
          <cell r="M20">
            <v>4.5691965017011915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4.1248842295991511E-4</v>
          </cell>
          <cell r="H21">
            <v>8.6163592857889729E-4</v>
          </cell>
          <cell r="I21">
            <v>6.0704569911149983E-3</v>
          </cell>
          <cell r="J21">
            <v>6.2652479779652069E-3</v>
          </cell>
          <cell r="K21">
            <v>5.9799869234888415E-3</v>
          </cell>
          <cell r="L21">
            <v>8.64137391283408E-3</v>
          </cell>
          <cell r="M21">
            <v>1.2284000449600194E-2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1.2095783885262992E-4</v>
          </cell>
          <cell r="H22">
            <v>3.0509054961138559E-4</v>
          </cell>
          <cell r="I22">
            <v>5.9394163710176119E-3</v>
          </cell>
          <cell r="J22">
            <v>5.4959428445266086E-3</v>
          </cell>
          <cell r="K22">
            <v>4.5666521033356586E-3</v>
          </cell>
          <cell r="L22">
            <v>5.9075342066603562E-3</v>
          </cell>
          <cell r="M22">
            <v>1.0126387249159308E-2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8.8962276313052499E-4</v>
          </cell>
          <cell r="I23">
            <v>1.3142775519504157E-2</v>
          </cell>
          <cell r="J23">
            <v>1.184426874759593</v>
          </cell>
          <cell r="K23">
            <v>2.338954298011974</v>
          </cell>
          <cell r="L23">
            <v>2.3319026540254604</v>
          </cell>
          <cell r="M23">
            <v>2.3208560049491966</v>
          </cell>
        </row>
        <row r="24">
          <cell r="B24">
            <v>0.96590841995223264</v>
          </cell>
          <cell r="C24">
            <v>1.002210521776155E-3</v>
          </cell>
          <cell r="D24">
            <v>7.4533236872880524E-3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>
            <v>0.32157429213531785</v>
          </cell>
          <cell r="C25">
            <v>9.5216797148364675E-4</v>
          </cell>
          <cell r="D25">
            <v>0.34547126218236412</v>
          </cell>
          <cell r="E25">
            <v>3.1101895792784509E-3</v>
          </cell>
          <cell r="F25">
            <v>4.6321778185218088E-3</v>
          </cell>
          <cell r="G25">
            <v>0.48253003937949301</v>
          </cell>
          <cell r="H25">
            <v>0.96872337476933934</v>
          </cell>
          <cell r="I25">
            <v>0.87279210439721544</v>
          </cell>
          <cell r="J25">
            <v>0.88367926198144764</v>
          </cell>
          <cell r="K25">
            <v>0.92839831189595046</v>
          </cell>
          <cell r="L25">
            <v>0.94471982367728702</v>
          </cell>
          <cell r="M25">
            <v>0.99040218951790182</v>
          </cell>
        </row>
        <row r="26">
          <cell r="B26">
            <v>1.5475772242657517</v>
          </cell>
          <cell r="C26">
            <v>1.4216493183060943</v>
          </cell>
          <cell r="D26">
            <v>1.3484459080633333</v>
          </cell>
          <cell r="E26">
            <v>1.406301719211883</v>
          </cell>
          <cell r="F26">
            <v>1.3957386794402706</v>
          </cell>
          <cell r="G26">
            <v>1.3524923310883135</v>
          </cell>
          <cell r="H26">
            <v>0.89449903577803946</v>
          </cell>
          <cell r="I26">
            <v>0.75043884488368784</v>
          </cell>
          <cell r="J26">
            <v>0.73972856739791171</v>
          </cell>
          <cell r="K26">
            <v>0.74301774530331066</v>
          </cell>
          <cell r="L26">
            <v>0.74420568147279087</v>
          </cell>
          <cell r="M26">
            <v>0.7449037735977031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0.20570729139648691</v>
          </cell>
          <cell r="H27">
            <v>0.71020496673422029</v>
          </cell>
          <cell r="I27">
            <v>0.78411945264298111</v>
          </cell>
          <cell r="J27">
            <v>0.74769100015848666</v>
          </cell>
          <cell r="K27">
            <v>0.73187717119987128</v>
          </cell>
          <cell r="L27">
            <v>0.73102907335947009</v>
          </cell>
          <cell r="M27">
            <v>0.73180390132452322</v>
          </cell>
        </row>
        <row r="28">
          <cell r="B28">
            <v>1.8284219742322509E-3</v>
          </cell>
          <cell r="C28">
            <v>1.0901577436305898E-4</v>
          </cell>
          <cell r="D28">
            <v>2.6816853046051805E-3</v>
          </cell>
          <cell r="E28">
            <v>6.8632652847808173E-4</v>
          </cell>
          <cell r="F28">
            <v>3.8753474085779642E-4</v>
          </cell>
          <cell r="G28">
            <v>1.6581906781969861E-3</v>
          </cell>
          <cell r="H28">
            <v>1.5548675263547358E-3</v>
          </cell>
          <cell r="I28">
            <v>1.1755400554348552E-5</v>
          </cell>
          <cell r="J28">
            <v>4.693327543727533E-5</v>
          </cell>
          <cell r="K28">
            <v>6.1642579432776056E-5</v>
          </cell>
          <cell r="L28">
            <v>6.0939045171047899E-5</v>
          </cell>
          <cell r="M28">
            <v>6.95751728708296E-5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3.659695528774614E-2</v>
          </cell>
          <cell r="H30">
            <v>3.7313924476233155E-2</v>
          </cell>
          <cell r="I30">
            <v>5.0614902062027865E-2</v>
          </cell>
          <cell r="J30">
            <v>0.86884630081509584</v>
          </cell>
          <cell r="K30">
            <v>1.0873517624175999</v>
          </cell>
          <cell r="L30">
            <v>1.0874342349510862</v>
          </cell>
          <cell r="M30">
            <v>1.1192074614303709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5.0391744003934512E-4</v>
          </cell>
          <cell r="H31">
            <v>2.4686375028119731E-3</v>
          </cell>
          <cell r="I31">
            <v>2.9536942690854846E-2</v>
          </cell>
          <cell r="J31">
            <v>0.37774140316094151</v>
          </cell>
          <cell r="K31">
            <v>0.39769002915015217</v>
          </cell>
          <cell r="L31">
            <v>0.40446428688246261</v>
          </cell>
          <cell r="M31">
            <v>0.4226617227099565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7.3803712160078055E-2</v>
          </cell>
          <cell r="I32">
            <v>0.1766332726082091</v>
          </cell>
          <cell r="J32">
            <v>0.17651554023443072</v>
          </cell>
          <cell r="K32">
            <v>0.17681539113253819</v>
          </cell>
          <cell r="L32">
            <v>0.17882768757931677</v>
          </cell>
          <cell r="M32">
            <v>0.18659219490740672</v>
          </cell>
        </row>
        <row r="33">
          <cell r="B33">
            <v>0.52400000000000047</v>
          </cell>
          <cell r="C33">
            <v>0.54529224792023867</v>
          </cell>
          <cell r="D33">
            <v>0.5031648462537881</v>
          </cell>
          <cell r="E33">
            <v>2.0502655520161239</v>
          </cell>
          <cell r="F33">
            <v>3.6358377699965962</v>
          </cell>
          <cell r="G33">
            <v>4.6752286052272352</v>
          </cell>
          <cell r="H33">
            <v>10.311576017769067</v>
          </cell>
          <cell r="I33">
            <v>15.577633031308066</v>
          </cell>
          <cell r="J33">
            <v>15.585586570253962</v>
          </cell>
          <cell r="K33">
            <v>15.5963791999812</v>
          </cell>
          <cell r="L33">
            <v>15.596657591332681</v>
          </cell>
          <cell r="M33">
            <v>15.619074249162857</v>
          </cell>
        </row>
        <row r="34">
          <cell r="B34">
            <v>0</v>
          </cell>
          <cell r="C34">
            <v>0</v>
          </cell>
          <cell r="D34">
            <v>1.1887039527560194E-3</v>
          </cell>
          <cell r="E34">
            <v>0.34281920182681569</v>
          </cell>
          <cell r="F34">
            <v>2.3202254217184075</v>
          </cell>
          <cell r="G34">
            <v>15.933989588280619</v>
          </cell>
          <cell r="H34">
            <v>23.410807652465245</v>
          </cell>
          <cell r="I34">
            <v>29.818992108983068</v>
          </cell>
          <cell r="J34">
            <v>28.649833808400803</v>
          </cell>
          <cell r="K34">
            <v>26.753084496625526</v>
          </cell>
          <cell r="L34">
            <v>13.991171449712663</v>
          </cell>
          <cell r="M34">
            <v>8.7083339897528038</v>
          </cell>
        </row>
        <row r="35">
          <cell r="B35">
            <v>3.517953999707534</v>
          </cell>
          <cell r="C35">
            <v>4.8486224180395263</v>
          </cell>
          <cell r="D35">
            <v>8.4550825265422365</v>
          </cell>
          <cell r="E35">
            <v>9.926144174025012</v>
          </cell>
          <cell r="F35">
            <v>19.784617135491548</v>
          </cell>
          <cell r="G35">
            <v>20.793900898128385</v>
          </cell>
          <cell r="H35">
            <v>21.854605212615262</v>
          </cell>
          <cell r="I35">
            <v>22.969412315912109</v>
          </cell>
          <cell r="J35">
            <v>24.141083330105005</v>
          </cell>
          <cell r="K35">
            <v>25.37252149187724</v>
          </cell>
          <cell r="L35">
            <v>26.666775752836962</v>
          </cell>
          <cell r="M35">
            <v>28.027050278303932</v>
          </cell>
        </row>
        <row r="36">
          <cell r="B36">
            <v>2.1349390887346629</v>
          </cell>
          <cell r="C36">
            <v>3.3906781286430983</v>
          </cell>
          <cell r="D36">
            <v>10.596782014740967</v>
          </cell>
          <cell r="E36">
            <v>18.916937780492358</v>
          </cell>
          <cell r="F36">
            <v>19.88417330976128</v>
          </cell>
          <cell r="G36">
            <v>20.898665828517974</v>
          </cell>
          <cell r="H36">
            <v>34.749536309248008</v>
          </cell>
          <cell r="I36">
            <v>38.328120836094136</v>
          </cell>
          <cell r="J36">
            <v>40.28324174799026</v>
          </cell>
          <cell r="K36">
            <v>42.338095039730725</v>
          </cell>
          <cell r="L36">
            <v>44.497774485439379</v>
          </cell>
          <cell r="M36">
            <v>46.767660445932052</v>
          </cell>
        </row>
        <row r="37">
          <cell r="B37">
            <v>0.86248322578584768</v>
          </cell>
          <cell r="C37">
            <v>1.2875974189862847</v>
          </cell>
          <cell r="D37">
            <v>5.81077948848551</v>
          </cell>
          <cell r="E37">
            <v>13.460689004447735</v>
          </cell>
          <cell r="F37">
            <v>29.336018101734197</v>
          </cell>
          <cell r="G37">
            <v>37.625853379218412</v>
          </cell>
          <cell r="H37">
            <v>40.341691658274229</v>
          </cell>
          <cell r="I37">
            <v>42.399565086803094</v>
          </cell>
          <cell r="J37">
            <v>44.562370427942795</v>
          </cell>
          <cell r="K37">
            <v>46.835501637375899</v>
          </cell>
          <cell r="L37">
            <v>49.224590392896687</v>
          </cell>
          <cell r="M37">
            <v>51.735555388894653</v>
          </cell>
        </row>
        <row r="38">
          <cell r="B38">
            <v>2.8396236857719668</v>
          </cell>
          <cell r="C38">
            <v>3.2944552198176535</v>
          </cell>
          <cell r="D38">
            <v>3.9362771174489812</v>
          </cell>
          <cell r="E38">
            <v>4.4095841199260528</v>
          </cell>
          <cell r="F38">
            <v>4.635103634962209</v>
          </cell>
          <cell r="G38">
            <v>27.726857868200945</v>
          </cell>
          <cell r="H38">
            <v>29.141231656727765</v>
          </cell>
          <cell r="I38">
            <v>30.627733907353029</v>
          </cell>
          <cell r="J38">
            <v>32.190056540071453</v>
          </cell>
          <cell r="K38">
            <v>33.832073646552168</v>
          </cell>
          <cell r="L38">
            <v>35.557851126165495</v>
          </cell>
          <cell r="M38">
            <v>37.371661697836849</v>
          </cell>
        </row>
        <row r="39">
          <cell r="B39">
            <v>0.67001684255090865</v>
          </cell>
          <cell r="C39">
            <v>8.7495518340792902E-2</v>
          </cell>
          <cell r="D39">
            <v>5.7993203522707246E-2</v>
          </cell>
          <cell r="E39">
            <v>7.9500090601235515E-2</v>
          </cell>
          <cell r="F39">
            <v>0.37850024734112181</v>
          </cell>
          <cell r="G39">
            <v>0.34920131357912637</v>
          </cell>
          <cell r="H39">
            <v>0.11083509762371957</v>
          </cell>
          <cell r="I39">
            <v>0.3407365565935998</v>
          </cell>
          <cell r="J39">
            <v>0.41985784906940149</v>
          </cell>
          <cell r="K39">
            <v>0.40118960602925779</v>
          </cell>
          <cell r="L39">
            <v>0.42186263315171946</v>
          </cell>
          <cell r="M39">
            <v>0.42195667442503493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3.8907058508332883E-3</v>
          </cell>
          <cell r="H40">
            <v>4.163471417885669E-3</v>
          </cell>
          <cell r="I40">
            <v>0.19707402966888085</v>
          </cell>
          <cell r="J40">
            <v>0.24276713607436609</v>
          </cell>
          <cell r="K40">
            <v>0.23203152413286635</v>
          </cell>
          <cell r="L40">
            <v>0.24397806406926259</v>
          </cell>
          <cell r="M40">
            <v>0.24403557108405713</v>
          </cell>
        </row>
        <row r="41">
          <cell r="B41">
            <v>7.0556879088967725E-2</v>
          </cell>
          <cell r="C41">
            <v>0.17138022669628128</v>
          </cell>
          <cell r="D41">
            <v>8.7054103919806131E-3</v>
          </cell>
          <cell r="E41">
            <v>0.16982807894912577</v>
          </cell>
          <cell r="F41">
            <v>0.16982574768690659</v>
          </cell>
          <cell r="G41">
            <v>0</v>
          </cell>
          <cell r="H41">
            <v>0</v>
          </cell>
          <cell r="I41">
            <v>0</v>
          </cell>
          <cell r="J41">
            <v>2.3762380019490916E-3</v>
          </cell>
          <cell r="K41">
            <v>3.3774207478474089E-3</v>
          </cell>
          <cell r="L41">
            <v>5.4510558426793601E-3</v>
          </cell>
          <cell r="M41">
            <v>7.9765574507781201E-3</v>
          </cell>
        </row>
        <row r="42">
          <cell r="B42">
            <v>0.17261404367800709</v>
          </cell>
          <cell r="C42">
            <v>0.49325428784315839</v>
          </cell>
          <cell r="D42">
            <v>1.1359065301471178</v>
          </cell>
          <cell r="E42">
            <v>1.470556959942066</v>
          </cell>
          <cell r="F42">
            <v>1.4604219776466498</v>
          </cell>
          <cell r="G42">
            <v>0.91063853741025502</v>
          </cell>
          <cell r="H42">
            <v>0.37167535040972904</v>
          </cell>
          <cell r="I42">
            <v>0.3455963350311812</v>
          </cell>
          <cell r="J42">
            <v>7.4102517609785194E-3</v>
          </cell>
          <cell r="K42">
            <v>3.8055907525778609E-3</v>
          </cell>
          <cell r="L42">
            <v>4.2641617976429619E-3</v>
          </cell>
          <cell r="M42">
            <v>4.8893885405614859E-3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1.6605284139626117</v>
          </cell>
          <cell r="H43">
            <v>3.7325673526226413</v>
          </cell>
          <cell r="I43">
            <v>4.4047639208152054</v>
          </cell>
          <cell r="J43">
            <v>4.4049165829248791</v>
          </cell>
          <cell r="K43">
            <v>4.4047666087823103</v>
          </cell>
          <cell r="L43">
            <v>4.4047528773159055</v>
          </cell>
          <cell r="M43">
            <v>4.4048554001949629</v>
          </cell>
        </row>
        <row r="44">
          <cell r="B44">
            <v>0.23009684347355058</v>
          </cell>
          <cell r="C44">
            <v>0.24360069529544917</v>
          </cell>
          <cell r="D44">
            <v>0.33673453965701605</v>
          </cell>
          <cell r="E44">
            <v>0.33297542009678138</v>
          </cell>
          <cell r="F44">
            <v>0.32921741625747086</v>
          </cell>
          <cell r="G44">
            <v>0.28015330524963583</v>
          </cell>
          <cell r="H44">
            <v>1.3081609969500748E-3</v>
          </cell>
          <cell r="I44">
            <v>6.8676871935824922E-4</v>
          </cell>
          <cell r="J44">
            <v>6.4564528132893262E-4</v>
          </cell>
          <cell r="K44">
            <v>3.50871103481809E-4</v>
          </cell>
          <cell r="L44">
            <v>3.2891175804767778E-4</v>
          </cell>
          <cell r="M44">
            <v>2.095349265343189E-4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4.2774667806615513E-2</v>
          </cell>
          <cell r="H45">
            <v>0.29226469572784353</v>
          </cell>
          <cell r="I45">
            <v>0.65184404907559068</v>
          </cell>
          <cell r="J45">
            <v>0.59209172058958437</v>
          </cell>
          <cell r="K45">
            <v>0.59253531691230532</v>
          </cell>
          <cell r="L45">
            <v>0.59260345069430531</v>
          </cell>
          <cell r="M45">
            <v>0.59281024989664899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0.65061765891588386</v>
          </cell>
          <cell r="G46">
            <v>0.35970119959755226</v>
          </cell>
          <cell r="H46">
            <v>0.35973605690891269</v>
          </cell>
          <cell r="I46">
            <v>0.68631688447511918</v>
          </cell>
          <cell r="J46">
            <v>1.7055878339183161</v>
          </cell>
          <cell r="K46">
            <v>1.9671081819723344</v>
          </cell>
          <cell r="L46">
            <v>3.4652906123534075</v>
          </cell>
          <cell r="M46">
            <v>4.1086942417916195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4.333034150411222E-3</v>
          </cell>
          <cell r="G47">
            <v>8.1634535395434787E-3</v>
          </cell>
          <cell r="H47">
            <v>5.9287479950609744E-3</v>
          </cell>
          <cell r="I47">
            <v>6.7159743429717894E-3</v>
          </cell>
          <cell r="J47">
            <v>7.4964114062620506E-3</v>
          </cell>
          <cell r="K47">
            <v>4.7596019265475449E-3</v>
          </cell>
          <cell r="L47">
            <v>4.3169435951051745E-3</v>
          </cell>
          <cell r="M47">
            <v>4.205810936909673E-3</v>
          </cell>
        </row>
        <row r="48">
          <cell r="B48">
            <v>1.8881207239921535E-2</v>
          </cell>
          <cell r="C48">
            <v>1.6670032231296386E-2</v>
          </cell>
          <cell r="D48">
            <v>1.788359316140899E-2</v>
          </cell>
          <cell r="E48">
            <v>1.2051585480985384E-2</v>
          </cell>
          <cell r="F48">
            <v>9.7826766175921811E-3</v>
          </cell>
          <cell r="G48">
            <v>4.9828367015318309E-3</v>
          </cell>
          <cell r="H48">
            <v>0</v>
          </cell>
          <cell r="I48">
            <v>0</v>
          </cell>
          <cell r="J48">
            <v>6.955719525144748E-3</v>
          </cell>
          <cell r="K48">
            <v>9.5864737910232416E-3</v>
          </cell>
          <cell r="L48">
            <v>2.9039496724610966E-2</v>
          </cell>
          <cell r="M48">
            <v>3.2278792663533951E-2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4.3904045389354706E-3</v>
          </cell>
          <cell r="K49">
            <v>7.6509140325847561E-3</v>
          </cell>
          <cell r="L49">
            <v>7.8136138351840162E-3</v>
          </cell>
          <cell r="M49">
            <v>1.5657272244732567E-2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2.3875713668809646E-3</v>
          </cell>
          <cell r="F50">
            <v>4.7173587799637495E-3</v>
          </cell>
          <cell r="G50">
            <v>1.1404880428690034E-2</v>
          </cell>
          <cell r="H50">
            <v>1.1720986586110451E-2</v>
          </cell>
          <cell r="I50">
            <v>2.0242326554013295E-2</v>
          </cell>
          <cell r="J50">
            <v>1.3318313107028804E-2</v>
          </cell>
          <cell r="K50">
            <v>9.3728174658921047E-3</v>
          </cell>
          <cell r="L50">
            <v>1.2203610994092734E-2</v>
          </cell>
          <cell r="M50">
            <v>1.3460580443294436E-2</v>
          </cell>
        </row>
        <row r="51">
          <cell r="B51">
            <v>3.0506804384740939E-2</v>
          </cell>
          <cell r="C51">
            <v>3.6723762661064495E-2</v>
          </cell>
          <cell r="D51">
            <v>0.14912784142043176</v>
          </cell>
          <cell r="E51">
            <v>0.1470994375018366</v>
          </cell>
          <cell r="F51">
            <v>0.14646622976263046</v>
          </cell>
          <cell r="G51">
            <v>6.7030473494335926E-2</v>
          </cell>
          <cell r="H51">
            <v>0</v>
          </cell>
          <cell r="I51">
            <v>0</v>
          </cell>
          <cell r="J51">
            <v>1.4140821722826179E-2</v>
          </cell>
          <cell r="K51">
            <v>8.8402974298318115E-2</v>
          </cell>
          <cell r="L51">
            <v>0.12073290802496742</v>
          </cell>
          <cell r="M51">
            <v>0.20425141849181533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1.1324090475802268E-2</v>
          </cell>
          <cell r="K52">
            <v>1.7108364924814601E-2</v>
          </cell>
          <cell r="L52">
            <v>2.1095596534841311E-2</v>
          </cell>
          <cell r="M52">
            <v>4.6498085977892581E-2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3.4824239568587694E-3</v>
          </cell>
          <cell r="F53">
            <v>8.6657783499550986E-3</v>
          </cell>
          <cell r="G53">
            <v>6.856423487902133E-2</v>
          </cell>
          <cell r="H53">
            <v>0.12039634273861592</v>
          </cell>
          <cell r="I53">
            <v>0.20325686557549097</v>
          </cell>
          <cell r="J53">
            <v>0.19231480698876452</v>
          </cell>
          <cell r="K53">
            <v>0.1379455460253638</v>
          </cell>
          <cell r="L53">
            <v>0.10617535356275278</v>
          </cell>
          <cell r="M53">
            <v>4.0745579584391622E-2</v>
          </cell>
        </row>
        <row r="54">
          <cell r="B54">
            <v>0.95942092783543942</v>
          </cell>
          <cell r="C54">
            <v>1.1069743065028093</v>
          </cell>
          <cell r="D54">
            <v>1.1139828773575073</v>
          </cell>
          <cell r="E54">
            <v>1.1148532974386145</v>
          </cell>
          <cell r="F54">
            <v>1.1148917977313888</v>
          </cell>
          <cell r="G54">
            <v>1.1149051184397003</v>
          </cell>
          <cell r="H54">
            <v>1.1280687497333792</v>
          </cell>
          <cell r="I54">
            <v>1.1429037023793382</v>
          </cell>
          <cell r="J54">
            <v>1.1429064331404066</v>
          </cell>
          <cell r="K54">
            <v>1.1429251231291493</v>
          </cell>
          <cell r="L54">
            <v>1.3168517114450387</v>
          </cell>
          <cell r="M54">
            <v>1.7748136513243538</v>
          </cell>
        </row>
        <row r="55">
          <cell r="B55">
            <v>0.5944528427093666</v>
          </cell>
          <cell r="C55">
            <v>0.62595518433724096</v>
          </cell>
          <cell r="D55">
            <v>0.8005167320637504</v>
          </cell>
          <cell r="E55">
            <v>0.68748003962192794</v>
          </cell>
          <cell r="F55">
            <v>0.61877094626934137</v>
          </cell>
          <cell r="G55">
            <v>0.32471199984051841</v>
          </cell>
          <cell r="H55">
            <v>0</v>
          </cell>
          <cell r="I55">
            <v>0</v>
          </cell>
          <cell r="J55">
            <v>8.5843033135360805E-3</v>
          </cell>
          <cell r="K55">
            <v>9.8554981400476287E-3</v>
          </cell>
          <cell r="L55">
            <v>1.5678476685490914E-2</v>
          </cell>
          <cell r="M55">
            <v>2.5756138832804171E-2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2.1990996642316089E-3</v>
          </cell>
          <cell r="F56">
            <v>3.8274064363547338E-3</v>
          </cell>
          <cell r="G56">
            <v>9.0742565981943041E-3</v>
          </cell>
          <cell r="H56">
            <v>7.6853324652532929E-3</v>
          </cell>
          <cell r="I56">
            <v>1.1096880168741769E-2</v>
          </cell>
          <cell r="J56">
            <v>8.136402504409836E-3</v>
          </cell>
          <cell r="K56">
            <v>5.5924162724526189E-3</v>
          </cell>
          <cell r="L56">
            <v>1.1055358246034397E-2</v>
          </cell>
          <cell r="M56">
            <v>1.1123225591817103E-2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5.6692784032239506E-3</v>
          </cell>
          <cell r="F57">
            <v>2.0109587051575444E-2</v>
          </cell>
          <cell r="G57">
            <v>1.9083021627599644E-2</v>
          </cell>
          <cell r="H57">
            <v>1.507660674049424E-2</v>
          </cell>
          <cell r="I57">
            <v>4.594067280266613E-2</v>
          </cell>
          <cell r="J57">
            <v>5.5716851704075553E-2</v>
          </cell>
          <cell r="K57">
            <v>5.4876760065497542E-2</v>
          </cell>
          <cell r="L57">
            <v>0.18072454392272269</v>
          </cell>
          <cell r="M57">
            <v>0.40089192926355688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4.7104159263367598E-3</v>
          </cell>
          <cell r="K58">
            <v>5.9784559803089414E-3</v>
          </cell>
          <cell r="L58">
            <v>1.0276893721107001E-2</v>
          </cell>
          <cell r="M58">
            <v>2.212897935389609E-2</v>
          </cell>
        </row>
        <row r="70">
          <cell r="B70">
            <v>9.4709525270851039E-2</v>
          </cell>
          <cell r="C70">
            <v>1.489688265439054E-2</v>
          </cell>
          <cell r="D70">
            <v>3.1711859635974282E-2</v>
          </cell>
          <cell r="E70">
            <v>9.4477232399656816E-2</v>
          </cell>
          <cell r="F70">
            <v>8.6136731922430362E-2</v>
          </cell>
          <cell r="G70">
            <v>6.9791663606863896E-2</v>
          </cell>
          <cell r="H70">
            <v>9.4484402588599622E-2</v>
          </cell>
          <cell r="I70">
            <v>7.6388743998097072E-2</v>
          </cell>
          <cell r="J70">
            <v>9.4511444576772033E-2</v>
          </cell>
          <cell r="K70">
            <v>9.4518785164775132E-2</v>
          </cell>
          <cell r="L70">
            <v>9.4508808621834917E-2</v>
          </cell>
          <cell r="M70">
            <v>9.4557073704089667E-2</v>
          </cell>
        </row>
        <row r="71">
          <cell r="B71">
            <v>1.4494457383616981E-2</v>
          </cell>
          <cell r="C71">
            <v>1.1318464911724073E-2</v>
          </cell>
          <cell r="D71">
            <v>1.162270833050604E-2</v>
          </cell>
          <cell r="E71">
            <v>1.2833691797383301E-2</v>
          </cell>
          <cell r="F71">
            <v>0.53573176616495521</v>
          </cell>
          <cell r="G71">
            <v>0.57859399837107839</v>
          </cell>
          <cell r="H71">
            <v>0.57947047737752366</v>
          </cell>
          <cell r="I71">
            <v>0.58018453477038778</v>
          </cell>
          <cell r="J71">
            <v>1.0604748574251268</v>
          </cell>
          <cell r="K71">
            <v>1.0621509473654485</v>
          </cell>
          <cell r="L71">
            <v>1.0626100597405805</v>
          </cell>
          <cell r="M71">
            <v>1.1913463674193498</v>
          </cell>
        </row>
        <row r="72">
          <cell r="B72">
            <v>1.3320891291589407E-2</v>
          </cell>
          <cell r="C72">
            <v>1.0414841106323231E-2</v>
          </cell>
          <cell r="D72">
            <v>1.0727394611736807E-2</v>
          </cell>
          <cell r="E72">
            <v>1.2079913349600626E-2</v>
          </cell>
          <cell r="F72">
            <v>0.11980715728775058</v>
          </cell>
          <cell r="G72">
            <v>3.0080915760519824</v>
          </cell>
          <cell r="H72">
            <v>6.5477748966194484</v>
          </cell>
          <cell r="I72">
            <v>7.9716802715371191</v>
          </cell>
          <cell r="J72">
            <v>13.359255279595642</v>
          </cell>
          <cell r="K72">
            <v>15.732200379448413</v>
          </cell>
          <cell r="L72">
            <v>14.639986289352123</v>
          </cell>
          <cell r="M72">
            <v>15.323238671135654</v>
          </cell>
        </row>
        <row r="73">
          <cell r="B73">
            <v>4.0839504578957164E-3</v>
          </cell>
          <cell r="C73">
            <v>4.0906781668015643E-3</v>
          </cell>
          <cell r="D73">
            <v>4.150688164969287E-3</v>
          </cell>
          <cell r="E73">
            <v>5.716702621105612E-2</v>
          </cell>
          <cell r="F73">
            <v>0.10709312501141476</v>
          </cell>
          <cell r="G73">
            <v>0.16206354829272107</v>
          </cell>
          <cell r="H73">
            <v>0.13745626036703879</v>
          </cell>
          <cell r="I73">
            <v>0.20269194475935717</v>
          </cell>
          <cell r="J73">
            <v>0.22333449224048271</v>
          </cell>
          <cell r="K73">
            <v>0.26319859885045488</v>
          </cell>
          <cell r="L73">
            <v>0.27323271309361391</v>
          </cell>
          <cell r="M73">
            <v>0.27682394902113255</v>
          </cell>
        </row>
        <row r="74">
          <cell r="B74">
            <v>9.2245231161461154E-3</v>
          </cell>
          <cell r="C74">
            <v>9.2475337398074571E-3</v>
          </cell>
          <cell r="D74">
            <v>9.3564156495677848E-3</v>
          </cell>
          <cell r="E74">
            <v>8.7182704639252401E-2</v>
          </cell>
          <cell r="F74">
            <v>0.12663844781846109</v>
          </cell>
          <cell r="G74">
            <v>0.14924438360877074</v>
          </cell>
          <cell r="H74">
            <v>0.22762314139921649</v>
          </cell>
          <cell r="I74">
            <v>0.25699736216740321</v>
          </cell>
          <cell r="J74">
            <v>0.29315067733853906</v>
          </cell>
          <cell r="K74">
            <v>0.30745010691895114</v>
          </cell>
          <cell r="L74">
            <v>0.31803485323332747</v>
          </cell>
          <cell r="M74">
            <v>0.34801659942302504</v>
          </cell>
        </row>
        <row r="75">
          <cell r="B75">
            <v>9.220850578110576E-3</v>
          </cell>
          <cell r="C75">
            <v>9.2435063122773518E-3</v>
          </cell>
          <cell r="D75">
            <v>9.3568794693693579E-3</v>
          </cell>
          <cell r="E75">
            <v>8.8828369812473579E-2</v>
          </cell>
          <cell r="F75">
            <v>0.15449614865998093</v>
          </cell>
          <cell r="G75">
            <v>0.2445719618958383</v>
          </cell>
          <cell r="H75">
            <v>0.30922560306754809</v>
          </cell>
          <cell r="I75">
            <v>0.26033278926370806</v>
          </cell>
          <cell r="J75">
            <v>0.30348162262705181</v>
          </cell>
          <cell r="K75">
            <v>0.31089917940155981</v>
          </cell>
          <cell r="L75">
            <v>0.32156972928508148</v>
          </cell>
          <cell r="M75">
            <v>0.35194258184917177</v>
          </cell>
        </row>
        <row r="76">
          <cell r="B76">
            <v>3.9294645417278203E-3</v>
          </cell>
          <cell r="C76">
            <v>3.9344353967231353E-3</v>
          </cell>
          <cell r="D76">
            <v>3.9912394271254805E-3</v>
          </cell>
          <cell r="E76">
            <v>7.3832380783928828E-2</v>
          </cell>
          <cell r="F76">
            <v>0.10705783148389054</v>
          </cell>
          <cell r="G76">
            <v>0.17274077891856057</v>
          </cell>
          <cell r="H76">
            <v>0.21074307799828138</v>
          </cell>
          <cell r="I76">
            <v>0.17552612431733466</v>
          </cell>
          <cell r="J76">
            <v>0.20301008895384282</v>
          </cell>
          <cell r="K76">
            <v>0.20959102198320223</v>
          </cell>
          <cell r="L76">
            <v>0.21565185162985537</v>
          </cell>
          <cell r="M76">
            <v>0.23688072576668134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2.0687314757246388E-3</v>
          </cell>
          <cell r="H90">
            <v>2.0750959735464035E-3</v>
          </cell>
          <cell r="I90">
            <v>2.1032238759752394E-3</v>
          </cell>
          <cell r="J90">
            <v>2.1141690930305407E-3</v>
          </cell>
          <cell r="K90">
            <v>3.2426822510482271E-3</v>
          </cell>
          <cell r="L90">
            <v>3.2708621848487182E-3</v>
          </cell>
          <cell r="M90">
            <v>6.6343781262286766E-3</v>
          </cell>
        </row>
        <row r="91">
          <cell r="B91">
            <v>1.8036028876986328</v>
          </cell>
          <cell r="C91">
            <v>1.9258026044091914E-3</v>
          </cell>
          <cell r="D91">
            <v>1.492897959969177E-2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B92">
            <v>1.3102575632700095</v>
          </cell>
          <cell r="C92">
            <v>0.47151761852767932</v>
          </cell>
          <cell r="D92">
            <v>0.90347849043695028</v>
          </cell>
          <cell r="E92">
            <v>9.6984396507571891E-3</v>
          </cell>
          <cell r="F92">
            <v>1.3341499511183548E-2</v>
          </cell>
          <cell r="G92">
            <v>1.2632209479762828</v>
          </cell>
          <cell r="H92">
            <v>2.5347001221126613</v>
          </cell>
          <cell r="I92">
            <v>3.4663434636172639</v>
          </cell>
          <cell r="J92">
            <v>3.8773488474465081</v>
          </cell>
          <cell r="K92">
            <v>3.7484941405181469</v>
          </cell>
          <cell r="L92">
            <v>4.0210644774535993</v>
          </cell>
          <cell r="M92">
            <v>4.1396303793949505</v>
          </cell>
        </row>
        <row r="93">
          <cell r="B93">
            <v>14.461545811681923</v>
          </cell>
          <cell r="C93">
            <v>13.123977862527429</v>
          </cell>
          <cell r="D93">
            <v>12.412892869059723</v>
          </cell>
          <cell r="E93">
            <v>12.779913069542475</v>
          </cell>
          <cell r="F93">
            <v>12.343210539571402</v>
          </cell>
          <cell r="G93">
            <v>13.041958683155412</v>
          </cell>
          <cell r="H93">
            <v>12.955831189315433</v>
          </cell>
          <cell r="I93">
            <v>11.851536113770624</v>
          </cell>
          <cell r="J93">
            <v>11.300885906541048</v>
          </cell>
          <cell r="K93">
            <v>11.061907057008671</v>
          </cell>
          <cell r="L93">
            <v>11.048994833419066</v>
          </cell>
          <cell r="M93">
            <v>11.060671583709512</v>
          </cell>
        </row>
        <row r="94">
          <cell r="B94">
            <v>9.40331301033729E-3</v>
          </cell>
          <cell r="C94">
            <v>5.6065255386715984E-4</v>
          </cell>
          <cell r="D94">
            <v>1.3791524423683789E-2</v>
          </cell>
          <cell r="E94">
            <v>3.5296792893158417E-3</v>
          </cell>
          <cell r="F94">
            <v>1.9930358101258078E-3</v>
          </cell>
          <cell r="G94">
            <v>8.5278377735844915E-3</v>
          </cell>
          <cell r="H94">
            <v>7.9964615641100641E-3</v>
          </cell>
          <cell r="I94">
            <v>6.0456345708078191E-5</v>
          </cell>
          <cell r="J94">
            <v>2.4137113082027268E-4</v>
          </cell>
          <cell r="K94">
            <v>3.1701897993999088E-4</v>
          </cell>
          <cell r="L94">
            <v>3.1340080373681785E-4</v>
          </cell>
          <cell r="M94">
            <v>3.5781517476426631E-4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4.4439159992263041E-2</v>
          </cell>
          <cell r="H96">
            <v>4.6198192208669511E-2</v>
          </cell>
          <cell r="I96">
            <v>6.3871185935415978E-2</v>
          </cell>
          <cell r="J96">
            <v>1.0964012843619049</v>
          </cell>
          <cell r="K96">
            <v>1.3721343668603023</v>
          </cell>
          <cell r="L96">
            <v>1.3722384393430356</v>
          </cell>
          <cell r="M96">
            <v>1.4123332251383225</v>
          </cell>
        </row>
        <row r="97">
          <cell r="B97">
            <v>1.7329259660505791</v>
          </cell>
          <cell r="C97">
            <v>2.1412907834510397</v>
          </cell>
          <cell r="D97">
            <v>1.122681982033449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B98">
            <v>0.90180202008672095</v>
          </cell>
          <cell r="C98">
            <v>0.90180324022510761</v>
          </cell>
          <cell r="D98">
            <v>0.90180479340173236</v>
          </cell>
          <cell r="E98">
            <v>0.90180694387022609</v>
          </cell>
          <cell r="F98">
            <v>0.90181145281191066</v>
          </cell>
          <cell r="G98">
            <v>0.9018154215439631</v>
          </cell>
          <cell r="H98">
            <v>0.90181866373007757</v>
          </cell>
          <cell r="I98">
            <v>0.90182423140490553</v>
          </cell>
          <cell r="J98">
            <v>0.90183126634212418</v>
          </cell>
          <cell r="K98">
            <v>0.90183457858870353</v>
          </cell>
          <cell r="L98">
            <v>0.90185389288723616</v>
          </cell>
          <cell r="M98">
            <v>1.0140929076188983</v>
          </cell>
        </row>
        <row r="99">
          <cell r="B99">
            <v>2.900056837873827</v>
          </cell>
          <cell r="C99">
            <v>7.6037275956283015</v>
          </cell>
          <cell r="D99">
            <v>7.6001713096321906</v>
          </cell>
          <cell r="E99">
            <v>2.2992562418728757</v>
          </cell>
          <cell r="F99">
            <v>1.3320003768748603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B100">
            <v>0.18409178243891483</v>
          </cell>
          <cell r="C100">
            <v>0.18581060766898236</v>
          </cell>
          <cell r="D100">
            <v>5.1322176178188447E-2</v>
          </cell>
          <cell r="E100">
            <v>5.3299150418887914E-2</v>
          </cell>
          <cell r="F100">
            <v>1.7123303006778931E-3</v>
          </cell>
          <cell r="G100">
            <v>4.9949977493405522E-4</v>
          </cell>
          <cell r="H100">
            <v>5.7547207752482493E-4</v>
          </cell>
          <cell r="I100">
            <v>8.5700114961330355E-5</v>
          </cell>
          <cell r="J100">
            <v>4.7958283253445361E-5</v>
          </cell>
          <cell r="K100">
            <v>3.3055506242223246E-5</v>
          </cell>
          <cell r="L100">
            <v>3.4902887286525807E-5</v>
          </cell>
          <cell r="M100">
            <v>2.8383377923708959E-5</v>
          </cell>
        </row>
        <row r="101">
          <cell r="B101">
            <v>1.205161202606934</v>
          </cell>
          <cell r="C101">
            <v>1.0876620498618368</v>
          </cell>
          <cell r="D101">
            <v>1.9979193691540227</v>
          </cell>
          <cell r="E101">
            <v>3.5986247264650597</v>
          </cell>
          <cell r="F101">
            <v>4.0402493757794566</v>
          </cell>
          <cell r="G101">
            <v>3.1262835397181217</v>
          </cell>
          <cell r="H101">
            <v>2.4190685388015316</v>
          </cell>
          <cell r="I101">
            <v>1.8718426671294826</v>
          </cell>
          <cell r="J101">
            <v>1.4484095726329185</v>
          </cell>
          <cell r="K101">
            <v>1.1207614448730236</v>
          </cell>
          <cell r="L101">
            <v>0.86723851663857943</v>
          </cell>
          <cell r="M101">
            <v>0.67286285771833332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1.4810563710989833E-4</v>
          </cell>
          <cell r="F102">
            <v>2.4911596730367005E-4</v>
          </cell>
          <cell r="G102">
            <v>2.7184178099977396E-4</v>
          </cell>
          <cell r="H102">
            <v>2.8867491714550624E-4</v>
          </cell>
          <cell r="I102">
            <v>4.4049589728140104E-4</v>
          </cell>
          <cell r="J102">
            <v>4.489933768985335E-4</v>
          </cell>
          <cell r="K102">
            <v>5.2769062867861496E-4</v>
          </cell>
          <cell r="L102">
            <v>5.461505683061089E-4</v>
          </cell>
          <cell r="M102">
            <v>1.5346031078278311E-3</v>
          </cell>
        </row>
        <row r="103">
          <cell r="F103">
            <v>0.61600589471837353</v>
          </cell>
          <cell r="G103">
            <v>0.3999148801719673</v>
          </cell>
          <cell r="H103">
            <v>0.12867599600278221</v>
          </cell>
          <cell r="I103">
            <v>0.594422226921691</v>
          </cell>
          <cell r="J103">
            <v>0.73237498357995579</v>
          </cell>
          <cell r="K103">
            <v>0.69987598596866518</v>
          </cell>
          <cell r="L103">
            <v>0.73592919166529847</v>
          </cell>
          <cell r="M103">
            <v>0.73609669240478914</v>
          </cell>
        </row>
        <row r="104">
          <cell r="B104">
            <v>0.93006795162730349</v>
          </cell>
          <cell r="C104">
            <v>2.0711828864240585</v>
          </cell>
          <cell r="D104">
            <v>9.0889216989872013E-2</v>
          </cell>
          <cell r="E104">
            <v>1.3075520758979899</v>
          </cell>
          <cell r="F104">
            <v>0.84199512602426008</v>
          </cell>
          <cell r="G104">
            <v>0</v>
          </cell>
          <cell r="H104">
            <v>0</v>
          </cell>
          <cell r="I104">
            <v>0</v>
          </cell>
          <cell r="J104">
            <v>5.2674542162728846E-3</v>
          </cell>
          <cell r="K104">
            <v>7.4867959959330254E-3</v>
          </cell>
          <cell r="L104">
            <v>1.2083464307072177E-2</v>
          </cell>
          <cell r="M104">
            <v>1.7681794138878614E-2</v>
          </cell>
        </row>
        <row r="105">
          <cell r="B105">
            <v>0.66015002824752234</v>
          </cell>
          <cell r="C105">
            <v>1.7178170201333334</v>
          </cell>
          <cell r="D105">
            <v>3.3735361215429793</v>
          </cell>
          <cell r="E105">
            <v>3.1107935691082202</v>
          </cell>
          <cell r="F105">
            <v>3.0893541834833025</v>
          </cell>
          <cell r="G105">
            <v>5.4390070125195393</v>
          </cell>
          <cell r="H105">
            <v>8.6820518717992581</v>
          </cell>
          <cell r="I105">
            <v>10.048839002751995</v>
          </cell>
          <cell r="J105">
            <v>9.3337683041431827</v>
          </cell>
          <cell r="K105">
            <v>9.325825806708437</v>
          </cell>
          <cell r="L105">
            <v>9.3267668135094528</v>
          </cell>
          <cell r="M105">
            <v>9.3283062838636344</v>
          </cell>
        </row>
        <row r="106">
          <cell r="B106">
            <v>1.935257622212696</v>
          </cell>
          <cell r="C106">
            <v>1.9673347770153415</v>
          </cell>
          <cell r="D106">
            <v>2.5505036369789567</v>
          </cell>
          <cell r="E106">
            <v>2.2435319650864538</v>
          </cell>
          <cell r="F106">
            <v>1.9428551013173674</v>
          </cell>
          <cell r="G106">
            <v>1.6356427560247073</v>
          </cell>
          <cell r="H106">
            <v>1.2414148388912871</v>
          </cell>
          <cell r="I106">
            <v>2.2135459009997924</v>
          </cell>
          <cell r="J106">
            <v>2.0107117255039331</v>
          </cell>
          <cell r="K106">
            <v>2.0112165670221871</v>
          </cell>
          <cell r="L106">
            <v>2.0113732021296857</v>
          </cell>
          <cell r="M106">
            <v>2.0116697604305838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2.057197406273218E-3</v>
          </cell>
          <cell r="G107">
            <v>3.6698093893360625E-3</v>
          </cell>
          <cell r="H107">
            <v>2.5287594055869275E-3</v>
          </cell>
          <cell r="I107">
            <v>2.7099545594447554E-3</v>
          </cell>
          <cell r="J107">
            <v>3.0248677604215305E-3</v>
          </cell>
          <cell r="K107">
            <v>1.9205411282560295E-3</v>
          </cell>
          <cell r="L107">
            <v>1.7419246085512141E-3</v>
          </cell>
          <cell r="M107">
            <v>1.697081606121448E-3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0.4383454328251466</v>
          </cell>
          <cell r="G108">
            <v>0.21582071975853137</v>
          </cell>
          <cell r="H108">
            <v>0.197854831299902</v>
          </cell>
          <cell r="I108">
            <v>0.34315844223755976</v>
          </cell>
          <cell r="J108">
            <v>0.85279391695915807</v>
          </cell>
          <cell r="K108">
            <v>0.98355409098616675</v>
          </cell>
          <cell r="L108">
            <v>1.7326453061767038</v>
          </cell>
          <cell r="M108">
            <v>2.0543471208958111</v>
          </cell>
        </row>
        <row r="109">
          <cell r="B109">
            <v>4.5454758170181492E-2</v>
          </cell>
          <cell r="C109">
            <v>3.9725833423152952E-2</v>
          </cell>
          <cell r="D109">
            <v>4.1964939508385694E-2</v>
          </cell>
          <cell r="E109">
            <v>2.7546481099395212E-2</v>
          </cell>
          <cell r="F109">
            <v>2.2164259805271501E-2</v>
          </cell>
          <cell r="G109">
            <v>1.1189528031510082E-2</v>
          </cell>
          <cell r="H109">
            <v>0</v>
          </cell>
          <cell r="I109">
            <v>0</v>
          </cell>
          <cell r="J109">
            <v>2.3891510115254366E-2</v>
          </cell>
          <cell r="K109">
            <v>3.6127615956013139E-2</v>
          </cell>
          <cell r="L109">
            <v>7.871303089969546E-2</v>
          </cell>
          <cell r="M109">
            <v>0.10143743889645271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6.4454108352133277E-3</v>
          </cell>
          <cell r="F110">
            <v>1.2471713646458969E-2</v>
          </cell>
          <cell r="G110">
            <v>2.9516006559179121E-2</v>
          </cell>
          <cell r="H110">
            <v>2.9732227225122886E-2</v>
          </cell>
          <cell r="I110">
            <v>5.0308586315321951E-2</v>
          </cell>
          <cell r="J110">
            <v>3.3100222088186873E-2</v>
          </cell>
          <cell r="K110">
            <v>2.329441703464185E-2</v>
          </cell>
          <cell r="L110">
            <v>3.0329834637175326E-2</v>
          </cell>
          <cell r="M110">
            <v>3.3453801433291921E-2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B112">
            <v>6.6273402628920022E-2</v>
          </cell>
          <cell r="C112">
            <v>7.9002522064883215E-2</v>
          </cell>
          <cell r="D112">
            <v>0.31608245928652456</v>
          </cell>
          <cell r="E112">
            <v>0.30400550417046274</v>
          </cell>
          <cell r="F112">
            <v>0.29901521005092241</v>
          </cell>
          <cell r="G112">
            <v>0.13515980720989051</v>
          </cell>
          <cell r="H112">
            <v>0</v>
          </cell>
          <cell r="I112">
            <v>0</v>
          </cell>
          <cell r="J112">
            <v>5.047366885781087E-2</v>
          </cell>
          <cell r="K112">
            <v>0.20817096959793246</v>
          </cell>
          <cell r="L112">
            <v>0.27976239918332796</v>
          </cell>
          <cell r="M112">
            <v>0.49491025350419571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9.2635908212006738E-3</v>
          </cell>
          <cell r="F113">
            <v>2.3051824182146602E-2</v>
          </cell>
          <cell r="G113">
            <v>0.18238761987522945</v>
          </cell>
          <cell r="H113">
            <v>0.3202661333933628</v>
          </cell>
          <cell r="I113">
            <v>0.54068328773775942</v>
          </cell>
          <cell r="J113">
            <v>0.51157633386173818</v>
          </cell>
          <cell r="K113">
            <v>0.36694874312165787</v>
          </cell>
          <cell r="L113">
            <v>0.28243690110288944</v>
          </cell>
          <cell r="M113">
            <v>0.10838725603729792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B115">
            <v>1.4243919803161298</v>
          </cell>
          <cell r="C115">
            <v>1.5797946271892793</v>
          </cell>
          <cell r="D115">
            <v>1.4937013010389746</v>
          </cell>
          <cell r="E115">
            <v>1.3345841796014093</v>
          </cell>
          <cell r="F115">
            <v>1.174340495054228</v>
          </cell>
          <cell r="G115">
            <v>1.0140628378988885</v>
          </cell>
          <cell r="H115">
            <v>1.0260358292198013</v>
          </cell>
          <cell r="I115">
            <v>1.0395289722069931</v>
          </cell>
          <cell r="J115">
            <v>1.0395314559728952</v>
          </cell>
          <cell r="K115">
            <v>1.0395484554670329</v>
          </cell>
          <cell r="L115">
            <v>1.1977435223086976</v>
          </cell>
          <cell r="M115">
            <v>1.6142831692462103</v>
          </cell>
        </row>
        <row r="116">
          <cell r="B116">
            <v>0.69264030606358906</v>
          </cell>
          <cell r="C116">
            <v>0.75030465863891549</v>
          </cell>
          <cell r="D116">
            <v>0.9997490392172248</v>
          </cell>
          <cell r="E116">
            <v>0.91612656428801331</v>
          </cell>
          <cell r="F116">
            <v>0.87636108950657521</v>
          </cell>
          <cell r="G116">
            <v>0.48706799976077753</v>
          </cell>
          <cell r="H116">
            <v>0</v>
          </cell>
          <cell r="I116">
            <v>0</v>
          </cell>
          <cell r="J116">
            <v>1.2876454970304117E-2</v>
          </cell>
          <cell r="K116">
            <v>1.4783247210071421E-2</v>
          </cell>
          <cell r="L116">
            <v>2.351771502823638E-2</v>
          </cell>
          <cell r="M116">
            <v>3.8634208249206263E-2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3.5145316277813568E-3</v>
          </cell>
          <cell r="F117">
            <v>5.9850116330505479E-3</v>
          </cell>
          <cell r="G117">
            <v>1.3877095887734482E-2</v>
          </cell>
          <cell r="H117">
            <v>1.151984419812929E-2</v>
          </cell>
          <cell r="I117">
            <v>1.6296834484266692E-2</v>
          </cell>
          <cell r="J117">
            <v>1.1949088653335875E-2</v>
          </cell>
          <cell r="K117">
            <v>8.2130004986450018E-3</v>
          </cell>
          <cell r="L117">
            <v>1.6235855552211822E-2</v>
          </cell>
          <cell r="M117">
            <v>1.6335525268770811E-2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1.3675401076461539E-3</v>
          </cell>
          <cell r="K118">
            <v>1.7356807684767877E-3</v>
          </cell>
          <cell r="L118">
            <v>2.9836143061278361E-3</v>
          </cell>
          <cell r="M118">
            <v>6.4245423930666002E-3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4.2668779561106538E-3</v>
          </cell>
          <cell r="F119">
            <v>1.3898351050947527E-2</v>
          </cell>
          <cell r="G119">
            <v>1.2015235839599786E-2</v>
          </cell>
          <cell r="H119">
            <v>9.0071193248363341E-3</v>
          </cell>
          <cell r="I119">
            <v>2.596646723628954E-2</v>
          </cell>
          <cell r="J119">
            <v>3.1492133571868801E-2</v>
          </cell>
          <cell r="K119">
            <v>3.1017299167455124E-2</v>
          </cell>
          <cell r="L119">
            <v>0.10214865526066945</v>
          </cell>
          <cell r="M119">
            <v>0.22659109045331471</v>
          </cell>
        </row>
        <row r="123">
          <cell r="B123">
            <v>0</v>
          </cell>
          <cell r="C123">
            <v>3.7064024603894103</v>
          </cell>
          <cell r="D123">
            <v>3.8187709001440817</v>
          </cell>
          <cell r="E123">
            <v>4.4781512685931713</v>
          </cell>
          <cell r="F123">
            <v>5.622951622768916</v>
          </cell>
          <cell r="G123">
            <v>5.9110102863390512</v>
          </cell>
          <cell r="H123">
            <v>6.3803669609900506</v>
          </cell>
          <cell r="I123">
            <v>9.7585973604533081</v>
          </cell>
          <cell r="J123">
            <v>10.260862145667677</v>
          </cell>
          <cell r="K123">
            <v>18.314982569196086</v>
          </cell>
          <cell r="L123">
            <v>19.249763490646178</v>
          </cell>
          <cell r="M123">
            <v>21.513701482236076</v>
          </cell>
        </row>
      </sheetData>
      <sheetData sheetId="59">
        <row r="13">
          <cell r="B13">
            <v>16.052428388311217</v>
          </cell>
          <cell r="C13">
            <v>20.05049172310958</v>
          </cell>
          <cell r="D13">
            <v>2.2518593897944266</v>
          </cell>
          <cell r="E13">
            <v>17.21647925990122</v>
          </cell>
          <cell r="F13">
            <v>16.311948505949989</v>
          </cell>
          <cell r="G13">
            <v>16.934457901665986</v>
          </cell>
          <cell r="H13">
            <v>17.368086921693003</v>
          </cell>
          <cell r="I13">
            <v>17.645526660798485</v>
          </cell>
          <cell r="J13">
            <v>18.257334185070285</v>
          </cell>
          <cell r="K13">
            <v>17.798950115057636</v>
          </cell>
          <cell r="L13">
            <v>17.726591070393145</v>
          </cell>
          <cell r="M13">
            <v>17.766287733786076</v>
          </cell>
        </row>
        <row r="14">
          <cell r="B14">
            <v>250.94845473400628</v>
          </cell>
          <cell r="C14">
            <v>254.39266173624492</v>
          </cell>
          <cell r="D14">
            <v>224.17755079030468</v>
          </cell>
          <cell r="E14">
            <v>221.47213765894628</v>
          </cell>
          <cell r="F14">
            <v>170.42306390361691</v>
          </cell>
          <cell r="G14">
            <v>100.00506324824322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  <row r="15">
          <cell r="B15">
            <v>66.745708281990133</v>
          </cell>
          <cell r="C15">
            <v>49.79887989838307</v>
          </cell>
          <cell r="D15">
            <v>68.897628517817694</v>
          </cell>
          <cell r="E15">
            <v>67.436176323598133</v>
          </cell>
          <cell r="F15">
            <v>69.602693607232482</v>
          </cell>
          <cell r="G15">
            <v>72.110610586777625</v>
          </cell>
          <cell r="H15">
            <v>74.384203130425917</v>
          </cell>
          <cell r="I15">
            <v>74.836122087372644</v>
          </cell>
          <cell r="J15">
            <v>74.836120767225623</v>
          </cell>
          <cell r="K15">
            <v>74.836121311270801</v>
          </cell>
          <cell r="L15">
            <v>74.836121465747624</v>
          </cell>
          <cell r="M15">
            <v>74.836110192055827</v>
          </cell>
        </row>
        <row r="16">
          <cell r="B16">
            <v>66.632456704505273</v>
          </cell>
          <cell r="C16">
            <v>55.764165713605053</v>
          </cell>
          <cell r="D16">
            <v>65.579025810201756</v>
          </cell>
          <cell r="E16">
            <v>67.20614308569202</v>
          </cell>
          <cell r="F16">
            <v>66.883813285455119</v>
          </cell>
          <cell r="G16">
            <v>66.204245097786654</v>
          </cell>
          <cell r="H16">
            <v>65.605812293477044</v>
          </cell>
          <cell r="I16">
            <v>67.134916696870022</v>
          </cell>
          <cell r="J16">
            <v>67.134923157520916</v>
          </cell>
          <cell r="K16">
            <v>67.13494239530003</v>
          </cell>
          <cell r="L16">
            <v>67.1349506734133</v>
          </cell>
          <cell r="M16">
            <v>67.134986787595707</v>
          </cell>
        </row>
        <row r="18">
          <cell r="B18">
            <v>0.14382678351987921</v>
          </cell>
          <cell r="C18">
            <v>0.41214164177295592</v>
          </cell>
          <cell r="D18">
            <v>3.2119379499961943E-2</v>
          </cell>
          <cell r="E18">
            <v>4.4355038224702485E-3</v>
          </cell>
          <cell r="F18">
            <v>4.8495559912557669E-3</v>
          </cell>
          <cell r="G18">
            <v>0.4918456861158117</v>
          </cell>
          <cell r="H18">
            <v>5.4960193888036218E-2</v>
          </cell>
          <cell r="I18">
            <v>2.4126514017729686E-4</v>
          </cell>
          <cell r="J18">
            <v>1.006957128768905E-3</v>
          </cell>
          <cell r="K18">
            <v>1.5018834856240189E-3</v>
          </cell>
          <cell r="L18">
            <v>1.5240827312927587E-3</v>
          </cell>
          <cell r="M18">
            <v>2.0956590023869142E-3</v>
          </cell>
        </row>
        <row r="19">
          <cell r="B19">
            <v>18.203669952093911</v>
          </cell>
          <cell r="C19">
            <v>20.542636386861506</v>
          </cell>
          <cell r="D19">
            <v>23.435926861895567</v>
          </cell>
          <cell r="E19">
            <v>20.696674212502874</v>
          </cell>
          <cell r="F19">
            <v>20.958877650412969</v>
          </cell>
          <cell r="G19">
            <v>19.805487967738756</v>
          </cell>
          <cell r="H19">
            <v>12.135284059164739</v>
          </cell>
          <cell r="I19">
            <v>14.341308102108263</v>
          </cell>
          <cell r="J19">
            <v>13.674873494282748</v>
          </cell>
          <cell r="K19">
            <v>13.385702521688394</v>
          </cell>
          <cell r="L19">
            <v>13.369899033088799</v>
          </cell>
          <cell r="M19">
            <v>13.384090368804468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3.6726674886756334</v>
          </cell>
          <cell r="H20">
            <v>12.83184440098972</v>
          </cell>
          <cell r="I20">
            <v>14.340585217910363</v>
          </cell>
          <cell r="J20">
            <v>13.674050335330989</v>
          </cell>
          <cell r="K20">
            <v>13.385016737084047</v>
          </cell>
          <cell r="L20">
            <v>13.36924953470518</v>
          </cell>
          <cell r="M20">
            <v>13.383603471364856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7.8938733116498151E-4</v>
          </cell>
          <cell r="H21">
            <v>1.5652240685747247E-3</v>
          </cell>
          <cell r="I21">
            <v>1.1159448777542835E-2</v>
          </cell>
          <cell r="J21">
            <v>1.1915546498862273E-2</v>
          </cell>
          <cell r="K21">
            <v>1.1469168551118705E-2</v>
          </cell>
          <cell r="L21">
            <v>1.6171036320248969E-2</v>
          </cell>
          <cell r="M21">
            <v>2.347379759059285E-2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4.8533124055283636E-4</v>
          </cell>
          <cell r="H22">
            <v>8.2935129216055604E-4</v>
          </cell>
          <cell r="I22">
            <v>1.5180288599373449E-2</v>
          </cell>
          <cell r="J22">
            <v>1.4286650948276695E-2</v>
          </cell>
          <cell r="K22">
            <v>1.2047251806257707E-2</v>
          </cell>
          <cell r="L22">
            <v>1.5344042363381155E-2</v>
          </cell>
          <cell r="M22">
            <v>2.6529761111311643E-2</v>
          </cell>
          <cell r="P22">
            <v>2.6171824072876566</v>
          </cell>
          <cell r="Q22">
            <v>1.2508315098246601</v>
          </cell>
          <cell r="R22">
            <v>1.1719298985650879</v>
          </cell>
          <cell r="S22">
            <v>0.73352154025721228</v>
          </cell>
          <cell r="T22">
            <v>0.86318596437808459</v>
          </cell>
          <cell r="U22">
            <v>0.50685509050759625</v>
          </cell>
          <cell r="V22">
            <v>4.3480589827859753E-2</v>
          </cell>
          <cell r="W22">
            <v>5.5956551574014912E-2</v>
          </cell>
          <cell r="X22">
            <v>4.2469059496870382E-2</v>
          </cell>
          <cell r="Y22">
            <v>8.7530263063203578E-2</v>
          </cell>
          <cell r="Z22">
            <v>0.13494695786638447</v>
          </cell>
          <cell r="AA22">
            <v>0.21240895328973675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1.6929119975521206E-3</v>
          </cell>
          <cell r="I23">
            <v>2.5043036165899445E-2</v>
          </cell>
          <cell r="J23">
            <v>2.162281253145792</v>
          </cell>
          <cell r="K23">
            <v>4.2765596428732042</v>
          </cell>
          <cell r="L23">
            <v>4.2707097339656199</v>
          </cell>
          <cell r="M23">
            <v>4.2515391273036478</v>
          </cell>
          <cell r="P23">
            <v>6.9607763829528685E-2</v>
          </cell>
          <cell r="Q23">
            <v>5.1319634476151697E-2</v>
          </cell>
          <cell r="R23">
            <v>3.6822706363309511E-2</v>
          </cell>
          <cell r="S23">
            <v>6.1222483663340476E-3</v>
          </cell>
          <cell r="T23">
            <v>5.3545382302514023E-2</v>
          </cell>
          <cell r="U23">
            <v>8.5163296955917664E-2</v>
          </cell>
          <cell r="V23">
            <v>5.1757806445499453E-2</v>
          </cell>
          <cell r="W23">
            <v>0.54597261019336396</v>
          </cell>
          <cell r="X23">
            <v>1.313363636093231</v>
          </cell>
          <cell r="Y23">
            <v>1.8888219554751156</v>
          </cell>
          <cell r="Z23">
            <v>1.9387535388986796</v>
          </cell>
          <cell r="AA23">
            <v>1.9892768060863759</v>
          </cell>
        </row>
        <row r="24">
          <cell r="B24">
            <v>3.7227547251400264</v>
          </cell>
          <cell r="C24">
            <v>5.3229463156309591E-3</v>
          </cell>
          <cell r="D24">
            <v>3.3054390517148299E-2</v>
          </cell>
          <cell r="E24">
            <v>0</v>
          </cell>
          <cell r="F24">
            <v>0</v>
          </cell>
          <cell r="G24">
            <v>4.5917039715629705E-5</v>
          </cell>
          <cell r="H24">
            <v>0</v>
          </cell>
          <cell r="I24">
            <v>0</v>
          </cell>
          <cell r="J24">
            <v>5.3448362510696585E-4</v>
          </cell>
          <cell r="K24">
            <v>5.1923135220430499E-4</v>
          </cell>
          <cell r="L24">
            <v>5.6643120216904794E-4</v>
          </cell>
          <cell r="M24">
            <v>1.0640449532437839E-3</v>
          </cell>
        </row>
        <row r="25">
          <cell r="B25">
            <v>1.3188178797565839</v>
          </cell>
          <cell r="C25">
            <v>4.7478021844571672E-3</v>
          </cell>
          <cell r="D25">
            <v>1.3353735248382843</v>
          </cell>
          <cell r="E25">
            <v>1.412799748613861E-2</v>
          </cell>
          <cell r="F25">
            <v>2.0571622160883072E-2</v>
          </cell>
          <cell r="G25">
            <v>1.5815257046737543</v>
          </cell>
          <cell r="H25">
            <v>3.1646543991635707</v>
          </cell>
          <cell r="I25">
            <v>2.8514758285884434</v>
          </cell>
          <cell r="J25">
            <v>2.8927239607886905</v>
          </cell>
          <cell r="K25">
            <v>3.035784340662866</v>
          </cell>
          <cell r="L25">
            <v>3.088554342080156</v>
          </cell>
          <cell r="M25">
            <v>3.2403873885116181</v>
          </cell>
        </row>
        <row r="26">
          <cell r="B26">
            <v>40.3185541139691</v>
          </cell>
          <cell r="C26">
            <v>37.779940829089441</v>
          </cell>
          <cell r="D26">
            <v>35.648153151021113</v>
          </cell>
          <cell r="E26">
            <v>37.528827004620858</v>
          </cell>
          <cell r="F26">
            <v>37.287592514360746</v>
          </cell>
          <cell r="G26">
            <v>39.746440105023275</v>
          </cell>
          <cell r="H26">
            <v>31.009396121910136</v>
          </cell>
          <cell r="I26">
            <v>28.747499949250248</v>
          </cell>
          <cell r="J26">
            <v>29.488855831214195</v>
          </cell>
          <cell r="K26">
            <v>30.492722070827408</v>
          </cell>
          <cell r="L26">
            <v>30.634221228394424</v>
          </cell>
          <cell r="M26">
            <v>30.65914278183741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4.2639954292578688</v>
          </cell>
          <cell r="H27">
            <v>13.892511164258465</v>
          </cell>
          <cell r="I27">
            <v>14.520730604499649</v>
          </cell>
          <cell r="J27">
            <v>13.846129632564576</v>
          </cell>
          <cell r="K27">
            <v>13.553280948145762</v>
          </cell>
          <cell r="L27">
            <v>13.537575432582772</v>
          </cell>
          <cell r="M27">
            <v>13.551924098602301</v>
          </cell>
        </row>
        <row r="28">
          <cell r="B28">
            <v>4.0041491850806819E-2</v>
          </cell>
          <cell r="C28">
            <v>0.41278943210917102</v>
          </cell>
          <cell r="D28">
            <v>2.7509232140277042E-2</v>
          </cell>
          <cell r="E28">
            <v>7.4548193078971068E-3</v>
          </cell>
          <cell r="F28">
            <v>4.1391317414873246E-3</v>
          </cell>
          <cell r="G28">
            <v>1.6510738677847775E-2</v>
          </cell>
          <cell r="H28">
            <v>1.4942887733258761E-2</v>
          </cell>
          <cell r="I28">
            <v>1.6337338031511146E-4</v>
          </cell>
          <cell r="J28">
            <v>5.8421640183662206E-4</v>
          </cell>
          <cell r="K28">
            <v>7.3658021601551279E-4</v>
          </cell>
          <cell r="L28">
            <v>7.454152829790802E-4</v>
          </cell>
          <cell r="M28">
            <v>8.7014609016924818E-4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8.7135607827967004E-2</v>
          </cell>
          <cell r="H30">
            <v>8.8842677324364711E-2</v>
          </cell>
          <cell r="I30">
            <v>0.12051167157625678</v>
          </cell>
          <cell r="J30">
            <v>2.0686816686073692</v>
          </cell>
          <cell r="K30">
            <v>2.5889327676609488</v>
          </cell>
          <cell r="L30">
            <v>2.5891291308359214</v>
          </cell>
          <cell r="M30">
            <v>2.6647796700723108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5.4595058608916999E-3</v>
          </cell>
          <cell r="H31">
            <v>1.4091039121751314E-2</v>
          </cell>
          <cell r="I31">
            <v>0.11823060740228745</v>
          </cell>
          <cell r="J31">
            <v>1.4352946356627585</v>
          </cell>
          <cell r="K31">
            <v>1.5206267735029673</v>
          </cell>
          <cell r="L31">
            <v>1.5452462541938379</v>
          </cell>
          <cell r="M31">
            <v>1.620745301040593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0.4920247477338543</v>
          </cell>
          <cell r="I32">
            <v>1.1775551507213948</v>
          </cell>
          <cell r="J32">
            <v>1.1767702682295378</v>
          </cell>
          <cell r="K32">
            <v>1.1787692742169216</v>
          </cell>
          <cell r="L32">
            <v>1.1921845838621119</v>
          </cell>
          <cell r="M32">
            <v>1.2439479660493789</v>
          </cell>
        </row>
        <row r="33">
          <cell r="B33">
            <v>0.52400000000000047</v>
          </cell>
          <cell r="C33">
            <v>0.54529224792023867</v>
          </cell>
          <cell r="D33">
            <v>0.5031648462537881</v>
          </cell>
          <cell r="E33">
            <v>2.0502655520161239</v>
          </cell>
          <cell r="F33">
            <v>3.6358377699965962</v>
          </cell>
          <cell r="G33">
            <v>4.6752286052272352</v>
          </cell>
          <cell r="H33">
            <v>10.311576017769067</v>
          </cell>
          <cell r="I33">
            <v>15.577633031308066</v>
          </cell>
          <cell r="J33">
            <v>15.585586570253962</v>
          </cell>
          <cell r="K33">
            <v>15.5963791999812</v>
          </cell>
          <cell r="L33">
            <v>15.596657591332681</v>
          </cell>
          <cell r="M33">
            <v>15.619074249162857</v>
          </cell>
        </row>
        <row r="34">
          <cell r="B34">
            <v>0</v>
          </cell>
          <cell r="C34">
            <v>0</v>
          </cell>
          <cell r="D34">
            <v>1.1887039527560194E-3</v>
          </cell>
          <cell r="E34">
            <v>0.34281920182681569</v>
          </cell>
          <cell r="F34">
            <v>2.3202254217184075</v>
          </cell>
          <cell r="G34">
            <v>15.933989588280619</v>
          </cell>
          <cell r="H34">
            <v>23.410807652465245</v>
          </cell>
          <cell r="I34">
            <v>29.818992108983068</v>
          </cell>
          <cell r="J34">
            <v>28.649833808400803</v>
          </cell>
          <cell r="K34">
            <v>26.753084496625526</v>
          </cell>
          <cell r="L34">
            <v>13.991171449712663</v>
          </cell>
          <cell r="M34">
            <v>8.7083339897528038</v>
          </cell>
        </row>
        <row r="35">
          <cell r="B35">
            <v>3.517953999707534</v>
          </cell>
          <cell r="C35">
            <v>4.8486224180395263</v>
          </cell>
          <cell r="D35">
            <v>8.4550825265422365</v>
          </cell>
          <cell r="E35">
            <v>9.926144174025012</v>
          </cell>
          <cell r="F35">
            <v>19.784617135491548</v>
          </cell>
          <cell r="G35">
            <v>20.793900898128385</v>
          </cell>
          <cell r="H35">
            <v>21.854605212615262</v>
          </cell>
          <cell r="I35">
            <v>22.969412315912109</v>
          </cell>
          <cell r="J35">
            <v>24.141083330105005</v>
          </cell>
          <cell r="K35">
            <v>25.37252149187724</v>
          </cell>
          <cell r="L35">
            <v>26.666775752836962</v>
          </cell>
          <cell r="M35">
            <v>28.027050278303932</v>
          </cell>
        </row>
        <row r="36">
          <cell r="B36">
            <v>2.1349390887346629</v>
          </cell>
          <cell r="C36">
            <v>3.3906781286430983</v>
          </cell>
          <cell r="D36">
            <v>10.596782014740967</v>
          </cell>
          <cell r="E36">
            <v>18.916937780492358</v>
          </cell>
          <cell r="F36">
            <v>19.88417330976128</v>
          </cell>
          <cell r="G36">
            <v>20.898665828517974</v>
          </cell>
          <cell r="H36">
            <v>34.749536309248008</v>
          </cell>
          <cell r="I36">
            <v>38.328120836094136</v>
          </cell>
          <cell r="J36">
            <v>40.28324174799026</v>
          </cell>
          <cell r="K36">
            <v>42.338095039730725</v>
          </cell>
          <cell r="L36">
            <v>44.497774485439379</v>
          </cell>
          <cell r="M36">
            <v>46.767660445932052</v>
          </cell>
        </row>
        <row r="37">
          <cell r="B37">
            <v>0.86248322578584768</v>
          </cell>
          <cell r="C37">
            <v>1.2875974189862847</v>
          </cell>
          <cell r="D37">
            <v>5.81077948848551</v>
          </cell>
          <cell r="E37">
            <v>13.460689004447735</v>
          </cell>
          <cell r="F37">
            <v>29.336018101734197</v>
          </cell>
          <cell r="G37">
            <v>37.625853379218412</v>
          </cell>
          <cell r="H37">
            <v>40.341691658274229</v>
          </cell>
          <cell r="I37">
            <v>42.399565086803094</v>
          </cell>
          <cell r="J37">
            <v>44.562370427942795</v>
          </cell>
          <cell r="K37">
            <v>46.835501637375899</v>
          </cell>
          <cell r="L37">
            <v>49.224590392896687</v>
          </cell>
          <cell r="M37">
            <v>51.735555388894653</v>
          </cell>
        </row>
        <row r="38">
          <cell r="B38">
            <v>2.8396236857719668</v>
          </cell>
          <cell r="C38">
            <v>3.2944552198176535</v>
          </cell>
          <cell r="D38">
            <v>3.9362771174489812</v>
          </cell>
          <cell r="E38">
            <v>4.4095841199260528</v>
          </cell>
          <cell r="F38">
            <v>4.635103634962209</v>
          </cell>
          <cell r="G38">
            <v>27.726857868200945</v>
          </cell>
          <cell r="H38">
            <v>29.141231656727765</v>
          </cell>
          <cell r="I38">
            <v>30.627733907353029</v>
          </cell>
          <cell r="J38">
            <v>32.190056540071453</v>
          </cell>
          <cell r="K38">
            <v>33.832073646552168</v>
          </cell>
          <cell r="L38">
            <v>35.557851126165495</v>
          </cell>
          <cell r="M38">
            <v>37.371661697836849</v>
          </cell>
        </row>
        <row r="39">
          <cell r="B39">
            <v>1.9437719489627656</v>
          </cell>
          <cell r="C39">
            <v>0.24948841595353544</v>
          </cell>
          <cell r="D39">
            <v>0.1682182383533497</v>
          </cell>
          <cell r="E39">
            <v>0.22150243018006002</v>
          </cell>
          <cell r="F39">
            <v>1.0567326830896833</v>
          </cell>
          <cell r="G39">
            <v>0.99150139236228207</v>
          </cell>
          <cell r="H39">
            <v>0.32768653781357826</v>
          </cell>
          <cell r="I39">
            <v>1.5602356305587044</v>
          </cell>
          <cell r="J39">
            <v>1.9268537265188006</v>
          </cell>
          <cell r="K39">
            <v>1.8363395656079033</v>
          </cell>
          <cell r="L39">
            <v>1.9415678326291306</v>
          </cell>
          <cell r="M39">
            <v>1.9564914399011522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1.3727962332981167E-2</v>
          </cell>
          <cell r="H40">
            <v>1.4264758827724856E-2</v>
          </cell>
          <cell r="I40">
            <v>0.60985308117721759</v>
          </cell>
          <cell r="J40">
            <v>0.75180013466504725</v>
          </cell>
          <cell r="K40">
            <v>0.71803024606144883</v>
          </cell>
          <cell r="L40">
            <v>0.75882552965048145</v>
          </cell>
          <cell r="M40">
            <v>0.76448721864302216</v>
          </cell>
        </row>
        <row r="41">
          <cell r="B41">
            <v>0.31263768484820559</v>
          </cell>
          <cell r="C41">
            <v>0.69578942450654346</v>
          </cell>
          <cell r="D41">
            <v>3.7869272669397394E-2</v>
          </cell>
          <cell r="E41">
            <v>0.64522040583480067</v>
          </cell>
          <cell r="F41">
            <v>0.64547509438655737</v>
          </cell>
          <cell r="G41">
            <v>0</v>
          </cell>
          <cell r="H41">
            <v>0</v>
          </cell>
          <cell r="I41">
            <v>0</v>
          </cell>
          <cell r="J41">
            <v>1.0279706403792371E-2</v>
          </cell>
          <cell r="K41">
            <v>1.4242136925460364E-2</v>
          </cell>
          <cell r="L41">
            <v>2.306067881344151E-2</v>
          </cell>
          <cell r="M41">
            <v>3.4599949225834641E-2</v>
          </cell>
        </row>
        <row r="42">
          <cell r="B42">
            <v>0.8737182671285838</v>
          </cell>
          <cell r="C42">
            <v>2.1844976008307788</v>
          </cell>
          <cell r="D42">
            <v>4.5393371662259341</v>
          </cell>
          <cell r="E42">
            <v>5.2662609605966564</v>
          </cell>
          <cell r="F42">
            <v>5.043089486660743</v>
          </cell>
          <cell r="G42">
            <v>2.5815580515165215</v>
          </cell>
          <cell r="H42">
            <v>1.0333290593325479</v>
          </cell>
          <cell r="I42">
            <v>0.94143431099774477</v>
          </cell>
          <cell r="J42">
            <v>2.1904402250991883E-2</v>
          </cell>
          <cell r="K42">
            <v>1.2453435654602343E-2</v>
          </cell>
          <cell r="L42">
            <v>1.3152492112882198E-2</v>
          </cell>
          <cell r="M42">
            <v>1.7808876429699503E-2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4.9512348031023361</v>
          </cell>
          <cell r="H43">
            <v>10.910889014461349</v>
          </cell>
          <cell r="I43">
            <v>12.626364408440235</v>
          </cell>
          <cell r="J43">
            <v>12.641300207596634</v>
          </cell>
          <cell r="K43">
            <v>12.624865415547337</v>
          </cell>
          <cell r="L43">
            <v>12.62504571984063</v>
          </cell>
          <cell r="M43">
            <v>12.629872447259661</v>
          </cell>
        </row>
        <row r="44">
          <cell r="B44">
            <v>3.7124186135219817</v>
          </cell>
          <cell r="C44">
            <v>3.9303187952678331</v>
          </cell>
          <cell r="D44">
            <v>5.4335991211322279</v>
          </cell>
          <cell r="E44">
            <v>5.3729414031579203</v>
          </cell>
          <cell r="F44">
            <v>5.3123016886240606</v>
          </cell>
          <cell r="G44">
            <v>4.5205958222675999</v>
          </cell>
          <cell r="H44">
            <v>2.1108682378016008E-2</v>
          </cell>
          <cell r="I44">
            <v>1.1081803232085909E-2</v>
          </cell>
          <cell r="J44">
            <v>1.0418229257875786E-2</v>
          </cell>
          <cell r="K44">
            <v>5.6617088388121036E-3</v>
          </cell>
          <cell r="L44">
            <v>5.3073695418303663E-3</v>
          </cell>
          <cell r="M44">
            <v>3.3810870539833521E-3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0.76690940663191243</v>
          </cell>
          <cell r="H45">
            <v>5.240030042861755</v>
          </cell>
          <cell r="I45">
            <v>11.686948339451261</v>
          </cell>
          <cell r="J45">
            <v>10.615645506866995</v>
          </cell>
          <cell r="K45">
            <v>10.62359877009699</v>
          </cell>
          <cell r="L45">
            <v>10.624820344477463</v>
          </cell>
          <cell r="M45">
            <v>10.628528058919064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1.2452012610830323</v>
          </cell>
          <cell r="G46">
            <v>0.65400218108645891</v>
          </cell>
          <cell r="H46">
            <v>0.62562792505897957</v>
          </cell>
          <cell r="I46">
            <v>1.1438614741251993</v>
          </cell>
          <cell r="J46">
            <v>2.842646389863861</v>
          </cell>
          <cell r="K46">
            <v>3.2785136366205547</v>
          </cell>
          <cell r="L46">
            <v>5.7754843539223435</v>
          </cell>
          <cell r="M46">
            <v>6.8478237363193637</v>
          </cell>
        </row>
        <row r="47">
          <cell r="B47">
            <v>0</v>
          </cell>
        </row>
        <row r="48">
          <cell r="B48">
            <v>0.11605283208446807</v>
          </cell>
          <cell r="C48">
            <v>6.1707955990042064E-2</v>
          </cell>
          <cell r="D48">
            <v>8.1677342453175497E-2</v>
          </cell>
          <cell r="E48">
            <v>4.9968636958875809E-2</v>
          </cell>
          <cell r="F48">
            <v>4.4847883749481773E-2</v>
          </cell>
          <cell r="G48">
            <v>2.0265802560923883E-2</v>
          </cell>
          <cell r="H48">
            <v>0</v>
          </cell>
          <cell r="I48">
            <v>0</v>
          </cell>
          <cell r="J48">
            <v>2.6150316118276548E-2</v>
          </cell>
          <cell r="K48">
            <v>3.558516619409461E-2</v>
          </cell>
          <cell r="L48">
            <v>0.10331278951468388</v>
          </cell>
          <cell r="M48">
            <v>0.11781719940064164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9.756454530967712E-3</v>
          </cell>
          <cell r="K49">
            <v>1.7002031183521685E-2</v>
          </cell>
          <cell r="L49">
            <v>1.736358630040892E-2</v>
          </cell>
          <cell r="M49">
            <v>3.4793938321627908E-2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1.441898362022692E-2</v>
          </cell>
          <cell r="F50">
            <v>2.6487281328619099E-2</v>
          </cell>
          <cell r="G50">
            <v>4.8452593328900201E-2</v>
          </cell>
          <cell r="H50">
            <v>4.8274640123054359E-2</v>
          </cell>
          <cell r="I50">
            <v>7.9229670242299433E-2</v>
          </cell>
          <cell r="J50">
            <v>5.3753702610151811E-2</v>
          </cell>
          <cell r="K50">
            <v>3.9819674100532769E-2</v>
          </cell>
          <cell r="L50">
            <v>4.9144721958806079E-2</v>
          </cell>
          <cell r="M50">
            <v>6.0093681603628879E-2</v>
          </cell>
        </row>
        <row r="51">
          <cell r="B51">
            <v>0.15384552097050963</v>
          </cell>
          <cell r="C51">
            <v>0.12618873865089336</v>
          </cell>
          <cell r="D51">
            <v>0.52229942382845074</v>
          </cell>
          <cell r="E51">
            <v>0.49767524828314502</v>
          </cell>
          <cell r="F51">
            <v>0.49612325412971625</v>
          </cell>
          <cell r="G51">
            <v>0.22295570648669558</v>
          </cell>
          <cell r="H51">
            <v>0</v>
          </cell>
          <cell r="I51">
            <v>0</v>
          </cell>
          <cell r="J51">
            <v>4.8015484984355261E-2</v>
          </cell>
          <cell r="K51">
            <v>0.28812568296415914</v>
          </cell>
          <cell r="L51">
            <v>0.39361259032203461</v>
          </cell>
          <cell r="M51">
            <v>0.66745194697157806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2.5164645501782844E-2</v>
          </cell>
          <cell r="K52">
            <v>3.8018588721810215E-2</v>
          </cell>
          <cell r="L52">
            <v>4.6879103410758474E-2</v>
          </cell>
          <cell r="M52">
            <v>0.10332907995087237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1.7901222069986761E-2</v>
          </cell>
          <cell r="F53">
            <v>3.9930153244997137E-2</v>
          </cell>
          <cell r="G53">
            <v>0.25383691739494346</v>
          </cell>
          <cell r="H53">
            <v>0.43362474746390062</v>
          </cell>
          <cell r="I53">
            <v>0.71504469976364171</v>
          </cell>
          <cell r="J53">
            <v>0.67796920616776368</v>
          </cell>
          <cell r="K53">
            <v>0.48773182790367775</v>
          </cell>
          <cell r="L53">
            <v>0.37516722964391858</v>
          </cell>
          <cell r="M53">
            <v>0.15284264375530901</v>
          </cell>
        </row>
        <row r="54">
          <cell r="B54">
            <v>2.6454866086035751</v>
          </cell>
          <cell r="C54">
            <v>3.0496030927974114</v>
          </cell>
          <cell r="D54">
            <v>3.0657450263636483</v>
          </cell>
          <cell r="E54">
            <v>3.0575805387081956</v>
          </cell>
          <cell r="F54">
            <v>3.027020345740048</v>
          </cell>
          <cell r="G54">
            <v>2.9792336661977412</v>
          </cell>
          <cell r="H54">
            <v>2.973773609342885</v>
          </cell>
          <cell r="I54">
            <v>2.9736401016256666</v>
          </cell>
          <cell r="J54">
            <v>2.9752285803717204</v>
          </cell>
          <cell r="K54">
            <v>2.9732349811588308</v>
          </cell>
          <cell r="L54">
            <v>3.4290601060601089</v>
          </cell>
          <cell r="M54">
            <v>4.6239053790868052</v>
          </cell>
        </row>
        <row r="55">
          <cell r="B55">
            <v>1.707912850047393</v>
          </cell>
          <cell r="C55">
            <v>1.7390050186843613</v>
          </cell>
          <cell r="D55">
            <v>2.2323441327980129</v>
          </cell>
          <cell r="E55">
            <v>1.9132829856147127</v>
          </cell>
          <cell r="F55">
            <v>1.7300029937914787</v>
          </cell>
          <cell r="G55">
            <v>0.90388945988049219</v>
          </cell>
          <cell r="H55">
            <v>0</v>
          </cell>
          <cell r="I55">
            <v>0</v>
          </cell>
          <cell r="J55">
            <v>2.5167473604666493E-2</v>
          </cell>
          <cell r="K55">
            <v>2.8804934314862574E-2</v>
          </cell>
          <cell r="L55">
            <v>4.526983578796713E-2</v>
          </cell>
          <cell r="M55">
            <v>7.5208931109465985E-2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9.3659175478050041E-3</v>
          </cell>
          <cell r="F56">
            <v>1.5723123927264136E-2</v>
          </cell>
          <cell r="G56">
            <v>2.7705585858859273E-2</v>
          </cell>
          <cell r="H56">
            <v>2.3069605966339852E-2</v>
          </cell>
          <cell r="I56">
            <v>3.1746223747529313E-2</v>
          </cell>
          <cell r="J56">
            <v>2.4099936452700022E-2</v>
          </cell>
          <cell r="K56">
            <v>1.7606686923374699E-2</v>
          </cell>
          <cell r="L56">
            <v>3.1723692141721091E-2</v>
          </cell>
          <cell r="M56">
            <v>3.5267888915373739E-2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1.193532295415568E-2</v>
          </cell>
          <cell r="F57">
            <v>3.9624802072069844E-2</v>
          </cell>
          <cell r="G57">
            <v>3.5338928939999327E-2</v>
          </cell>
          <cell r="H57">
            <v>2.7043240790124216E-2</v>
          </cell>
          <cell r="I57">
            <v>7.989682226550622E-2</v>
          </cell>
          <cell r="J57">
            <v>9.6898872528827007E-2</v>
          </cell>
          <cell r="K57">
            <v>9.543784359216953E-2</v>
          </cell>
          <cell r="L57">
            <v>0.31430355464821369</v>
          </cell>
          <cell r="M57">
            <v>0.69720335524096821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7.5974450424786391E-3</v>
          </cell>
          <cell r="K58">
            <v>9.6426709359821658E-3</v>
          </cell>
          <cell r="L58">
            <v>1.6575635034043554E-2</v>
          </cell>
          <cell r="M58">
            <v>3.5691902183703363E-2</v>
          </cell>
        </row>
        <row r="63">
          <cell r="B63">
            <v>0.13530879580225955</v>
          </cell>
          <cell r="C63">
            <v>2.1290734933807703E-2</v>
          </cell>
          <cell r="D63">
            <v>4.5312130640239832E-2</v>
          </cell>
          <cell r="E63">
            <v>0.1349769488330102</v>
          </cell>
          <cell r="F63">
            <v>0.12306194816752009</v>
          </cell>
          <cell r="G63">
            <v>9.9711850570823907E-2</v>
          </cell>
          <cell r="H63">
            <v>0.13498719197690126</v>
          </cell>
          <cell r="I63">
            <v>0.10913625112715143</v>
          </cell>
          <cell r="J63">
            <v>0.13502582338871946</v>
          </cell>
          <cell r="K63">
            <v>0.13503630994264931</v>
          </cell>
          <cell r="L63">
            <v>0.13502205773939727</v>
          </cell>
          <cell r="M63">
            <v>0.13509104220383042</v>
          </cell>
        </row>
        <row r="64">
          <cell r="B64">
            <v>1.6726659185743242E-2</v>
          </cell>
          <cell r="C64">
            <v>1.3063627661389193E-2</v>
          </cell>
          <cell r="D64">
            <v>1.3411621189407938E-2</v>
          </cell>
          <cell r="E64">
            <v>1.4808309202327617E-2</v>
          </cell>
          <cell r="F64">
            <v>0.61789290319174273</v>
          </cell>
          <cell r="G64">
            <v>0.66733064543266918</v>
          </cell>
          <cell r="H64">
            <v>0.66833895412653921</v>
          </cell>
          <cell r="I64">
            <v>0.66916264535652115</v>
          </cell>
          <cell r="J64">
            <v>1.2231054477667636</v>
          </cell>
          <cell r="K64">
            <v>1.2250385727898989</v>
          </cell>
          <cell r="L64">
            <v>1.2255680837652609</v>
          </cell>
          <cell r="M64">
            <v>1.3740470569592347</v>
          </cell>
        </row>
        <row r="65">
          <cell r="B65">
            <v>1.490530649595141E-2</v>
          </cell>
          <cell r="C65">
            <v>1.1655671328301476E-2</v>
          </cell>
          <cell r="D65">
            <v>1.2002938084010453E-2</v>
          </cell>
          <cell r="E65">
            <v>1.35153663544438E-2</v>
          </cell>
          <cell r="F65">
            <v>0.13397930128342875</v>
          </cell>
          <cell r="G65">
            <v>3.3637513457010777</v>
          </cell>
          <cell r="H65">
            <v>7.3219315700802401</v>
          </cell>
          <cell r="I65">
            <v>8.9141867521283498</v>
          </cell>
          <cell r="J65">
            <v>14.938739534608061</v>
          </cell>
          <cell r="K65">
            <v>17.592240154813918</v>
          </cell>
          <cell r="L65">
            <v>16.370892547910817</v>
          </cell>
          <cell r="M65">
            <v>17.134926880751692</v>
          </cell>
        </row>
        <row r="66">
          <cell r="B66">
            <v>4.5257710341439382E-3</v>
          </cell>
          <cell r="C66">
            <v>4.5332109705827645E-3</v>
          </cell>
          <cell r="D66">
            <v>4.5975679903741415E-3</v>
          </cell>
          <cell r="E66">
            <v>6.3226469867557353E-2</v>
          </cell>
          <cell r="F66">
            <v>0.11843798495055369</v>
          </cell>
          <cell r="G66">
            <v>0.17922784089845645</v>
          </cell>
          <cell r="H66">
            <v>0.15201550744750669</v>
          </cell>
          <cell r="I66">
            <v>0.22415745018508848</v>
          </cell>
          <cell r="J66">
            <v>0.2469852208501413</v>
          </cell>
          <cell r="K66">
            <v>0.29106953298852128</v>
          </cell>
          <cell r="L66">
            <v>0.30216590669270188</v>
          </cell>
          <cell r="M66">
            <v>0.30613840360636596</v>
          </cell>
        </row>
        <row r="67">
          <cell r="B67">
            <v>1.0220023362712341E-2</v>
          </cell>
          <cell r="C67">
            <v>1.024547000135867E-2</v>
          </cell>
          <cell r="D67">
            <v>1.0361866823107727E-2</v>
          </cell>
          <cell r="E67">
            <v>9.642722004827517E-2</v>
          </cell>
          <cell r="F67">
            <v>0.14005993744445311</v>
          </cell>
          <cell r="G67">
            <v>0.16505904602376975</v>
          </cell>
          <cell r="H67">
            <v>0.25173535504679156</v>
          </cell>
          <cell r="I67">
            <v>0.28421941231192338</v>
          </cell>
          <cell r="J67">
            <v>0.32419995023441811</v>
          </cell>
          <cell r="K67">
            <v>0.34001318601545055</v>
          </cell>
          <cell r="L67">
            <v>0.35171848434293884</v>
          </cell>
          <cell r="M67">
            <v>0.38487634821930472</v>
          </cell>
        </row>
        <row r="68">
          <cell r="B68">
            <v>1.0215962032175901E-2</v>
          </cell>
          <cell r="C68">
            <v>1.0241016211036957E-2</v>
          </cell>
          <cell r="D68">
            <v>1.0362379745094363E-2</v>
          </cell>
          <cell r="E68">
            <v>9.8247103229939209E-2</v>
          </cell>
          <cell r="F68">
            <v>0.17086678811266712</v>
          </cell>
          <cell r="G68">
            <v>0.27047845897386014</v>
          </cell>
          <cell r="H68">
            <v>0.34197664470225964</v>
          </cell>
          <cell r="I68">
            <v>0.28790794096191308</v>
          </cell>
          <cell r="J68">
            <v>0.33562457894212305</v>
          </cell>
          <cell r="K68">
            <v>0.34382739385406857</v>
          </cell>
          <cell r="L68">
            <v>0.35562757932807787</v>
          </cell>
          <cell r="M68">
            <v>0.38921795266042669</v>
          </cell>
        </row>
        <row r="69">
          <cell r="B69">
            <v>4.3549304979243197E-3</v>
          </cell>
          <cell r="C69">
            <v>4.3604275914630305E-3</v>
          </cell>
          <cell r="D69">
            <v>4.4212392443678103E-3</v>
          </cell>
          <cell r="E69">
            <v>8.1656098808583821E-2</v>
          </cell>
          <cell r="F69">
            <v>0.11839895508092489</v>
          </cell>
          <cell r="G69">
            <v>0.19103541437020791</v>
          </cell>
          <cell r="H69">
            <v>0.23306081910328214</v>
          </cell>
          <cell r="I69">
            <v>0.19411568455874401</v>
          </cell>
          <cell r="J69">
            <v>0.22450917874838505</v>
          </cell>
          <cell r="K69">
            <v>0.2317868009127669</v>
          </cell>
          <cell r="L69">
            <v>0.23848925905575008</v>
          </cell>
          <cell r="M69">
            <v>0.26196646053036909</v>
          </cell>
        </row>
        <row r="90">
          <cell r="B90">
            <v>2.0281067388167036</v>
          </cell>
          <cell r="C90">
            <v>2.5060310438884601</v>
          </cell>
          <cell r="D90">
            <v>1.3139158497920929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</row>
        <row r="91">
          <cell r="B91">
            <v>1.1839863991542838</v>
          </cell>
          <cell r="C91">
            <v>1.183988001088214</v>
          </cell>
          <cell r="D91">
            <v>1.1839900402719357</v>
          </cell>
          <cell r="E91">
            <v>1.1839928636471257</v>
          </cell>
          <cell r="F91">
            <v>1.1839987834892971</v>
          </cell>
          <cell r="G91">
            <v>1.1840039940839351</v>
          </cell>
          <cell r="H91">
            <v>1.1840082507879339</v>
          </cell>
          <cell r="I91">
            <v>1.1840155606532068</v>
          </cell>
          <cell r="J91">
            <v>1.1840247969044022</v>
          </cell>
          <cell r="K91">
            <v>1.1840291455915997</v>
          </cell>
          <cell r="L91">
            <v>1.1840545035596064</v>
          </cell>
          <cell r="M91">
            <v>1.3314144161976222</v>
          </cell>
        </row>
        <row r="92">
          <cell r="B92">
            <v>1.4500284189369135</v>
          </cell>
          <cell r="C92">
            <v>3.8018637978141507</v>
          </cell>
          <cell r="D92">
            <v>3.8000856548160953</v>
          </cell>
          <cell r="E92">
            <v>1.1496281209364378</v>
          </cell>
          <cell r="F92">
            <v>0.66600018843743014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B93">
            <v>0.215449356660078</v>
          </cell>
          <cell r="C93">
            <v>0.21746096079103394</v>
          </cell>
          <cell r="D93">
            <v>6.0064222821325133E-2</v>
          </cell>
          <cell r="E93">
            <v>6.2377948195968418E-2</v>
          </cell>
          <cell r="F93">
            <v>2.0040028771682139E-3</v>
          </cell>
          <cell r="G93">
            <v>5.8458288433980066E-4</v>
          </cell>
          <cell r="H93">
            <v>6.7349605308809901E-4</v>
          </cell>
          <cell r="I93">
            <v>1.0029798391593101E-4</v>
          </cell>
          <cell r="J93">
            <v>5.6127335704977204E-5</v>
          </cell>
          <cell r="K93">
            <v>3.8686069848464518E-5</v>
          </cell>
          <cell r="L93">
            <v>4.0848127558091401E-5</v>
          </cell>
          <cell r="M93">
            <v>3.3218106927353446E-5</v>
          </cell>
        </row>
        <row r="94">
          <cell r="B94">
            <v>1.7216588608670484</v>
          </cell>
          <cell r="C94">
            <v>1.5538029283740533</v>
          </cell>
          <cell r="D94">
            <v>2.8541705273628906</v>
          </cell>
          <cell r="E94">
            <v>5.1408924663786602</v>
          </cell>
          <cell r="F94">
            <v>5.7717848225420809</v>
          </cell>
          <cell r="G94">
            <v>4.4661193424544621</v>
          </cell>
          <cell r="H94">
            <v>3.4558121982878962</v>
          </cell>
          <cell r="I94">
            <v>2.6740609530421175</v>
          </cell>
          <cell r="J94">
            <v>2.0691565323327419</v>
          </cell>
          <cell r="K94">
            <v>1.6010877783900341</v>
          </cell>
          <cell r="L94">
            <v>1.2389121666265415</v>
          </cell>
          <cell r="M94">
            <v>0.96123265388333334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2.9621127421979634E-4</v>
          </cell>
          <cell r="F95">
            <v>4.9823193460734011E-4</v>
          </cell>
          <cell r="G95">
            <v>5.4368356199954791E-4</v>
          </cell>
          <cell r="H95">
            <v>5.7734983429101226E-4</v>
          </cell>
          <cell r="I95">
            <v>8.8099179456280208E-4</v>
          </cell>
          <cell r="J95">
            <v>8.9798675379706744E-4</v>
          </cell>
          <cell r="K95">
            <v>1.0553812573572299E-3</v>
          </cell>
          <cell r="L95">
            <v>1.092301136612218E-3</v>
          </cell>
          <cell r="M95">
            <v>3.0692062156556614E-3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2.4338017361466334E-3</v>
          </cell>
          <cell r="H96">
            <v>2.4412893806428256E-3</v>
          </cell>
          <cell r="I96">
            <v>2.4743810305591072E-3</v>
          </cell>
          <cell r="J96">
            <v>2.487257756506519E-3</v>
          </cell>
          <cell r="K96">
            <v>3.8149202953508543E-3</v>
          </cell>
          <cell r="L96">
            <v>3.8480731586455533E-3</v>
          </cell>
          <cell r="M96">
            <v>7.8051507367396245E-3</v>
          </cell>
        </row>
        <row r="97">
          <cell r="B97">
            <v>0</v>
          </cell>
          <cell r="C97">
            <v>1.2354674867964717</v>
          </cell>
          <cell r="D97">
            <v>1.2729236333813612</v>
          </cell>
          <cell r="E97">
            <v>1.4927170895310555</v>
          </cell>
          <cell r="F97">
            <v>1.8743172075896384</v>
          </cell>
          <cell r="G97">
            <v>1.9703367621130172</v>
          </cell>
          <cell r="H97">
            <v>2.1267889869966852</v>
          </cell>
          <cell r="I97">
            <v>3.2528657868177655</v>
          </cell>
          <cell r="J97">
            <v>3.420287381889231</v>
          </cell>
          <cell r="K97">
            <v>6.1049941897320306</v>
          </cell>
          <cell r="L97">
            <v>6.4165878302154002</v>
          </cell>
          <cell r="M97">
            <v>7.1712338274120198</v>
          </cell>
        </row>
      </sheetData>
      <sheetData sheetId="60">
        <row r="14">
          <cell r="B14">
            <v>3.0935583788179137</v>
          </cell>
          <cell r="C14">
            <v>3.0935575474876491</v>
          </cell>
          <cell r="D14">
            <v>2.9247399203837956</v>
          </cell>
          <cell r="E14">
            <v>2.7570467472271623</v>
          </cell>
          <cell r="F14">
            <v>2.1733475716975681</v>
          </cell>
          <cell r="G14">
            <v>1.3531508825424563</v>
          </cell>
          <cell r="H14">
            <v>0.120558721922211</v>
          </cell>
          <cell r="I14">
            <v>0.120558721922211</v>
          </cell>
          <cell r="J14">
            <v>8.85558611937695E-2</v>
          </cell>
          <cell r="K14">
            <v>0</v>
          </cell>
          <cell r="L14">
            <v>0</v>
          </cell>
          <cell r="M14">
            <v>0</v>
          </cell>
        </row>
        <row r="15">
          <cell r="B15">
            <v>7.3394300010600002</v>
          </cell>
          <cell r="C15">
            <v>7.3461249322496212</v>
          </cell>
          <cell r="D15">
            <v>7.3660721696991436</v>
          </cell>
          <cell r="E15">
            <v>7.4169212354742333</v>
          </cell>
          <cell r="F15">
            <v>7.4201902625296094</v>
          </cell>
          <cell r="G15">
            <v>7.4202338481532832</v>
          </cell>
          <cell r="H15">
            <v>7.6729733989369588</v>
          </cell>
          <cell r="I15">
            <v>7.7286553790495267</v>
          </cell>
          <cell r="J15">
            <v>7.7286580876266342</v>
          </cell>
          <cell r="K15">
            <v>7.7286648247307097</v>
          </cell>
          <cell r="L15">
            <v>7.7286668131329028</v>
          </cell>
          <cell r="M15">
            <v>7.7286777034807654</v>
          </cell>
        </row>
        <row r="16">
          <cell r="B16">
            <v>4.7247299999999992</v>
          </cell>
          <cell r="C16">
            <v>4.8084446352433377</v>
          </cell>
          <cell r="D16">
            <v>4.8617033723636247</v>
          </cell>
          <cell r="E16">
            <v>5.057990551081498</v>
          </cell>
          <cell r="F16">
            <v>5.1411346552256427</v>
          </cell>
          <cell r="G16">
            <v>5.1411374848113898</v>
          </cell>
          <cell r="H16">
            <v>5.1756154986998695</v>
          </cell>
          <cell r="I16">
            <v>5.3612950161093282</v>
          </cell>
          <cell r="J16">
            <v>5.3612973727581537</v>
          </cell>
          <cell r="K16">
            <v>5.3613302419947315</v>
          </cell>
          <cell r="L16">
            <v>5.3613462357987878</v>
          </cell>
          <cell r="M16">
            <v>5.3625602943609181</v>
          </cell>
        </row>
        <row r="17">
          <cell r="B17">
            <v>3.3394499999999998</v>
          </cell>
          <cell r="C17">
            <v>3.9719531597388311</v>
          </cell>
          <cell r="D17">
            <v>4.3603742136177805</v>
          </cell>
          <cell r="E17">
            <v>4.3603742136177805</v>
          </cell>
          <cell r="F17">
            <v>4.3603850658836496</v>
          </cell>
          <cell r="G17">
            <v>4.3603892969704425</v>
          </cell>
          <cell r="H17">
            <v>4.3604534993249002</v>
          </cell>
          <cell r="I17">
            <v>4.3607770831135699</v>
          </cell>
          <cell r="J17">
            <v>4.3607795806854801</v>
          </cell>
          <cell r="K17">
            <v>4.3611091181455013</v>
          </cell>
          <cell r="L17">
            <v>4.3611222052686172</v>
          </cell>
          <cell r="M17">
            <v>4.3626850525648528</v>
          </cell>
        </row>
        <row r="18">
          <cell r="B18">
            <v>2.6332013243106106E-2</v>
          </cell>
          <cell r="C18">
            <v>2.3875117797321779E-2</v>
          </cell>
          <cell r="D18">
            <v>2.270337066338509E-2</v>
          </cell>
          <cell r="E18">
            <v>5.7995840780929765E-2</v>
          </cell>
          <cell r="F18">
            <v>6.6683274242439861E-2</v>
          </cell>
          <cell r="G18">
            <v>6.6758114676707336E-2</v>
          </cell>
          <cell r="H18">
            <v>6.0997828724243093E-2</v>
          </cell>
          <cell r="I18">
            <v>1.0723595027494197E-2</v>
          </cell>
          <cell r="J18">
            <v>3.67903417396254E-3</v>
          </cell>
          <cell r="K18">
            <v>1.8515525101116715E-3</v>
          </cell>
          <cell r="L18">
            <v>1.8544101846869451E-3</v>
          </cell>
          <cell r="M18">
            <v>3.5534609528769415E-3</v>
          </cell>
        </row>
        <row r="19">
          <cell r="B19">
            <v>0.31253248112630172</v>
          </cell>
          <cell r="C19">
            <v>0.31252291925103548</v>
          </cell>
          <cell r="D19">
            <v>0.31252168026071087</v>
          </cell>
          <cell r="E19">
            <v>0.27599210040708116</v>
          </cell>
          <cell r="F19">
            <v>0.32164424945749565</v>
          </cell>
          <cell r="G19">
            <v>0.29771607322000671</v>
          </cell>
          <cell r="H19">
            <v>0.22637180870010939</v>
          </cell>
          <cell r="I19">
            <v>0.2056115669945526</v>
          </cell>
          <cell r="J19">
            <v>0.19395644288341765</v>
          </cell>
          <cell r="K19">
            <v>0.19895379680179176</v>
          </cell>
          <cell r="L19">
            <v>0.19737242144750577</v>
          </cell>
          <cell r="M19">
            <v>0.19839661221031687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4.5854316019595498E-2</v>
          </cell>
          <cell r="H20">
            <v>0.18684516457465175</v>
          </cell>
          <cell r="I20">
            <v>0.18685553154315859</v>
          </cell>
          <cell r="J20">
            <v>0.18685499864056138</v>
          </cell>
          <cell r="K20">
            <v>0.18685706789321768</v>
          </cell>
          <cell r="L20">
            <v>0.17968315989171282</v>
          </cell>
          <cell r="M20">
            <v>0.17047047133610654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1.30541989871697E-4</v>
          </cell>
          <cell r="H21">
            <v>3.3542757893083194E-4</v>
          </cell>
          <cell r="I21">
            <v>7.0203637603268401E-4</v>
          </cell>
          <cell r="J21">
            <v>1.294460944582752E-3</v>
          </cell>
          <cell r="K21">
            <v>1.388603154558981E-3</v>
          </cell>
          <cell r="L21">
            <v>2.027598355134632E-3</v>
          </cell>
          <cell r="M21">
            <v>2.486463753486488E-3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7.65959563649177E-4</v>
          </cell>
          <cell r="G22">
            <v>3.184582638961919E-3</v>
          </cell>
          <cell r="H22">
            <v>3.2292624353885205E-3</v>
          </cell>
          <cell r="I22">
            <v>3.2668771605197438E-3</v>
          </cell>
          <cell r="J22">
            <v>4.1481158459795858E-3</v>
          </cell>
          <cell r="K22">
            <v>3.6031580366481901E-3</v>
          </cell>
          <cell r="L22">
            <v>4.1804111352805881E-3</v>
          </cell>
          <cell r="M22">
            <v>6.8022268788355232E-3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3.4306764508138898E-4</v>
          </cell>
          <cell r="I23">
            <v>7.1205505759212319E-4</v>
          </cell>
          <cell r="J23">
            <v>7.7962503959999443E-2</v>
          </cell>
          <cell r="K23">
            <v>0.15036240296338207</v>
          </cell>
          <cell r="L23">
            <v>0.1795291208667571</v>
          </cell>
          <cell r="M23">
            <v>0.17936668684882426</v>
          </cell>
        </row>
        <row r="24">
          <cell r="B24">
            <v>5.4429919053676695E-2</v>
          </cell>
          <cell r="C24">
            <v>3.3219494560626783E-4</v>
          </cell>
          <cell r="D24">
            <v>3.3196252643777346E-4</v>
          </cell>
          <cell r="E24">
            <v>-1.8594090192558532E-7</v>
          </cell>
          <cell r="F24">
            <v>-5.2313296274725252E-8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>
            <v>1.2552393657232201E-2</v>
          </cell>
          <cell r="C25">
            <v>1.6503619409920928E-4</v>
          </cell>
          <cell r="D25">
            <v>1.2887268034359703E-2</v>
          </cell>
          <cell r="E25">
            <v>5.4795117628529677E-4</v>
          </cell>
          <cell r="F25">
            <v>8.1349765253180967E-4</v>
          </cell>
          <cell r="G25">
            <v>4.6597981140297534E-2</v>
          </cell>
          <cell r="H25">
            <v>5.001911225877901E-2</v>
          </cell>
          <cell r="I25">
            <v>4.9931655659742565E-2</v>
          </cell>
          <cell r="J25">
            <v>4.369709310624724E-2</v>
          </cell>
          <cell r="K25">
            <v>4.3079801037679298E-2</v>
          </cell>
          <cell r="L25">
            <v>4.290045137219619E-2</v>
          </cell>
          <cell r="M25">
            <v>4.3367151921046128E-2</v>
          </cell>
        </row>
        <row r="26">
          <cell r="B26">
            <v>7.8399375373176289E-2</v>
          </cell>
          <cell r="C26">
            <v>7.1394866044016278E-2</v>
          </cell>
          <cell r="D26">
            <v>7.0492954886461054E-2</v>
          </cell>
          <cell r="E26">
            <v>7.0491365436546424E-2</v>
          </cell>
          <cell r="F26">
            <v>6.9969928659102815E-2</v>
          </cell>
          <cell r="G26">
            <v>6.4686419102350998E-2</v>
          </cell>
          <cell r="H26">
            <v>5.8785828916011647E-2</v>
          </cell>
          <cell r="I26">
            <v>4.3484051740118247E-2</v>
          </cell>
          <cell r="J26">
            <v>4.3483359893723462E-2</v>
          </cell>
          <cell r="K26">
            <v>4.346516278615508E-2</v>
          </cell>
          <cell r="L26">
            <v>3.6680135108989653E-2</v>
          </cell>
          <cell r="M26">
            <v>3.1729876382560168E-2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1.8944193355246001E-2</v>
          </cell>
          <cell r="H27">
            <v>4.1989479270396833E-2</v>
          </cell>
          <cell r="I27">
            <v>4.2841582196146429E-2</v>
          </cell>
          <cell r="J27">
            <v>4.2843433450202723E-2</v>
          </cell>
          <cell r="K27">
            <v>5.0052468071627283E-2</v>
          </cell>
          <cell r="L27">
            <v>5.2520417027355611E-2</v>
          </cell>
          <cell r="M27">
            <v>5.672845156631931E-2</v>
          </cell>
        </row>
        <row r="28">
          <cell r="B28">
            <v>5.4856768585690007E-3</v>
          </cell>
          <cell r="C28">
            <v>2.5078599463849681E-3</v>
          </cell>
          <cell r="D28">
            <v>2.1724907660572827E-3</v>
          </cell>
          <cell r="E28">
            <v>1.4780808803081897E-3</v>
          </cell>
          <cell r="F28">
            <v>1.336405279089228E-3</v>
          </cell>
          <cell r="G28">
            <v>7.3282724805121241E-4</v>
          </cell>
          <cell r="H28">
            <v>6.4536964537151883E-4</v>
          </cell>
          <cell r="I28">
            <v>6.723466376436139E-4</v>
          </cell>
          <cell r="J28">
            <v>6.5050016576610585E-4</v>
          </cell>
          <cell r="K28">
            <v>8.4659237894505531E-4</v>
          </cell>
          <cell r="L28">
            <v>7.4857558724828832E-4</v>
          </cell>
          <cell r="M28">
            <v>1.5222148401451648E-3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2.33217598076968E-3</v>
          </cell>
          <cell r="H30">
            <v>2.4335759535013056E-3</v>
          </cell>
          <cell r="I30">
            <v>3.2398691088094257E-3</v>
          </cell>
          <cell r="J30">
            <v>4.370049464445816E-2</v>
          </cell>
          <cell r="K30">
            <v>7.1868671668123552E-2</v>
          </cell>
          <cell r="L30">
            <v>7.1993007435410872E-2</v>
          </cell>
          <cell r="M30">
            <v>8.5060204947392956E-2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1.5843457420302399E-4</v>
          </cell>
          <cell r="H31">
            <v>7.6745781302023797E-4</v>
          </cell>
          <cell r="I31">
            <v>1.4032563047606192E-3</v>
          </cell>
          <cell r="J31">
            <v>1.871080452434502E-2</v>
          </cell>
          <cell r="K31">
            <v>1.8561018701332484E-2</v>
          </cell>
          <cell r="L31">
            <v>1.8497629494280673E-2</v>
          </cell>
          <cell r="M31">
            <v>1.8522481150341431E-2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2.9284202478014687E-3</v>
          </cell>
          <cell r="I32">
            <v>7.0230320589990116E-3</v>
          </cell>
          <cell r="J32">
            <v>7.0247624141361598E-3</v>
          </cell>
          <cell r="K32">
            <v>7.0287932219874503E-3</v>
          </cell>
          <cell r="L32">
            <v>7.1065583394747589E-3</v>
          </cell>
          <cell r="M32">
            <v>7.4105053634441944E-3</v>
          </cell>
        </row>
        <row r="33">
          <cell r="B33">
            <v>8.7120000000000003E-2</v>
          </cell>
          <cell r="C33">
            <v>9.0660039387044297E-2</v>
          </cell>
          <cell r="D33">
            <v>8.3655956880973298E-2</v>
          </cell>
          <cell r="E33">
            <v>0.34087182838744734</v>
          </cell>
          <cell r="F33">
            <v>0.60448868781315379</v>
          </cell>
          <cell r="G33">
            <v>0.77729854137989229</v>
          </cell>
          <cell r="H33">
            <v>1.7143971777442999</v>
          </cell>
          <cell r="I33">
            <v>2.5899305393125198</v>
          </cell>
          <cell r="J33">
            <v>2.59125401963274</v>
          </cell>
          <cell r="K33">
            <v>2.59304845297916</v>
          </cell>
          <cell r="L33">
            <v>2.59309445852245</v>
          </cell>
          <cell r="M33">
            <v>2.5968217214614202</v>
          </cell>
        </row>
        <row r="34">
          <cell r="B34">
            <v>0</v>
          </cell>
          <cell r="C34">
            <v>0</v>
          </cell>
          <cell r="D34">
            <v>3.4190482324348101E-4</v>
          </cell>
          <cell r="E34">
            <v>4.984909011593959E-2</v>
          </cell>
          <cell r="F34">
            <v>0.42369658724909043</v>
          </cell>
          <cell r="G34">
            <v>2.9440769068976858</v>
          </cell>
          <cell r="H34">
            <v>4.4095961385019802</v>
          </cell>
          <cell r="I34">
            <v>5.5725591691194101</v>
          </cell>
          <cell r="J34">
            <v>5.3341450831005695</v>
          </cell>
          <cell r="K34">
            <v>4.9787107557873593</v>
          </cell>
          <cell r="L34">
            <v>2.894244147640415</v>
          </cell>
          <cell r="M34">
            <v>1.8970438394336619</v>
          </cell>
        </row>
        <row r="35">
          <cell r="B35">
            <v>1.1186210000000001</v>
          </cell>
          <cell r="C35">
            <v>1.6529270826924209</v>
          </cell>
          <cell r="D35">
            <v>2.524513281639055</v>
          </cell>
          <cell r="E35">
            <v>2.4556013231408671</v>
          </cell>
          <cell r="F35">
            <v>4.89446545321056</v>
          </cell>
          <cell r="G35">
            <v>5.1441498071810008</v>
          </cell>
          <cell r="H35">
            <v>5.4065548333290003</v>
          </cell>
          <cell r="I35">
            <v>5.6823443084421204</v>
          </cell>
          <cell r="J35">
            <v>5.9722012134604903</v>
          </cell>
          <cell r="K35">
            <v>6.2768437363187202</v>
          </cell>
          <cell r="L35">
            <v>6.5970262005042501</v>
          </cell>
          <cell r="M35">
            <v>6.9335412599252804</v>
          </cell>
        </row>
        <row r="36">
          <cell r="B36">
            <v>0.67885700000000004</v>
          </cell>
          <cell r="C36">
            <v>1.1559043727468412</v>
          </cell>
          <cell r="D36">
            <v>3.1640632753309892</v>
          </cell>
          <cell r="E36">
            <v>4.6800002751033567</v>
          </cell>
          <cell r="F36">
            <v>4.9193760962148527</v>
          </cell>
          <cell r="G36">
            <v>5.170367230153385</v>
          </cell>
          <cell r="H36">
            <v>8.5969274341209445</v>
          </cell>
          <cell r="I36">
            <v>9.4824324198172292</v>
          </cell>
          <cell r="J36">
            <v>9.9661326282099516</v>
          </cell>
          <cell r="K36">
            <v>10.474506760580383</v>
          </cell>
          <cell r="L36">
            <v>11.008815337666917</v>
          </cell>
          <cell r="M36">
            <v>11.570390279690811</v>
          </cell>
        </row>
        <row r="37">
          <cell r="B37">
            <v>0.27424799999999999</v>
          </cell>
          <cell r="C37">
            <v>0.43895040582509637</v>
          </cell>
          <cell r="D37">
            <v>1.7349728003972942</v>
          </cell>
          <cell r="E37">
            <v>3.3300001749179917</v>
          </cell>
          <cell r="F37">
            <v>7.257360044353022</v>
          </cell>
          <cell r="G37">
            <v>9.3081626751881341</v>
          </cell>
          <cell r="H37">
            <v>9.9800272581090699</v>
          </cell>
          <cell r="I37">
            <v>10.48911966826314</v>
          </cell>
          <cell r="J37">
            <v>11.024170939305669</v>
          </cell>
          <cell r="K37">
            <v>11.586515395343689</v>
          </cell>
          <cell r="L37">
            <v>12.17754634496044</v>
          </cell>
          <cell r="M37">
            <v>12.79872796603237</v>
          </cell>
        </row>
        <row r="38">
          <cell r="B38">
            <v>0.90292899999999998</v>
          </cell>
          <cell r="C38">
            <v>1.1231013236447958</v>
          </cell>
          <cell r="D38">
            <v>1.1752886810926186</v>
          </cell>
          <cell r="E38">
            <v>1.0908727323622107</v>
          </cell>
          <cell r="F38">
            <v>1.1466635631778619</v>
          </cell>
          <cell r="G38">
            <v>6.8592774392221019</v>
          </cell>
          <cell r="H38">
            <v>7.2091759108484696</v>
          </cell>
          <cell r="I38">
            <v>7.5769181589115204</v>
          </cell>
          <cell r="J38">
            <v>7.9634174329221201</v>
          </cell>
          <cell r="K38">
            <v>8.3696320983066297</v>
          </cell>
          <cell r="L38">
            <v>8.7965680588254997</v>
          </cell>
          <cell r="M38">
            <v>9.2452823153061896</v>
          </cell>
        </row>
        <row r="39">
          <cell r="B39">
            <v>2.8086122082622803E-2</v>
          </cell>
          <cell r="C39">
            <v>2.0773721644841384E-2</v>
          </cell>
          <cell r="D39">
            <v>1.3783899206956933E-2</v>
          </cell>
          <cell r="E39">
            <v>1.0077307900467788E-2</v>
          </cell>
          <cell r="F39">
            <v>5.1587650105551219E-2</v>
          </cell>
          <cell r="G39">
            <v>5.1584020693588847E-2</v>
          </cell>
          <cell r="H39">
            <v>2.6336139385200203E-2</v>
          </cell>
          <cell r="I39">
            <v>4.9879978028414901E-2</v>
          </cell>
          <cell r="J39">
            <v>5.6317296832638808E-2</v>
          </cell>
          <cell r="K39">
            <v>5.1034799538890216E-2</v>
          </cell>
          <cell r="L39">
            <v>6.5864668189867207E-2</v>
          </cell>
          <cell r="M39">
            <v>6.7773941193434717E-2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9.7689313989450998E-4</v>
          </cell>
          <cell r="H40">
            <v>1.0096120424982927E-3</v>
          </cell>
          <cell r="I40">
            <v>9.6587939386317979E-3</v>
          </cell>
          <cell r="J40">
            <v>1.172620747660752E-2</v>
          </cell>
          <cell r="K40">
            <v>1.2933973213681312E-2</v>
          </cell>
          <cell r="L40">
            <v>1.5028342879887007E-2</v>
          </cell>
          <cell r="M40">
            <v>1.7943907019237072E-2</v>
          </cell>
        </row>
        <row r="41">
          <cell r="B41">
            <v>8.3045773743700008E-3</v>
          </cell>
          <cell r="C41">
            <v>2.0124201709813591E-2</v>
          </cell>
          <cell r="D41">
            <v>2.0119732607945296E-2</v>
          </cell>
          <cell r="E41">
            <v>2.0118166328418539E-2</v>
          </cell>
          <cell r="F41">
            <v>9.8397458028241618E-3</v>
          </cell>
          <cell r="G41">
            <v>0</v>
          </cell>
          <cell r="H41">
            <v>0</v>
          </cell>
          <cell r="I41">
            <v>0</v>
          </cell>
          <cell r="J41">
            <v>7.4919262506332096E-4</v>
          </cell>
          <cell r="K41">
            <v>1.1989535174181673E-3</v>
          </cell>
          <cell r="L41">
            <v>1.5266768012918124E-3</v>
          </cell>
          <cell r="M41">
            <v>2.6551394544760353E-3</v>
          </cell>
        </row>
        <row r="42">
          <cell r="B42">
            <v>7.6020362919820101E-3</v>
          </cell>
          <cell r="C42">
            <v>1.8236256562221723E-2</v>
          </cell>
          <cell r="D42">
            <v>4.1999386116479111E-2</v>
          </cell>
          <cell r="E42">
            <v>5.437664802675557E-2</v>
          </cell>
          <cell r="F42">
            <v>7.2047053397354829E-2</v>
          </cell>
          <cell r="G42">
            <v>5.7304672335541575E-2</v>
          </cell>
          <cell r="H42">
            <v>2.7804811063707302E-2</v>
          </cell>
          <cell r="I42">
            <v>1.5055027936458571E-2</v>
          </cell>
          <cell r="J42">
            <v>5.4683548294487991E-4</v>
          </cell>
          <cell r="K42">
            <v>2.8353052270684335E-4</v>
          </cell>
          <cell r="L42">
            <v>3.1806616957364488E-4</v>
          </cell>
          <cell r="M42">
            <v>3.6203266816135234E-4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6.1913505367343198E-2</v>
          </cell>
          <cell r="H43">
            <v>0.148986568363522</v>
          </cell>
          <cell r="I43">
            <v>0.19205138012556799</v>
          </cell>
          <cell r="J43">
            <v>0.18284368149679001</v>
          </cell>
          <cell r="K43">
            <v>0.186872754363682</v>
          </cell>
          <cell r="L43">
            <v>0.18494558650953599</v>
          </cell>
          <cell r="M43">
            <v>0.18548692136952599</v>
          </cell>
        </row>
        <row r="44">
          <cell r="B44">
            <v>4.7646837685754041E-2</v>
          </cell>
          <cell r="C44">
            <v>1.3842629479197129E-2</v>
          </cell>
          <cell r="D44">
            <v>1.3842883615304918E-2</v>
          </cell>
          <cell r="E44">
            <v>1.3553593458884079E-2</v>
          </cell>
          <cell r="F44">
            <v>1.339409220223926E-2</v>
          </cell>
          <cell r="G44">
            <v>1.2592682509745332E-2</v>
          </cell>
          <cell r="H44">
            <v>3.6794017333842931E-4</v>
          </cell>
          <cell r="I44">
            <v>3.3952606241448042E-4</v>
          </cell>
          <cell r="J44">
            <v>2.7655286226568009E-4</v>
          </cell>
          <cell r="K44">
            <v>2.734568863129597E-4</v>
          </cell>
          <cell r="L44">
            <v>1.5224150859297005E-4</v>
          </cell>
          <cell r="M44">
            <v>2.0577956633250055E-4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3.68340745652286E-3</v>
          </cell>
          <cell r="H45">
            <v>2.9088323196243812E-2</v>
          </cell>
          <cell r="I45">
            <v>6.4105785116576705E-2</v>
          </cell>
          <cell r="J45">
            <v>6.0343192450890544E-2</v>
          </cell>
          <cell r="K45">
            <v>5.9860678012609934E-2</v>
          </cell>
          <cell r="L45">
            <v>5.9810719234042763E-2</v>
          </cell>
          <cell r="M45">
            <v>5.9944615772329388E-2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2.83817375545437E-2</v>
          </cell>
          <cell r="G46">
            <v>2.8388066378513651E-2</v>
          </cell>
          <cell r="H46">
            <v>3.7808613173347487E-2</v>
          </cell>
          <cell r="I46">
            <v>7.4856035811548982E-2</v>
          </cell>
          <cell r="J46">
            <v>8.08169492151493E-2</v>
          </cell>
          <cell r="K46">
            <v>9.25403545911338E-2</v>
          </cell>
          <cell r="L46">
            <v>0.13870449681828975</v>
          </cell>
          <cell r="M46">
            <v>0.15643058060808898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5.6525776573472801E-4</v>
          </cell>
          <cell r="G47">
            <v>6.8445475613279237E-4</v>
          </cell>
          <cell r="H47">
            <v>6.9406369630588987E-4</v>
          </cell>
          <cell r="I47">
            <v>9.4897502492461881E-4</v>
          </cell>
          <cell r="J47">
            <v>8.5026532579865954E-4</v>
          </cell>
          <cell r="K47">
            <v>1.0614911662400373E-3</v>
          </cell>
          <cell r="L47">
            <v>8.4647179840152838E-4</v>
          </cell>
          <cell r="M47">
            <v>9.9325299001594295E-4</v>
          </cell>
        </row>
        <row r="48">
          <cell r="B48">
            <v>4.1851086247710698E-3</v>
          </cell>
          <cell r="C48">
            <v>2.1838679585938475E-3</v>
          </cell>
          <cell r="D48">
            <v>1.5855860546907376E-3</v>
          </cell>
          <cell r="E48">
            <v>1.3423811193283247E-3</v>
          </cell>
          <cell r="F48">
            <v>8.637199786877194E-4</v>
          </cell>
          <cell r="G48">
            <v>4.3728564565938537E-4</v>
          </cell>
          <cell r="H48">
            <v>0</v>
          </cell>
          <cell r="I48">
            <v>0</v>
          </cell>
          <cell r="J48">
            <v>6.3966965980981198E-4</v>
          </cell>
          <cell r="K48">
            <v>9.6982913165486926E-4</v>
          </cell>
          <cell r="L48">
            <v>2.6741492174679579E-3</v>
          </cell>
          <cell r="M48">
            <v>3.0117752715875155E-3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3.8875667046381102E-4</v>
          </cell>
          <cell r="K49">
            <v>6.8217174114427028E-4</v>
          </cell>
          <cell r="L49">
            <v>6.9375585482470158E-4</v>
          </cell>
          <cell r="M49">
            <v>1.3966110996285806E-3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2.0942622794661121E-4</v>
          </cell>
          <cell r="F50">
            <v>4.1563779775224117E-4</v>
          </cell>
          <cell r="G50">
            <v>1.0092566882382898E-3</v>
          </cell>
          <cell r="H50">
            <v>1.0350317875086369E-3</v>
          </cell>
          <cell r="I50">
            <v>1.7954889827900245E-3</v>
          </cell>
          <cell r="J50">
            <v>1.2075087302872386E-3</v>
          </cell>
          <cell r="K50">
            <v>9.811394915476496E-4</v>
          </cell>
          <cell r="L50">
            <v>1.0890952068381447E-3</v>
          </cell>
          <cell r="M50">
            <v>1.2921073086936234E-3</v>
          </cell>
        </row>
        <row r="51">
          <cell r="B51">
            <v>8.8879130274033911E-3</v>
          </cell>
          <cell r="C51">
            <v>1.1063547475964931E-2</v>
          </cell>
          <cell r="D51">
            <v>1.1061753204455871E-2</v>
          </cell>
          <cell r="E51">
            <v>1.1035798203690749E-2</v>
          </cell>
          <cell r="F51">
            <v>1.0863968232218173E-2</v>
          </cell>
          <cell r="G51">
            <v>4.9867759072741965E-3</v>
          </cell>
          <cell r="H51">
            <v>0</v>
          </cell>
          <cell r="I51">
            <v>0</v>
          </cell>
          <cell r="J51">
            <v>1.4053324857209088E-3</v>
          </cell>
          <cell r="K51">
            <v>6.8069095380601909E-3</v>
          </cell>
          <cell r="L51">
            <v>9.5782936924099244E-3</v>
          </cell>
          <cell r="M51">
            <v>1.6109108177508984E-2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1.135097107452069E-3</v>
          </cell>
          <cell r="K52">
            <v>1.88675063892693E-3</v>
          </cell>
          <cell r="L52">
            <v>2.130629775787379E-3</v>
          </cell>
          <cell r="M52">
            <v>4.4413315218629137E-3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3.0106819548743899E-4</v>
          </cell>
          <cell r="F53">
            <v>7.6525842136675789E-4</v>
          </cell>
          <cell r="G53">
            <v>5.1146676900543676E-3</v>
          </cell>
          <cell r="H53">
            <v>8.9607885462467639E-3</v>
          </cell>
          <cell r="I53">
            <v>1.5229102190321099E-2</v>
          </cell>
          <cell r="J53">
            <v>1.4306154416364196E-2</v>
          </cell>
          <cell r="K53">
            <v>1.0396877587118032E-2</v>
          </cell>
          <cell r="L53">
            <v>7.9949908683445408E-3</v>
          </cell>
          <cell r="M53">
            <v>4.986742807324627E-3</v>
          </cell>
        </row>
        <row r="54">
          <cell r="B54">
            <v>7.3511729642918411E-2</v>
          </cell>
          <cell r="C54">
            <v>8.4819938321455082E-2</v>
          </cell>
          <cell r="D54">
            <v>8.5359400538916094E-2</v>
          </cell>
          <cell r="E54">
            <v>8.5427845423519652E-2</v>
          </cell>
          <cell r="F54">
            <v>8.5431290337566232E-2</v>
          </cell>
          <cell r="G54">
            <v>8.5430340042078126E-2</v>
          </cell>
          <cell r="H54">
            <v>8.6439156829990121E-2</v>
          </cell>
          <cell r="I54">
            <v>8.7578379925627434E-2</v>
          </cell>
          <cell r="J54">
            <v>8.7576337655781197E-2</v>
          </cell>
          <cell r="K54">
            <v>8.7579732474211441E-2</v>
          </cell>
          <cell r="L54">
            <v>0.10090610145816614</v>
          </cell>
          <cell r="M54">
            <v>0.13600255506993278</v>
          </cell>
        </row>
        <row r="55">
          <cell r="B55">
            <v>6.5199353270986513E-2</v>
          </cell>
          <cell r="C55">
            <v>5.3823193865914103E-2</v>
          </cell>
          <cell r="D55">
            <v>5.372949699373572E-2</v>
          </cell>
          <cell r="E55">
            <v>5.1968488804770153E-2</v>
          </cell>
          <cell r="F55">
            <v>4.2998934816671164E-2</v>
          </cell>
          <cell r="G55">
            <v>2.5174705749959763E-2</v>
          </cell>
          <cell r="H55">
            <v>0</v>
          </cell>
          <cell r="I55">
            <v>0</v>
          </cell>
          <cell r="J55">
            <v>9.9367003570885589E-4</v>
          </cell>
          <cell r="K55">
            <v>1.1987976455983594E-3</v>
          </cell>
          <cell r="L55">
            <v>1.699630937844445E-3</v>
          </cell>
          <cell r="M55">
            <v>3.0141025118526612E-3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2.4339750554348101E-4</v>
          </cell>
          <cell r="F56">
            <v>4.1953840652831536E-4</v>
          </cell>
          <cell r="G56">
            <v>7.4993909274805102E-4</v>
          </cell>
          <cell r="H56">
            <v>6.5334036899863327E-4</v>
          </cell>
          <cell r="I56">
            <v>1.0643962823857079E-3</v>
          </cell>
          <cell r="J56">
            <v>7.4099201867989779E-4</v>
          </cell>
          <cell r="K56">
            <v>6.6713173682777821E-4</v>
          </cell>
          <cell r="L56">
            <v>1.0000613645237209E-3</v>
          </cell>
          <cell r="M56">
            <v>1.2324935958466039E-3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3.3239297866489602E-4</v>
          </cell>
          <cell r="F57">
            <v>1.1842847473761164E-3</v>
          </cell>
          <cell r="G57">
            <v>1.2024071738028924E-3</v>
          </cell>
          <cell r="H57">
            <v>9.9994503210682319E-4</v>
          </cell>
          <cell r="I57">
            <v>3.5472158583202333E-3</v>
          </cell>
          <cell r="J57">
            <v>4.0190917663915481E-3</v>
          </cell>
          <cell r="K57">
            <v>4.5166457654244501E-3</v>
          </cell>
          <cell r="L57">
            <v>1.3495785466195028E-2</v>
          </cell>
          <cell r="M57">
            <v>2.9794439273090331E-2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5.6635358571253199E-4</v>
          </cell>
          <cell r="K58">
            <v>9.4712405403829774E-4</v>
          </cell>
          <cell r="L58">
            <v>9.310364210187755E-4</v>
          </cell>
          <cell r="M58">
            <v>1.951622148632298E-3</v>
          </cell>
        </row>
        <row r="63">
          <cell r="B63">
            <v>0.1</v>
          </cell>
          <cell r="C63">
            <v>9.9990784741026781E-2</v>
          </cell>
          <cell r="D63">
            <v>9.9990927195739335E-2</v>
          </cell>
          <cell r="E63">
            <v>9.9991614995817699E-2</v>
          </cell>
          <cell r="F63">
            <v>9.9994019457274361E-2</v>
          </cell>
          <cell r="G63">
            <v>9.9995338937539105E-2</v>
          </cell>
          <cell r="H63">
            <v>9.999541219877485E-2</v>
          </cell>
          <cell r="I63">
            <v>9.9993888193171454E-2</v>
          </cell>
          <cell r="J63">
            <v>9.9992240129436319E-2</v>
          </cell>
          <cell r="K63">
            <v>9.9990415111611969E-2</v>
          </cell>
          <cell r="L63">
            <v>9.9989105977788331E-2</v>
          </cell>
          <cell r="M63">
            <v>9.9988760263436491E-2</v>
          </cell>
        </row>
        <row r="64">
          <cell r="B64">
            <v>2.4962322716105402E-3</v>
          </cell>
          <cell r="C64">
            <v>2.5005513133927967E-3</v>
          </cell>
          <cell r="D64">
            <v>2.5134789187531803E-3</v>
          </cell>
          <cell r="E64">
            <v>2.1944493208669032E-3</v>
          </cell>
          <cell r="F64">
            <v>0.21506821560534004</v>
          </cell>
          <cell r="G64">
            <v>0.23607968082455938</v>
          </cell>
          <cell r="H64">
            <v>0.23623771023993045</v>
          </cell>
          <cell r="I64">
            <v>0.23631474141431127</v>
          </cell>
          <cell r="J64">
            <v>0.23634048238075317</v>
          </cell>
          <cell r="K64">
            <v>0.23652080374371667</v>
          </cell>
          <cell r="L64">
            <v>0.2368194515938423</v>
          </cell>
          <cell r="M64">
            <v>0.23809179245712062</v>
          </cell>
        </row>
        <row r="65">
          <cell r="B65">
            <v>1.8669084425136399E-3</v>
          </cell>
          <cell r="C65">
            <v>1.8702336810966316E-3</v>
          </cell>
          <cell r="D65">
            <v>1.8799408088438464E-3</v>
          </cell>
          <cell r="E65">
            <v>1.6682955464719692E-3</v>
          </cell>
          <cell r="F65">
            <v>1.9284347386389851E-2</v>
          </cell>
          <cell r="G65">
            <v>0.7390645118042154</v>
          </cell>
          <cell r="H65">
            <v>1.3326729776039656</v>
          </cell>
          <cell r="I65">
            <v>2.1927190092380209</v>
          </cell>
          <cell r="J65">
            <v>1.9679012676889889</v>
          </cell>
          <cell r="K65">
            <v>2.2583001588692682</v>
          </cell>
          <cell r="L65">
            <v>2.1755419833156107</v>
          </cell>
          <cell r="M65">
            <v>2.2348958558632406</v>
          </cell>
        </row>
        <row r="66">
          <cell r="B66">
            <v>1.6719173570898345E-3</v>
          </cell>
          <cell r="C66">
            <v>1.675075704905687E-3</v>
          </cell>
          <cell r="D66">
            <v>1.7019570652825171E-3</v>
          </cell>
          <cell r="E66">
            <v>2.3505516515229204E-2</v>
          </cell>
          <cell r="F66">
            <v>4.4049034376453092E-2</v>
          </cell>
          <cell r="G66">
            <v>6.7984872833564025E-2</v>
          </cell>
          <cell r="H66">
            <v>5.6449780782485443E-2</v>
          </cell>
          <cell r="I66">
            <v>9.2572176683304475E-2</v>
          </cell>
          <cell r="J66">
            <v>9.1492208176886747E-2</v>
          </cell>
          <cell r="K66">
            <v>0.10785888504021791</v>
          </cell>
          <cell r="L66">
            <v>0.11199290726493076</v>
          </cell>
          <cell r="M66">
            <v>0.11344084060958434</v>
          </cell>
        </row>
        <row r="67">
          <cell r="B67">
            <v>3.7831772044156784E-3</v>
          </cell>
          <cell r="C67">
            <v>3.7912027655153755E-3</v>
          </cell>
          <cell r="D67">
            <v>3.8428872399325058E-3</v>
          </cell>
          <cell r="E67">
            <v>3.5896627506804675E-2</v>
          </cell>
          <cell r="F67">
            <v>5.2085235201567659E-2</v>
          </cell>
          <cell r="G67">
            <v>6.1377541287237117E-2</v>
          </cell>
          <cell r="H67">
            <v>9.3333959751437434E-2</v>
          </cell>
          <cell r="I67">
            <v>0.11594895661604517</v>
          </cell>
          <cell r="J67">
            <v>0.12010249447680943</v>
          </cell>
          <cell r="K67">
            <v>0.1260236860112221</v>
          </cell>
          <cell r="L67">
            <v>0.13038322623482457</v>
          </cell>
          <cell r="M67">
            <v>0.14264677748624888</v>
          </cell>
        </row>
        <row r="68">
          <cell r="B68">
            <v>3.7817074059421493E-3</v>
          </cell>
          <cell r="C68">
            <v>3.789764549219885E-3</v>
          </cell>
          <cell r="D68">
            <v>3.8424909585432349E-3</v>
          </cell>
          <cell r="E68">
            <v>3.6564382882474565E-2</v>
          </cell>
          <cell r="F68">
            <v>6.3407758476611037E-2</v>
          </cell>
          <cell r="G68">
            <v>0.10096412709892968</v>
          </cell>
          <cell r="H68">
            <v>0.12677911170897482</v>
          </cell>
          <cell r="I68">
            <v>0.11740981260221292</v>
          </cell>
          <cell r="J68">
            <v>0.12433157311623064</v>
          </cell>
          <cell r="K68">
            <v>0.12743219085796964</v>
          </cell>
          <cell r="L68">
            <v>0.13182142075340125</v>
          </cell>
          <cell r="M68">
            <v>0.14425027626245318</v>
          </cell>
        </row>
        <row r="69">
          <cell r="B69">
            <v>1.6075121138104202E-3</v>
          </cell>
          <cell r="C69">
            <v>1.6103346998865705E-3</v>
          </cell>
          <cell r="D69">
            <v>1.6351318120798085E-3</v>
          </cell>
          <cell r="E69">
            <v>3.0311839734552856E-2</v>
          </cell>
          <cell r="F69">
            <v>4.3892871126408613E-2</v>
          </cell>
          <cell r="G69">
            <v>7.0976226565296591E-2</v>
          </cell>
          <cell r="H69">
            <v>8.6370180608326325E-2</v>
          </cell>
          <cell r="I69">
            <v>7.5301248031627979E-2</v>
          </cell>
          <cell r="J69">
            <v>8.3161862687422983E-2</v>
          </cell>
          <cell r="K69">
            <v>8.587892377105788E-2</v>
          </cell>
          <cell r="L69">
            <v>8.8371662841615461E-2</v>
          </cell>
          <cell r="M69">
            <v>9.7060385191978571E-2</v>
          </cell>
        </row>
      </sheetData>
      <sheetData sheetId="61">
        <row r="14">
          <cell r="B14">
            <v>0</v>
          </cell>
          <cell r="C14">
            <v>1.23259260642986</v>
          </cell>
          <cell r="D14">
            <v>0.820197200601264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  <row r="15">
          <cell r="B15">
            <v>0</v>
          </cell>
          <cell r="C15">
            <v>6.6949311896209503E-3</v>
          </cell>
          <cell r="D15">
            <v>2.3202002096010248E-2</v>
          </cell>
          <cell r="E15">
            <v>5.0903566607413582E-2</v>
          </cell>
          <cell r="F15">
            <v>0.30684090478885351</v>
          </cell>
          <cell r="G15">
            <v>1.5835977509141704E-3</v>
          </cell>
          <cell r="H15">
            <v>1.1618304350371589E-6</v>
          </cell>
          <cell r="I15">
            <v>5.9566768172720045E-6</v>
          </cell>
          <cell r="J15">
            <v>4.1149184694610394E-6</v>
          </cell>
          <cell r="K15">
            <v>1.0979855118029615E-5</v>
          </cell>
          <cell r="L15">
            <v>3.4580774321595498E-7</v>
          </cell>
          <cell r="M15">
            <v>1.40899370605974E-7</v>
          </cell>
        </row>
        <row r="16">
          <cell r="B16">
            <v>0</v>
          </cell>
          <cell r="C16">
            <v>1.3800692388564351E-3</v>
          </cell>
          <cell r="D16">
            <v>0.27611639190584214</v>
          </cell>
          <cell r="E16">
            <v>1.7858356886956714E-3</v>
          </cell>
          <cell r="F16">
            <v>4.2672968380723124E-6</v>
          </cell>
          <cell r="G16">
            <v>1.3912069230422993E-5</v>
          </cell>
          <cell r="H16">
            <v>0.22013267805654738</v>
          </cell>
          <cell r="I16">
            <v>1.2429856367230108E-5</v>
          </cell>
          <cell r="J16">
            <v>3.2300232286449461E-6</v>
          </cell>
          <cell r="K16">
            <v>3.4657773797304217E-5</v>
          </cell>
          <cell r="L16">
            <v>2.3179720761965102E-5</v>
          </cell>
          <cell r="M16">
            <v>1.2036427307543212E-3</v>
          </cell>
        </row>
        <row r="17">
          <cell r="B17">
            <v>0</v>
          </cell>
          <cell r="C17">
            <v>9.2421361778097602E-4</v>
          </cell>
          <cell r="D17">
            <v>9.5101355654210804E-6</v>
          </cell>
          <cell r="E17">
            <v>5.5732170959101701E-6</v>
          </cell>
          <cell r="F17">
            <v>5.2443314975727096E-6</v>
          </cell>
          <cell r="G17">
            <v>3.8254181162980597E-4</v>
          </cell>
          <cell r="H17">
            <v>2.9510060195230002E-6</v>
          </cell>
          <cell r="I17">
            <v>3.24932698990705E-4</v>
          </cell>
          <cell r="J17">
            <v>1.7238450037007199E-5</v>
          </cell>
          <cell r="K17">
            <v>1.56284729623582E-3</v>
          </cell>
          <cell r="L17">
            <v>0</v>
          </cell>
          <cell r="M17">
            <v>0</v>
          </cell>
        </row>
        <row r="18">
          <cell r="B18">
            <v>0</v>
          </cell>
          <cell r="C18">
            <v>4.20684801000835E-5</v>
          </cell>
          <cell r="D18">
            <v>9.9429109828546997E-3</v>
          </cell>
          <cell r="E18">
            <v>4.1025362688751801E-2</v>
          </cell>
          <cell r="F18">
            <v>8.6968632482103802E-3</v>
          </cell>
          <cell r="G18">
            <v>8.3219939953513194E-5</v>
          </cell>
          <cell r="H18">
            <v>3.7772909608976902E-5</v>
          </cell>
          <cell r="I18">
            <v>5.4359749380303598E-5</v>
          </cell>
          <cell r="J18">
            <v>7.7204909588222994E-5</v>
          </cell>
          <cell r="K18">
            <v>1.6390670001492501E-3</v>
          </cell>
          <cell r="L18">
            <v>8.7059288834326703E-5</v>
          </cell>
          <cell r="M18">
            <v>1.7360581619240299E-3</v>
          </cell>
        </row>
        <row r="19">
          <cell r="B19">
            <v>0</v>
          </cell>
          <cell r="C19">
            <v>6.8185651125037795E-7</v>
          </cell>
          <cell r="D19">
            <v>1.7067821963116699E-6</v>
          </cell>
          <cell r="E19">
            <v>5.11169900611688E-2</v>
          </cell>
          <cell r="F19">
            <v>0.14963105178369501</v>
          </cell>
          <cell r="G19">
            <v>2.39655542716577E-5</v>
          </cell>
          <cell r="H19">
            <v>1.8696454552091399E-6</v>
          </cell>
          <cell r="I19">
            <v>9.5318505946018694E-5</v>
          </cell>
          <cell r="J19">
            <v>6.8070008474776598E-3</v>
          </cell>
          <cell r="K19">
            <v>4.23989882673649E-2</v>
          </cell>
          <cell r="L19">
            <v>0.121551218467181</v>
          </cell>
          <cell r="M19">
            <v>2.7546373572943199E-2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4.5854316019595498E-2</v>
          </cell>
          <cell r="H20">
            <v>0.140991249133913</v>
          </cell>
          <cell r="I20">
            <v>1.11327862362459E-5</v>
          </cell>
          <cell r="J20">
            <v>1.08858324787125E-6</v>
          </cell>
          <cell r="K20">
            <v>4.1481980576722701E-6</v>
          </cell>
          <cell r="L20">
            <v>5.9575575102864697E-6</v>
          </cell>
          <cell r="M20">
            <v>2.9465485852756702E-2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3.3885016587975299E-4</v>
          </cell>
          <cell r="H21">
            <v>7.0930925494161999E-4</v>
          </cell>
          <cell r="I21">
            <v>4.6296617214672199E-4</v>
          </cell>
          <cell r="J21">
            <v>2.2150564978677101E-4</v>
          </cell>
          <cell r="K21">
            <v>1.4633263349228199E-5</v>
          </cell>
          <cell r="L21">
            <v>1.34087059205404E-3</v>
          </cell>
          <cell r="M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3.1806590800214801E-3</v>
          </cell>
          <cell r="G22">
            <v>2.76051698973681E-5</v>
          </cell>
          <cell r="H22">
            <v>7.4397093076279498E-5</v>
          </cell>
          <cell r="I22">
            <v>7.9845881205770899E-4</v>
          </cell>
          <cell r="J22">
            <v>1.8048848818988199E-4</v>
          </cell>
          <cell r="K22">
            <v>6.7413523244383704E-4</v>
          </cell>
          <cell r="L22">
            <v>5.1461635340560698E-3</v>
          </cell>
          <cell r="M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7.1251397699680303E-4</v>
          </cell>
          <cell r="I23">
            <v>0</v>
          </cell>
          <cell r="J23">
            <v>0.14041532719216099</v>
          </cell>
          <cell r="K23">
            <v>3.8373068018431697E-2</v>
          </cell>
          <cell r="L23">
            <v>1.0925323654947701E-4</v>
          </cell>
          <cell r="M23">
            <v>0</v>
          </cell>
        </row>
        <row r="24">
          <cell r="B24">
            <v>0</v>
          </cell>
          <cell r="C24">
            <v>1.1342559740751501E-6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>
            <v>0</v>
          </cell>
          <cell r="C25">
            <v>4.2233807230467299E-7</v>
          </cell>
          <cell r="D25">
            <v>1.27226563251018E-2</v>
          </cell>
          <cell r="E25">
            <v>2.5032709112213101E-6</v>
          </cell>
          <cell r="F25">
            <v>2.6824000008970401E-4</v>
          </cell>
          <cell r="G25">
            <v>4.5787973318811202E-2</v>
          </cell>
          <cell r="H25">
            <v>3.8685647114745998E-3</v>
          </cell>
          <cell r="I25">
            <v>1.51985647537478E-5</v>
          </cell>
          <cell r="J25">
            <v>2.3051140933547801E-5</v>
          </cell>
          <cell r="K25">
            <v>3.9180780768908997E-2</v>
          </cell>
          <cell r="L25">
            <v>3.6875952267410401E-3</v>
          </cell>
          <cell r="M25">
            <v>4.8475511209701799E-4</v>
          </cell>
        </row>
        <row r="26">
          <cell r="B26">
            <v>0</v>
          </cell>
          <cell r="C26">
            <v>3.3812487434284999E-7</v>
          </cell>
          <cell r="D26">
            <v>6.2533055541552202E-7</v>
          </cell>
          <cell r="E26">
            <v>2.2981333138953499E-6</v>
          </cell>
          <cell r="F26">
            <v>5.7081491896724497E-3</v>
          </cell>
          <cell r="G26">
            <v>1.35198029886907E-2</v>
          </cell>
          <cell r="H26">
            <v>1.39205544245379E-5</v>
          </cell>
          <cell r="I26">
            <v>2.42414696454703E-2</v>
          </cell>
          <cell r="J26">
            <v>1.60295600296381E-6</v>
          </cell>
          <cell r="K26">
            <v>3.8164678956149204E-6</v>
          </cell>
          <cell r="L26">
            <v>1.49535522907376E-5</v>
          </cell>
          <cell r="M26">
            <v>7.4599966201395196E-3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1.8944193355246001E-2</v>
          </cell>
          <cell r="H27">
            <v>2.3045792841892902E-2</v>
          </cell>
          <cell r="I27">
            <v>8.5302988389406899E-4</v>
          </cell>
          <cell r="J27">
            <v>3.10090024551049E-6</v>
          </cell>
          <cell r="K27">
            <v>7.2104582583562699E-3</v>
          </cell>
          <cell r="L27">
            <v>5.4353567020785001E-3</v>
          </cell>
          <cell r="M27">
            <v>2.0189019234246298E-2</v>
          </cell>
        </row>
        <row r="28">
          <cell r="B28">
            <v>0</v>
          </cell>
          <cell r="C28">
            <v>1.0125246203408799E-5</v>
          </cell>
          <cell r="D28">
            <v>1.1741696377403801E-5</v>
          </cell>
          <cell r="E28">
            <v>1.5098468560287101E-5</v>
          </cell>
          <cell r="F28">
            <v>6.1906946307578101E-5</v>
          </cell>
          <cell r="G28">
            <v>2.5112038143600401E-4</v>
          </cell>
          <cell r="H28">
            <v>3.3213273657485402E-4</v>
          </cell>
          <cell r="I28">
            <v>4.08839055866771E-5</v>
          </cell>
          <cell r="J28">
            <v>6.1483847045975306E-5</v>
          </cell>
          <cell r="K28">
            <v>4.33722371545273E-4</v>
          </cell>
          <cell r="L28">
            <v>2.3239600813455E-4</v>
          </cell>
          <cell r="M28">
            <v>8.2497445352980705E-4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2.33217598076968E-3</v>
          </cell>
          <cell r="H30">
            <v>1.0178823999930801E-4</v>
          </cell>
          <cell r="I30">
            <v>8.0787394590117398E-4</v>
          </cell>
          <cell r="J30">
            <v>4.0771804774470399E-2</v>
          </cell>
          <cell r="K30">
            <v>3.0192759918034301E-2</v>
          </cell>
          <cell r="L30">
            <v>2.2622930755931801E-4</v>
          </cell>
          <cell r="M30">
            <v>1.3876880858169899E-2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4.1125144332905902E-4</v>
          </cell>
          <cell r="H31">
            <v>9.9307438329636604E-4</v>
          </cell>
          <cell r="I31">
            <v>1.73055503328042E-2</v>
          </cell>
          <cell r="J31">
            <v>6.6693803031053796E-6</v>
          </cell>
          <cell r="K31">
            <v>5.8350365967677001E-6</v>
          </cell>
          <cell r="L31">
            <v>5.3690789543222597E-4</v>
          </cell>
          <cell r="M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2.1685070204031402E-3</v>
          </cell>
          <cell r="H32">
            <v>4.8549741465963997E-3</v>
          </cell>
          <cell r="I32">
            <v>1.39398053162497E-6</v>
          </cell>
          <cell r="J32">
            <v>5.7547916877355799E-6</v>
          </cell>
          <cell r="K32">
            <v>2.76785258258587E-5</v>
          </cell>
          <cell r="L32">
            <v>3.55971450378201E-4</v>
          </cell>
          <cell r="M32">
            <v>0</v>
          </cell>
        </row>
        <row r="33">
          <cell r="B33">
            <v>0</v>
          </cell>
          <cell r="C33">
            <v>7.1321513504371001E-3</v>
          </cell>
          <cell r="D33">
            <v>0.292006818668267</v>
          </cell>
          <cell r="E33">
            <v>0.28587254862032402</v>
          </cell>
          <cell r="F33">
            <v>0.240707848366322</v>
          </cell>
          <cell r="G33">
            <v>0.67910669176714</v>
          </cell>
          <cell r="H33">
            <v>1.38424345055873</v>
          </cell>
          <cell r="I33">
            <v>0.338855329897367</v>
          </cell>
          <cell r="J33">
            <v>0.19084298075591999</v>
          </cell>
          <cell r="K33">
            <v>0.858807926890232</v>
          </cell>
          <cell r="L33">
            <v>1.2083154839179</v>
          </cell>
          <cell r="M33">
            <v>0</v>
          </cell>
        </row>
        <row r="34">
          <cell r="B34">
            <v>0</v>
          </cell>
          <cell r="C34">
            <v>0</v>
          </cell>
          <cell r="D34">
            <v>3.4190482324348101E-4</v>
          </cell>
          <cell r="E34">
            <v>0.18450187610252111</v>
          </cell>
          <cell r="F34">
            <v>1.9811343795739558</v>
          </cell>
          <cell r="G34">
            <v>1.2089121309952671</v>
          </cell>
          <cell r="H34">
            <v>1.5571475798397421</v>
          </cell>
          <cell r="I34">
            <v>0.64086727740083937</v>
          </cell>
          <cell r="J34">
            <v>5.5861764566727027E-6</v>
          </cell>
          <cell r="K34">
            <v>1.217367211409188E-5</v>
          </cell>
          <cell r="L34">
            <v>0.1528932629466539</v>
          </cell>
          <cell r="M34">
            <v>0.8280621834492492</v>
          </cell>
        </row>
        <row r="35">
          <cell r="B35">
            <v>0</v>
          </cell>
          <cell r="C35">
            <v>6.8105370851207303E-8</v>
          </cell>
          <cell r="D35">
            <v>0.73129221353368401</v>
          </cell>
          <cell r="E35">
            <v>3.9383059211171402E-6</v>
          </cell>
          <cell r="F35">
            <v>2.9512473762060201</v>
          </cell>
          <cell r="G35">
            <v>0.86940561266174399</v>
          </cell>
          <cell r="H35">
            <v>1.4563712713252801</v>
          </cell>
          <cell r="I35">
            <v>0.40532004824907503</v>
          </cell>
          <cell r="J35">
            <v>2.4604144349452701</v>
          </cell>
          <cell r="K35">
            <v>1.9547379817991</v>
          </cell>
          <cell r="L35">
            <v>1.7765537355108101</v>
          </cell>
          <cell r="M35">
            <v>0.74183510767009697</v>
          </cell>
        </row>
        <row r="36">
          <cell r="B36">
            <v>0</v>
          </cell>
          <cell r="C36">
            <v>4.4550686912023866E-6</v>
          </cell>
          <cell r="D36">
            <v>1.8749018202622958</v>
          </cell>
          <cell r="E36">
            <v>1.5528198347159878</v>
          </cell>
          <cell r="F36">
            <v>0.46225849698921684</v>
          </cell>
          <cell r="G36">
            <v>0.75126670123738193</v>
          </cell>
          <cell r="H36">
            <v>5.9907613310908499</v>
          </cell>
          <cell r="I36">
            <v>2.278145890499784</v>
          </cell>
          <cell r="J36">
            <v>0.90517469055238142</v>
          </cell>
          <cell r="K36">
            <v>1.3004248484373684</v>
          </cell>
          <cell r="L36">
            <v>6.525069908177394</v>
          </cell>
          <cell r="M36">
            <v>2.8397208325236565</v>
          </cell>
        </row>
        <row r="37">
          <cell r="B37">
            <v>0</v>
          </cell>
          <cell r="C37">
            <v>5.0883486833245429E-6</v>
          </cell>
          <cell r="D37">
            <v>1.2518197120486101</v>
          </cell>
          <cell r="E37">
            <v>1.6067521622612131</v>
          </cell>
          <cell r="F37">
            <v>4.0158071491177498</v>
          </cell>
          <cell r="G37">
            <v>2.2464694457281302</v>
          </cell>
          <cell r="H37">
            <v>2.3986362184547998</v>
          </cell>
          <cell r="I37">
            <v>1.8282068549624571</v>
          </cell>
          <cell r="J37">
            <v>3.6294649445126597</v>
          </cell>
          <cell r="K37">
            <v>3.7302073774137696</v>
          </cell>
          <cell r="L37">
            <v>2.9896671680715601</v>
          </cell>
          <cell r="M37">
            <v>2.4493884760343798</v>
          </cell>
        </row>
        <row r="38">
          <cell r="B38">
            <v>0</v>
          </cell>
          <cell r="C38">
            <v>6.2076785611284601E-8</v>
          </cell>
          <cell r="D38">
            <v>5.9619015832858502E-5</v>
          </cell>
          <cell r="E38">
            <v>1.5387302891215699E-4</v>
          </cell>
          <cell r="F38">
            <v>0.52261918819178199</v>
          </cell>
          <cell r="G38">
            <v>6.0799025128975401</v>
          </cell>
          <cell r="H38">
            <v>0.60653855675222101</v>
          </cell>
          <cell r="I38">
            <v>0.36785790106997002</v>
          </cell>
          <cell r="J38">
            <v>1.55603121128425</v>
          </cell>
          <cell r="K38">
            <v>5.8392044292001897</v>
          </cell>
          <cell r="L38">
            <v>1.0334745172711</v>
          </cell>
          <cell r="M38">
            <v>0.81657215755066104</v>
          </cell>
        </row>
        <row r="39">
          <cell r="B39">
            <v>0</v>
          </cell>
          <cell r="C39">
            <v>2.3819755259836402E-6</v>
          </cell>
          <cell r="D39">
            <v>5.2868094791549097E-5</v>
          </cell>
          <cell r="E39">
            <v>5.8569897573825603E-3</v>
          </cell>
          <cell r="F39">
            <v>4.5682946387180998E-2</v>
          </cell>
          <cell r="G39">
            <v>6.8203340213843829E-6</v>
          </cell>
          <cell r="H39">
            <v>1.4639959816450799E-5</v>
          </cell>
          <cell r="I39">
            <v>2.35653942042288E-2</v>
          </cell>
          <cell r="J39">
            <v>2.4757635395406399E-2</v>
          </cell>
          <cell r="K39">
            <v>2.7119980189222698E-3</v>
          </cell>
          <cell r="L39">
            <v>1.4841500793031001E-2</v>
          </cell>
          <cell r="M39">
            <v>2.5477897425873901E-2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9.7689313989450998E-4</v>
          </cell>
          <cell r="H40">
            <v>3.5146057473211498E-5</v>
          </cell>
          <cell r="I40">
            <v>8.6565785307103592E-3</v>
          </cell>
          <cell r="J40">
            <v>2.1923298540171198E-3</v>
          </cell>
          <cell r="K40">
            <v>2.0624077420637898E-3</v>
          </cell>
          <cell r="L40">
            <v>2.1248594253840598E-3</v>
          </cell>
          <cell r="M40">
            <v>1.1575219857907101E-2</v>
          </cell>
        </row>
        <row r="41">
          <cell r="B41">
            <v>0</v>
          </cell>
          <cell r="C41">
            <v>1.9193841808142501E-2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7.4919262506332096E-4</v>
          </cell>
          <cell r="K41">
            <v>4.5194692222568102E-4</v>
          </cell>
          <cell r="L41">
            <v>5.6876499967905701E-4</v>
          </cell>
          <cell r="M41">
            <v>1.6409731259250601E-3</v>
          </cell>
        </row>
        <row r="42">
          <cell r="B42">
            <v>0</v>
          </cell>
          <cell r="C42">
            <v>1.65575835440098E-2</v>
          </cell>
          <cell r="D42">
            <v>2.3763791944645399E-2</v>
          </cell>
          <cell r="E42">
            <v>1.23812574809303E-2</v>
          </cell>
          <cell r="F42">
            <v>2.74096812653448E-2</v>
          </cell>
          <cell r="G42">
            <v>1.48864223567382E-2</v>
          </cell>
          <cell r="H42">
            <v>5.8815319340624597E-6</v>
          </cell>
          <cell r="I42">
            <v>1.6499261591468501E-4</v>
          </cell>
          <cell r="J42">
            <v>3.8562202098795602E-6</v>
          </cell>
          <cell r="K42">
            <v>1.2258151794944001E-4</v>
          </cell>
          <cell r="L42">
            <v>1.6794646352360999E-4</v>
          </cell>
          <cell r="M42">
            <v>7.53829939521648E-5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6.1913505367343198E-2</v>
          </cell>
          <cell r="H43">
            <v>8.7073062996178702E-2</v>
          </cell>
          <cell r="I43">
            <v>4.3064811762046497E-2</v>
          </cell>
          <cell r="J43">
            <v>5.4729326954881197E-2</v>
          </cell>
          <cell r="K43">
            <v>8.9078615646754095E-2</v>
          </cell>
          <cell r="L43">
            <v>5.08598675317537E-2</v>
          </cell>
          <cell r="M43">
            <v>4.5548438191017997E-2</v>
          </cell>
        </row>
        <row r="44">
          <cell r="B44">
            <v>0</v>
          </cell>
          <cell r="C44">
            <v>1.12759574522577E-6</v>
          </cell>
          <cell r="D44">
            <v>3.9564124903901503E-6</v>
          </cell>
          <cell r="E44">
            <v>1.4966337962369701E-3</v>
          </cell>
          <cell r="F44">
            <v>5.0525876850444898E-3</v>
          </cell>
          <cell r="G44">
            <v>1.83928032654557E-6</v>
          </cell>
          <cell r="H44">
            <v>8.01227169067675E-7</v>
          </cell>
          <cell r="I44">
            <v>1.21218033252128E-6</v>
          </cell>
          <cell r="J44">
            <v>7.75855745184959E-7</v>
          </cell>
          <cell r="K44">
            <v>3.61985326812437E-6</v>
          </cell>
          <cell r="L44">
            <v>1.00461485869306E-4</v>
          </cell>
          <cell r="M44">
            <v>1.0200841731443E-4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3.68340745652286E-3</v>
          </cell>
          <cell r="H45">
            <v>2.5405242799768399E-2</v>
          </cell>
          <cell r="I45">
            <v>3.5018037440837098E-2</v>
          </cell>
          <cell r="J45">
            <v>4.4840150089964699E-7</v>
          </cell>
          <cell r="K45">
            <v>9.0888234896810203E-7</v>
          </cell>
          <cell r="L45">
            <v>1.6481189670036601E-6</v>
          </cell>
          <cell r="M45">
            <v>6.5531417118625E-6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2.83817375545437E-2</v>
          </cell>
          <cell r="G46">
            <v>6.9029371633872599E-6</v>
          </cell>
          <cell r="H46">
            <v>9.4209560831302191E-3</v>
          </cell>
          <cell r="I46">
            <v>6.5429770737822801E-2</v>
          </cell>
          <cell r="J46">
            <v>7.2154881992568896E-3</v>
          </cell>
          <cell r="K46">
            <v>1.9897347269477499E-2</v>
          </cell>
          <cell r="L46">
            <v>0.10229306558095599</v>
          </cell>
          <cell r="M46">
            <v>3.4242930338794497E-2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5.6525776573472801E-4</v>
          </cell>
          <cell r="G47">
            <v>1.1940664721524401E-4</v>
          </cell>
          <cell r="H47">
            <v>1.11630157792611E-5</v>
          </cell>
          <cell r="I47">
            <v>8.2029733502977096E-4</v>
          </cell>
          <cell r="J47">
            <v>3.9679006991959397E-6</v>
          </cell>
          <cell r="K47">
            <v>2.38721832889566E-4</v>
          </cell>
          <cell r="L47">
            <v>4.6167878210221202E-4</v>
          </cell>
          <cell r="M47">
            <v>2.94693495868483E-4</v>
          </cell>
        </row>
        <row r="48">
          <cell r="B48">
            <v>0</v>
          </cell>
          <cell r="C48">
            <v>4.7543161195844064E-4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6.3966965980981198E-4</v>
          </cell>
          <cell r="K48">
            <v>3.3041812227553E-4</v>
          </cell>
          <cell r="L48">
            <v>1.704811879156867E-3</v>
          </cell>
          <cell r="M48">
            <v>3.3905181579432808E-4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3.8875667046381102E-4</v>
          </cell>
          <cell r="K49">
            <v>2.93833608218869E-4</v>
          </cell>
          <cell r="L49">
            <v>1.2772804658859709E-5</v>
          </cell>
          <cell r="M49">
            <v>7.0520272667877601E-4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2.0942622794661121E-4</v>
          </cell>
          <cell r="F50">
            <v>2.06377542244048E-4</v>
          </cell>
          <cell r="G50">
            <v>6.3433052909475695E-4</v>
          </cell>
          <cell r="H50">
            <v>1.950812572750886E-4</v>
          </cell>
          <cell r="I50">
            <v>9.6719456478357299E-4</v>
          </cell>
          <cell r="J50">
            <v>2.6311902867293339E-6</v>
          </cell>
          <cell r="K50">
            <v>1.376611436177772E-5</v>
          </cell>
          <cell r="L50">
            <v>9.0399830963007704E-4</v>
          </cell>
          <cell r="M50">
            <v>3.7562927489154843E-4</v>
          </cell>
        </row>
        <row r="51">
          <cell r="B51">
            <v>0</v>
          </cell>
          <cell r="C51">
            <v>2.4794936493804298E-3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1.4053324857209088E-3</v>
          </cell>
          <cell r="K51">
            <v>5.4026803583659246E-3</v>
          </cell>
          <cell r="L51">
            <v>2.7746028924526909E-3</v>
          </cell>
          <cell r="M51">
            <v>6.5377794622785189E-3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1.135097107452069E-3</v>
          </cell>
          <cell r="K52">
            <v>7.5312779070320205E-4</v>
          </cell>
          <cell r="L52">
            <v>2.475684015529036E-4</v>
          </cell>
          <cell r="M52">
            <v>2.3186224203267918E-3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3.0106819548743899E-4</v>
          </cell>
          <cell r="F53">
            <v>4.6458647201883798E-4</v>
          </cell>
          <cell r="G53">
            <v>4.4077967268851079E-3</v>
          </cell>
          <cell r="H53">
            <v>4.089755822811101E-3</v>
          </cell>
          <cell r="I53">
            <v>6.734347510018503E-3</v>
          </cell>
          <cell r="J53">
            <v>3.3499533154759463E-3</v>
          </cell>
          <cell r="K53">
            <v>3.165946220977209E-4</v>
          </cell>
          <cell r="L53">
            <v>4.2018474106989938E-3</v>
          </cell>
          <cell r="M53">
            <v>4.7171782576029881E-4</v>
          </cell>
        </row>
        <row r="54">
          <cell r="B54">
            <v>0</v>
          </cell>
          <cell r="C54">
            <v>2.6266551818290101E-2</v>
          </cell>
          <cell r="D54">
            <v>7.1139482167868898E-3</v>
          </cell>
          <cell r="E54">
            <v>1.22937278298383E-2</v>
          </cell>
          <cell r="F54">
            <v>4.4114273726746402E-2</v>
          </cell>
          <cell r="G54">
            <v>2.9869471111500501E-2</v>
          </cell>
          <cell r="H54">
            <v>1.24566167923709E-2</v>
          </cell>
          <cell r="I54">
            <v>4.52545680685882E-2</v>
          </cell>
          <cell r="J54">
            <v>2.69285753734726E-2</v>
          </cell>
          <cell r="K54">
            <v>1.53988520585103E-2</v>
          </cell>
          <cell r="L54">
            <v>5.9102894622295801E-2</v>
          </cell>
          <cell r="M54">
            <v>6.1503517516337099E-2</v>
          </cell>
        </row>
        <row r="55">
          <cell r="B55">
            <v>0</v>
          </cell>
          <cell r="C55">
            <v>4.0952463671492197E-2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9.9367003570885589E-4</v>
          </cell>
          <cell r="K55">
            <v>2.0601555916913299E-4</v>
          </cell>
          <cell r="L55">
            <v>5.0256434345735505E-4</v>
          </cell>
          <cell r="M55">
            <v>1.32064631145305E-3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2.4339750554348101E-4</v>
          </cell>
          <cell r="F56">
            <v>1.76452675749156E-4</v>
          </cell>
          <cell r="G56">
            <v>3.77425971302842E-4</v>
          </cell>
          <cell r="H56">
            <v>1.0043479994492099E-4</v>
          </cell>
          <cell r="I56">
            <v>5.8838105037593998E-4</v>
          </cell>
          <cell r="J56">
            <v>9.6989912042142499E-6</v>
          </cell>
          <cell r="K56">
            <v>7.10300312214635E-5</v>
          </cell>
          <cell r="L56">
            <v>8.2091077104418802E-4</v>
          </cell>
          <cell r="M56">
            <v>3.4258966229256901E-4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3.3239297866489602E-4</v>
          </cell>
          <cell r="F57">
            <v>8.5208343281901599E-4</v>
          </cell>
          <cell r="G57">
            <v>8.1767219855725197E-5</v>
          </cell>
          <cell r="H57">
            <v>6.6498125902527403E-5</v>
          </cell>
          <cell r="I57">
            <v>3.4001969085307201E-3</v>
          </cell>
          <cell r="J57">
            <v>5.5377560305368495E-4</v>
          </cell>
          <cell r="K57">
            <v>5.6470515435577597E-4</v>
          </cell>
          <cell r="L57">
            <v>1.1953135736349299E-2</v>
          </cell>
          <cell r="M57">
            <v>1.7279033773013201E-2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5.6635358571253199E-4</v>
          </cell>
          <cell r="K58">
            <v>3.8129369591058702E-4</v>
          </cell>
          <cell r="L58">
            <v>1.6427496189354499E-4</v>
          </cell>
          <cell r="M58">
            <v>1.40761794274859E-3</v>
          </cell>
        </row>
        <row r="63">
          <cell r="B63">
            <v>0</v>
          </cell>
          <cell r="C63">
            <v>3.6558124524816302E-6</v>
          </cell>
          <cell r="D63">
            <v>3.8153451664776498E-6</v>
          </cell>
          <cell r="E63">
            <v>3.9830760129458299E-6</v>
          </cell>
          <cell r="F63">
            <v>5.2976912768082399E-6</v>
          </cell>
          <cell r="G63">
            <v>4.9619367041550503E-6</v>
          </cell>
          <cell r="H63">
            <v>4.7031750735395403E-6</v>
          </cell>
          <cell r="I63">
            <v>4.5866794930884697E-6</v>
          </cell>
          <cell r="J63">
            <v>4.4884866974018399E-6</v>
          </cell>
          <cell r="K63">
            <v>5.4596381616966897E-6</v>
          </cell>
          <cell r="L63">
            <v>6.5020233624615199E-6</v>
          </cell>
          <cell r="M63">
            <v>8.2724022993921599E-6</v>
          </cell>
        </row>
        <row r="64">
          <cell r="B64">
            <v>2.4962322716105402E-3</v>
          </cell>
          <cell r="C64">
            <v>5.1689793537789899E-6</v>
          </cell>
          <cell r="D64">
            <v>1.52112930856663E-5</v>
          </cell>
          <cell r="E64">
            <v>3.54721929340937E-4</v>
          </cell>
          <cell r="F64">
            <v>0.21470933414347701</v>
          </cell>
          <cell r="G64">
            <v>2.12996621920746E-2</v>
          </cell>
          <cell r="H64">
            <v>0.103613856414168</v>
          </cell>
          <cell r="I64">
            <v>0.125435416887965</v>
          </cell>
          <cell r="J64">
            <v>6.4305258854106304E-2</v>
          </cell>
          <cell r="K64">
            <v>0.10796181981685</v>
          </cell>
          <cell r="L64">
            <v>0.11747674058086199</v>
          </cell>
          <cell r="M64">
            <v>4.7773579861875803E-2</v>
          </cell>
        </row>
        <row r="65">
          <cell r="B65">
            <v>1.8669084425136399E-3</v>
          </cell>
          <cell r="C65">
            <v>3.9396792950754204E-6</v>
          </cell>
          <cell r="D65">
            <v>1.1473432583183601E-5</v>
          </cell>
          <cell r="E65">
            <v>2.9206673574860999E-4</v>
          </cell>
          <cell r="F65">
            <v>1.8989156242243201E-2</v>
          </cell>
          <cell r="G65">
            <v>0.72001694707946795</v>
          </cell>
          <cell r="H65">
            <v>0.60281379431270998</v>
          </cell>
          <cell r="I65">
            <v>1.34395795274761</v>
          </cell>
          <cell r="J65">
            <v>0.35279747678027601</v>
          </cell>
          <cell r="K65">
            <v>1.2169451577072701</v>
          </cell>
          <cell r="L65">
            <v>0.89611625023994901</v>
          </cell>
          <cell r="M65">
            <v>0.51752458914684496</v>
          </cell>
        </row>
        <row r="66">
          <cell r="B66">
            <v>1.6699396181148699E-3</v>
          </cell>
          <cell r="C66">
            <v>3.91969354601185E-6</v>
          </cell>
          <cell r="D66">
            <v>2.87696721107466E-5</v>
          </cell>
          <cell r="E66">
            <v>2.2255756074351801E-2</v>
          </cell>
          <cell r="F66">
            <v>2.1781492285083501E-2</v>
          </cell>
          <cell r="G66">
            <v>4.1535946877596097E-2</v>
          </cell>
          <cell r="H66">
            <v>3.6221356505992501E-3</v>
          </cell>
          <cell r="I66">
            <v>7.4766334109622898E-2</v>
          </cell>
          <cell r="J66">
            <v>1.50992931479091E-2</v>
          </cell>
          <cell r="K66">
            <v>5.4458805583325699E-2</v>
          </cell>
          <cell r="L66">
            <v>5.4864273642277799E-2</v>
          </cell>
          <cell r="M66">
            <v>2.18318664888194E-2</v>
          </cell>
        </row>
        <row r="67">
          <cell r="B67">
            <v>3.7779999613439101E-3</v>
          </cell>
          <cell r="C67">
            <v>9.5990991869736207E-6</v>
          </cell>
          <cell r="D67">
            <v>5.4990479261268096E-5</v>
          </cell>
          <cell r="E67">
            <v>3.3075625793181601E-2</v>
          </cell>
          <cell r="F67">
            <v>1.898601449843482E-2</v>
          </cell>
          <cell r="G67">
            <v>3.5455415488553105E-2</v>
          </cell>
          <cell r="H67">
            <v>4.8038584463799799E-2</v>
          </cell>
          <cell r="I67">
            <v>5.5808428479565797E-2</v>
          </cell>
          <cell r="J67">
            <v>4.2691215022231603E-2</v>
          </cell>
          <cell r="K67">
            <v>5.4749917505680798E-2</v>
          </cell>
          <cell r="L67">
            <v>6.8080766919854901E-2</v>
          </cell>
          <cell r="M67">
            <v>3.7632381167777902E-2</v>
          </cell>
        </row>
        <row r="68">
          <cell r="B68">
            <v>3.7765300509513102E-3</v>
          </cell>
          <cell r="C68">
            <v>9.6308410626324196E-6</v>
          </cell>
          <cell r="D68">
            <v>5.6035498960126703E-5</v>
          </cell>
          <cell r="E68">
            <v>3.37433780749197E-2</v>
          </cell>
          <cell r="F68">
            <v>2.96402420762048E-2</v>
          </cell>
          <cell r="G68">
            <v>6.42476274561984E-2</v>
          </cell>
          <cell r="H68">
            <v>4.7167191741101996E-2</v>
          </cell>
          <cell r="I68">
            <v>4.8305333610789099E-2</v>
          </cell>
          <cell r="J68">
            <v>5.4815354364967699E-2</v>
          </cell>
          <cell r="K68">
            <v>4.7878438510400502E-2</v>
          </cell>
          <cell r="L68">
            <v>7.4242986938878403E-2</v>
          </cell>
          <cell r="M68">
            <v>3.77109653395553E-2</v>
          </cell>
        </row>
        <row r="69">
          <cell r="B69">
            <v>1.6052779758625299E-3</v>
          </cell>
          <cell r="C69">
            <v>3.5898393456485501E-6</v>
          </cell>
          <cell r="D69">
            <v>2.6734778110064102E-5</v>
          </cell>
          <cell r="E69">
            <v>2.9111973027598E-2</v>
          </cell>
          <cell r="F69">
            <v>1.47704789369841E-2</v>
          </cell>
          <cell r="G69">
            <v>5.00986054506532E-2</v>
          </cell>
          <cell r="H69">
            <v>2.8615163987659498E-2</v>
          </cell>
          <cell r="I69">
            <v>2.9577409306403599E-2</v>
          </cell>
          <cell r="J69">
            <v>4.0715743311680999E-2</v>
          </cell>
          <cell r="K69">
            <v>3.0014664842568699E-2</v>
          </cell>
          <cell r="L69">
            <v>5.1149949102843498E-2</v>
          </cell>
          <cell r="M69">
            <v>2.5662177885738099E-2</v>
          </cell>
        </row>
      </sheetData>
      <sheetData sheetId="62"/>
      <sheetData sheetId="63"/>
      <sheetData sheetId="64"/>
      <sheetData sheetId="65"/>
      <sheetData sheetId="66"/>
      <sheetData sheetId="67"/>
      <sheetData sheetId="68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1.1970652672033337E-3</v>
          </cell>
          <cell r="J157">
            <v>1.6945088176431287E-3</v>
          </cell>
          <cell r="K157">
            <v>1.9508876501936757E-3</v>
          </cell>
          <cell r="L157">
            <v>1.781972895588946E-3</v>
          </cell>
          <cell r="M157">
            <v>2.5354126240027335E-3</v>
          </cell>
        </row>
      </sheetData>
      <sheetData sheetId="69">
        <row r="5">
          <cell r="B5">
            <v>1.2032855978345156</v>
          </cell>
          <cell r="C5">
            <v>1.2026178308673523</v>
          </cell>
          <cell r="D5">
            <v>1.8766746621706886E-5</v>
          </cell>
          <cell r="E5">
            <v>3.9398519567567349E-3</v>
          </cell>
          <cell r="F5">
            <v>3.0612861726733139E-3</v>
          </cell>
          <cell r="G5">
            <v>2.9296734679404492E-3</v>
          </cell>
          <cell r="H5">
            <v>2.805564916149964E-3</v>
          </cell>
          <cell r="I5">
            <v>3.0342091646207994</v>
          </cell>
          <cell r="J5">
            <v>4.015153940255602</v>
          </cell>
          <cell r="K5">
            <v>3.3825815747197612</v>
          </cell>
          <cell r="L5">
            <v>3.9720731872956372</v>
          </cell>
          <cell r="M5">
            <v>3.9685098015490943</v>
          </cell>
        </row>
        <row r="12">
          <cell r="B12">
            <v>0.27435500252538908</v>
          </cell>
          <cell r="C12">
            <v>5.6036406398312276E-2</v>
          </cell>
          <cell r="D12">
            <v>1.037098666998759</v>
          </cell>
          <cell r="E12">
            <v>0.30728353878528752</v>
          </cell>
          <cell r="F12">
            <v>7.2127084922540938E-4</v>
          </cell>
          <cell r="G12">
            <v>8.5438011048155171E-4</v>
          </cell>
          <cell r="H12">
            <v>9.1197554610606768E-4</v>
          </cell>
          <cell r="I12">
            <v>1.0961712920056444E-3</v>
          </cell>
          <cell r="J12">
            <v>9.3179733668944135E-4</v>
          </cell>
          <cell r="K12">
            <v>2.9053872424370485E-3</v>
          </cell>
          <cell r="L12">
            <v>9.6185531556501743E-4</v>
          </cell>
          <cell r="M12">
            <v>2.9765559210304226E-3</v>
          </cell>
        </row>
        <row r="19">
          <cell r="B19">
            <v>1.3280291821635535</v>
          </cell>
          <cell r="C19">
            <v>3.9343657788652004</v>
          </cell>
          <cell r="D19">
            <v>4.3847714058673537</v>
          </cell>
          <cell r="E19">
            <v>4.3847878912015386</v>
          </cell>
          <cell r="F19">
            <v>4.3847901640947251</v>
          </cell>
          <cell r="G19">
            <v>4.3938792341993409</v>
          </cell>
          <cell r="H19">
            <v>5.1265886818574415</v>
          </cell>
          <cell r="I19">
            <v>6.889762679169908</v>
          </cell>
          <cell r="J19">
            <v>6.8897667302122336</v>
          </cell>
          <cell r="K19">
            <v>9.1913789941337498</v>
          </cell>
          <cell r="L19">
            <v>9.1913877782328299</v>
          </cell>
          <cell r="M19">
            <v>9.1917628189166631</v>
          </cell>
        </row>
        <row r="20">
          <cell r="B20">
            <v>5.6294395544357654</v>
          </cell>
          <cell r="C20">
            <v>5.7456069341576494</v>
          </cell>
          <cell r="D20">
            <v>5.3055058673367395</v>
          </cell>
          <cell r="E20">
            <v>5.8048612552519234</v>
          </cell>
          <cell r="F20">
            <v>5.7927149288200299</v>
          </cell>
          <cell r="G20">
            <v>8.4144717506545224</v>
          </cell>
          <cell r="H20">
            <v>9.2207229914172864</v>
          </cell>
          <cell r="I20">
            <v>9.9643935877193837</v>
          </cell>
          <cell r="J20">
            <v>10.7081793606622</v>
          </cell>
          <cell r="K20">
            <v>11.434316952307572</v>
          </cell>
          <cell r="L20">
            <v>11.437572680393103</v>
          </cell>
          <cell r="M20">
            <v>11.437616426982505</v>
          </cell>
        </row>
        <row r="21">
          <cell r="B21">
            <v>0</v>
          </cell>
          <cell r="C21">
            <v>4.2678561528908661E-4</v>
          </cell>
          <cell r="D21">
            <v>2.171253416559103E-5</v>
          </cell>
          <cell r="E21">
            <v>1.8305585853095963E-3</v>
          </cell>
          <cell r="F21">
            <v>2.1826824400376244E-3</v>
          </cell>
          <cell r="G21">
            <v>2.5156368969841336E-3</v>
          </cell>
          <cell r="H21">
            <v>3.0018744706916713E-3</v>
          </cell>
          <cell r="I21">
            <v>5.1200753510389843E-3</v>
          </cell>
          <cell r="J21">
            <v>4.9104563854025637E-3</v>
          </cell>
          <cell r="K21">
            <v>1.2465996731665235E-2</v>
          </cell>
          <cell r="L21">
            <v>1.4251762120236735E-2</v>
          </cell>
          <cell r="M21">
            <v>2.2403698418654843E-2</v>
          </cell>
        </row>
        <row r="28">
          <cell r="B28">
            <v>5.027796464448047E-3</v>
          </cell>
          <cell r="C28">
            <v>1.8326936596343157E-2</v>
          </cell>
          <cell r="D28">
            <v>1.8377271591429024E-2</v>
          </cell>
          <cell r="E28">
            <v>0.42838746561682473</v>
          </cell>
          <cell r="F28">
            <v>5.7760595340715142</v>
          </cell>
          <cell r="G28">
            <v>16.608714359995833</v>
          </cell>
          <cell r="H28">
            <v>17.703579079667325</v>
          </cell>
          <cell r="I28">
            <v>26.656389239738253</v>
          </cell>
          <cell r="J28">
            <v>26.660300705748707</v>
          </cell>
          <cell r="K28">
            <v>26.660640796757139</v>
          </cell>
          <cell r="L28">
            <v>26.660676967634345</v>
          </cell>
          <cell r="M28">
            <v>26.661174559474279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4.1825567249681277E-4</v>
          </cell>
          <cell r="J29">
            <v>4.2586460098857398E-4</v>
          </cell>
          <cell r="K29">
            <v>4.8167581629904256E-4</v>
          </cell>
          <cell r="L29">
            <v>4.7793371888560214E-4</v>
          </cell>
          <cell r="M29">
            <v>8.3581379936763993E-4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4.4624291065608799E-4</v>
          </cell>
          <cell r="J30">
            <v>7.8257085432886808E-4</v>
          </cell>
          <cell r="K30">
            <v>9.0880154015160941E-4</v>
          </cell>
          <cell r="L30">
            <v>7.9564779002075999E-4</v>
          </cell>
          <cell r="M30">
            <v>9.9060376113600172E-4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5.7709639093511097E-3</v>
          </cell>
          <cell r="F31">
            <v>0.37336069609086125</v>
          </cell>
          <cell r="G31">
            <v>0.16419265111552192</v>
          </cell>
          <cell r="H31">
            <v>0.45740185819809392</v>
          </cell>
          <cell r="I31">
            <v>1.0215497995129663E-3</v>
          </cell>
          <cell r="J31">
            <v>3.8376974711251677E-4</v>
          </cell>
          <cell r="K31">
            <v>9.0633891885349982E-4</v>
          </cell>
          <cell r="L31">
            <v>4.497229149933446E-4</v>
          </cell>
          <cell r="M31">
            <v>1.347584351908182E-3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1.9809592146423058</v>
          </cell>
          <cell r="J32">
            <v>5.6223967095393315</v>
          </cell>
          <cell r="K32">
            <v>5.5892409954726787</v>
          </cell>
          <cell r="L32">
            <v>8.8604411338358808</v>
          </cell>
          <cell r="M32">
            <v>9.6336035843556989</v>
          </cell>
        </row>
        <row r="38">
          <cell r="B38">
            <v>1.2891003817930504</v>
          </cell>
          <cell r="C38">
            <v>3.3575813024140575</v>
          </cell>
          <cell r="D38">
            <v>2.8640683712474906</v>
          </cell>
          <cell r="E38">
            <v>2.8640526962450399</v>
          </cell>
          <cell r="F38">
            <v>2.8641874459207992</v>
          </cell>
          <cell r="G38">
            <v>3.0855694310906006</v>
          </cell>
          <cell r="H38">
            <v>4.8065719458145626</v>
          </cell>
          <cell r="I38">
            <v>6.9056433912384021</v>
          </cell>
          <cell r="J38">
            <v>9.2454859746935796</v>
          </cell>
          <cell r="K38">
            <v>11.56806678058711</v>
          </cell>
          <cell r="L38">
            <v>11.569907435467659</v>
          </cell>
          <cell r="M38">
            <v>11.572697790310841</v>
          </cell>
        </row>
        <row r="39">
          <cell r="B39">
            <v>1.1764981707976323</v>
          </cell>
          <cell r="C39">
            <v>3.0642984180177137</v>
          </cell>
          <cell r="D39">
            <v>2.6138935705884947</v>
          </cell>
          <cell r="E39">
            <v>2.6138792647889129</v>
          </cell>
          <cell r="F39">
            <v>2.6140022441544319</v>
          </cell>
          <cell r="G39">
            <v>2.8160466343962098</v>
          </cell>
          <cell r="H39">
            <v>4.3867205238062565</v>
          </cell>
          <cell r="I39">
            <v>6.302439230273249</v>
          </cell>
          <cell r="J39">
            <v>8.437897847980306</v>
          </cell>
          <cell r="K39">
            <v>10.557602494923849</v>
          </cell>
          <cell r="L39">
            <v>10.559282369610598</v>
          </cell>
          <cell r="M39">
            <v>10.561828988489347</v>
          </cell>
        </row>
      </sheetData>
      <sheetData sheetId="70">
        <row r="3">
          <cell r="B3">
            <v>48.063397652170998</v>
          </cell>
          <cell r="C3">
            <v>50.717002112945735</v>
          </cell>
          <cell r="D3">
            <v>52.366757404545318</v>
          </cell>
          <cell r="E3">
            <v>53.836954334419794</v>
          </cell>
          <cell r="F3">
            <v>54.805092856534365</v>
          </cell>
          <cell r="G3">
            <v>55.348981921405212</v>
          </cell>
          <cell r="H3">
            <v>56.041022308601754</v>
          </cell>
          <cell r="I3">
            <v>56.73306791757598</v>
          </cell>
          <cell r="J3">
            <v>57.427922684466964</v>
          </cell>
          <cell r="K3">
            <v>58.992644658882462</v>
          </cell>
          <cell r="L3">
            <v>57.52024743487187</v>
          </cell>
          <cell r="M3">
            <v>57.640631349652196</v>
          </cell>
        </row>
        <row r="6">
          <cell r="B6">
            <v>0</v>
          </cell>
          <cell r="C6">
            <v>4.8942145819325082</v>
          </cell>
          <cell r="D6">
            <v>4.8943336318201798</v>
          </cell>
          <cell r="E6">
            <v>5.0984634416515346</v>
          </cell>
          <cell r="F6">
            <v>15.421532875155629</v>
          </cell>
          <cell r="G6">
            <v>17.289525998819133</v>
          </cell>
          <cell r="H6">
            <v>18.996497911906957</v>
          </cell>
          <cell r="I6">
            <v>19.747939496045145</v>
          </cell>
          <cell r="J6">
            <v>19.747985032757963</v>
          </cell>
          <cell r="K6">
            <v>19.748481674539871</v>
          </cell>
          <cell r="L6">
            <v>19.749006451430297</v>
          </cell>
          <cell r="M6">
            <v>19.750018696308814</v>
          </cell>
        </row>
        <row r="11">
          <cell r="B11">
            <v>60.070058927960368</v>
          </cell>
          <cell r="C11">
            <v>62.576502253360324</v>
          </cell>
          <cell r="D11">
            <v>64.903938394248797</v>
          </cell>
          <cell r="E11">
            <v>70.904822166795583</v>
          </cell>
          <cell r="F11">
            <v>70.42860992279023</v>
          </cell>
          <cell r="G11">
            <v>70.867654773068494</v>
          </cell>
          <cell r="H11">
            <v>71.251130661482961</v>
          </cell>
          <cell r="I11">
            <v>73.785510911941287</v>
          </cell>
          <cell r="J11">
            <v>74.481638315530205</v>
          </cell>
          <cell r="K11">
            <v>76.04059916377949</v>
          </cell>
          <cell r="L11">
            <v>74.57010789910953</v>
          </cell>
          <cell r="M11">
            <v>74.687893983388307</v>
          </cell>
        </row>
        <row r="18">
          <cell r="B18">
            <v>3.56004273918029</v>
          </cell>
          <cell r="C18">
            <v>3.4647590848767336</v>
          </cell>
          <cell r="D18">
            <v>1.7091200775204762E-2</v>
          </cell>
          <cell r="E18">
            <v>1.3738607678468987E-3</v>
          </cell>
          <cell r="F18">
            <v>1.740733318647451E-3</v>
          </cell>
          <cell r="G18">
            <v>3.9947130196455504E-3</v>
          </cell>
          <cell r="H18">
            <v>1.9201830249886559E-3</v>
          </cell>
          <cell r="I18">
            <v>4.1694470104093183E-5</v>
          </cell>
          <cell r="J18">
            <v>1.1309141021156351E-4</v>
          </cell>
          <cell r="K18">
            <v>1.5727616072570364E-4</v>
          </cell>
          <cell r="L18">
            <v>1.5267060017638086E-4</v>
          </cell>
          <cell r="M18">
            <v>1.7477235583997954E-4</v>
          </cell>
        </row>
        <row r="19">
          <cell r="B19">
            <v>12.728695887806097</v>
          </cell>
          <cell r="C19">
            <v>13.638482139124372</v>
          </cell>
          <cell r="D19">
            <v>13.523064933960748</v>
          </cell>
          <cell r="E19">
            <v>14.638434901954808</v>
          </cell>
          <cell r="F19">
            <v>14.167910551842391</v>
          </cell>
          <cell r="G19">
            <v>15.118385057300356</v>
          </cell>
          <cell r="H19">
            <v>16.98711177102458</v>
          </cell>
          <cell r="I19">
            <v>21.924966209937775</v>
          </cell>
          <cell r="J19">
            <v>21.605055414695514</v>
          </cell>
          <cell r="K19">
            <v>21.298215730160866</v>
          </cell>
          <cell r="L19">
            <v>21.272816883365348</v>
          </cell>
          <cell r="M19">
            <v>21.139607412567802</v>
          </cell>
        </row>
        <row r="21">
          <cell r="B21">
            <v>7.7980938249667293</v>
          </cell>
          <cell r="C21">
            <v>8.0801934508042166</v>
          </cell>
          <cell r="D21">
            <v>5.60830952103358</v>
          </cell>
          <cell r="E21">
            <v>5.5456532657202269</v>
          </cell>
          <cell r="F21">
            <v>5.4829839575194645</v>
          </cell>
          <cell r="G21">
            <v>5.4550422348547833</v>
          </cell>
          <cell r="H21">
            <v>5.4261579077703601</v>
          </cell>
          <cell r="I21">
            <v>1.5164116211964125E-2</v>
          </cell>
          <cell r="J21">
            <v>7.6087381170691732E-3</v>
          </cell>
          <cell r="K21">
            <v>3.5300480638641354E-3</v>
          </cell>
          <cell r="L21">
            <v>2.3493160529650154E-3</v>
          </cell>
          <cell r="M21">
            <v>1.3079206760910004E-3</v>
          </cell>
        </row>
        <row r="22">
          <cell r="B22">
            <v>6.7643841174582955E-2</v>
          </cell>
          <cell r="C22">
            <v>8.5504629910869059E-2</v>
          </cell>
          <cell r="D22">
            <v>8.4059751866770782E-2</v>
          </cell>
          <cell r="E22">
            <v>8.5790528175208103E-2</v>
          </cell>
          <cell r="F22">
            <v>7.0101056862322694E-2</v>
          </cell>
          <cell r="G22">
            <v>7.8599766137742957E-2</v>
          </cell>
          <cell r="H22">
            <v>5.6677337779538005E-2</v>
          </cell>
          <cell r="I22">
            <v>8.6768660865463823E-2</v>
          </cell>
          <cell r="J22">
            <v>5.4063659843056888E-2</v>
          </cell>
          <cell r="K22">
            <v>4.8168606817597347E-2</v>
          </cell>
          <cell r="L22">
            <v>8.8235570506150635E-3</v>
          </cell>
          <cell r="M22">
            <v>4.7697291840711779E-3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4.6939560202428625</v>
          </cell>
          <cell r="G23">
            <v>8.0013116861380897</v>
          </cell>
          <cell r="H23">
            <v>7.9337289070809982</v>
          </cell>
          <cell r="I23">
            <v>8.6620066665912461</v>
          </cell>
          <cell r="J23">
            <v>9.3511295691711762</v>
          </cell>
          <cell r="K23">
            <v>9.4411085477091081</v>
          </cell>
          <cell r="L23">
            <v>9.4348385268848318</v>
          </cell>
          <cell r="M23">
            <v>9.4218976247203106</v>
          </cell>
        </row>
        <row r="24">
          <cell r="B24">
            <v>0.74851284512559846</v>
          </cell>
          <cell r="C24">
            <v>0.94978094061055096</v>
          </cell>
          <cell r="D24">
            <v>2.450290295973689</v>
          </cell>
          <cell r="E24">
            <v>4.1105241560578207</v>
          </cell>
          <cell r="F24">
            <v>5.1328545569917194</v>
          </cell>
          <cell r="G24">
            <v>6.545951603763001</v>
          </cell>
          <cell r="H24">
            <v>7.9614174012263179</v>
          </cell>
          <cell r="I24">
            <v>9.3441255556661016</v>
          </cell>
          <cell r="J24">
            <v>9.3441491683694018</v>
          </cell>
          <cell r="K24">
            <v>9.3441765354955848</v>
          </cell>
          <cell r="L24">
            <v>9.3441797493382648</v>
          </cell>
          <cell r="M24">
            <v>9.3441861306277438</v>
          </cell>
        </row>
        <row r="33">
          <cell r="B33">
            <v>12.006661275789373</v>
          </cell>
          <cell r="C33">
            <v>12.710098271030379</v>
          </cell>
          <cell r="D33">
            <v>13.387799810791698</v>
          </cell>
          <cell r="E33">
            <v>17.955513043495145</v>
          </cell>
          <cell r="F33">
            <v>18.33380402084903</v>
          </cell>
          <cell r="G33">
            <v>18.856436709920327</v>
          </cell>
          <cell r="H33">
            <v>19.357621654695485</v>
          </cell>
          <cell r="I33">
            <v>19.813914491095883</v>
          </cell>
          <cell r="J33">
            <v>19.813966460636877</v>
          </cell>
          <cell r="K33">
            <v>19.81403503780302</v>
          </cell>
          <cell r="L33">
            <v>19.814043817910864</v>
          </cell>
          <cell r="M33">
            <v>19.814102450781583</v>
          </cell>
        </row>
        <row r="34">
          <cell r="B34">
            <v>8.8978365457705824</v>
          </cell>
          <cell r="C34">
            <v>8.1043779686286737</v>
          </cell>
          <cell r="D34">
            <v>8.0014217225385291</v>
          </cell>
          <cell r="E34">
            <v>6.2974892213496414</v>
          </cell>
          <cell r="F34">
            <v>4.186503804054639</v>
          </cell>
          <cell r="G34">
            <v>2.7244949488147978</v>
          </cell>
          <cell r="H34">
            <v>1.3379116135629776</v>
          </cell>
          <cell r="I34">
            <v>1.528761082527388E-5</v>
          </cell>
          <cell r="J34">
            <v>6.7108043530916361E-5</v>
          </cell>
          <cell r="K34">
            <v>8.0124244229006885E-5</v>
          </cell>
          <cell r="L34">
            <v>7.2224262405703576E-5</v>
          </cell>
          <cell r="M34">
            <v>7.6540478584531863E-5</v>
          </cell>
        </row>
        <row r="35">
          <cell r="B35">
            <v>2.730042030847148</v>
          </cell>
          <cell r="C35">
            <v>2.7182761255570789</v>
          </cell>
          <cell r="D35">
            <v>8.0969632113535254E-3</v>
          </cell>
          <cell r="E35">
            <v>1.7615337270436907E-3</v>
          </cell>
          <cell r="F35">
            <v>2.3081401162989307E-3</v>
          </cell>
          <cell r="G35">
            <v>4.741583546717278E-3</v>
          </cell>
          <cell r="H35">
            <v>2.1437624438566749E-3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</row>
        <row r="36">
          <cell r="B36">
            <v>0</v>
          </cell>
          <cell r="C36">
            <v>0</v>
          </cell>
          <cell r="D36">
            <v>1.2021366350344572E-5</v>
          </cell>
          <cell r="E36">
            <v>0.20617592539073534</v>
          </cell>
          <cell r="F36">
            <v>0.19757223201880489</v>
          </cell>
          <cell r="G36">
            <v>0.22666964903748194</v>
          </cell>
          <cell r="H36">
            <v>0.22667545707692724</v>
          </cell>
          <cell r="I36">
            <v>0.22670056939201719</v>
          </cell>
          <cell r="J36">
            <v>0.22662766613793961</v>
          </cell>
          <cell r="K36">
            <v>0.22660951218718778</v>
          </cell>
          <cell r="L36">
            <v>0.21785179348588846</v>
          </cell>
          <cell r="M36">
            <v>0.21709341773053281</v>
          </cell>
        </row>
        <row r="37">
          <cell r="B37">
            <v>35.244302085898184</v>
          </cell>
          <cell r="C37">
            <v>29.685247137318143</v>
          </cell>
          <cell r="D37">
            <v>33.61739519525014</v>
          </cell>
          <cell r="E37">
            <v>23.50634965810417</v>
          </cell>
          <cell r="F37">
            <v>10.37958211103232</v>
          </cell>
          <cell r="G37">
            <v>5.1650240586130884</v>
          </cell>
          <cell r="H37">
            <v>1.9734019078989269</v>
          </cell>
          <cell r="I37">
            <v>0.11976770593960091</v>
          </cell>
          <cell r="J37">
            <v>1.2391769425715527E-2</v>
          </cell>
          <cell r="K37">
            <v>1.1042763927946798E-3</v>
          </cell>
          <cell r="L37">
            <v>4.1445773710703142E-3</v>
          </cell>
          <cell r="M37">
            <v>3.1747621870546337E-4</v>
          </cell>
        </row>
        <row r="38">
          <cell r="B38">
            <v>0.3080931797537832</v>
          </cell>
          <cell r="C38">
            <v>3.8551389164391921E-4</v>
          </cell>
          <cell r="D38">
            <v>2.4603055623923753</v>
          </cell>
          <cell r="E38">
            <v>2.5740006418121539</v>
          </cell>
          <cell r="F38">
            <v>2.3500756803633696</v>
          </cell>
          <cell r="G38">
            <v>2.2373915370922757</v>
          </cell>
          <cell r="H38">
            <v>2.341931248361754</v>
          </cell>
          <cell r="I38">
            <v>1.1387873572893106</v>
          </cell>
          <cell r="J38">
            <v>0.6710582372900854</v>
          </cell>
          <cell r="K38">
            <v>0.73242839492070411</v>
          </cell>
          <cell r="L38">
            <v>0.63998460566515081</v>
          </cell>
          <cell r="M38">
            <v>0.62492152609126395</v>
          </cell>
        </row>
        <row r="39">
          <cell r="B39">
            <v>0.436763689109471</v>
          </cell>
          <cell r="C39">
            <v>0.55210468653848932</v>
          </cell>
          <cell r="D39">
            <v>1.1410857474177907</v>
          </cell>
          <cell r="E39">
            <v>4.3234039391004639</v>
          </cell>
          <cell r="F39">
            <v>4.3234252298574729</v>
          </cell>
          <cell r="G39">
            <v>4.3234316183412229</v>
          </cell>
          <cell r="H39">
            <v>4.3234334131436638</v>
          </cell>
          <cell r="I39">
            <v>4.3234351208762805</v>
          </cell>
          <cell r="J39">
            <v>4.3234484288362891</v>
          </cell>
          <cell r="K39">
            <v>4.3234506915264861</v>
          </cell>
          <cell r="L39">
            <v>4.3234640529744084</v>
          </cell>
          <cell r="M39">
            <v>4.3236152736308444</v>
          </cell>
        </row>
        <row r="55">
          <cell r="B55">
            <v>9.8139156445914235</v>
          </cell>
          <cell r="C55">
            <v>10.335110893671704</v>
          </cell>
          <cell r="D55">
            <v>10.335832994721882</v>
          </cell>
          <cell r="E55">
            <v>13.596148577607744</v>
          </cell>
          <cell r="F55">
            <v>13.596150792849889</v>
          </cell>
          <cell r="G55">
            <v>13.59615284577368</v>
          </cell>
          <cell r="H55">
            <v>13.596155479513733</v>
          </cell>
          <cell r="I55">
            <v>13.596165173590332</v>
          </cell>
          <cell r="J55">
            <v>13.596181650014874</v>
          </cell>
          <cell r="K55">
            <v>13.596206812162482</v>
          </cell>
          <cell r="L55">
            <v>13.59621117235465</v>
          </cell>
          <cell r="M55">
            <v>13.596253798845693</v>
          </cell>
        </row>
        <row r="56">
          <cell r="B56">
            <v>1.1082052879031223</v>
          </cell>
          <cell r="C56">
            <v>1.4008681099447473</v>
          </cell>
          <cell r="D56">
            <v>3.5749949477233427</v>
          </cell>
          <cell r="E56">
            <v>5.9671490004075141</v>
          </cell>
          <cell r="F56">
            <v>7.3860704657650844</v>
          </cell>
          <cell r="G56">
            <v>9.3340249946370974</v>
          </cell>
          <cell r="H56">
            <v>11.275899105017807</v>
          </cell>
          <cell r="I56">
            <v>13.126839026487145</v>
          </cell>
          <cell r="J56">
            <v>13.126951371410195</v>
          </cell>
          <cell r="K56">
            <v>13.127085726361095</v>
          </cell>
          <cell r="L56">
            <v>13.127098303894227</v>
          </cell>
          <cell r="M56">
            <v>13.127127429686603</v>
          </cell>
        </row>
        <row r="57">
          <cell r="B57">
            <v>6.917730973230138</v>
          </cell>
          <cell r="C57">
            <v>6.3110402849894154</v>
          </cell>
          <cell r="D57">
            <v>6.2459713158969246</v>
          </cell>
          <cell r="E57">
            <v>5.0972534073222366</v>
          </cell>
          <cell r="F57">
            <v>3.4498087521626459</v>
          </cell>
          <cell r="G57">
            <v>2.3315370940851219</v>
          </cell>
          <cell r="H57">
            <v>1.2410055089779395</v>
          </cell>
          <cell r="I57">
            <v>0.18054028321790624</v>
          </cell>
          <cell r="J57">
            <v>0.18052349436779311</v>
          </cell>
          <cell r="K57">
            <v>0.18051940303134184</v>
          </cell>
          <cell r="L57">
            <v>0.17353909163825168</v>
          </cell>
          <cell r="M57">
            <v>0.17293861258678234</v>
          </cell>
        </row>
        <row r="58">
          <cell r="B58">
            <v>1.8458496681065271</v>
          </cell>
          <cell r="C58">
            <v>1.8458454030595342</v>
          </cell>
          <cell r="D58">
            <v>5.5337682947594171E-3</v>
          </cell>
          <cell r="E58">
            <v>1.2167794219554299E-3</v>
          </cell>
          <cell r="F58">
            <v>1.6112260599339221E-3</v>
          </cell>
          <cell r="G58">
            <v>3.3445944942656985E-3</v>
          </cell>
          <cell r="H58">
            <v>1.5278326967061026E-3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</row>
        <row r="59">
          <cell r="B59">
            <v>28.619796617245338</v>
          </cell>
          <cell r="C59">
            <v>23.91795037297625</v>
          </cell>
          <cell r="D59">
            <v>29.094405585965063</v>
          </cell>
          <cell r="E59">
            <v>21.081465857474001</v>
          </cell>
          <cell r="F59">
            <v>10.522453945989588</v>
          </cell>
          <cell r="G59">
            <v>6.1431319481577029</v>
          </cell>
          <cell r="H59">
            <v>3.6066380411263865</v>
          </cell>
          <cell r="I59">
            <v>1.0405233623881769</v>
          </cell>
          <cell r="J59">
            <v>0.55678561539248006</v>
          </cell>
          <cell r="K59">
            <v>0.5987765140459762</v>
          </cell>
          <cell r="L59">
            <v>0.52407328071530013</v>
          </cell>
          <cell r="M59">
            <v>0.50132500274323455</v>
          </cell>
        </row>
        <row r="60">
          <cell r="B60">
            <v>0</v>
          </cell>
          <cell r="C60">
            <v>0</v>
          </cell>
          <cell r="D60">
            <v>2.7615882668532814E-2</v>
          </cell>
          <cell r="E60">
            <v>1.2332462245619664E-2</v>
          </cell>
          <cell r="F60">
            <v>1.811721380074259E-2</v>
          </cell>
          <cell r="G60">
            <v>3.5755890607819078E-2</v>
          </cell>
          <cell r="H60">
            <v>2.7080341717877054E-2</v>
          </cell>
          <cell r="I60">
            <v>4.4301799826343732E-2</v>
          </cell>
          <cell r="J60">
            <v>4.4193130068425117E-2</v>
          </cell>
          <cell r="K60">
            <v>4.4061483715926948E-2</v>
          </cell>
          <cell r="L60">
            <v>4.4050421106078798E-2</v>
          </cell>
          <cell r="M60">
            <v>4.4022750454229403E-2</v>
          </cell>
        </row>
        <row r="61">
          <cell r="B61">
            <v>2.367428421554894</v>
          </cell>
          <cell r="C61">
            <v>2.307529550527907</v>
          </cell>
          <cell r="D61">
            <v>1.140837651744917E-2</v>
          </cell>
          <cell r="E61">
            <v>9.2048671445742311E-4</v>
          </cell>
          <cell r="F61">
            <v>1.1706431567904123E-3</v>
          </cell>
          <cell r="G61">
            <v>2.696431288260749E-3</v>
          </cell>
          <cell r="H61">
            <v>1.3009239994298148E-3</v>
          </cell>
          <cell r="I61">
            <v>2.8352239670783415E-5</v>
          </cell>
          <cell r="J61">
            <v>7.6902158943863269E-5</v>
          </cell>
          <cell r="K61">
            <v>1.0694778929347851E-4</v>
          </cell>
          <cell r="L61">
            <v>1.0381600811993906E-4</v>
          </cell>
          <cell r="M61">
            <v>1.1884520197118609E-4</v>
          </cell>
        </row>
        <row r="62">
          <cell r="B62">
            <v>5.1850799356611432</v>
          </cell>
          <cell r="C62">
            <v>5.5675839027166312</v>
          </cell>
          <cell r="D62">
            <v>5.697432342423479</v>
          </cell>
          <cell r="E62">
            <v>6.3807928759756853</v>
          </cell>
          <cell r="F62">
            <v>6.5035710637616315</v>
          </cell>
          <cell r="G62">
            <v>7.2556832635334834</v>
          </cell>
          <cell r="H62">
            <v>9.6866147036939143</v>
          </cell>
          <cell r="I62">
            <v>12.53681799981319</v>
          </cell>
          <cell r="J62">
            <v>12.261131496918194</v>
          </cell>
          <cell r="K62">
            <v>12.341772596394721</v>
          </cell>
          <cell r="L62">
            <v>13.074480037233259</v>
          </cell>
          <cell r="M62">
            <v>13.354431313487774</v>
          </cell>
        </row>
        <row r="63">
          <cell r="B63">
            <v>6.5822972634881447</v>
          </cell>
          <cell r="C63">
            <v>7.067874672124919</v>
          </cell>
          <cell r="D63">
            <v>6.8712627952299759</v>
          </cell>
          <cell r="E63">
            <v>7.2970206628174328</v>
          </cell>
          <cell r="F63">
            <v>6.8047302136500338</v>
          </cell>
          <cell r="G63">
            <v>7.0254919350969187</v>
          </cell>
          <cell r="H63">
            <v>6.409792105397492</v>
          </cell>
          <cell r="I63">
            <v>7.5845469311497675</v>
          </cell>
          <cell r="J63">
            <v>7.5166682845670394</v>
          </cell>
          <cell r="K63">
            <v>7.1477637975169435</v>
          </cell>
          <cell r="L63">
            <v>6.3842341039851123</v>
          </cell>
          <cell r="M63">
            <v>5.9757896130255155</v>
          </cell>
        </row>
        <row r="64">
          <cell r="B64">
            <v>5.3111500211482383</v>
          </cell>
          <cell r="C64">
            <v>6.2669568337986883</v>
          </cell>
          <cell r="D64">
            <v>5.8309853171776007</v>
          </cell>
          <cell r="E64">
            <v>6.8549096051624918</v>
          </cell>
          <cell r="F64">
            <v>6.5655673592169252</v>
          </cell>
          <cell r="G64">
            <v>5.6803909496189071</v>
          </cell>
          <cell r="H64">
            <v>5.0735384260834957</v>
          </cell>
          <cell r="I64">
            <v>5.1002317687378538</v>
          </cell>
          <cell r="J64">
            <v>5.050992684365176</v>
          </cell>
          <cell r="K64">
            <v>7.2278699335290657</v>
          </cell>
          <cell r="L64">
            <v>5.0217336136581094</v>
          </cell>
          <cell r="M64">
            <v>5.002166421043599</v>
          </cell>
        </row>
        <row r="65">
          <cell r="B65">
            <v>0.46155699439457626</v>
          </cell>
          <cell r="C65">
            <v>0.54459699259928729</v>
          </cell>
          <cell r="D65">
            <v>0.54459698757868569</v>
          </cell>
          <cell r="E65">
            <v>0.54481638545389333</v>
          </cell>
          <cell r="F65">
            <v>0.54483446601404362</v>
          </cell>
          <cell r="G65">
            <v>0.54484728139883543</v>
          </cell>
          <cell r="H65">
            <v>0.54485067514787799</v>
          </cell>
          <cell r="I65">
            <v>0.54485361765240525</v>
          </cell>
          <cell r="J65">
            <v>0.54485602920518927</v>
          </cell>
          <cell r="K65">
            <v>0.54696213801372207</v>
          </cell>
          <cell r="L65">
            <v>0.54703661070811105</v>
          </cell>
          <cell r="M65">
            <v>0.54716885814119465</v>
          </cell>
        </row>
        <row r="66">
          <cell r="B66">
            <v>4.1173935395824302</v>
          </cell>
          <cell r="C66">
            <v>4.2663421420246266</v>
          </cell>
          <cell r="D66">
            <v>2.9611874271057284</v>
          </cell>
          <cell r="E66">
            <v>2.928104924300281</v>
          </cell>
          <cell r="F66">
            <v>2.8950155295702777</v>
          </cell>
          <cell r="G66">
            <v>2.8802623000033236</v>
          </cell>
          <cell r="H66">
            <v>2.9084206385649143</v>
          </cell>
          <cell r="I66">
            <v>8.2492792193084811E-3</v>
          </cell>
          <cell r="J66">
            <v>4.1391535356856317E-3</v>
          </cell>
          <cell r="K66">
            <v>1.9203461467420888E-3</v>
          </cell>
          <cell r="L66">
            <v>1.2780279328129694E-3</v>
          </cell>
          <cell r="M66">
            <v>7.1150884779350501E-4</v>
          </cell>
        </row>
        <row r="67">
          <cell r="B67">
            <v>6.7643841174582955E-2</v>
          </cell>
          <cell r="C67">
            <v>8.5504629910869059E-2</v>
          </cell>
          <cell r="D67">
            <v>8.4059751866770782E-2</v>
          </cell>
          <cell r="E67">
            <v>8.5790528175208103E-2</v>
          </cell>
          <cell r="F67">
            <v>7.0101056862322694E-2</v>
          </cell>
          <cell r="G67">
            <v>7.8599766137742957E-2</v>
          </cell>
          <cell r="H67">
            <v>5.6677337779538005E-2</v>
          </cell>
          <cell r="I67">
            <v>8.6768660865463823E-2</v>
          </cell>
          <cell r="J67">
            <v>5.4063659843056888E-2</v>
          </cell>
          <cell r="K67">
            <v>4.8168606817597347E-2</v>
          </cell>
          <cell r="L67">
            <v>8.8235570506150635E-3</v>
          </cell>
          <cell r="M67">
            <v>4.7697291840711779E-3</v>
          </cell>
        </row>
        <row r="68">
          <cell r="B68">
            <v>0.31053898295683396</v>
          </cell>
          <cell r="C68">
            <v>0.3925464321288657</v>
          </cell>
          <cell r="D68">
            <v>0.81131196641405001</v>
          </cell>
          <cell r="E68">
            <v>3.0739402007004268</v>
          </cell>
          <cell r="F68">
            <v>3.0739553384286631</v>
          </cell>
          <cell r="G68">
            <v>3.0739598806406092</v>
          </cell>
          <cell r="H68">
            <v>3.0934166071042899</v>
          </cell>
          <cell r="I68">
            <v>3.1128732870309226</v>
          </cell>
          <cell r="J68">
            <v>3.1128828687621306</v>
          </cell>
          <cell r="K68">
            <v>3.1128844978990693</v>
          </cell>
          <cell r="L68">
            <v>3.1128941181415732</v>
          </cell>
          <cell r="M68">
            <v>3.113002997014207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3.5725966477644655</v>
          </cell>
          <cell r="G69">
            <v>6.3233570303193671</v>
          </cell>
          <cell r="H69">
            <v>6.3234492112092227</v>
          </cell>
          <cell r="I69">
            <v>7.0025766992111143</v>
          </cell>
          <cell r="J69">
            <v>7.5801428304661282</v>
          </cell>
          <cell r="K69">
            <v>7.6554716904278974</v>
          </cell>
          <cell r="L69">
            <v>7.655479111244345</v>
          </cell>
          <cell r="M69">
            <v>7.6556030809841138</v>
          </cell>
        </row>
        <row r="70">
          <cell r="B70">
            <v>0</v>
          </cell>
          <cell r="C70">
            <v>4.0436164513167183</v>
          </cell>
          <cell r="D70">
            <v>4.043714810731954</v>
          </cell>
          <cell r="E70">
            <v>4.2112745542323315</v>
          </cell>
          <cell r="F70">
            <v>12.7118837759547</v>
          </cell>
          <cell r="G70">
            <v>13.952085984026162</v>
          </cell>
          <cell r="H70">
            <v>14.931018670128164</v>
          </cell>
          <cell r="I70">
            <v>14.931193557626079</v>
          </cell>
          <cell r="J70">
            <v>14.9315236164112</v>
          </cell>
          <cell r="K70">
            <v>14.931632515364962</v>
          </cell>
          <cell r="L70">
            <v>14.931636329633196</v>
          </cell>
          <cell r="M70">
            <v>14.931646741918208</v>
          </cell>
        </row>
        <row r="71">
          <cell r="B71">
            <v>72.708587191037395</v>
          </cell>
          <cell r="C71">
            <v>74.35336667179017</v>
          </cell>
          <cell r="D71">
            <v>76.14031427031621</v>
          </cell>
          <cell r="E71">
            <v>77.133136308011274</v>
          </cell>
          <cell r="F71">
            <v>77.717638491007747</v>
          </cell>
          <cell r="G71">
            <v>78.26132218981931</v>
          </cell>
          <cell r="H71">
            <v>78.777385608158781</v>
          </cell>
          <cell r="I71">
            <v>78.896509799055679</v>
          </cell>
          <cell r="J71">
            <v>78.561112787486522</v>
          </cell>
          <cell r="K71">
            <v>80.56120300921684</v>
          </cell>
          <cell r="L71">
            <v>78.202671595303769</v>
          </cell>
          <cell r="M71">
            <v>78.02707670316498</v>
          </cell>
        </row>
      </sheetData>
      <sheetData sheetId="71">
        <row r="3">
          <cell r="B3">
            <v>56.994774574912441</v>
          </cell>
          <cell r="C3">
            <v>58.701922824341075</v>
          </cell>
          <cell r="D3">
            <v>61.538310786793588</v>
          </cell>
          <cell r="E3">
            <v>62.070114845065355</v>
          </cell>
          <cell r="F3">
            <v>62.29252970400605</v>
          </cell>
          <cell r="G3">
            <v>62.657995926949887</v>
          </cell>
          <cell r="H3">
            <v>62.135392632637199</v>
          </cell>
          <cell r="I3">
            <v>61.612588560031064</v>
          </cell>
          <cell r="J3">
            <v>62.660410407621029</v>
          </cell>
          <cell r="K3">
            <v>63.514993942303164</v>
          </cell>
          <cell r="L3">
            <v>64.325154356381915</v>
          </cell>
          <cell r="M3">
            <v>65.09859405467887</v>
          </cell>
        </row>
        <row r="6">
          <cell r="B6">
            <v>0</v>
          </cell>
          <cell r="C6">
            <v>9.1173262075262809</v>
          </cell>
          <cell r="D6">
            <v>17.660232068188972</v>
          </cell>
          <cell r="E6">
            <v>17.877893827357045</v>
          </cell>
          <cell r="F6">
            <v>17.877832747087986</v>
          </cell>
          <cell r="G6">
            <v>17.880844699075858</v>
          </cell>
          <cell r="H6">
            <v>21.202940234021192</v>
          </cell>
          <cell r="I6">
            <v>22.282029012659407</v>
          </cell>
          <cell r="J6">
            <v>22.280314289176808</v>
          </cell>
          <cell r="K6">
            <v>22.280662803433799</v>
          </cell>
          <cell r="L6">
            <v>22.280557409059327</v>
          </cell>
          <cell r="M6">
            <v>22.278722726120343</v>
          </cell>
        </row>
        <row r="11">
          <cell r="B11">
            <v>60.950040020946091</v>
          </cell>
          <cell r="C11">
            <v>60.129121954825536</v>
          </cell>
          <cell r="D11">
            <v>65.118891795942403</v>
          </cell>
          <cell r="E11">
            <v>65.419148097371604</v>
          </cell>
          <cell r="F11">
            <v>65.395978876683785</v>
          </cell>
          <cell r="G11">
            <v>65.454299729028705</v>
          </cell>
          <cell r="H11">
            <v>64.700738471688084</v>
          </cell>
          <cell r="I11">
            <v>66.412953914847122</v>
          </cell>
          <cell r="J11">
            <v>68.876314311139552</v>
          </cell>
          <cell r="K11">
            <v>70.064465579853916</v>
          </cell>
          <cell r="L11">
            <v>70.275461273418756</v>
          </cell>
          <cell r="M11">
            <v>71.481596381133983</v>
          </cell>
        </row>
        <row r="12">
          <cell r="B12">
            <v>30.256668214695765</v>
          </cell>
          <cell r="C12">
            <v>25.577801378722434</v>
          </cell>
          <cell r="D12">
            <v>18.960804742308845</v>
          </cell>
          <cell r="E12">
            <v>15.794779110761686</v>
          </cell>
          <cell r="F12">
            <v>8.7294424003864535</v>
          </cell>
          <cell r="G12">
            <v>5.9635717318387789</v>
          </cell>
          <cell r="H12">
            <v>3.1557634233262362</v>
          </cell>
          <cell r="I12">
            <v>1.5324158044074062E-5</v>
          </cell>
          <cell r="J12">
            <v>6.0847758775744678E-5</v>
          </cell>
          <cell r="K12">
            <v>8.2902284016026436E-5</v>
          </cell>
          <cell r="L12">
            <v>8.232218760153316E-5</v>
          </cell>
          <cell r="M12">
            <v>1.0378313693010578E-4</v>
          </cell>
        </row>
        <row r="13">
          <cell r="B13">
            <v>0</v>
          </cell>
          <cell r="C13">
            <v>0</v>
          </cell>
          <cell r="D13">
            <v>7.378621903722516E-6</v>
          </cell>
          <cell r="E13">
            <v>4.0349310890803878E-4</v>
          </cell>
          <cell r="F13">
            <v>2.0817491538834203E-3</v>
          </cell>
          <cell r="G13">
            <v>1.2076232417023822E-3</v>
          </cell>
          <cell r="H13">
            <v>1.5598397752204264E-3</v>
          </cell>
          <cell r="I13">
            <v>0.85504403169522569</v>
          </cell>
          <cell r="J13">
            <v>0.84185202081453969</v>
          </cell>
          <cell r="K13">
            <v>0.84801484700465313</v>
          </cell>
          <cell r="L13">
            <v>0.84832343113229036</v>
          </cell>
          <cell r="M13">
            <v>0.84884476399938624</v>
          </cell>
        </row>
        <row r="14">
          <cell r="B14">
            <v>25.264183813859272</v>
          </cell>
          <cell r="C14">
            <v>23.91426097799874</v>
          </cell>
          <cell r="D14">
            <v>22.105726682287216</v>
          </cell>
          <cell r="E14">
            <v>22.49422407411593</v>
          </cell>
          <cell r="F14">
            <v>22.776782097287224</v>
          </cell>
          <cell r="G14">
            <v>17.578276941544203</v>
          </cell>
          <cell r="H14">
            <v>5.7179904184146384</v>
          </cell>
          <cell r="I14">
            <v>3.1602702275486814</v>
          </cell>
          <cell r="J14">
            <v>3.3612732115174651</v>
          </cell>
          <cell r="K14">
            <v>3.3411120656176312</v>
          </cell>
          <cell r="L14">
            <v>3.2718455136483366</v>
          </cell>
          <cell r="M14">
            <v>3.2896149346444186</v>
          </cell>
        </row>
        <row r="15">
          <cell r="B15">
            <v>0.28453275560601599</v>
          </cell>
          <cell r="C15">
            <v>2.8355433132283476</v>
          </cell>
          <cell r="D15">
            <v>3.1720922741189624E-3</v>
          </cell>
          <cell r="E15">
            <v>1.1981500369977736E-3</v>
          </cell>
          <cell r="F15">
            <v>1.3997701321787129E-3</v>
          </cell>
          <cell r="G15">
            <v>8.6687156408698132E-2</v>
          </cell>
          <cell r="H15">
            <v>0.56193019802170741</v>
          </cell>
          <cell r="I15">
            <v>1.2652885290794906</v>
          </cell>
          <cell r="J15">
            <v>1.2284146282653647</v>
          </cell>
          <cell r="K15">
            <v>1.2369672046202487</v>
          </cell>
          <cell r="L15">
            <v>1.2294412112325916</v>
          </cell>
          <cell r="M15">
            <v>1.2116277770296806</v>
          </cell>
        </row>
        <row r="16">
          <cell r="B16">
            <v>1.4023088686387044</v>
          </cell>
          <cell r="C16">
            <v>1.5372551687968441</v>
          </cell>
          <cell r="D16">
            <v>1.4334663724790992</v>
          </cell>
          <cell r="E16">
            <v>1.3901325283748562</v>
          </cell>
          <cell r="F16">
            <v>1.6049675944537307</v>
          </cell>
          <cell r="G16">
            <v>3.6018600002360435</v>
          </cell>
          <cell r="H16">
            <v>3.6073246549493998</v>
          </cell>
          <cell r="I16">
            <v>3.6074621935569637</v>
          </cell>
          <cell r="J16">
            <v>3.6059219573512555</v>
          </cell>
          <cell r="K16">
            <v>3.607974132526083</v>
          </cell>
          <cell r="L16">
            <v>4.1631872247895894</v>
          </cell>
          <cell r="M16">
            <v>2.9702218394592901</v>
          </cell>
        </row>
        <row r="17">
          <cell r="B17">
            <v>7.7269676486008443</v>
          </cell>
          <cell r="C17">
            <v>8.3697758243927662</v>
          </cell>
          <cell r="D17">
            <v>8.3494232333980651</v>
          </cell>
          <cell r="E17">
            <v>8.1547550243360867</v>
          </cell>
          <cell r="F17">
            <v>7.8400627305339778</v>
          </cell>
          <cell r="G17">
            <v>7.3632992831804769</v>
          </cell>
          <cell r="H17">
            <v>8.5398823527494656</v>
          </cell>
          <cell r="I17">
            <v>8.8762820954417876</v>
          </cell>
          <cell r="J17">
            <v>8.830958277627861</v>
          </cell>
          <cell r="K17">
            <v>8.736787396065651</v>
          </cell>
          <cell r="L17">
            <v>8.9850441406641277</v>
          </cell>
          <cell r="M17">
            <v>9.1645732598808465</v>
          </cell>
        </row>
        <row r="19">
          <cell r="B19">
            <v>0.62700963628317508</v>
          </cell>
          <cell r="C19">
            <v>0.6873475556160199</v>
          </cell>
          <cell r="D19">
            <v>0.68524938090148224</v>
          </cell>
          <cell r="E19">
            <v>0.6875647032137796</v>
          </cell>
          <cell r="F19">
            <v>3.4200452283611193</v>
          </cell>
          <cell r="G19">
            <v>5.7831119583565451</v>
          </cell>
          <cell r="H19">
            <v>6.7634475792239312</v>
          </cell>
          <cell r="I19">
            <v>6.7642054636982971</v>
          </cell>
          <cell r="J19">
            <v>4.9410660559726569</v>
          </cell>
          <cell r="K19">
            <v>4.6981499410589675</v>
          </cell>
          <cell r="L19">
            <v>4.8094154602037085</v>
          </cell>
          <cell r="M19">
            <v>4.912920994932148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0.6291973853784536</v>
          </cell>
          <cell r="F20">
            <v>0.55774412166634235</v>
          </cell>
          <cell r="G20">
            <v>0.79147217511022228</v>
          </cell>
          <cell r="H20">
            <v>0.16746958991954486</v>
          </cell>
          <cell r="I20">
            <v>0.76807107223029591</v>
          </cell>
          <cell r="J20">
            <v>1.7813703542273711</v>
          </cell>
          <cell r="K20">
            <v>1.7545487731820724</v>
          </cell>
          <cell r="L20">
            <v>1.7575987334723238</v>
          </cell>
          <cell r="M20">
            <v>1.0380018914569087</v>
          </cell>
        </row>
        <row r="21">
          <cell r="B21">
            <v>2.9295976408637605</v>
          </cell>
          <cell r="C21">
            <v>3.1924675271014546</v>
          </cell>
          <cell r="D21">
            <v>3.3638686377883049</v>
          </cell>
          <cell r="E21">
            <v>3.6710251061636412</v>
          </cell>
          <cell r="F21">
            <v>3.992121365319691</v>
          </cell>
          <cell r="G21">
            <v>4.2704324433663299</v>
          </cell>
          <cell r="H21">
            <v>4.659007706152785</v>
          </cell>
          <cell r="I21">
            <v>11.911820029080058</v>
          </cell>
          <cell r="J21">
            <v>12.941472307300298</v>
          </cell>
          <cell r="K21">
            <v>13.920023170760022</v>
          </cell>
          <cell r="L21">
            <v>14.978971914829083</v>
          </cell>
          <cell r="M21">
            <v>16.147726698689009</v>
          </cell>
        </row>
        <row r="28">
          <cell r="B28">
            <v>3.9552654460336485</v>
          </cell>
          <cell r="C28">
            <v>1.4271991304844542</v>
          </cell>
          <cell r="D28">
            <v>3.5805810091488084</v>
          </cell>
          <cell r="E28">
            <v>3.3490332523062563</v>
          </cell>
          <cell r="F28">
            <v>3.1034491726777382</v>
          </cell>
          <cell r="G28">
            <v>2.7963038020788114</v>
          </cell>
          <cell r="H28">
            <v>2.5653458390508912</v>
          </cell>
          <cell r="I28">
            <v>4.8003653548160612</v>
          </cell>
          <cell r="J28">
            <v>6.2159039035185284</v>
          </cell>
          <cell r="K28">
            <v>6.5494716375507487</v>
          </cell>
          <cell r="L28">
            <v>5.9503069170368423</v>
          </cell>
          <cell r="M28">
            <v>6.3830023264551112</v>
          </cell>
        </row>
        <row r="47">
          <cell r="B47">
            <v>4.2612329321654707</v>
          </cell>
          <cell r="C47">
            <v>4.6176762445574608</v>
          </cell>
          <cell r="D47">
            <v>4.8208651584418778</v>
          </cell>
          <cell r="E47">
            <v>5.1956455451647212</v>
          </cell>
          <cell r="F47">
            <v>5.5451561274336649</v>
          </cell>
          <cell r="G47">
            <v>5.5455779310687516</v>
          </cell>
          <cell r="H47">
            <v>6.0128303774654217</v>
          </cell>
          <cell r="I47">
            <v>15.578883694475012</v>
          </cell>
          <cell r="J47">
            <v>17.404516458162092</v>
          </cell>
          <cell r="K47">
            <v>18.626313201242962</v>
          </cell>
          <cell r="L47">
            <v>19.969790991770644</v>
          </cell>
          <cell r="M47">
            <v>21.576164609864819</v>
          </cell>
        </row>
        <row r="48">
          <cell r="B48">
            <v>24.843097676282081</v>
          </cell>
          <cell r="C48">
            <v>21.042967927136683</v>
          </cell>
          <cell r="D48">
            <v>15.645384734564832</v>
          </cell>
          <cell r="E48">
            <v>13.097490525486755</v>
          </cell>
          <cell r="F48">
            <v>7.2764502303130936</v>
          </cell>
          <cell r="G48">
            <v>4.9955027098798999</v>
          </cell>
          <cell r="H48">
            <v>2.64425823284747</v>
          </cell>
          <cell r="I48">
            <v>0.7161122105271126</v>
          </cell>
          <cell r="J48">
            <v>0.70510202743015105</v>
          </cell>
          <cell r="K48">
            <v>0.71028186502925861</v>
          </cell>
          <cell r="L48">
            <v>0.71053981840540903</v>
          </cell>
          <cell r="M48">
            <v>0.71099440822666427</v>
          </cell>
        </row>
        <row r="49">
          <cell r="B49">
            <v>24.189742283855463</v>
          </cell>
          <cell r="C49">
            <v>25.326942360842715</v>
          </cell>
          <cell r="D49">
            <v>20.929152941820025</v>
          </cell>
          <cell r="E49">
            <v>21.494845566085782</v>
          </cell>
          <cell r="F49">
            <v>21.672258167695819</v>
          </cell>
          <cell r="G49">
            <v>16.685455520450326</v>
          </cell>
          <cell r="H49">
            <v>5.7648816660361026</v>
          </cell>
          <cell r="I49">
            <v>3.9012971864952379</v>
          </cell>
          <cell r="J49">
            <v>4.3915660271302865</v>
          </cell>
          <cell r="K49">
            <v>4.2859148611581244</v>
          </cell>
          <cell r="L49">
            <v>4.1646592309462598</v>
          </cell>
          <cell r="M49">
            <v>4.1941174197451767</v>
          </cell>
        </row>
        <row r="50">
          <cell r="B50">
            <v>0</v>
          </cell>
          <cell r="C50">
            <v>0</v>
          </cell>
          <cell r="D50">
            <v>7.8224328276087912E-3</v>
          </cell>
          <cell r="E50">
            <v>6.8861841698354912E-3</v>
          </cell>
          <cell r="F50">
            <v>5.9746069109868738E-2</v>
          </cell>
          <cell r="G50">
            <v>0.49399353896898268</v>
          </cell>
          <cell r="H50">
            <v>0.49361630833212899</v>
          </cell>
          <cell r="I50">
            <v>0.77064457780040319</v>
          </cell>
          <cell r="J50">
            <v>0.20856969604091086</v>
          </cell>
          <cell r="K50">
            <v>0.34800519628490206</v>
          </cell>
          <cell r="L50">
            <v>0.47094304659033664</v>
          </cell>
          <cell r="M50">
            <v>0.44442213159221738</v>
          </cell>
        </row>
        <row r="51">
          <cell r="B51">
            <v>2.0957695618018226</v>
          </cell>
          <cell r="C51">
            <v>2.2701143172343623</v>
          </cell>
          <cell r="D51">
            <v>2.2499612953858894</v>
          </cell>
          <cell r="E51">
            <v>2.0572376077302885</v>
          </cell>
          <cell r="F51">
            <v>1.7456815315163849</v>
          </cell>
          <cell r="G51">
            <v>1.2592956046897852</v>
          </cell>
          <cell r="H51">
            <v>0.73147635835662839</v>
          </cell>
          <cell r="I51">
            <v>0.71649678718348997</v>
          </cell>
          <cell r="J51">
            <v>0.67159431823207805</v>
          </cell>
          <cell r="K51">
            <v>0.57833762488155949</v>
          </cell>
          <cell r="L51">
            <v>0.7176946724077623</v>
          </cell>
          <cell r="M51">
            <v>0.89533654112779815</v>
          </cell>
        </row>
        <row r="52">
          <cell r="B52">
            <v>5.5539284103130191</v>
          </cell>
          <cell r="C52">
            <v>6.0159637489144835</v>
          </cell>
          <cell r="D52">
            <v>6.0159677056781957</v>
          </cell>
          <cell r="E52">
            <v>6.0159698663624432</v>
          </cell>
          <cell r="F52">
            <v>6.0159805717122499</v>
          </cell>
          <cell r="G52">
            <v>6.0303706856588954</v>
          </cell>
          <cell r="H52">
            <v>7.7230071708653449</v>
          </cell>
          <cell r="I52">
            <v>8.0710224873038765</v>
          </cell>
          <cell r="J52">
            <v>8.0710543766195038</v>
          </cell>
          <cell r="K52">
            <v>8.0710818972234364</v>
          </cell>
          <cell r="L52">
            <v>8.1774990268497216</v>
          </cell>
          <cell r="M52">
            <v>8.1775909861542484</v>
          </cell>
        </row>
        <row r="53">
          <cell r="B53">
            <v>6.17357264902342</v>
          </cell>
          <cell r="C53">
            <v>6.0527096646687628</v>
          </cell>
          <cell r="D53">
            <v>6.1355186337415679</v>
          </cell>
          <cell r="E53">
            <v>6.0537385881177652</v>
          </cell>
          <cell r="F53">
            <v>7.5425996224714762</v>
          </cell>
          <cell r="G53">
            <v>9.6602653932648543</v>
          </cell>
          <cell r="H53">
            <v>16.553337209255737</v>
          </cell>
          <cell r="I53">
            <v>6.3197842629022878</v>
          </cell>
          <cell r="J53">
            <v>2.2847502608105419</v>
          </cell>
          <cell r="K53">
            <v>1.547519661369684</v>
          </cell>
          <cell r="L53">
            <v>0.37419903630813317</v>
          </cell>
          <cell r="M53">
            <v>0.37545299388354381</v>
          </cell>
        </row>
        <row r="54">
          <cell r="B54">
            <v>1.8770981180418789</v>
          </cell>
          <cell r="C54">
            <v>2.1601100586375086</v>
          </cell>
          <cell r="D54">
            <v>1.8085200266109711</v>
          </cell>
          <cell r="E54">
            <v>1.9577292365973631</v>
          </cell>
          <cell r="F54">
            <v>2.069793799890018</v>
          </cell>
          <cell r="G54">
            <v>2.195969854942152</v>
          </cell>
          <cell r="H54">
            <v>2.1578551861599484</v>
          </cell>
          <cell r="I54">
            <v>2.1846934637619411</v>
          </cell>
          <cell r="J54">
            <v>2.1499967838844714</v>
          </cell>
          <cell r="K54">
            <v>2.1660303605643185</v>
          </cell>
          <cell r="L54">
            <v>2.1665770553634975</v>
          </cell>
          <cell r="M54">
            <v>2.1679258612354002</v>
          </cell>
        </row>
        <row r="55">
          <cell r="B55">
            <v>0.62700963628317508</v>
          </cell>
          <cell r="C55">
            <v>0.6873475556160199</v>
          </cell>
          <cell r="D55">
            <v>0.68524938090148224</v>
          </cell>
          <cell r="E55">
            <v>0.6875647032137796</v>
          </cell>
          <cell r="F55">
            <v>3.4200452283611193</v>
          </cell>
          <cell r="G55">
            <v>5.7831119583565451</v>
          </cell>
          <cell r="H55">
            <v>6.7634475792239312</v>
          </cell>
          <cell r="I55">
            <v>6.7642054636982971</v>
          </cell>
          <cell r="J55">
            <v>4.9410660559726569</v>
          </cell>
          <cell r="K55">
            <v>4.6981499410589675</v>
          </cell>
          <cell r="L55">
            <v>4.8094154602037085</v>
          </cell>
          <cell r="M55">
            <v>4.912920994932148</v>
          </cell>
        </row>
        <row r="56">
          <cell r="B56">
            <v>1.2230937952266778</v>
          </cell>
          <cell r="C56">
            <v>1.340793958224606</v>
          </cell>
          <cell r="D56">
            <v>1.2502693700762697</v>
          </cell>
          <cell r="E56">
            <v>1.2124735912485494</v>
          </cell>
          <cell r="F56">
            <v>1.3998527358825452</v>
          </cell>
          <cell r="G56">
            <v>3.1415422922058736</v>
          </cell>
          <cell r="H56">
            <v>3.1463085640468673</v>
          </cell>
          <cell r="I56">
            <v>3.1464285252203807</v>
          </cell>
          <cell r="J56">
            <v>3.1450851312017645</v>
          </cell>
          <cell r="K56">
            <v>3.1468750383892496</v>
          </cell>
          <cell r="L56">
            <v>3.6311318974614806</v>
          </cell>
          <cell r="M56">
            <v>2.59062748837639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0.39654505716936567</v>
          </cell>
          <cell r="F57">
            <v>0.39545797824818718</v>
          </cell>
          <cell r="G57">
            <v>0.57271963796878167</v>
          </cell>
          <cell r="H57">
            <v>0.12903967539689551</v>
          </cell>
          <cell r="I57">
            <v>0.69605255896819984</v>
          </cell>
          <cell r="J57">
            <v>1.5539940035757116</v>
          </cell>
          <cell r="K57">
            <v>1.5653562292740422</v>
          </cell>
          <cell r="L57">
            <v>1.5657397335111018</v>
          </cell>
          <cell r="M57">
            <v>0.86593271629269097</v>
          </cell>
        </row>
        <row r="58">
          <cell r="B58">
            <v>0</v>
          </cell>
          <cell r="C58">
            <v>9.1173262075262809</v>
          </cell>
          <cell r="D58">
            <v>17.660232068188972</v>
          </cell>
          <cell r="E58">
            <v>17.877893827357045</v>
          </cell>
          <cell r="F58">
            <v>17.877832747087986</v>
          </cell>
          <cell r="G58">
            <v>17.880844699075858</v>
          </cell>
          <cell r="H58">
            <v>21.202940234021192</v>
          </cell>
          <cell r="I58">
            <v>22.282029012659407</v>
          </cell>
          <cell r="J58">
            <v>22.280314289176808</v>
          </cell>
          <cell r="K58">
            <v>22.280662803433799</v>
          </cell>
          <cell r="L58">
            <v>22.280557409059327</v>
          </cell>
          <cell r="M58">
            <v>22.278722726120343</v>
          </cell>
        </row>
        <row r="59">
          <cell r="B59">
            <v>73.23860757918591</v>
          </cell>
          <cell r="C59">
            <v>78.633773271279907</v>
          </cell>
          <cell r="D59">
            <v>79.156429864236031</v>
          </cell>
          <cell r="E59">
            <v>77.738354842593637</v>
          </cell>
          <cell r="F59">
            <v>76.435534239300665</v>
          </cell>
          <cell r="G59">
            <v>75.422023721430435</v>
          </cell>
          <cell r="H59">
            <v>74.210365679035462</v>
          </cell>
          <cell r="I59">
            <v>71.813276394452146</v>
          </cell>
          <cell r="J59">
            <v>69.361589022039055</v>
          </cell>
          <cell r="K59">
            <v>69.58994843527276</v>
          </cell>
          <cell r="L59">
            <v>69.699091202119718</v>
          </cell>
          <cell r="M59">
            <v>69.860019935217593</v>
          </cell>
        </row>
      </sheetData>
      <sheetData sheetId="72">
        <row r="3">
          <cell r="B3">
            <v>44.576933838041754</v>
          </cell>
          <cell r="C3">
            <v>44.827366434609601</v>
          </cell>
          <cell r="D3">
            <v>44.633518962952948</v>
          </cell>
          <cell r="E3">
            <v>44.838300721178683</v>
          </cell>
          <cell r="F3">
            <v>45.030114443521214</v>
          </cell>
          <cell r="G3">
            <v>45.051894663256142</v>
          </cell>
          <cell r="H3">
            <v>44.873494842551352</v>
          </cell>
          <cell r="I3">
            <v>44.932116293948795</v>
          </cell>
          <cell r="J3">
            <v>45.475867480807594</v>
          </cell>
          <cell r="K3">
            <v>45.859546482696835</v>
          </cell>
          <cell r="L3">
            <v>46.272821813868887</v>
          </cell>
          <cell r="M3">
            <v>46.289005232610833</v>
          </cell>
        </row>
        <row r="10">
          <cell r="B10">
            <v>2.1085331552854809</v>
          </cell>
          <cell r="C10">
            <v>5.6923398533099565</v>
          </cell>
          <cell r="D10">
            <v>5.6935024124892388</v>
          </cell>
          <cell r="E10">
            <v>5.6954580666600529</v>
          </cell>
          <cell r="F10">
            <v>15.341268774232297</v>
          </cell>
          <cell r="G10">
            <v>22.55048724326349</v>
          </cell>
          <cell r="H10">
            <v>22.550370499423362</v>
          </cell>
          <cell r="I10">
            <v>22.550922036055848</v>
          </cell>
          <cell r="J10">
            <v>22.547558284806154</v>
          </cell>
          <cell r="K10">
            <v>22.548376383346852</v>
          </cell>
          <cell r="L10">
            <v>21.790545493524565</v>
          </cell>
          <cell r="M10">
            <v>14.741857260949303</v>
          </cell>
        </row>
        <row r="15">
          <cell r="B15">
            <v>69.470151866071248</v>
          </cell>
          <cell r="C15">
            <v>70.023291620622601</v>
          </cell>
          <cell r="D15">
            <v>68.917293735294635</v>
          </cell>
          <cell r="E15">
            <v>69.466390131550526</v>
          </cell>
          <cell r="F15">
            <v>69.840891272112913</v>
          </cell>
          <cell r="G15">
            <v>72.879255878559064</v>
          </cell>
          <cell r="H15">
            <v>71.659684862826182</v>
          </cell>
          <cell r="I15">
            <v>75.336474964815324</v>
          </cell>
          <cell r="J15">
            <v>75.749930960573636</v>
          </cell>
          <cell r="K15">
            <v>76.583109804055624</v>
          </cell>
          <cell r="L15">
            <v>74.577288173377369</v>
          </cell>
          <cell r="M15">
            <v>73.969177887085635</v>
          </cell>
        </row>
        <row r="16">
          <cell r="B16">
            <v>60.231918363672435</v>
          </cell>
          <cell r="C16">
            <v>51.320073161915758</v>
          </cell>
          <cell r="D16">
            <v>48.10516636475738</v>
          </cell>
          <cell r="E16">
            <v>39.715391958211221</v>
          </cell>
          <cell r="F16">
            <v>13.287290747565667</v>
          </cell>
          <cell r="G16">
            <v>3.5637275405424003E-2</v>
          </cell>
          <cell r="H16">
            <v>3.2685961737041393E-2</v>
          </cell>
          <cell r="I16">
            <v>1.5826160358624434E-5</v>
          </cell>
          <cell r="J16">
            <v>6.1128995079224506E-5</v>
          </cell>
          <cell r="K16">
            <v>8.2189845500010291E-5</v>
          </cell>
          <cell r="L16">
            <v>8.3700246814225025E-5</v>
          </cell>
          <cell r="M16">
            <v>1.0428475117068467E-4</v>
          </cell>
        </row>
        <row r="17">
          <cell r="B17">
            <v>0</v>
          </cell>
          <cell r="C17">
            <v>0</v>
          </cell>
          <cell r="D17">
            <v>7.4119127696311812E-6</v>
          </cell>
          <cell r="E17">
            <v>4.0453469989941399E-4</v>
          </cell>
          <cell r="F17">
            <v>2.078188983415876E-3</v>
          </cell>
          <cell r="G17">
            <v>9.2774110116461742E-4</v>
          </cell>
          <cell r="H17">
            <v>1.3735187357280536E-3</v>
          </cell>
          <cell r="I17">
            <v>3.3361758211887547E-2</v>
          </cell>
          <cell r="J17">
            <v>1.2513502493080423E-2</v>
          </cell>
          <cell r="K17">
            <v>1.2835789977990932E-2</v>
          </cell>
          <cell r="L17">
            <v>1.3273962180825074E-2</v>
          </cell>
          <cell r="M17">
            <v>1.2185213666367977E-2</v>
          </cell>
        </row>
        <row r="18">
          <cell r="B18">
            <v>46.695466373018654</v>
          </cell>
          <cell r="C18">
            <v>48.088155288338037</v>
          </cell>
          <cell r="D18">
            <v>52.281688477838124</v>
          </cell>
          <cell r="E18">
            <v>52.106711946500454</v>
          </cell>
          <cell r="F18">
            <v>46.293555653845424</v>
          </cell>
          <cell r="G18">
            <v>29.539605950213364</v>
          </cell>
          <cell r="H18">
            <v>19.967328856947763</v>
          </cell>
          <cell r="I18">
            <v>9.6114236687240329</v>
          </cell>
          <cell r="J18">
            <v>7.6066465517337241</v>
          </cell>
          <cell r="K18">
            <v>7.2322681522273289</v>
          </cell>
          <cell r="L18">
            <v>7.3060291754858078</v>
          </cell>
          <cell r="M18">
            <v>6.5245323708765621</v>
          </cell>
        </row>
        <row r="19">
          <cell r="B19">
            <v>0.3065395197673923</v>
          </cell>
          <cell r="C19">
            <v>7.513689648521984E-3</v>
          </cell>
          <cell r="D19">
            <v>7.4597368869090477E-3</v>
          </cell>
          <cell r="E19">
            <v>7.4444462326022842E-3</v>
          </cell>
          <cell r="F19">
            <v>7.4399566962938422E-3</v>
          </cell>
          <cell r="G19">
            <v>0.11091609764468591</v>
          </cell>
          <cell r="H19">
            <v>1.2000534908752072</v>
          </cell>
          <cell r="I19">
            <v>2.3342911113213942</v>
          </cell>
          <cell r="J19">
            <v>2.2787195265033615</v>
          </cell>
          <cell r="K19">
            <v>2.2157463312298153</v>
          </cell>
          <cell r="L19">
            <v>2.1864222577589745</v>
          </cell>
          <cell r="M19">
            <v>2.0803607139020301</v>
          </cell>
        </row>
        <row r="20">
          <cell r="B20">
            <v>0.10003741888530976</v>
          </cell>
          <cell r="C20">
            <v>0.10003678020470393</v>
          </cell>
          <cell r="D20">
            <v>7.8249794052391505E-3</v>
          </cell>
          <cell r="E20">
            <v>3.7792389049602312E-3</v>
          </cell>
          <cell r="F20">
            <v>1.459905550657267E-3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B21">
            <v>6.4707798860905656</v>
          </cell>
          <cell r="C21">
            <v>9.6721250805528456</v>
          </cell>
          <cell r="D21">
            <v>9.8466185186448616</v>
          </cell>
          <cell r="E21">
            <v>7.1849592019857607</v>
          </cell>
          <cell r="F21">
            <v>8.6619025788459538</v>
          </cell>
          <cell r="G21">
            <v>9.2703147919700761</v>
          </cell>
          <cell r="H21">
            <v>9.2050786181343387</v>
          </cell>
          <cell r="I21">
            <v>9.6049163349440612</v>
          </cell>
          <cell r="J21">
            <v>9.424378866412809</v>
          </cell>
          <cell r="K21">
            <v>8.8576723931921642</v>
          </cell>
          <cell r="L21">
            <v>9.7008760510461602</v>
          </cell>
          <cell r="M21">
            <v>8.5776383199872228</v>
          </cell>
        </row>
        <row r="22">
          <cell r="B22">
            <v>16.991422821001265</v>
          </cell>
          <cell r="C22">
            <v>19.722172413319072</v>
          </cell>
          <cell r="D22">
            <v>17.239741402648157</v>
          </cell>
          <cell r="E22">
            <v>15.201277821277612</v>
          </cell>
          <cell r="F22">
            <v>13.057386027001231</v>
          </cell>
          <cell r="G22">
            <v>12.15994171877742</v>
          </cell>
          <cell r="H22">
            <v>12.224603408669644</v>
          </cell>
          <cell r="I22">
            <v>14.153183455179565</v>
          </cell>
          <cell r="J22">
            <v>11.023649886122742</v>
          </cell>
          <cell r="K22">
            <v>10.705887109568115</v>
          </cell>
          <cell r="L22">
            <v>9.0738096476509948</v>
          </cell>
          <cell r="M22">
            <v>8.0265079158989892</v>
          </cell>
        </row>
        <row r="23">
          <cell r="B23">
            <v>2.5068407795750112</v>
          </cell>
          <cell r="C23">
            <v>2.9281009052800759</v>
          </cell>
          <cell r="D23">
            <v>2.4845675303905139</v>
          </cell>
          <cell r="E23">
            <v>2.5479532732602985</v>
          </cell>
          <cell r="F23">
            <v>2.0185752755913913</v>
          </cell>
          <cell r="G23">
            <v>3.2237828326958571</v>
          </cell>
          <cell r="H23">
            <v>5.3288452490854024</v>
          </cell>
          <cell r="I23">
            <v>6.4563079685662839</v>
          </cell>
          <cell r="J23">
            <v>5.1784894378374089</v>
          </cell>
          <cell r="K23">
            <v>0.12266744050288422</v>
          </cell>
          <cell r="L23">
            <v>5.2438585694586202</v>
          </cell>
          <cell r="M23">
            <v>2.4723014920169204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0.18954731517296278</v>
          </cell>
          <cell r="F24">
            <v>0.2815153712277419</v>
          </cell>
          <cell r="G24">
            <v>0.32076359801390997</v>
          </cell>
          <cell r="H24">
            <v>0.10457752301221193</v>
          </cell>
          <cell r="I24">
            <v>8.7029216526197287E-2</v>
          </cell>
          <cell r="J24">
            <v>0.20617443385961332</v>
          </cell>
          <cell r="K24">
            <v>0.19968919962104825</v>
          </cell>
          <cell r="L24">
            <v>0.15522189671509354</v>
          </cell>
          <cell r="M24">
            <v>0.19769092008203343</v>
          </cell>
        </row>
        <row r="25">
          <cell r="B25">
            <v>15.195023776318056</v>
          </cell>
          <cell r="C25">
            <v>18.074694788722525</v>
          </cell>
          <cell r="D25">
            <v>21.03001546318918</v>
          </cell>
          <cell r="E25">
            <v>31.309531841138998</v>
          </cell>
          <cell r="F25">
            <v>49.661253145592326</v>
          </cell>
          <cell r="G25">
            <v>64.747269216890174</v>
          </cell>
          <cell r="H25">
            <v>69.43994124640453</v>
          </cell>
          <cell r="I25">
            <v>71.747247272631526</v>
          </cell>
          <cell r="J25">
            <v>73.45316602861439</v>
          </cell>
          <cell r="K25">
            <v>75.337256903891927</v>
          </cell>
          <cell r="L25">
            <v>73.921218452434516</v>
          </cell>
          <cell r="M25">
            <v>74.247704254545383</v>
          </cell>
        </row>
        <row r="26">
          <cell r="B26">
            <v>217.96818080439996</v>
          </cell>
          <cell r="C26">
            <v>219.93616372860413</v>
          </cell>
          <cell r="D26">
            <v>219.92038362096778</v>
          </cell>
          <cell r="E26">
            <v>217.7333917089353</v>
          </cell>
          <cell r="F26">
            <v>203.11334812301303</v>
          </cell>
          <cell r="G26">
            <v>192.28841510127114</v>
          </cell>
          <cell r="H26">
            <v>189.16417273642804</v>
          </cell>
          <cell r="I26">
            <v>189.36425157708064</v>
          </cell>
          <cell r="J26">
            <v>184.93373032314585</v>
          </cell>
          <cell r="K26">
            <v>181.26721531411238</v>
          </cell>
          <cell r="L26">
            <v>182.17808188635519</v>
          </cell>
          <cell r="M26">
            <v>176.10820337281231</v>
          </cell>
        </row>
        <row r="102">
          <cell r="B102">
            <v>8.9080553314915818</v>
          </cell>
          <cell r="C102">
            <v>7.7251471201933652</v>
          </cell>
          <cell r="D102">
            <v>6.9992565342902502</v>
          </cell>
          <cell r="E102">
            <v>5.2897486194799539</v>
          </cell>
          <cell r="F102">
            <v>2.7591543108590355</v>
          </cell>
          <cell r="G102">
            <v>1.7112237780876627</v>
          </cell>
          <cell r="H102">
            <v>1.1315046824334449</v>
          </cell>
          <cell r="I102">
            <v>2.474788850005377</v>
          </cell>
          <cell r="J102">
            <v>2.0395741595882213</v>
          </cell>
          <cell r="K102">
            <v>1.8269586342136912</v>
          </cell>
          <cell r="L102">
            <v>0.94460144239154542</v>
          </cell>
          <cell r="M102">
            <v>0.5523843107583073</v>
          </cell>
        </row>
        <row r="104">
          <cell r="B104">
            <v>19.060382573528429</v>
          </cell>
          <cell r="C104">
            <v>22.704491890895998</v>
          </cell>
          <cell r="D104">
            <v>25.313107555313277</v>
          </cell>
          <cell r="E104">
            <v>36.524890738233239</v>
          </cell>
          <cell r="F104">
            <v>53.199745434586909</v>
          </cell>
          <cell r="G104">
            <v>69.028969829851377</v>
          </cell>
          <cell r="H104">
            <v>72.558658150571375</v>
          </cell>
          <cell r="I104">
            <v>78.682750999253741</v>
          </cell>
          <cell r="J104">
            <v>79.429972116424977</v>
          </cell>
          <cell r="K104">
            <v>79.593905057472426</v>
          </cell>
          <cell r="L104">
            <v>79.593998136905384</v>
          </cell>
          <cell r="M104">
            <v>79.595201229088261</v>
          </cell>
        </row>
        <row r="105">
          <cell r="B105">
            <v>45.124442404384638</v>
          </cell>
          <cell r="C105">
            <v>38.551224398548356</v>
          </cell>
          <cell r="D105">
            <v>40.880909578057981</v>
          </cell>
          <cell r="E105">
            <v>34.842545911685541</v>
          </cell>
          <cell r="F105">
            <v>11.693298103893579</v>
          </cell>
          <cell r="G105">
            <v>3.0833416955091043E-2</v>
          </cell>
          <cell r="H105">
            <v>2.8768222178670599E-2</v>
          </cell>
          <cell r="I105">
            <v>2.8687830150144152E-2</v>
          </cell>
          <cell r="J105">
            <v>1.0109608400336197E-2</v>
          </cell>
          <cell r="K105">
            <v>1.0088387034798288E-2</v>
          </cell>
          <cell r="L105">
            <v>1.0078939750166193E-2</v>
          </cell>
          <cell r="M105">
            <v>9.0798127432350044E-3</v>
          </cell>
        </row>
        <row r="106">
          <cell r="B106">
            <v>36.569968241703563</v>
          </cell>
          <cell r="C106">
            <v>39.185288916914715</v>
          </cell>
          <cell r="D106">
            <v>38.074200059793753</v>
          </cell>
          <cell r="E106">
            <v>38.073972635009795</v>
          </cell>
          <cell r="F106">
            <v>33.428213337240955</v>
          </cell>
          <cell r="G106">
            <v>22.64551073860007</v>
          </cell>
          <cell r="H106">
            <v>14.250384537284695</v>
          </cell>
          <cell r="I106">
            <v>8.6224486395263789</v>
          </cell>
          <cell r="J106">
            <v>7.0204761594418015</v>
          </cell>
          <cell r="K106">
            <v>6.6519240174885015</v>
          </cell>
          <cell r="L106">
            <v>6.6519123132916924</v>
          </cell>
          <cell r="M106">
            <v>5.9552385488382296</v>
          </cell>
        </row>
        <row r="107">
          <cell r="B107">
            <v>0</v>
          </cell>
          <cell r="C107">
            <v>0</v>
          </cell>
          <cell r="D107">
            <v>3.7935129834734016E-2</v>
          </cell>
          <cell r="E107">
            <v>4.1076708010080287E-2</v>
          </cell>
          <cell r="F107">
            <v>4.3980295259178366</v>
          </cell>
          <cell r="G107">
            <v>4.3918191361660481</v>
          </cell>
          <cell r="H107">
            <v>7.262861906210003</v>
          </cell>
          <cell r="I107">
            <v>2.950967230154816</v>
          </cell>
          <cell r="J107">
            <v>2.9533477826512828</v>
          </cell>
          <cell r="K107">
            <v>2.9590553077831721</v>
          </cell>
          <cell r="L107">
            <v>2.9590063952477554</v>
          </cell>
          <cell r="M107">
            <v>2.9583277811049271</v>
          </cell>
        </row>
        <row r="108">
          <cell r="B108">
            <v>7.202694159742308E-2</v>
          </cell>
          <cell r="C108">
            <v>7.202648174738685E-2</v>
          </cell>
          <cell r="D108">
            <v>5.633985171772193E-3</v>
          </cell>
          <cell r="E108">
            <v>2.7210520115713652E-3</v>
          </cell>
          <cell r="F108">
            <v>1.0511319964732317E-3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B109">
            <v>7.777095367656045E-2</v>
          </cell>
          <cell r="C109">
            <v>5.645154808295764E-3</v>
          </cell>
          <cell r="D109">
            <v>0.31817205705720103</v>
          </cell>
          <cell r="E109">
            <v>0.32349188365255255</v>
          </cell>
          <cell r="F109">
            <v>0.33331808931986034</v>
          </cell>
          <cell r="G109">
            <v>0.33745404275664731</v>
          </cell>
          <cell r="H109">
            <v>0.33736766291065368</v>
          </cell>
          <cell r="I109">
            <v>0.57504513834691273</v>
          </cell>
          <cell r="J109">
            <v>0.57741324027607588</v>
          </cell>
          <cell r="K109">
            <v>0.58602623981770607</v>
          </cell>
          <cell r="L109">
            <v>0.60454037716499542</v>
          </cell>
          <cell r="M109">
            <v>0.61685321951511807</v>
          </cell>
        </row>
        <row r="110">
          <cell r="B110">
            <v>4.6349300976996144</v>
          </cell>
          <cell r="C110">
            <v>7.6931137671649825</v>
          </cell>
          <cell r="D110">
            <v>7.6537981274906848</v>
          </cell>
          <cell r="E110">
            <v>5.5003655708907528</v>
          </cell>
          <cell r="F110">
            <v>6.6958084129852615</v>
          </cell>
          <cell r="G110">
            <v>7.1939775447467067</v>
          </cell>
          <cell r="H110">
            <v>7.1410533385598338</v>
          </cell>
          <cell r="I110">
            <v>7.2311391791692712</v>
          </cell>
          <cell r="J110">
            <v>7.0792021219489385</v>
          </cell>
          <cell r="K110">
            <v>6.6103107555905281</v>
          </cell>
          <cell r="L110">
            <v>7.2767305698526688</v>
          </cell>
          <cell r="M110">
            <v>6.3518964722603828</v>
          </cell>
        </row>
        <row r="111">
          <cell r="B111">
            <v>9.1311257577545835</v>
          </cell>
          <cell r="C111">
            <v>10.580772709149016</v>
          </cell>
          <cell r="D111">
            <v>9.1887817739161957</v>
          </cell>
          <cell r="E111">
            <v>7.6949574480947058</v>
          </cell>
          <cell r="F111">
            <v>6.1424978210021299</v>
          </cell>
          <cell r="G111">
            <v>5.4555223273819111</v>
          </cell>
          <cell r="H111">
            <v>5.4370177980441561</v>
          </cell>
          <cell r="I111">
            <v>6.6910002871601213</v>
          </cell>
          <cell r="J111">
            <v>4.5198264707883844</v>
          </cell>
          <cell r="K111">
            <v>4.2550805855668266</v>
          </cell>
          <cell r="L111">
            <v>3.1449547398244864</v>
          </cell>
          <cell r="M111">
            <v>2.432462051275599</v>
          </cell>
        </row>
        <row r="112">
          <cell r="B112">
            <v>2.6969370168586586</v>
          </cell>
          <cell r="C112">
            <v>3.1683012567834452</v>
          </cell>
          <cell r="D112">
            <v>3.1713009380744017</v>
          </cell>
          <cell r="E112">
            <v>3.3056441566565709</v>
          </cell>
          <cell r="F112">
            <v>3.4234962310567907</v>
          </cell>
          <cell r="G112">
            <v>3.5192771165030132</v>
          </cell>
          <cell r="H112">
            <v>3.5973846668756315</v>
          </cell>
          <cell r="I112">
            <v>3.669652720465133</v>
          </cell>
          <cell r="J112">
            <v>3.7227933980673371</v>
          </cell>
          <cell r="K112">
            <v>3.7835412094215233</v>
          </cell>
          <cell r="L112">
            <v>3.7835629208656933</v>
          </cell>
          <cell r="M112">
            <v>3.7836567456353039</v>
          </cell>
        </row>
        <row r="113">
          <cell r="B113">
            <v>0.78535275491516043</v>
          </cell>
          <cell r="C113">
            <v>0.94133477490202411</v>
          </cell>
          <cell r="D113">
            <v>0.93622643711973352</v>
          </cell>
          <cell r="E113">
            <v>0.90167591246369094</v>
          </cell>
          <cell r="F113">
            <v>0.88819473375219082</v>
          </cell>
          <cell r="G113">
            <v>1.4184907024503588</v>
          </cell>
          <cell r="H113">
            <v>2.2538237699320893</v>
          </cell>
          <cell r="I113">
            <v>2.8408039282509465</v>
          </cell>
          <cell r="J113">
            <v>2.278562966638614</v>
          </cell>
          <cell r="K113">
            <v>5.3999589331241903E-2</v>
          </cell>
          <cell r="L113">
            <v>2.3073254864545909</v>
          </cell>
          <cell r="M113">
            <v>0.91965533006403288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6">
          <cell r="B116">
            <v>129.16952522889571</v>
          </cell>
          <cell r="C116">
            <v>136.31968632441755</v>
          </cell>
          <cell r="D116">
            <v>138.27282458860924</v>
          </cell>
          <cell r="E116">
            <v>138.1965487028485</v>
          </cell>
          <cell r="F116">
            <v>138.30407590684331</v>
          </cell>
          <cell r="G116">
            <v>138.28356587676237</v>
          </cell>
          <cell r="H116">
            <v>136.54919523442388</v>
          </cell>
          <cell r="I116">
            <v>136.31820683853871</v>
          </cell>
          <cell r="J116">
            <v>132.17883630903214</v>
          </cell>
          <cell r="K116">
            <v>128.8792661670673</v>
          </cell>
          <cell r="L116">
            <v>129.06725681527354</v>
          </cell>
          <cell r="M116">
            <v>117.91661276223269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</row>
        <row r="224">
          <cell r="B224">
            <v>26.978472748369811</v>
          </cell>
          <cell r="C224">
            <v>25.931056655738175</v>
          </cell>
          <cell r="D224">
            <v>25.567657439152555</v>
          </cell>
          <cell r="E224">
            <v>25.80804234439611</v>
          </cell>
          <cell r="F224">
            <v>25.830988882333351</v>
          </cell>
          <cell r="G224">
            <v>25.89495848784756</v>
          </cell>
          <cell r="H224">
            <v>25.566870422432817</v>
          </cell>
          <cell r="I224">
            <v>25.574818759432301</v>
          </cell>
          <cell r="J224">
            <v>25.903296174240452</v>
          </cell>
          <cell r="K224">
            <v>25.362950374055139</v>
          </cell>
          <cell r="L224">
            <v>25.547216885739452</v>
          </cell>
          <cell r="M224">
            <v>24.066122531806002</v>
          </cell>
        </row>
        <row r="231">
          <cell r="B231">
            <v>15.552777892826306</v>
          </cell>
          <cell r="C231">
            <v>14.693883850958713</v>
          </cell>
          <cell r="D231">
            <v>12.985591014021692</v>
          </cell>
          <cell r="E231">
            <v>9.8189133253193894</v>
          </cell>
          <cell r="F231">
            <v>4.8677655534752438</v>
          </cell>
          <cell r="G231">
            <v>3.0189566284473739</v>
          </cell>
          <cell r="H231">
            <v>1.9961920835169087</v>
          </cell>
          <cell r="I231">
            <v>4.366069189784028</v>
          </cell>
          <cell r="J231">
            <v>3.5982515424190402</v>
          </cell>
          <cell r="K231">
            <v>3.2231470103598605</v>
          </cell>
          <cell r="L231">
            <v>1.6664537409303524</v>
          </cell>
          <cell r="M231">
            <v>0.97450097762970911</v>
          </cell>
        </row>
        <row r="233">
          <cell r="B233">
            <v>22.30030023852964</v>
          </cell>
          <cell r="C233">
            <v>26.339976150413055</v>
          </cell>
          <cell r="D233">
            <v>30.394061378957829</v>
          </cell>
          <cell r="E233">
            <v>44.682875837502607</v>
          </cell>
          <cell r="F233">
            <v>66.210616810384906</v>
          </cell>
          <cell r="G233">
            <v>86.351850011819096</v>
          </cell>
          <cell r="H233">
            <v>89.231591818606745</v>
          </cell>
          <cell r="I233">
            <v>95.274330612443848</v>
          </cell>
          <cell r="J233">
            <v>97.712104196970117</v>
          </cell>
          <cell r="K233">
            <v>100.46385529214476</v>
          </cell>
          <cell r="L233">
            <v>98.379904703600118</v>
          </cell>
          <cell r="M233">
            <v>98.860930120011517</v>
          </cell>
        </row>
        <row r="234">
          <cell r="B234">
            <v>52.108926243402792</v>
          </cell>
          <cell r="C234">
            <v>44.472367836891181</v>
          </cell>
          <cell r="D234">
            <v>42.669571758091244</v>
          </cell>
          <cell r="E234">
            <v>35.450329396625818</v>
          </cell>
          <cell r="F234">
            <v>11.869971272904866</v>
          </cell>
          <cell r="G234">
            <v>3.2454334579987656E-2</v>
          </cell>
          <cell r="H234">
            <v>3.0237945335667968E-2</v>
          </cell>
          <cell r="I234">
            <v>2.9710352039188665E-2</v>
          </cell>
          <cell r="J234">
            <v>1.1083439900134587E-2</v>
          </cell>
          <cell r="K234">
            <v>1.1339408163343591E-2</v>
          </cell>
          <cell r="L234">
            <v>1.1669977126035182E-2</v>
          </cell>
          <cell r="M234">
            <v>1.0706451059664024E-2</v>
          </cell>
        </row>
        <row r="235">
          <cell r="B235">
            <v>42.95044510205345</v>
          </cell>
          <cell r="C235">
            <v>44.348678228049529</v>
          </cell>
          <cell r="D235">
            <v>47.336770470987474</v>
          </cell>
          <cell r="E235">
            <v>47.46853510964128</v>
          </cell>
          <cell r="F235">
            <v>40.324291890589606</v>
          </cell>
          <cell r="G235">
            <v>25.542767970977366</v>
          </cell>
          <cell r="H235">
            <v>16.073587097132148</v>
          </cell>
          <cell r="I235">
            <v>9.7256146840874287</v>
          </cell>
          <cell r="J235">
            <v>7.9186923974250263</v>
          </cell>
          <cell r="K235">
            <v>7.5029889695712795</v>
          </cell>
          <cell r="L235">
            <v>7.5029783693022525</v>
          </cell>
          <cell r="M235">
            <v>6.7171867057796284</v>
          </cell>
        </row>
        <row r="236">
          <cell r="B236">
            <v>0</v>
          </cell>
          <cell r="C236">
            <v>0</v>
          </cell>
          <cell r="D236">
            <v>4.5560164094608203E-2</v>
          </cell>
          <cell r="E236">
            <v>5.0240379933423403E-2</v>
          </cell>
          <cell r="F236">
            <v>5.2914390017827397</v>
          </cell>
          <cell r="G236">
            <v>5.2734989352998864</v>
          </cell>
          <cell r="H236">
            <v>8.7207342927964202</v>
          </cell>
          <cell r="I236">
            <v>3.5433197126103106</v>
          </cell>
          <cell r="J236">
            <v>3.5461743767418525</v>
          </cell>
          <cell r="K236">
            <v>3.5530290413121786</v>
          </cell>
          <cell r="L236">
            <v>3.5529829180044241</v>
          </cell>
          <cell r="M236">
            <v>3.5521898487875565</v>
          </cell>
        </row>
        <row r="238">
          <cell r="B238">
            <v>9.9505730792846553E-2</v>
          </cell>
          <cell r="C238">
            <v>6.7182032945227125E-3</v>
          </cell>
          <cell r="D238">
            <v>0.37366661278385449</v>
          </cell>
          <cell r="E238">
            <v>0.37991407200981003</v>
          </cell>
          <cell r="F238">
            <v>0.39145414882584739</v>
          </cell>
          <cell r="G238">
            <v>0.39631215549955701</v>
          </cell>
          <cell r="H238">
            <v>0.39621119702123231</v>
          </cell>
          <cell r="I238">
            <v>0.67513470156254629</v>
          </cell>
          <cell r="J238">
            <v>0.67812324991594541</v>
          </cell>
          <cell r="K238">
            <v>0.68822827766469552</v>
          </cell>
          <cell r="L238">
            <v>0.7099801525654732</v>
          </cell>
          <cell r="M238">
            <v>0.72443798476738841</v>
          </cell>
        </row>
        <row r="239">
          <cell r="B239">
            <v>5.9302616818027074</v>
          </cell>
          <cell r="C239">
            <v>9.1554446265591185</v>
          </cell>
          <cell r="D239">
            <v>8.9887491933859138</v>
          </cell>
          <cell r="E239">
            <v>6.4597178080179649</v>
          </cell>
          <cell r="F239">
            <v>7.8636655704899923</v>
          </cell>
          <cell r="G239">
            <v>8.4487378609655632</v>
          </cell>
          <cell r="H239">
            <v>8.3865930328140852</v>
          </cell>
          <cell r="I239">
            <v>8.4897561358748117</v>
          </cell>
          <cell r="J239">
            <v>8.3139270368178551</v>
          </cell>
          <cell r="K239">
            <v>7.7631383665749407</v>
          </cell>
          <cell r="L239">
            <v>8.5458878766534543</v>
          </cell>
          <cell r="M239">
            <v>7.4597245085832258</v>
          </cell>
        </row>
        <row r="240">
          <cell r="B240">
            <v>9.6516235796338901</v>
          </cell>
          <cell r="C240">
            <v>11.17804127817973</v>
          </cell>
          <cell r="D240">
            <v>9.5625745559772231</v>
          </cell>
          <cell r="E240">
            <v>8.0078803853137792</v>
          </cell>
          <cell r="F240">
            <v>6.3922484741569692</v>
          </cell>
          <cell r="G240">
            <v>5.6773132085892071</v>
          </cell>
          <cell r="H240">
            <v>5.6580572081460421</v>
          </cell>
          <cell r="I240">
            <v>6.9630104707808043</v>
          </cell>
          <cell r="J240">
            <v>4.7035818948930261</v>
          </cell>
          <cell r="K240">
            <v>4.4280780741250396</v>
          </cell>
          <cell r="L240">
            <v>3.2728231644154717</v>
          </cell>
          <cell r="M240">
            <v>2.531400834935408</v>
          </cell>
        </row>
        <row r="241">
          <cell r="B241">
            <v>2.8667566317659539</v>
          </cell>
          <cell r="C241">
            <v>3.3631655654724431</v>
          </cell>
          <cell r="D241">
            <v>3.3002329514104103</v>
          </cell>
          <cell r="E241">
            <v>3.4400523409486277</v>
          </cell>
          <cell r="F241">
            <v>3.562716884746334</v>
          </cell>
          <cell r="G241">
            <v>3.6623631824725522</v>
          </cell>
          <cell r="H241">
            <v>3.7436452329787282</v>
          </cell>
          <cell r="I241">
            <v>3.8188497341658949</v>
          </cell>
          <cell r="J241">
            <v>3.8741466255460115</v>
          </cell>
          <cell r="K241">
            <v>3.9373682773565686</v>
          </cell>
          <cell r="L241">
            <v>3.937388735432231</v>
          </cell>
          <cell r="M241">
            <v>3.9374991095183796</v>
          </cell>
        </row>
        <row r="242">
          <cell r="B242">
            <v>2.5068407795750112</v>
          </cell>
          <cell r="C242">
            <v>2.9281009052800759</v>
          </cell>
          <cell r="D242">
            <v>2.4845675303905139</v>
          </cell>
          <cell r="E242">
            <v>2.5479532732602985</v>
          </cell>
          <cell r="F242">
            <v>2.0185752755913913</v>
          </cell>
          <cell r="G242">
            <v>3.2237828326958571</v>
          </cell>
          <cell r="H242">
            <v>5.3288452490854024</v>
          </cell>
          <cell r="I242">
            <v>6.4563079685662839</v>
          </cell>
          <cell r="J242">
            <v>5.1784894378374089</v>
          </cell>
          <cell r="K242">
            <v>0.12266744050288422</v>
          </cell>
          <cell r="L242">
            <v>5.2438585694586202</v>
          </cell>
          <cell r="M242">
            <v>2.4723014920169204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</row>
        <row r="244">
          <cell r="B244">
            <v>2.1085331552854809</v>
          </cell>
          <cell r="C244">
            <v>5.6923398533099565</v>
          </cell>
          <cell r="D244">
            <v>5.6935024124892388</v>
          </cell>
          <cell r="E244">
            <v>5.6954580666600529</v>
          </cell>
          <cell r="F244">
            <v>15.341268774232297</v>
          </cell>
          <cell r="G244">
            <v>22.55048724326349</v>
          </cell>
          <cell r="H244">
            <v>22.550370499423362</v>
          </cell>
          <cell r="I244">
            <v>22.550922036055848</v>
          </cell>
          <cell r="J244">
            <v>22.547558284806154</v>
          </cell>
          <cell r="K244">
            <v>22.548376383346852</v>
          </cell>
          <cell r="L244">
            <v>21.790545493524565</v>
          </cell>
          <cell r="M244">
            <v>14.741857260949303</v>
          </cell>
        </row>
        <row r="245">
          <cell r="B245">
            <v>156.14799797726548</v>
          </cell>
          <cell r="C245">
            <v>162.25074298015576</v>
          </cell>
          <cell r="D245">
            <v>163.84048202776182</v>
          </cell>
          <cell r="E245">
            <v>164.00459104724459</v>
          </cell>
          <cell r="F245">
            <v>164.13506478917662</v>
          </cell>
          <cell r="G245">
            <v>164.1785243646099</v>
          </cell>
          <cell r="H245">
            <v>162.11606565685673</v>
          </cell>
          <cell r="I245">
            <v>161.89302559797099</v>
          </cell>
          <cell r="J245">
            <v>158.08213248327255</v>
          </cell>
          <cell r="K245">
            <v>154.24221654112239</v>
          </cell>
          <cell r="L245">
            <v>154.614473701013</v>
          </cell>
          <cell r="M245">
            <v>141.98273529403872</v>
          </cell>
        </row>
      </sheetData>
      <sheetData sheetId="73">
        <row r="21">
          <cell r="B21">
            <v>78.214611997798073</v>
          </cell>
          <cell r="C21">
            <v>74.487376566259002</v>
          </cell>
          <cell r="D21">
            <v>67.530515090975243</v>
          </cell>
          <cell r="E21">
            <v>45.618076947724873</v>
          </cell>
          <cell r="F21">
            <v>21.411203843084465</v>
          </cell>
          <cell r="G21">
            <v>8.7951249219043213</v>
          </cell>
          <cell r="H21">
            <v>5.0821135720331911</v>
          </cell>
          <cell r="I21">
            <v>0.22392472438579691</v>
          </cell>
          <cell r="J21">
            <v>0.20303225802626668</v>
          </cell>
          <cell r="K21">
            <v>0.18891048775734398</v>
          </cell>
          <cell r="L21">
            <v>0.22958352192445697</v>
          </cell>
          <cell r="M21">
            <v>0.18725471522496495</v>
          </cell>
        </row>
        <row r="22">
          <cell r="B22">
            <v>117.3797847957824</v>
          </cell>
          <cell r="C22">
            <v>111.02997968287775</v>
          </cell>
          <cell r="D22">
            <v>67.163746563482164</v>
          </cell>
          <cell r="E22">
            <v>51.497871407022323</v>
          </cell>
          <cell r="F22">
            <v>33.217884974852595</v>
          </cell>
          <cell r="G22">
            <v>20.492708357038051</v>
          </cell>
          <cell r="H22">
            <v>6.1272029754230664</v>
          </cell>
          <cell r="I22">
            <v>0.12880325221838529</v>
          </cell>
          <cell r="J22">
            <v>0.31745020451688172</v>
          </cell>
          <cell r="K22">
            <v>5.567829553576379E-3</v>
          </cell>
          <cell r="L22">
            <v>5.2683555836846939E-2</v>
          </cell>
          <cell r="M22">
            <v>4.6145074761696429E-2</v>
          </cell>
        </row>
        <row r="23">
          <cell r="B23">
            <v>1.0928813445818231</v>
          </cell>
          <cell r="C23">
            <v>1.3844200677880987</v>
          </cell>
          <cell r="D23">
            <v>1.8216777872301753</v>
          </cell>
          <cell r="E23">
            <v>2.5478293185112775</v>
          </cell>
          <cell r="F23">
            <v>2.3297044780047091</v>
          </cell>
          <cell r="G23">
            <v>2.1184598041720526</v>
          </cell>
          <cell r="H23">
            <v>1.9015771034790969</v>
          </cell>
          <cell r="I23">
            <v>-3.572421924991076E-5</v>
          </cell>
          <cell r="J23">
            <v>4.1896921516015873E-4</v>
          </cell>
          <cell r="K23">
            <v>3.9258984604995106E-4</v>
          </cell>
          <cell r="L23">
            <v>3.9244554860995429E-4</v>
          </cell>
          <cell r="M23">
            <v>6.7844619359003211E-4</v>
          </cell>
        </row>
        <row r="24">
          <cell r="B24">
            <v>0.2799851920551179</v>
          </cell>
          <cell r="C24">
            <v>0.18981200627131672</v>
          </cell>
          <cell r="D24">
            <v>0.35678156070335182</v>
          </cell>
          <cell r="E24">
            <v>0.1401944324928365</v>
          </cell>
          <cell r="F24">
            <v>5.4549245171452765E-2</v>
          </cell>
          <cell r="G24">
            <v>4.6749004091027703E-2</v>
          </cell>
          <cell r="H24">
            <v>1.1500590134101218E-2</v>
          </cell>
          <cell r="I24">
            <v>7.1912094671004246E-4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>
            <v>4.5296090439882786</v>
          </cell>
          <cell r="C25">
            <v>4.3137441596051396</v>
          </cell>
          <cell r="D25">
            <v>3.9107238656024244</v>
          </cell>
          <cell r="E25">
            <v>2.6424706642589442</v>
          </cell>
          <cell r="F25">
            <v>1.5803217294238709</v>
          </cell>
          <cell r="G25">
            <v>0.51360260451845985</v>
          </cell>
          <cell r="H25">
            <v>0.30491649469679166</v>
          </cell>
          <cell r="I25">
            <v>1.1391537448431812</v>
          </cell>
          <cell r="J25">
            <v>1.06273124696679</v>
          </cell>
          <cell r="K25">
            <v>1.0598441199434288</v>
          </cell>
          <cell r="L25">
            <v>0.90921915391354668</v>
          </cell>
          <cell r="M25">
            <v>0.91016814110745947</v>
          </cell>
        </row>
        <row r="26">
          <cell r="B26">
            <v>2.9711298793761745</v>
          </cell>
          <cell r="C26">
            <v>2.9710814261880061</v>
          </cell>
          <cell r="D26">
            <v>3.1561190602749001</v>
          </cell>
          <cell r="E26">
            <v>2.9698265011178551</v>
          </cell>
          <cell r="F26">
            <v>2.974744274988117</v>
          </cell>
          <cell r="G26">
            <v>2.9725848554614194</v>
          </cell>
          <cell r="H26">
            <v>2.9719254007993041</v>
          </cell>
          <cell r="I26">
            <v>2.9296630314005019</v>
          </cell>
          <cell r="J26">
            <v>2.6560114069163778</v>
          </cell>
          <cell r="K26">
            <v>2.8920237525849917</v>
          </cell>
          <cell r="L26">
            <v>2.7699284539964522</v>
          </cell>
          <cell r="M26">
            <v>2.7412021252953185</v>
          </cell>
        </row>
        <row r="27">
          <cell r="B27">
            <v>2.3113128194352708E-2</v>
          </cell>
          <cell r="C27">
            <v>2.6460274597092593E-2</v>
          </cell>
          <cell r="D27">
            <v>2.2000457172912389E-3</v>
          </cell>
          <cell r="E27">
            <v>7.9688662469351134E-4</v>
          </cell>
          <cell r="F27">
            <v>6.0910668442007735E-4</v>
          </cell>
          <cell r="G27">
            <v>6.0391879216233702E-3</v>
          </cell>
          <cell r="H27">
            <v>5.8584299378681461E-3</v>
          </cell>
          <cell r="I27">
            <v>8.1357892465459252E-3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2.00378267327074E-4</v>
          </cell>
          <cell r="C28">
            <v>1.4363066909150001E-4</v>
          </cell>
          <cell r="D28">
            <v>1.08874639064796E-4</v>
          </cell>
          <cell r="E28">
            <v>2.66228237805253E-3</v>
          </cell>
          <cell r="F28">
            <v>5.8580195905709896E-3</v>
          </cell>
          <cell r="G28">
            <v>2.17359012916736E-3</v>
          </cell>
          <cell r="H28">
            <v>4.1271875280630898E-3</v>
          </cell>
          <cell r="I28">
            <v>1.69081091193235</v>
          </cell>
          <cell r="J28">
            <v>1.5092996138177399</v>
          </cell>
          <cell r="K28">
            <v>1.34765782899037</v>
          </cell>
          <cell r="L28">
            <v>1.20330203907141</v>
          </cell>
          <cell r="M28">
            <v>1.07411845461911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0.17950235637961198</v>
          </cell>
          <cell r="F32">
            <v>1.4125104272337294</v>
          </cell>
          <cell r="G32">
            <v>4.3539057757191282</v>
          </cell>
          <cell r="H32">
            <v>10.005943081087432</v>
          </cell>
          <cell r="I32">
            <v>13.253563492591342</v>
          </cell>
          <cell r="J32">
            <v>13.006566044800236</v>
          </cell>
          <cell r="K32">
            <v>14.340355791005619</v>
          </cell>
          <cell r="L32">
            <v>13.888241880670098</v>
          </cell>
          <cell r="M32">
            <v>14.754849689777245</v>
          </cell>
        </row>
      </sheetData>
      <sheetData sheetId="74">
        <row r="11">
          <cell r="B11">
            <v>29.53691830097284</v>
          </cell>
          <cell r="C11">
            <v>58.495436317992393</v>
          </cell>
          <cell r="D11">
            <v>83.523423025946911</v>
          </cell>
          <cell r="E11">
            <v>83.081936724994577</v>
          </cell>
          <cell r="F11">
            <v>74.089668831004573</v>
          </cell>
          <cell r="G11">
            <v>52.509682013385806</v>
          </cell>
          <cell r="H11">
            <v>26.254840845580475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5.3031040025522689</v>
          </cell>
          <cell r="F12">
            <v>18.522419718586235</v>
          </cell>
          <cell r="G12">
            <v>38.62669429766536</v>
          </cell>
          <cell r="H12">
            <v>68.679641964357543</v>
          </cell>
          <cell r="I12">
            <v>93.87376680936508</v>
          </cell>
          <cell r="J12">
            <v>93.874035676415147</v>
          </cell>
          <cell r="K12">
            <v>94.929533339161267</v>
          </cell>
          <cell r="L12">
            <v>96.638037534608102</v>
          </cell>
          <cell r="M12">
            <v>98.330463060335248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0.16815792621466799</v>
          </cell>
          <cell r="G13">
            <v>0.75085426784819997</v>
          </cell>
          <cell r="H13">
            <v>0.80308919197570683</v>
          </cell>
          <cell r="I13">
            <v>0.83912215763901443</v>
          </cell>
          <cell r="J13">
            <v>0.86566398750253559</v>
          </cell>
          <cell r="K13">
            <v>0.88999611790016953</v>
          </cell>
          <cell r="L13">
            <v>0.88904268898901662</v>
          </cell>
          <cell r="M13">
            <v>0.86683251133529016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</sheetData>
      <sheetData sheetId="75"/>
      <sheetData sheetId="76">
        <row r="53">
          <cell r="B53">
            <v>2.6095710203915723</v>
          </cell>
          <cell r="C53">
            <v>2.4679121971117874</v>
          </cell>
          <cell r="D53">
            <v>2.3965108160968795</v>
          </cell>
          <cell r="E53">
            <v>2.2440508526740399</v>
          </cell>
          <cell r="F53">
            <v>2.2412502462749679</v>
          </cell>
          <cell r="G53">
            <v>2.4983405335608726</v>
          </cell>
          <cell r="H53">
            <v>2.5118127492593105</v>
          </cell>
          <cell r="I53">
            <v>2.5529200562256533</v>
          </cell>
          <cell r="J53">
            <v>2.4343593083844066</v>
          </cell>
          <cell r="K53">
            <v>2.3829443281891276</v>
          </cell>
          <cell r="L53">
            <v>2.3801243754367762</v>
          </cell>
          <cell r="M53">
            <v>2.3827037029999412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</row>
        <row r="55">
          <cell r="B55">
            <v>6.4948181757928927</v>
          </cell>
          <cell r="C55">
            <v>6.1128787406009195</v>
          </cell>
          <cell r="D55">
            <v>5.6426330032093572</v>
          </cell>
          <cell r="E55">
            <v>4.9672348192396747</v>
          </cell>
          <cell r="F55">
            <v>4.0963181540035567</v>
          </cell>
          <cell r="G55">
            <v>3.6181401312027068</v>
          </cell>
          <cell r="H55">
            <v>3.2866169625335342</v>
          </cell>
          <cell r="I55">
            <v>3.1660579058290383</v>
          </cell>
          <cell r="J55">
            <v>3.0530660435288497</v>
          </cell>
          <cell r="K55">
            <v>3.0505986561228537</v>
          </cell>
          <cell r="L55">
            <v>3.0513084283861431</v>
          </cell>
          <cell r="M55">
            <v>3.0504354552643518</v>
          </cell>
        </row>
        <row r="56">
          <cell r="B56">
            <v>3.7928009939286098</v>
          </cell>
          <cell r="C56">
            <v>3.3581381988380601</v>
          </cell>
          <cell r="D56">
            <v>2.7981761540996399</v>
          </cell>
          <cell r="E56">
            <v>2.5767619909864297</v>
          </cell>
          <cell r="F56">
            <v>2.0488274103147024</v>
          </cell>
          <cell r="G56">
            <v>1.5029897954259082</v>
          </cell>
          <cell r="H56">
            <v>0.56166773051171104</v>
          </cell>
          <cell r="I56">
            <v>0.18014479614773043</v>
          </cell>
          <cell r="J56">
            <v>0.19736217299084416</v>
          </cell>
          <cell r="K56">
            <v>0.19482450676440918</v>
          </cell>
          <cell r="L56">
            <v>0.19195334375155512</v>
          </cell>
          <cell r="M56">
            <v>0.1958367061778058</v>
          </cell>
        </row>
        <row r="57">
          <cell r="B57">
            <v>7.1809564870063891</v>
          </cell>
          <cell r="C57">
            <v>6.5872411352306361</v>
          </cell>
          <cell r="D57">
            <v>6.598532426872036</v>
          </cell>
          <cell r="E57">
            <v>5.9670002658018895</v>
          </cell>
          <cell r="F57">
            <v>3.6618845220502108</v>
          </cell>
          <cell r="G57">
            <v>1.705842848981501</v>
          </cell>
          <cell r="H57">
            <v>1.1377964213856471</v>
          </cell>
          <cell r="I57">
            <v>0.54778760236271795</v>
          </cell>
          <cell r="J57">
            <v>0.44411083452521244</v>
          </cell>
          <cell r="K57">
            <v>0.43425626021813396</v>
          </cell>
          <cell r="L57">
            <v>0.44456860871611831</v>
          </cell>
          <cell r="M57">
            <v>0.41726000644323208</v>
          </cell>
        </row>
        <row r="58">
          <cell r="B58">
            <v>14.569474529355846</v>
          </cell>
          <cell r="C58">
            <v>13.887086121306487</v>
          </cell>
          <cell r="D58">
            <v>10.115170223541611</v>
          </cell>
          <cell r="E58">
            <v>7.4441111422373378</v>
          </cell>
          <cell r="F58">
            <v>4.2501236772280313</v>
          </cell>
          <cell r="G58">
            <v>2.3424612672313052</v>
          </cell>
          <cell r="H58">
            <v>0.97763159841552505</v>
          </cell>
          <cell r="I58">
            <v>2.6395039179868011E-2</v>
          </cell>
          <cell r="J58">
            <v>3.8856740928069407E-2</v>
          </cell>
          <cell r="K58">
            <v>1.4595273918605541E-2</v>
          </cell>
          <cell r="L58">
            <v>2.1146582295814065E-2</v>
          </cell>
          <cell r="M58">
            <v>1.7511034147784883E-2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-0.6679556544274402</v>
          </cell>
          <cell r="H59">
            <v>-2.264963909412602</v>
          </cell>
          <cell r="I59">
            <v>-2.4706642242835626</v>
          </cell>
          <cell r="J59">
            <v>-2.6205356158354634</v>
          </cell>
          <cell r="K59">
            <v>-2.6852462757383528</v>
          </cell>
          <cell r="L59">
            <v>-2.6849942294921818</v>
          </cell>
          <cell r="M59">
            <v>-2.694577671799586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-0.54871708199962477</v>
          </cell>
          <cell r="H60">
            <v>-1.4587709054996656</v>
          </cell>
          <cell r="I60">
            <v>-3.1055893099625109</v>
          </cell>
          <cell r="J60">
            <v>-3.0406414085973452</v>
          </cell>
          <cell r="K60">
            <v>-3.0394716016786529</v>
          </cell>
          <cell r="L60">
            <v>-3.0414004734493694</v>
          </cell>
          <cell r="M60">
            <v>-3.0416884114618989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-0.3443095129188028</v>
          </cell>
          <cell r="J61">
            <v>-0.97719070329662783</v>
          </cell>
          <cell r="K61">
            <v>-0.9714376518599197</v>
          </cell>
          <cell r="L61">
            <v>-1.5399414442171531</v>
          </cell>
          <cell r="M61">
            <v>-1.6743259285857481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-2.6061533816881279E-4</v>
          </cell>
          <cell r="H62">
            <v>-3.4403757861975248E-4</v>
          </cell>
          <cell r="I62">
            <v>-0.54275239897822292</v>
          </cell>
          <cell r="J62">
            <v>-0.7179733788617525</v>
          </cell>
          <cell r="K62">
            <v>-0.60545225343617304</v>
          </cell>
          <cell r="L62">
            <v>-0.71080580907416602</v>
          </cell>
          <cell r="M62">
            <v>-0.71027074546215752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-2.0724292333417408E-5</v>
          </cell>
          <cell r="H63">
            <v>-2.6468371680148018E-5</v>
          </cell>
          <cell r="I63">
            <v>-2.1814536971280132E-2</v>
          </cell>
          <cell r="J63">
            <v>-0.21936350943276328</v>
          </cell>
          <cell r="K63">
            <v>-1.579337394240256</v>
          </cell>
          <cell r="L63">
            <v>-1.7491991416003929</v>
          </cell>
          <cell r="M63">
            <v>-2.4137728765842659</v>
          </cell>
        </row>
        <row r="77">
          <cell r="B77">
            <v>0.83333088058087912</v>
          </cell>
          <cell r="C77">
            <v>1.1596293287957526</v>
          </cell>
        </row>
        <row r="78">
          <cell r="B78">
            <v>0.38285870054280491</v>
          </cell>
          <cell r="C78">
            <v>0.48155509156050053</v>
          </cell>
        </row>
        <row r="79">
          <cell r="B79">
            <v>0</v>
          </cell>
          <cell r="C79">
            <v>2.0824167130638442</v>
          </cell>
        </row>
      </sheetData>
      <sheetData sheetId="77"/>
      <sheetData sheetId="78">
        <row r="99"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</row>
      </sheetData>
      <sheetData sheetId="79"/>
      <sheetData sheetId="80"/>
      <sheetData sheetId="81"/>
      <sheetData sheetId="82"/>
      <sheetData sheetId="83"/>
      <sheetData sheetId="8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sheetPr codeName="Sheet1"/>
  <dimension ref="B2:E98"/>
  <sheetViews>
    <sheetView showGridLines="0" topLeftCell="A14" zoomScale="70" zoomScaleNormal="70" workbookViewId="0">
      <selection activeCell="B99" sqref="B99"/>
    </sheetView>
  </sheetViews>
  <sheetFormatPr defaultRowHeight="15.75" x14ac:dyDescent="0.5"/>
  <cols>
    <col min="2" max="2" width="49.5625" bestFit="1" customWidth="1"/>
    <col min="3" max="3" width="81.5" bestFit="1" customWidth="1"/>
    <col min="4" max="4" width="11.5" bestFit="1" customWidth="1"/>
  </cols>
  <sheetData>
    <row r="2" spans="2:5" x14ac:dyDescent="0.5">
      <c r="B2" s="15" t="s">
        <v>3</v>
      </c>
      <c r="C2" s="15" t="s">
        <v>358</v>
      </c>
      <c r="D2" s="15" t="s">
        <v>4</v>
      </c>
      <c r="E2" s="15" t="s">
        <v>368</v>
      </c>
    </row>
    <row r="3" spans="2:5" x14ac:dyDescent="0.5">
      <c r="B3" t="s">
        <v>15</v>
      </c>
      <c r="C3" t="s">
        <v>359</v>
      </c>
      <c r="D3" t="s">
        <v>8</v>
      </c>
    </row>
    <row r="4" spans="2:5" x14ac:dyDescent="0.5">
      <c r="B4" t="s">
        <v>19</v>
      </c>
      <c r="C4" t="s">
        <v>360</v>
      </c>
      <c r="D4" t="s">
        <v>8</v>
      </c>
    </row>
    <row r="5" spans="2:5" x14ac:dyDescent="0.5">
      <c r="B5" t="s">
        <v>24</v>
      </c>
      <c r="C5" t="s">
        <v>361</v>
      </c>
      <c r="D5" t="s">
        <v>8</v>
      </c>
    </row>
    <row r="6" spans="2:5" x14ac:dyDescent="0.5">
      <c r="B6" t="s">
        <v>29</v>
      </c>
      <c r="C6" t="s">
        <v>362</v>
      </c>
      <c r="D6" t="s">
        <v>8</v>
      </c>
    </row>
    <row r="7" spans="2:5" x14ac:dyDescent="0.5">
      <c r="B7" t="s">
        <v>152</v>
      </c>
      <c r="C7" t="s">
        <v>363</v>
      </c>
      <c r="D7" t="s">
        <v>8</v>
      </c>
    </row>
    <row r="8" spans="2:5" x14ac:dyDescent="0.5">
      <c r="B8" t="s">
        <v>91</v>
      </c>
      <c r="C8" t="s">
        <v>364</v>
      </c>
      <c r="D8" t="s">
        <v>8</v>
      </c>
    </row>
    <row r="9" spans="2:5" x14ac:dyDescent="0.5">
      <c r="B9" t="s">
        <v>190</v>
      </c>
      <c r="C9" t="s">
        <v>365</v>
      </c>
      <c r="D9" t="s">
        <v>8</v>
      </c>
    </row>
    <row r="10" spans="2:5" x14ac:dyDescent="0.5">
      <c r="B10" t="s">
        <v>241</v>
      </c>
      <c r="C10" t="s">
        <v>366</v>
      </c>
      <c r="D10" t="s">
        <v>240</v>
      </c>
      <c r="E10" t="s">
        <v>369</v>
      </c>
    </row>
    <row r="11" spans="2:5" x14ac:dyDescent="0.5">
      <c r="B11" t="s">
        <v>296</v>
      </c>
      <c r="C11" t="s">
        <v>367</v>
      </c>
      <c r="D11" t="s">
        <v>240</v>
      </c>
      <c r="E11" t="s">
        <v>686</v>
      </c>
    </row>
    <row r="12" spans="2:5" x14ac:dyDescent="0.5">
      <c r="B12" t="s">
        <v>303</v>
      </c>
      <c r="C12" t="s">
        <v>371</v>
      </c>
      <c r="D12" t="s">
        <v>8</v>
      </c>
    </row>
    <row r="13" spans="2:5" x14ac:dyDescent="0.5">
      <c r="B13" t="s">
        <v>370</v>
      </c>
      <c r="C13" t="s">
        <v>372</v>
      </c>
      <c r="D13" t="s">
        <v>8</v>
      </c>
    </row>
    <row r="14" spans="2:5" x14ac:dyDescent="0.5">
      <c r="B14" t="s">
        <v>373</v>
      </c>
      <c r="C14" t="s">
        <v>374</v>
      </c>
      <c r="D14" t="s">
        <v>8</v>
      </c>
    </row>
    <row r="15" spans="2:5" x14ac:dyDescent="0.5">
      <c r="B15" t="s">
        <v>306</v>
      </c>
      <c r="C15" t="s">
        <v>375</v>
      </c>
      <c r="D15" t="s">
        <v>240</v>
      </c>
    </row>
    <row r="16" spans="2:5" x14ac:dyDescent="0.5">
      <c r="B16" t="s">
        <v>376</v>
      </c>
      <c r="C16" t="s">
        <v>377</v>
      </c>
      <c r="D16" t="s">
        <v>8</v>
      </c>
    </row>
    <row r="17" spans="2:5" x14ac:dyDescent="0.5">
      <c r="B17" t="s">
        <v>378</v>
      </c>
      <c r="C17" t="s">
        <v>379</v>
      </c>
      <c r="D17" t="s">
        <v>8</v>
      </c>
    </row>
    <row r="18" spans="2:5" x14ac:dyDescent="0.5">
      <c r="B18" t="s">
        <v>311</v>
      </c>
      <c r="C18" t="s">
        <v>380</v>
      </c>
      <c r="D18" t="s">
        <v>240</v>
      </c>
    </row>
    <row r="19" spans="2:5" x14ac:dyDescent="0.5">
      <c r="B19" t="s">
        <v>381</v>
      </c>
      <c r="C19" t="s">
        <v>382</v>
      </c>
      <c r="D19" t="s">
        <v>8</v>
      </c>
    </row>
    <row r="20" spans="2:5" x14ac:dyDescent="0.5">
      <c r="B20" t="s">
        <v>383</v>
      </c>
      <c r="C20" t="s">
        <v>384</v>
      </c>
      <c r="D20" t="s">
        <v>8</v>
      </c>
    </row>
    <row r="21" spans="2:5" x14ac:dyDescent="0.5">
      <c r="B21" t="s">
        <v>385</v>
      </c>
      <c r="C21" t="s">
        <v>386</v>
      </c>
      <c r="D21" t="s">
        <v>8</v>
      </c>
    </row>
    <row r="22" spans="2:5" x14ac:dyDescent="0.5">
      <c r="B22" t="s">
        <v>387</v>
      </c>
      <c r="C22" t="s">
        <v>387</v>
      </c>
      <c r="D22" t="s">
        <v>8</v>
      </c>
    </row>
    <row r="23" spans="2:5" x14ac:dyDescent="0.5">
      <c r="B23" t="s">
        <v>388</v>
      </c>
      <c r="C23" t="s">
        <v>389</v>
      </c>
      <c r="D23" t="s">
        <v>240</v>
      </c>
    </row>
    <row r="24" spans="2:5" x14ac:dyDescent="0.5">
      <c r="B24" t="s">
        <v>390</v>
      </c>
      <c r="C24" t="s">
        <v>390</v>
      </c>
      <c r="D24" t="s">
        <v>8</v>
      </c>
    </row>
    <row r="25" spans="2:5" x14ac:dyDescent="0.5">
      <c r="B25" t="s">
        <v>406</v>
      </c>
      <c r="C25" t="s">
        <v>407</v>
      </c>
      <c r="D25" t="s">
        <v>8</v>
      </c>
    </row>
    <row r="26" spans="2:5" x14ac:dyDescent="0.5">
      <c r="B26" t="s">
        <v>408</v>
      </c>
      <c r="C26" t="s">
        <v>416</v>
      </c>
      <c r="D26" t="s">
        <v>240</v>
      </c>
      <c r="E26" t="s">
        <v>417</v>
      </c>
    </row>
    <row r="27" spans="2:5" x14ac:dyDescent="0.5">
      <c r="B27" t="s">
        <v>424</v>
      </c>
      <c r="C27" t="s">
        <v>418</v>
      </c>
      <c r="D27" t="s">
        <v>8</v>
      </c>
      <c r="E27" t="s">
        <v>421</v>
      </c>
    </row>
    <row r="28" spans="2:5" x14ac:dyDescent="0.5">
      <c r="B28" t="s">
        <v>425</v>
      </c>
      <c r="C28" t="s">
        <v>419</v>
      </c>
      <c r="D28" t="s">
        <v>8</v>
      </c>
      <c r="E28" t="s">
        <v>420</v>
      </c>
    </row>
    <row r="29" spans="2:5" x14ac:dyDescent="0.5">
      <c r="B29" t="s">
        <v>426</v>
      </c>
      <c r="C29" t="s">
        <v>422</v>
      </c>
      <c r="D29" t="s">
        <v>8</v>
      </c>
      <c r="E29" t="s">
        <v>423</v>
      </c>
    </row>
    <row r="30" spans="2:5" x14ac:dyDescent="0.5">
      <c r="B30" t="s">
        <v>431</v>
      </c>
      <c r="C30" t="s">
        <v>432</v>
      </c>
      <c r="D30" t="s">
        <v>8</v>
      </c>
    </row>
    <row r="31" spans="2:5" x14ac:dyDescent="0.5">
      <c r="B31" t="s">
        <v>434</v>
      </c>
      <c r="C31" t="s">
        <v>435</v>
      </c>
      <c r="D31" t="s">
        <v>8</v>
      </c>
    </row>
    <row r="32" spans="2:5" x14ac:dyDescent="0.5">
      <c r="B32" t="s">
        <v>440</v>
      </c>
      <c r="C32" t="s">
        <v>441</v>
      </c>
      <c r="D32" t="s">
        <v>240</v>
      </c>
    </row>
    <row r="33" spans="2:5" x14ac:dyDescent="0.5">
      <c r="B33" t="s">
        <v>444</v>
      </c>
      <c r="C33" t="s">
        <v>444</v>
      </c>
      <c r="D33" t="s">
        <v>442</v>
      </c>
      <c r="E33" t="s">
        <v>447</v>
      </c>
    </row>
    <row r="34" spans="2:5" x14ac:dyDescent="0.5">
      <c r="B34" t="s">
        <v>474</v>
      </c>
      <c r="C34" t="s">
        <v>477</v>
      </c>
      <c r="D34" t="s">
        <v>8</v>
      </c>
      <c r="E34" t="s">
        <v>478</v>
      </c>
    </row>
    <row r="35" spans="2:5" x14ac:dyDescent="0.5">
      <c r="B35" t="s">
        <v>475</v>
      </c>
      <c r="C35" t="s">
        <v>479</v>
      </c>
      <c r="D35" t="s">
        <v>8</v>
      </c>
      <c r="E35" t="s">
        <v>478</v>
      </c>
    </row>
    <row r="36" spans="2:5" x14ac:dyDescent="0.5">
      <c r="B36" t="s">
        <v>476</v>
      </c>
      <c r="C36" t="s">
        <v>480</v>
      </c>
      <c r="D36" t="s">
        <v>240</v>
      </c>
    </row>
    <row r="37" spans="2:5" x14ac:dyDescent="0.5">
      <c r="B37" t="s">
        <v>496</v>
      </c>
      <c r="C37" t="s">
        <v>497</v>
      </c>
      <c r="D37" t="s">
        <v>8</v>
      </c>
      <c r="E37" t="s">
        <v>498</v>
      </c>
    </row>
    <row r="38" spans="2:5" x14ac:dyDescent="0.5">
      <c r="B38" t="s">
        <v>684</v>
      </c>
      <c r="C38" t="s">
        <v>685</v>
      </c>
      <c r="D38" t="s">
        <v>8</v>
      </c>
      <c r="E38" t="s">
        <v>498</v>
      </c>
    </row>
    <row r="39" spans="2:5" x14ac:dyDescent="0.5">
      <c r="B39" t="s">
        <v>687</v>
      </c>
      <c r="C39" t="s">
        <v>688</v>
      </c>
      <c r="D39" t="s">
        <v>240</v>
      </c>
      <c r="E39" t="s">
        <v>498</v>
      </c>
    </row>
    <row r="40" spans="2:5" x14ac:dyDescent="0.5">
      <c r="B40" t="s">
        <v>674</v>
      </c>
      <c r="C40" t="s">
        <v>675</v>
      </c>
      <c r="D40" t="s">
        <v>8</v>
      </c>
    </row>
    <row r="41" spans="2:5" x14ac:dyDescent="0.5">
      <c r="B41" t="s">
        <v>697</v>
      </c>
      <c r="C41" t="s">
        <v>698</v>
      </c>
      <c r="D41" t="s">
        <v>8</v>
      </c>
    </row>
    <row r="42" spans="2:5" x14ac:dyDescent="0.5">
      <c r="B42" t="s">
        <v>689</v>
      </c>
      <c r="C42" t="s">
        <v>690</v>
      </c>
      <c r="D42" t="s">
        <v>240</v>
      </c>
    </row>
    <row r="43" spans="2:5" x14ac:dyDescent="0.5">
      <c r="B43" t="s">
        <v>740</v>
      </c>
      <c r="C43" t="s">
        <v>741</v>
      </c>
      <c r="D43" t="s">
        <v>8</v>
      </c>
    </row>
    <row r="44" spans="2:5" x14ac:dyDescent="0.5">
      <c r="B44" t="s">
        <v>756</v>
      </c>
      <c r="C44" t="s">
        <v>757</v>
      </c>
      <c r="D44" t="s">
        <v>8</v>
      </c>
    </row>
    <row r="45" spans="2:5" x14ac:dyDescent="0.5">
      <c r="B45" t="s">
        <v>1091</v>
      </c>
      <c r="C45" t="s">
        <v>1125</v>
      </c>
      <c r="D45" t="s">
        <v>240</v>
      </c>
    </row>
    <row r="46" spans="2:5" x14ac:dyDescent="0.5">
      <c r="B46" t="s">
        <v>1236</v>
      </c>
      <c r="C46" t="s">
        <v>1126</v>
      </c>
      <c r="D46" t="s">
        <v>8</v>
      </c>
      <c r="E46" t="s">
        <v>1127</v>
      </c>
    </row>
    <row r="47" spans="2:5" x14ac:dyDescent="0.5">
      <c r="B47" t="s">
        <v>1128</v>
      </c>
      <c r="C47" t="s">
        <v>1129</v>
      </c>
      <c r="D47" t="s">
        <v>1131</v>
      </c>
    </row>
    <row r="48" spans="2:5" x14ac:dyDescent="0.5">
      <c r="B48" t="s">
        <v>1130</v>
      </c>
      <c r="C48" t="s">
        <v>1230</v>
      </c>
      <c r="D48" t="s">
        <v>1229</v>
      </c>
      <c r="E48" t="s">
        <v>1231</v>
      </c>
    </row>
    <row r="49" spans="2:5" x14ac:dyDescent="0.5">
      <c r="B49" t="s">
        <v>1304</v>
      </c>
      <c r="C49" t="s">
        <v>1305</v>
      </c>
      <c r="D49" t="s">
        <v>8</v>
      </c>
    </row>
    <row r="50" spans="2:5" x14ac:dyDescent="0.5">
      <c r="B50" t="s">
        <v>1348</v>
      </c>
      <c r="C50" t="s">
        <v>1532</v>
      </c>
      <c r="D50" t="s">
        <v>1131</v>
      </c>
      <c r="E50" t="s">
        <v>1231</v>
      </c>
    </row>
    <row r="51" spans="2:5" x14ac:dyDescent="0.5">
      <c r="B51" t="s">
        <v>1370</v>
      </c>
      <c r="C51" t="s">
        <v>1471</v>
      </c>
      <c r="D51" t="s">
        <v>1229</v>
      </c>
    </row>
    <row r="52" spans="2:5" x14ac:dyDescent="0.5">
      <c r="B52" t="s">
        <v>1394</v>
      </c>
      <c r="C52" t="s">
        <v>1394</v>
      </c>
      <c r="D52" t="s">
        <v>8</v>
      </c>
    </row>
    <row r="53" spans="2:5" x14ac:dyDescent="0.5">
      <c r="B53" t="s">
        <v>1392</v>
      </c>
      <c r="C53" t="s">
        <v>1531</v>
      </c>
      <c r="D53" t="s">
        <v>1131</v>
      </c>
      <c r="E53" t="s">
        <v>1231</v>
      </c>
    </row>
    <row r="54" spans="2:5" x14ac:dyDescent="0.5">
      <c r="B54" t="s">
        <v>1393</v>
      </c>
      <c r="C54" t="s">
        <v>1470</v>
      </c>
      <c r="D54" t="s">
        <v>1229</v>
      </c>
    </row>
    <row r="55" spans="2:5" x14ac:dyDescent="0.5">
      <c r="B55" t="s">
        <v>1473</v>
      </c>
      <c r="C55" t="s">
        <v>1473</v>
      </c>
      <c r="D55" t="s">
        <v>8</v>
      </c>
    </row>
    <row r="56" spans="2:5" x14ac:dyDescent="0.5">
      <c r="B56" t="s">
        <v>1478</v>
      </c>
      <c r="C56" t="s">
        <v>1530</v>
      </c>
      <c r="D56" t="s">
        <v>1131</v>
      </c>
    </row>
    <row r="57" spans="2:5" x14ac:dyDescent="0.5">
      <c r="B57" t="s">
        <v>1480</v>
      </c>
      <c r="C57" t="s">
        <v>1486</v>
      </c>
      <c r="D57" t="s">
        <v>1229</v>
      </c>
    </row>
    <row r="58" spans="2:5" x14ac:dyDescent="0.5">
      <c r="B58" t="s">
        <v>1472</v>
      </c>
      <c r="C58" t="s">
        <v>1472</v>
      </c>
      <c r="D58" t="s">
        <v>8</v>
      </c>
    </row>
    <row r="59" spans="2:5" x14ac:dyDescent="0.5">
      <c r="B59" t="s">
        <v>1482</v>
      </c>
      <c r="C59" t="s">
        <v>1529</v>
      </c>
      <c r="D59" t="s">
        <v>1131</v>
      </c>
    </row>
    <row r="60" spans="2:5" x14ac:dyDescent="0.5">
      <c r="B60" t="s">
        <v>1484</v>
      </c>
      <c r="C60" t="s">
        <v>1534</v>
      </c>
      <c r="D60" t="s">
        <v>1229</v>
      </c>
    </row>
    <row r="61" spans="2:5" x14ac:dyDescent="0.5">
      <c r="B61" t="s">
        <v>1487</v>
      </c>
      <c r="C61" t="s">
        <v>1528</v>
      </c>
      <c r="D61" t="s">
        <v>8</v>
      </c>
    </row>
    <row r="62" spans="2:5" x14ac:dyDescent="0.5">
      <c r="B62" t="s">
        <v>1503</v>
      </c>
      <c r="C62" t="s">
        <v>1595</v>
      </c>
      <c r="D62" t="s">
        <v>1131</v>
      </c>
    </row>
    <row r="63" spans="2:5" x14ac:dyDescent="0.5">
      <c r="B63" t="s">
        <v>1518</v>
      </c>
      <c r="C63" t="s">
        <v>1533</v>
      </c>
      <c r="D63" t="s">
        <v>1229</v>
      </c>
    </row>
    <row r="64" spans="2:5" x14ac:dyDescent="0.5">
      <c r="B64" t="s">
        <v>1643</v>
      </c>
      <c r="C64" t="s">
        <v>1593</v>
      </c>
      <c r="D64" t="s">
        <v>8</v>
      </c>
    </row>
    <row r="65" spans="2:4" x14ac:dyDescent="0.5">
      <c r="B65" t="s">
        <v>1644</v>
      </c>
      <c r="C65" t="s">
        <v>1595</v>
      </c>
      <c r="D65" t="s">
        <v>1131</v>
      </c>
    </row>
    <row r="66" spans="2:4" x14ac:dyDescent="0.5">
      <c r="B66" t="s">
        <v>1645</v>
      </c>
      <c r="C66" t="s">
        <v>1594</v>
      </c>
      <c r="D66" t="s">
        <v>1229</v>
      </c>
    </row>
    <row r="67" spans="2:4" x14ac:dyDescent="0.5">
      <c r="B67" t="s">
        <v>1646</v>
      </c>
      <c r="C67" t="s">
        <v>1647</v>
      </c>
      <c r="D67" t="s">
        <v>8</v>
      </c>
    </row>
    <row r="68" spans="2:4" x14ac:dyDescent="0.5">
      <c r="B68" t="s">
        <v>1649</v>
      </c>
      <c r="C68" t="s">
        <v>1595</v>
      </c>
      <c r="D68" t="s">
        <v>1131</v>
      </c>
    </row>
    <row r="69" spans="2:4" x14ac:dyDescent="0.5">
      <c r="B69" t="s">
        <v>1650</v>
      </c>
      <c r="C69" t="s">
        <v>1648</v>
      </c>
      <c r="D69" t="s">
        <v>1229</v>
      </c>
    </row>
    <row r="70" spans="2:4" x14ac:dyDescent="0.5">
      <c r="B70" t="s">
        <v>1696</v>
      </c>
      <c r="C70" t="s">
        <v>1651</v>
      </c>
      <c r="D70" t="s">
        <v>8</v>
      </c>
    </row>
    <row r="71" spans="2:4" x14ac:dyDescent="0.5">
      <c r="B71" t="s">
        <v>1674</v>
      </c>
      <c r="C71" t="s">
        <v>1697</v>
      </c>
      <c r="D71" t="s">
        <v>1699</v>
      </c>
    </row>
    <row r="72" spans="2:4" x14ac:dyDescent="0.5">
      <c r="B72" t="s">
        <v>1685</v>
      </c>
      <c r="C72" t="s">
        <v>1698</v>
      </c>
      <c r="D72" t="s">
        <v>1700</v>
      </c>
    </row>
    <row r="73" spans="2:4" x14ac:dyDescent="0.5">
      <c r="B73" t="s">
        <v>1701</v>
      </c>
      <c r="C73" t="s">
        <v>1701</v>
      </c>
      <c r="D73" t="s">
        <v>442</v>
      </c>
    </row>
    <row r="74" spans="2:4" x14ac:dyDescent="0.5">
      <c r="B74" t="s">
        <v>1715</v>
      </c>
      <c r="C74" t="s">
        <v>1721</v>
      </c>
      <c r="D74" t="s">
        <v>442</v>
      </c>
    </row>
    <row r="75" spans="2:4" x14ac:dyDescent="0.5">
      <c r="B75" t="s">
        <v>1720</v>
      </c>
      <c r="C75" t="s">
        <v>1722</v>
      </c>
      <c r="D75" t="s">
        <v>8</v>
      </c>
    </row>
    <row r="76" spans="2:4" x14ac:dyDescent="0.5">
      <c r="B76" t="s">
        <v>1768</v>
      </c>
      <c r="C76" t="s">
        <v>1786</v>
      </c>
      <c r="D76" t="s">
        <v>8</v>
      </c>
    </row>
    <row r="77" spans="2:4" x14ac:dyDescent="0.5">
      <c r="B77" t="s">
        <v>1789</v>
      </c>
      <c r="C77" t="s">
        <v>1787</v>
      </c>
      <c r="D77" t="s">
        <v>1857</v>
      </c>
    </row>
    <row r="78" spans="2:4" x14ac:dyDescent="0.5">
      <c r="B78" t="s">
        <v>1856</v>
      </c>
      <c r="C78" t="s">
        <v>1859</v>
      </c>
      <c r="D78" t="s">
        <v>1858</v>
      </c>
    </row>
    <row r="79" spans="2:4" x14ac:dyDescent="0.5">
      <c r="B79" t="s">
        <v>1899</v>
      </c>
      <c r="C79" t="s">
        <v>1918</v>
      </c>
      <c r="D79" t="s">
        <v>1858</v>
      </c>
    </row>
    <row r="80" spans="2:4" x14ac:dyDescent="0.5">
      <c r="B80" t="s">
        <v>1900</v>
      </c>
      <c r="C80" t="s">
        <v>1919</v>
      </c>
      <c r="D80" t="s">
        <v>1858</v>
      </c>
    </row>
    <row r="81" spans="2:4" x14ac:dyDescent="0.5">
      <c r="B81" t="s">
        <v>1920</v>
      </c>
      <c r="C81" t="s">
        <v>1971</v>
      </c>
      <c r="D81" t="s">
        <v>1972</v>
      </c>
    </row>
    <row r="82" spans="2:4" x14ac:dyDescent="0.5">
      <c r="B82" t="s">
        <v>1973</v>
      </c>
      <c r="C82" t="s">
        <v>1974</v>
      </c>
      <c r="D82" t="s">
        <v>1975</v>
      </c>
    </row>
    <row r="83" spans="2:4" x14ac:dyDescent="0.5">
      <c r="B83" t="s">
        <v>1977</v>
      </c>
      <c r="C83" t="s">
        <v>1976</v>
      </c>
      <c r="D83" t="s">
        <v>1975</v>
      </c>
    </row>
    <row r="84" spans="2:4" x14ac:dyDescent="0.5">
      <c r="B84" t="s">
        <v>2121</v>
      </c>
      <c r="C84" t="s">
        <v>2131</v>
      </c>
      <c r="D84" t="s">
        <v>1975</v>
      </c>
    </row>
    <row r="85" spans="2:4" x14ac:dyDescent="0.5">
      <c r="B85" t="s">
        <v>2133</v>
      </c>
      <c r="C85" t="s">
        <v>2132</v>
      </c>
      <c r="D85" t="s">
        <v>1975</v>
      </c>
    </row>
    <row r="86" spans="2:4" x14ac:dyDescent="0.5">
      <c r="B86" t="s">
        <v>2143</v>
      </c>
      <c r="C86" t="s">
        <v>2155</v>
      </c>
      <c r="D86" t="s">
        <v>2154</v>
      </c>
    </row>
    <row r="87" spans="2:4" x14ac:dyDescent="0.5">
      <c r="B87" t="s">
        <v>2158</v>
      </c>
      <c r="C87" t="s">
        <v>2159</v>
      </c>
      <c r="D87" t="s">
        <v>2156</v>
      </c>
    </row>
    <row r="88" spans="2:4" x14ac:dyDescent="0.5">
      <c r="B88" t="s">
        <v>2178</v>
      </c>
      <c r="C88" t="s">
        <v>2179</v>
      </c>
      <c r="D88" t="s">
        <v>1857</v>
      </c>
    </row>
    <row r="89" spans="2:4" x14ac:dyDescent="0.5">
      <c r="B89" t="s">
        <v>2243</v>
      </c>
      <c r="C89" t="s">
        <v>2362</v>
      </c>
      <c r="D89" t="s">
        <v>1972</v>
      </c>
    </row>
    <row r="90" spans="2:4" x14ac:dyDescent="0.5">
      <c r="B90" t="s">
        <v>2294</v>
      </c>
      <c r="C90" t="s">
        <v>2363</v>
      </c>
      <c r="D90" t="s">
        <v>1972</v>
      </c>
    </row>
    <row r="91" spans="2:4" x14ac:dyDescent="0.5">
      <c r="B91" t="s">
        <v>2318</v>
      </c>
      <c r="C91" t="s">
        <v>2364</v>
      </c>
    </row>
    <row r="92" spans="2:4" x14ac:dyDescent="0.5">
      <c r="B92" t="s">
        <v>2342</v>
      </c>
      <c r="C92" t="s">
        <v>2365</v>
      </c>
    </row>
    <row r="93" spans="2:4" x14ac:dyDescent="0.5">
      <c r="B93" t="s">
        <v>2352</v>
      </c>
      <c r="C93" t="s">
        <v>2366</v>
      </c>
    </row>
    <row r="94" spans="2:4" x14ac:dyDescent="0.5">
      <c r="B94" t="s">
        <v>2367</v>
      </c>
      <c r="C94" t="s">
        <v>2447</v>
      </c>
      <c r="D94" t="s">
        <v>1858</v>
      </c>
    </row>
    <row r="95" spans="2:4" x14ac:dyDescent="0.5">
      <c r="B95" t="s">
        <v>2406</v>
      </c>
      <c r="C95" t="s">
        <v>2447</v>
      </c>
      <c r="D95" t="s">
        <v>1858</v>
      </c>
    </row>
    <row r="96" spans="2:4" x14ac:dyDescent="0.5">
      <c r="B96" t="s">
        <v>2429</v>
      </c>
      <c r="C96" t="s">
        <v>2447</v>
      </c>
      <c r="D96" t="s">
        <v>1858</v>
      </c>
    </row>
    <row r="97" spans="2:4" x14ac:dyDescent="0.5">
      <c r="B97" t="s">
        <v>2448</v>
      </c>
      <c r="C97" t="s">
        <v>2447</v>
      </c>
      <c r="D97" t="s">
        <v>2154</v>
      </c>
    </row>
    <row r="98" spans="2:4" x14ac:dyDescent="0.5">
      <c r="B98" t="s">
        <v>2459</v>
      </c>
      <c r="C98" t="s">
        <v>2447</v>
      </c>
      <c r="D98" t="s">
        <v>2156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sheetPr codeName="Sheet2"/>
  <dimension ref="A1:T2340"/>
  <sheetViews>
    <sheetView tabSelected="1" topLeftCell="B1" zoomScale="70" zoomScaleNormal="70" workbookViewId="0">
      <pane xSplit="4" ySplit="1" topLeftCell="F721" activePane="bottomRight" state="frozen"/>
      <selection activeCell="B1" sqref="B1"/>
      <selection pane="topRight" activeCell="F1" sqref="F1"/>
      <selection pane="bottomLeft" activeCell="B2" sqref="B2"/>
      <selection pane="bottomRight" activeCell="N740" sqref="N740"/>
    </sheetView>
  </sheetViews>
  <sheetFormatPr defaultColWidth="11" defaultRowHeight="15.75" x14ac:dyDescent="0.5"/>
  <cols>
    <col min="1" max="1" width="11.5" bestFit="1" customWidth="1"/>
    <col min="2" max="2" width="10.6875" customWidth="1"/>
    <col min="3" max="3" width="6.5" customWidth="1"/>
    <col min="4" max="4" width="63.5625" customWidth="1"/>
    <col min="5" max="5" width="12.5" bestFit="1" customWidth="1"/>
    <col min="6" max="12" width="9.4375" customWidth="1"/>
    <col min="13" max="17" width="10" customWidth="1"/>
    <col min="18" max="18" width="15.4375" bestFit="1" customWidth="1"/>
  </cols>
  <sheetData>
    <row r="1" spans="1:19" x14ac:dyDescent="0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2020</v>
      </c>
      <c r="G1" s="2">
        <v>2022</v>
      </c>
      <c r="H1" s="2">
        <v>2025</v>
      </c>
      <c r="I1" s="2">
        <v>2030</v>
      </c>
      <c r="J1" s="2">
        <v>2035</v>
      </c>
      <c r="K1" s="2">
        <v>2040</v>
      </c>
      <c r="L1" s="2">
        <v>2045</v>
      </c>
      <c r="M1" s="2">
        <v>2050</v>
      </c>
      <c r="N1" s="2">
        <v>2055</v>
      </c>
      <c r="O1" s="2">
        <v>2060</v>
      </c>
      <c r="P1" s="2">
        <v>2065</v>
      </c>
      <c r="Q1" s="2">
        <v>2070</v>
      </c>
    </row>
    <row r="2" spans="1:19" x14ac:dyDescent="0.5">
      <c r="A2" s="9" t="s">
        <v>5</v>
      </c>
      <c r="B2" s="9" t="s">
        <v>6</v>
      </c>
      <c r="C2" s="2" t="s">
        <v>7</v>
      </c>
      <c r="D2" s="2" t="s">
        <v>15</v>
      </c>
      <c r="E2" s="2" t="s">
        <v>8</v>
      </c>
      <c r="F2" s="3">
        <f>F3+F8+F11+F12+F16+F17+F18+F19</f>
        <v>301.54914044682403</v>
      </c>
      <c r="G2" s="3">
        <f t="shared" ref="G2:K2" si="0">G3+G8+G11+G12+G16+G17+G18+G19</f>
        <v>296.9730601631216</v>
      </c>
      <c r="H2" s="3">
        <f t="shared" si="0"/>
        <v>329.28589100676004</v>
      </c>
      <c r="I2" s="3">
        <f t="shared" si="0"/>
        <v>375.55214121375445</v>
      </c>
      <c r="J2" s="3">
        <f t="shared" si="0"/>
        <v>428.76621135512249</v>
      </c>
      <c r="K2" s="3">
        <f t="shared" si="0"/>
        <v>512.20090288196491</v>
      </c>
      <c r="L2" s="3">
        <f t="shared" ref="L2:O2" si="1">L3+L8+L11+L12+L16+L17+L18+L19</f>
        <v>575.15997578050712</v>
      </c>
      <c r="M2" s="3">
        <f t="shared" si="1"/>
        <v>618.47985571892946</v>
      </c>
      <c r="N2" s="3">
        <f t="shared" si="1"/>
        <v>620.83004259247832</v>
      </c>
      <c r="O2" s="3">
        <f t="shared" si="1"/>
        <v>629.96775303236768</v>
      </c>
      <c r="P2" s="3">
        <f>P3+P8+P11+P12+P16+P17+P18+P19</f>
        <v>629.50811021041807</v>
      </c>
      <c r="Q2" s="3">
        <f>Q3+Q8+Q11+Q12+Q16+Q17+Q18+Q19</f>
        <v>631.12775257399835</v>
      </c>
      <c r="S2" s="3"/>
    </row>
    <row r="3" spans="1:19" x14ac:dyDescent="0.5">
      <c r="A3" s="5" t="str">
        <f>A2</f>
        <v>STEM</v>
      </c>
      <c r="B3" s="5" t="str">
        <f t="shared" ref="B3" si="2">B2</f>
        <v>SPS1</v>
      </c>
      <c r="C3" s="5" t="str">
        <f t="shared" ref="C3" si="3">C2</f>
        <v>CH</v>
      </c>
      <c r="D3" t="s">
        <v>771</v>
      </c>
      <c r="E3" t="s">
        <v>8</v>
      </c>
      <c r="F3" s="1">
        <f>SUM(F4:F7)</f>
        <v>46.333876478346639</v>
      </c>
      <c r="G3" s="1">
        <f t="shared" ref="G3:K3" si="4">SUM(G4:G7)</f>
        <v>50.490577321213451</v>
      </c>
      <c r="H3" s="1">
        <f t="shared" si="4"/>
        <v>50.490588688230645</v>
      </c>
      <c r="I3" s="1">
        <f t="shared" si="4"/>
        <v>50.493247419083104</v>
      </c>
      <c r="J3" s="1">
        <f t="shared" si="4"/>
        <v>50.495324975738086</v>
      </c>
      <c r="K3" s="1">
        <f t="shared" si="4"/>
        <v>53.853611814190998</v>
      </c>
      <c r="L3" s="1">
        <f t="shared" ref="L3:O3" si="5">SUM(L4:L7)</f>
        <v>68.069844569058546</v>
      </c>
      <c r="M3" s="1">
        <f t="shared" si="5"/>
        <v>68.101973535723346</v>
      </c>
      <c r="N3" s="1">
        <f t="shared" si="5"/>
        <v>68.10190319299663</v>
      </c>
      <c r="O3" s="1">
        <f t="shared" si="5"/>
        <v>68.101884200643781</v>
      </c>
      <c r="P3" s="1">
        <f>SUM(P4:P7)</f>
        <v>68.101896329356535</v>
      </c>
      <c r="Q3" s="1">
        <f>SUM(Q4:Q7)</f>
        <v>68.10189154638465</v>
      </c>
      <c r="S3" s="3"/>
    </row>
    <row r="4" spans="1:19" x14ac:dyDescent="0.5">
      <c r="A4" s="5" t="str">
        <f t="shared" ref="A4:A55" si="6">A3</f>
        <v>STEM</v>
      </c>
      <c r="B4" s="5" t="str">
        <f t="shared" ref="B4:B62" si="7">B3</f>
        <v>SPS1</v>
      </c>
      <c r="C4" s="5" t="str">
        <f t="shared" ref="C4:C62" si="8">C3</f>
        <v>CH</v>
      </c>
      <c r="D4" t="s">
        <v>10</v>
      </c>
      <c r="E4" t="s">
        <v>8</v>
      </c>
      <c r="F4" s="1" cm="1">
        <f t="array" ref="F4">SUMPRODUCT(("RNWWOD1"=[1]OUT_PrimaryEnergyCons!$A$1:$A$1000)*1,[1]OUT_PrimaryEnergyCons!D$1:D$1000)</f>
        <v>11.111902888654518</v>
      </c>
      <c r="G4" s="1" cm="1">
        <f t="array" ref="G4">SUMPRODUCT(("RNWWOD1"=[1]OUT_PrimaryEnergyCons!$A$1:$A$1000)*1,[1]OUT_PrimaryEnergyCons!E$1:E$1000)</f>
        <v>11.952908097576151</v>
      </c>
      <c r="H4" s="1" cm="1">
        <f t="array" ref="H4">SUMPRODUCT(("RNWWOD1"=[1]OUT_PrimaryEnergyCons!$A$1:$A$1000)*1,[1]OUT_PrimaryEnergyCons!F$1:F$1000)</f>
        <v>13.357217929306096</v>
      </c>
      <c r="I4" s="1" cm="1">
        <f t="array" ref="I4">SUMPRODUCT(("RNWWOD1"=[1]OUT_PrimaryEnergyCons!$A$1:$A$1000)*1,[1]OUT_PrimaryEnergyCons!G$1:G$1000)</f>
        <v>15.65618321910493</v>
      </c>
      <c r="J4" s="1" cm="1">
        <f t="array" ref="J4">SUMPRODUCT(("RNWWOD1"=[1]OUT_PrimaryEnergyCons!$A$1:$A$1000)*1,[1]OUT_PrimaryEnergyCons!H$1:H$1000)</f>
        <v>16.424591048669345</v>
      </c>
      <c r="K4" s="1" cm="1">
        <f t="array" ref="K4">SUMPRODUCT(("RNWWOD1"=[1]OUT_PrimaryEnergyCons!$A$1:$A$1000)*1,[1]OUT_PrimaryEnergyCons!I$1:I$1000)</f>
        <v>17.113675693398491</v>
      </c>
      <c r="L4" s="1" cm="1">
        <f t="array" ref="L4">SUMPRODUCT(("RNWWOD1"=[1]OUT_PrimaryEnergyCons!$A$1:$A$1000)*1,[1]OUT_PrimaryEnergyCons!J$1:J$1000)</f>
        <v>17.771681113264421</v>
      </c>
      <c r="M4" s="1" cm="1">
        <f t="array" ref="M4">SUMPRODUCT(("RNWWOD1"=[1]OUT_PrimaryEnergyCons!$A$1:$A$1000)*1,[1]OUT_PrimaryEnergyCons!K$1:K$1000)</f>
        <v>18.429710248582623</v>
      </c>
      <c r="N4" s="1" cm="1">
        <f t="array" ref="N4">SUMPRODUCT(("RNWWOD1"=[1]OUT_PrimaryEnergyCons!$A$1:$A$1000)*1,[1]OUT_PrimaryEnergyCons!L$1:L$1000)</f>
        <v>18.341199840226128</v>
      </c>
      <c r="O4" s="1" cm="1">
        <f t="array" ref="O4">SUMPRODUCT(("RNWWOD1"=[1]OUT_PrimaryEnergyCons!$A$1:$A$1000)*1,[1]OUT_PrimaryEnergyCons!M$1:M$1000)</f>
        <v>18.252688705473137</v>
      </c>
      <c r="P4" s="1" cm="1">
        <f t="array" ref="P4">SUMPRODUCT(("RNWWOD1"=[1]OUT_PrimaryEnergyCons!$A$1:$A$1000)*1,[1]OUT_PrimaryEnergyCons!N$1:N$1000)</f>
        <v>18.16419450267491</v>
      </c>
      <c r="Q4" s="1" cm="1">
        <f t="array" ref="Q4">SUMPRODUCT(("RNWWOD1"=[1]OUT_PrimaryEnergyCons!$A$1:$A$1000)*1,[1]OUT_PrimaryEnergyCons!O$1:O$1000)</f>
        <v>18.075697788836447</v>
      </c>
      <c r="S4" s="3"/>
    </row>
    <row r="5" spans="1:19" x14ac:dyDescent="0.5">
      <c r="A5" s="5" t="str">
        <f t="shared" si="6"/>
        <v>STEM</v>
      </c>
      <c r="B5" s="5" t="str">
        <f t="shared" si="7"/>
        <v>SPS1</v>
      </c>
      <c r="C5" s="5" t="str">
        <f t="shared" si="8"/>
        <v>CH</v>
      </c>
      <c r="D5" t="s">
        <v>9</v>
      </c>
      <c r="E5" t="s">
        <v>8</v>
      </c>
      <c r="F5" s="1" cm="1">
        <f t="array" ref="F5">SUMPRODUCT(("RNWWOD2"=[1]OUT_PrimaryEnergyCons!$A$1:$A$1000)*1,[1]OUT_PrimaryEnergyCons!D$1:D$1000)</f>
        <v>7.5116959111787738</v>
      </c>
      <c r="G5" s="1" cm="1">
        <f t="array" ref="G5">SUMPRODUCT(("RNWWOD2"=[1]OUT_PrimaryEnergyCons!$A$1:$A$1000)*1,[1]OUT_PrimaryEnergyCons!E$1:E$1000)</f>
        <v>7.5431658055464093</v>
      </c>
      <c r="H5" s="1" cm="1">
        <f t="array" ref="H5">SUMPRODUCT(("RNWWOD2"=[1]OUT_PrimaryEnergyCons!$A$1:$A$1000)*1,[1]OUT_PrimaryEnergyCons!F$1:F$1000)</f>
        <v>7.5903709349104389</v>
      </c>
      <c r="I5" s="1" cm="1">
        <f t="array" ref="I5">SUMPRODUCT(("RNWWOD2"=[1]OUT_PrimaryEnergyCons!$A$1:$A$1000)*1,[1]OUT_PrimaryEnergyCons!G$1:G$1000)</f>
        <v>7.6690517457443956</v>
      </c>
      <c r="J5" s="1" cm="1">
        <f t="array" ref="J5">SUMPRODUCT(("RNWWOD2"=[1]OUT_PrimaryEnergyCons!$A$1:$A$1000)*1,[1]OUT_PrimaryEnergyCons!H$1:H$1000)</f>
        <v>7.6690477891725077</v>
      </c>
      <c r="K5" s="1" cm="1">
        <f t="array" ref="K5">SUMPRODUCT(("RNWWOD2"=[1]OUT_PrimaryEnergyCons!$A$1:$A$1000)*1,[1]OUT_PrimaryEnergyCons!I$1:I$1000)</f>
        <v>7.6690598814023891</v>
      </c>
      <c r="L5" s="1" cm="1">
        <f t="array" ref="L5">SUMPRODUCT(("RNWWOD2"=[1]OUT_PrimaryEnergyCons!$A$1:$A$1000)*1,[1]OUT_PrimaryEnergyCons!J$1:J$1000)</f>
        <v>7.6690514812027137</v>
      </c>
      <c r="M5" s="1" cm="1">
        <f t="array" ref="M5">SUMPRODUCT(("RNWWOD2"=[1]OUT_PrimaryEnergyCons!$A$1:$A$1000)*1,[1]OUT_PrimaryEnergyCons!K$1:K$1000)</f>
        <v>7.6690671389012595</v>
      </c>
      <c r="N5" s="1" cm="1">
        <f t="array" ref="N5">SUMPRODUCT(("RNWWOD2"=[1]OUT_PrimaryEnergyCons!$A$1:$A$1000)*1,[1]OUT_PrimaryEnergyCons!L$1:L$1000)</f>
        <v>7.6690561219346325</v>
      </c>
      <c r="O5" s="1" cm="1">
        <f t="array" ref="O5">SUMPRODUCT(("RNWWOD2"=[1]OUT_PrimaryEnergyCons!$A$1:$A$1000)*1,[1]OUT_PrimaryEnergyCons!M$1:M$1000)</f>
        <v>7.6690460755043288</v>
      </c>
      <c r="P5" s="1" cm="1">
        <f t="array" ref="P5">SUMPRODUCT(("RNWWOD2"=[1]OUT_PrimaryEnergyCons!$A$1:$A$1000)*1,[1]OUT_PrimaryEnergyCons!N$1:N$1000)</f>
        <v>7.6690509707328598</v>
      </c>
      <c r="Q5" s="1" cm="1">
        <f t="array" ref="Q5">SUMPRODUCT(("RNWWOD2"=[1]OUT_PrimaryEnergyCons!$A$1:$A$1000)*1,[1]OUT_PrimaryEnergyCons!O$1:O$1000)</f>
        <v>7.6690541735422393</v>
      </c>
      <c r="S5" s="3"/>
    </row>
    <row r="6" spans="1:19" x14ac:dyDescent="0.5">
      <c r="A6" s="5" t="str">
        <f t="shared" si="6"/>
        <v>STEM</v>
      </c>
      <c r="B6" s="5" t="str">
        <f t="shared" si="7"/>
        <v>SPS1</v>
      </c>
      <c r="C6" s="5" t="str">
        <f t="shared" si="8"/>
        <v>CH</v>
      </c>
      <c r="D6" t="s">
        <v>11</v>
      </c>
      <c r="E6" t="s">
        <v>8</v>
      </c>
      <c r="F6" s="1" cm="1">
        <f t="array" ref="F6">SUMPRODUCT(("RNWWOD3"=[1]OUT_PrimaryEnergyCons!$A$1:$A$1000)*1,[1]OUT_PrimaryEnergyCons!D$1:D$1000)</f>
        <v>3.1682696594764166</v>
      </c>
      <c r="G6" s="1" cm="1">
        <f t="array" ref="G6">SUMPRODUCT(("RNWWOD3"=[1]OUT_PrimaryEnergyCons!$A$1:$A$1000)*1,[1]OUT_PrimaryEnergyCons!E$1:E$1000)</f>
        <v>3.4956961672834042</v>
      </c>
      <c r="H6" s="1" cm="1">
        <f t="array" ref="H6">SUMPRODUCT(("RNWWOD3"=[1]OUT_PrimaryEnergyCons!$A$1:$A$1000)*1,[1]OUT_PrimaryEnergyCons!F$1:F$1000)</f>
        <v>3.9868362492396967</v>
      </c>
      <c r="I6" s="1" cm="1">
        <f t="array" ref="I6">SUMPRODUCT(("RNWWOD3"=[1]OUT_PrimaryEnergyCons!$A$1:$A$1000)*1,[1]OUT_PrimaryEnergyCons!G$1:G$1000)</f>
        <v>4.8054097350017244</v>
      </c>
      <c r="J6" s="1" cm="1">
        <f t="array" ref="J6">SUMPRODUCT(("RNWWOD3"=[1]OUT_PrimaryEnergyCons!$A$1:$A$1000)*1,[1]OUT_PrimaryEnergyCons!H$1:H$1000)</f>
        <v>4.8054046790013789</v>
      </c>
      <c r="K6" s="1" cm="1">
        <f t="array" ref="K6">SUMPRODUCT(("RNWWOD3"=[1]OUT_PrimaryEnergyCons!$A$1:$A$1000)*1,[1]OUT_PrimaryEnergyCons!I$1:I$1000)</f>
        <v>4.8054182788489959</v>
      </c>
      <c r="L6" s="1" cm="1">
        <f t="array" ref="L6">SUMPRODUCT(("RNWWOD3"=[1]OUT_PrimaryEnergyCons!$A$1:$A$1000)*1,[1]OUT_PrimaryEnergyCons!J$1:J$1000)</f>
        <v>4.8054101475728013</v>
      </c>
      <c r="M6" s="1" cm="1">
        <f t="array" ref="M6">SUMPRODUCT(("RNWWOD3"=[1]OUT_PrimaryEnergyCons!$A$1:$A$1000)*1,[1]OUT_PrimaryEnergyCons!K$1:K$1000)</f>
        <v>4.8054249933639133</v>
      </c>
      <c r="N6" s="1" cm="1">
        <f t="array" ref="N6">SUMPRODUCT(("RNWWOD3"=[1]OUT_PrimaryEnergyCons!$A$1:$A$1000)*1,[1]OUT_PrimaryEnergyCons!L$1:L$1000)</f>
        <v>4.8054147137772771</v>
      </c>
      <c r="O6" s="1" cm="1">
        <f t="array" ref="O6">SUMPRODUCT(("RNWWOD3"=[1]OUT_PrimaryEnergyCons!$A$1:$A$1000)*1,[1]OUT_PrimaryEnergyCons!M$1:M$1000)</f>
        <v>4.8054043567307003</v>
      </c>
      <c r="P6" s="1" cm="1">
        <f t="array" ref="P6">SUMPRODUCT(("RNWWOD3"=[1]OUT_PrimaryEnergyCons!$A$1:$A$1000)*1,[1]OUT_PrimaryEnergyCons!N$1:N$1000)</f>
        <v>4.8054090989910385</v>
      </c>
      <c r="Q6" s="1" cm="1">
        <f t="array" ref="Q6">SUMPRODUCT(("RNWWOD3"=[1]OUT_PrimaryEnergyCons!$A$1:$A$1000)*1,[1]OUT_PrimaryEnergyCons!O$1:O$1000)</f>
        <v>4.8054134797873349</v>
      </c>
      <c r="S6" s="3"/>
    </row>
    <row r="7" spans="1:19" x14ac:dyDescent="0.5">
      <c r="A7" s="5" t="str">
        <f t="shared" si="6"/>
        <v>STEM</v>
      </c>
      <c r="B7" s="5" t="str">
        <f t="shared" si="7"/>
        <v>SPS1</v>
      </c>
      <c r="C7" s="5" t="str">
        <f t="shared" si="8"/>
        <v>CH</v>
      </c>
      <c r="D7" t="s">
        <v>12</v>
      </c>
      <c r="E7" t="s">
        <v>8</v>
      </c>
      <c r="F7" s="1" cm="1">
        <f t="array" ref="F7">SUMPRODUCT(("RNWWOD4"=[1]OUT_PrimaryEnergyCons!$A$1:$A$1000)*1+("RNWWOD5"=[1]OUT_PrimaryEnergyCons!$A$1:$A$1000)*1,[1]OUT_PrimaryEnergyCons!D$1:D$1000)</f>
        <v>24.542008019036928</v>
      </c>
      <c r="G7" s="1" cm="1">
        <f t="array" ref="G7">SUMPRODUCT(("RNWWOD4"=[1]OUT_PrimaryEnergyCons!$A$1:$A$1000)*1+("RNWWOD5"=[1]OUT_PrimaryEnergyCons!$A$1:$A$1000)*1,[1]OUT_PrimaryEnergyCons!E$1:E$1000)</f>
        <v>27.498807250807488</v>
      </c>
      <c r="H7" s="1" cm="1">
        <f t="array" ref="H7">SUMPRODUCT(("RNWWOD4"=[1]OUT_PrimaryEnergyCons!$A$1:$A$1000)*1+("RNWWOD5"=[1]OUT_PrimaryEnergyCons!$A$1:$A$1000)*1,[1]OUT_PrimaryEnergyCons!F$1:F$1000)</f>
        <v>25.556163574774413</v>
      </c>
      <c r="I7" s="1" cm="1">
        <f t="array" ref="I7">SUMPRODUCT(("RNWWOD4"=[1]OUT_PrimaryEnergyCons!$A$1:$A$1000)*1+("RNWWOD5"=[1]OUT_PrimaryEnergyCons!$A$1:$A$1000)*1,[1]OUT_PrimaryEnergyCons!G$1:G$1000)</f>
        <v>22.362602719232051</v>
      </c>
      <c r="J7" s="1" cm="1">
        <f t="array" ref="J7">SUMPRODUCT(("RNWWOD4"=[1]OUT_PrimaryEnergyCons!$A$1:$A$1000)*1+("RNWWOD5"=[1]OUT_PrimaryEnergyCons!$A$1:$A$1000)*1,[1]OUT_PrimaryEnergyCons!H$1:H$1000)</f>
        <v>21.596281458894858</v>
      </c>
      <c r="K7" s="1" cm="1">
        <f t="array" ref="K7">SUMPRODUCT(("RNWWOD4"=[1]OUT_PrimaryEnergyCons!$A$1:$A$1000)*1+("RNWWOD5"=[1]OUT_PrimaryEnergyCons!$A$1:$A$1000)*1,[1]OUT_PrimaryEnergyCons!I$1:I$1000)</f>
        <v>24.265457960541116</v>
      </c>
      <c r="L7" s="1" cm="1">
        <f t="array" ref="L7">SUMPRODUCT(("RNWWOD4"=[1]OUT_PrimaryEnergyCons!$A$1:$A$1000)*1+("RNWWOD5"=[1]OUT_PrimaryEnergyCons!$A$1:$A$1000)*1,[1]OUT_PrimaryEnergyCons!J$1:J$1000)</f>
        <v>37.823701827018617</v>
      </c>
      <c r="M7" s="1" cm="1">
        <f t="array" ref="M7">SUMPRODUCT(("RNWWOD4"=[1]OUT_PrimaryEnergyCons!$A$1:$A$1000)*1+("RNWWOD5"=[1]OUT_PrimaryEnergyCons!$A$1:$A$1000)*1,[1]OUT_PrimaryEnergyCons!K$1:K$1000)</f>
        <v>37.197771154875547</v>
      </c>
      <c r="N7" s="1" cm="1">
        <f t="array" ref="N7">SUMPRODUCT(("RNWWOD4"=[1]OUT_PrimaryEnergyCons!$A$1:$A$1000)*1+("RNWWOD5"=[1]OUT_PrimaryEnergyCons!$A$1:$A$1000)*1,[1]OUT_PrimaryEnergyCons!L$1:L$1000)</f>
        <v>37.286232517058586</v>
      </c>
      <c r="O7" s="1" cm="1">
        <f t="array" ref="O7">SUMPRODUCT(("RNWWOD4"=[1]OUT_PrimaryEnergyCons!$A$1:$A$1000)*1+("RNWWOD5"=[1]OUT_PrimaryEnergyCons!$A$1:$A$1000)*1,[1]OUT_PrimaryEnergyCons!M$1:M$1000)</f>
        <v>37.374745062935617</v>
      </c>
      <c r="P7" s="1" cm="1">
        <f t="array" ref="P7">SUMPRODUCT(("RNWWOD4"=[1]OUT_PrimaryEnergyCons!$A$1:$A$1000)*1+("RNWWOD5"=[1]OUT_PrimaryEnergyCons!$A$1:$A$1000)*1,[1]OUT_PrimaryEnergyCons!N$1:N$1000)</f>
        <v>37.463241756957729</v>
      </c>
      <c r="Q7" s="1" cm="1">
        <f t="array" ref="Q7">SUMPRODUCT(("RNWWOD4"=[1]OUT_PrimaryEnergyCons!$A$1:$A$1000)*1+("RNWWOD5"=[1]OUT_PrimaryEnergyCons!$A$1:$A$1000)*1,[1]OUT_PrimaryEnergyCons!O$1:O$1000)</f>
        <v>37.551726104218631</v>
      </c>
      <c r="S7" s="3"/>
    </row>
    <row r="8" spans="1:19" x14ac:dyDescent="0.5">
      <c r="A8" s="5" t="str">
        <f t="shared" si="6"/>
        <v>STEM</v>
      </c>
      <c r="B8" s="5" t="str">
        <f t="shared" si="7"/>
        <v>SPS1</v>
      </c>
      <c r="C8" s="5" t="str">
        <f t="shared" si="8"/>
        <v>CH</v>
      </c>
      <c r="D8" t="s">
        <v>772</v>
      </c>
      <c r="E8" t="s">
        <v>8</v>
      </c>
      <c r="F8" s="1">
        <f>SUM(F9:F10)</f>
        <v>70.032736504551735</v>
      </c>
      <c r="G8" s="1">
        <f t="shared" ref="G8:K8" si="9">SUM(G9:G10)</f>
        <v>70.331975914083429</v>
      </c>
      <c r="H8" s="1">
        <f t="shared" si="9"/>
        <v>70.124875107140525</v>
      </c>
      <c r="I8" s="1">
        <f t="shared" si="9"/>
        <v>69.140510438029622</v>
      </c>
      <c r="J8" s="1">
        <f t="shared" si="9"/>
        <v>69.0406422629746</v>
      </c>
      <c r="K8" s="1">
        <f t="shared" si="9"/>
        <v>78.225019551521143</v>
      </c>
      <c r="L8" s="1">
        <f t="shared" ref="L8:O8" si="10">SUM(L9:L10)</f>
        <v>80.556331808824666</v>
      </c>
      <c r="M8" s="1">
        <f t="shared" si="10"/>
        <v>83.828076397947697</v>
      </c>
      <c r="N8" s="1">
        <f t="shared" si="10"/>
        <v>81.469886677267738</v>
      </c>
      <c r="O8" s="1">
        <f t="shared" si="10"/>
        <v>81.609771597662558</v>
      </c>
      <c r="P8" s="1">
        <f>SUM(P9:P10)</f>
        <v>81.579233285582632</v>
      </c>
      <c r="Q8" s="1">
        <f>SUM(Q9:Q10)</f>
        <v>81.639441011176274</v>
      </c>
      <c r="S8" s="3"/>
    </row>
    <row r="9" spans="1:19" x14ac:dyDescent="0.5">
      <c r="A9" s="5" t="str">
        <f t="shared" si="6"/>
        <v>STEM</v>
      </c>
      <c r="B9" s="5" t="str">
        <f t="shared" si="7"/>
        <v>SPS1</v>
      </c>
      <c r="C9" s="5" t="str">
        <f t="shared" si="8"/>
        <v>CH</v>
      </c>
      <c r="D9" t="s">
        <v>13</v>
      </c>
      <c r="E9" t="s">
        <v>8</v>
      </c>
      <c r="F9" s="1" cm="1">
        <f t="array" ref="F9">SUMPRODUCT(("RNNWWST1"=[1]OUT_PrimaryEnergyCons!$A$1:$A$1000)*1,[1]OUT_PrimaryEnergyCons!D$1:D$1000)</f>
        <v>35.931914866006736</v>
      </c>
      <c r="G9" s="1" cm="1">
        <f t="array" ref="G9">SUMPRODUCT(("RNNWWST1"=[1]OUT_PrimaryEnergyCons!$A$1:$A$1000)*1,[1]OUT_PrimaryEnergyCons!E$1:E$1000)</f>
        <v>36.231421704266943</v>
      </c>
      <c r="H9" s="1" cm="1">
        <f t="array" ref="H9">SUMPRODUCT(("RNNWWST1"=[1]OUT_PrimaryEnergyCons!$A$1:$A$1000)*1,[1]OUT_PrimaryEnergyCons!F$1:F$1000)</f>
        <v>36.02193067314635</v>
      </c>
      <c r="I9" s="1" cm="1">
        <f t="array" ref="I9">SUMPRODUCT(("RNNWWST1"=[1]OUT_PrimaryEnergyCons!$A$1:$A$1000)*1,[1]OUT_PrimaryEnergyCons!G$1:G$1000)</f>
        <v>35.039995919345017</v>
      </c>
      <c r="J9" s="1" cm="1">
        <f t="array" ref="J9">SUMPRODUCT(("RNNWWST1"=[1]OUT_PrimaryEnergyCons!$A$1:$A$1000)*1,[1]OUT_PrimaryEnergyCons!H$1:H$1000)</f>
        <v>34.93764216276562</v>
      </c>
      <c r="K9" s="1" cm="1">
        <f t="array" ref="K9">SUMPRODUCT(("RNNWWST1"=[1]OUT_PrimaryEnergyCons!$A$1:$A$1000)*1,[1]OUT_PrimaryEnergyCons!I$1:I$1000)</f>
        <v>37.252116491137812</v>
      </c>
      <c r="L9" s="1" cm="1">
        <f t="array" ref="L9">SUMPRODUCT(("RNNWWST1"=[1]OUT_PrimaryEnergyCons!$A$1:$A$1000)*1,[1]OUT_PrimaryEnergyCons!J$1:J$1000)</f>
        <v>37.696583714534064</v>
      </c>
      <c r="M9" s="1" cm="1">
        <f t="array" ref="M9">SUMPRODUCT(("RNNWWST1"=[1]OUT_PrimaryEnergyCons!$A$1:$A$1000)*1,[1]OUT_PrimaryEnergyCons!K$1:K$1000)</f>
        <v>39.221674637269835</v>
      </c>
      <c r="N9" s="1" cm="1">
        <f t="array" ref="N9">SUMPRODUCT(("RNNWWST1"=[1]OUT_PrimaryEnergyCons!$A$1:$A$1000)*1,[1]OUT_PrimaryEnergyCons!L$1:L$1000)</f>
        <v>36.862731074510236</v>
      </c>
      <c r="O9" s="1" cm="1">
        <f t="array" ref="O9">SUMPRODUCT(("RNNWWST1"=[1]OUT_PrimaryEnergyCons!$A$1:$A$1000)*1,[1]OUT_PrimaryEnergyCons!M$1:M$1000)</f>
        <v>36.308313989107752</v>
      </c>
      <c r="P9" s="1" cm="1">
        <f t="array" ref="P9">SUMPRODUCT(("RNNWWST1"=[1]OUT_PrimaryEnergyCons!$A$1:$A$1000)*1,[1]OUT_PrimaryEnergyCons!N$1:N$1000)</f>
        <v>36.27776731966069</v>
      </c>
      <c r="Q9" s="1" cm="1">
        <f t="array" ref="Q9">SUMPRODUCT(("RNNWWST1"=[1]OUT_PrimaryEnergyCons!$A$1:$A$1000)*1,[1]OUT_PrimaryEnergyCons!O$1:O$1000)</f>
        <v>36.304968761199234</v>
      </c>
      <c r="S9" s="3"/>
    </row>
    <row r="10" spans="1:19" x14ac:dyDescent="0.5">
      <c r="A10" s="5" t="str">
        <f t="shared" si="6"/>
        <v>STEM</v>
      </c>
      <c r="B10" s="5" t="str">
        <f t="shared" si="7"/>
        <v>SPS1</v>
      </c>
      <c r="C10" s="5" t="str">
        <f t="shared" si="8"/>
        <v>CH</v>
      </c>
      <c r="D10" t="s">
        <v>14</v>
      </c>
      <c r="E10" t="s">
        <v>8</v>
      </c>
      <c r="F10" s="1" cm="1">
        <f t="array" ref="F10">SUMPRODUCT(("RNWWST1"=[1]OUT_PrimaryEnergyCons!$A$1:$A$1000)*1,[1]OUT_PrimaryEnergyCons!D$1:D$1000)</f>
        <v>34.100821638544993</v>
      </c>
      <c r="G10" s="1" cm="1">
        <f t="array" ref="G10">SUMPRODUCT(("RNWWST1"=[1]OUT_PrimaryEnergyCons!$A$1:$A$1000)*1,[1]OUT_PrimaryEnergyCons!E$1:E$1000)</f>
        <v>34.100554209816487</v>
      </c>
      <c r="H10" s="1" cm="1">
        <f t="array" ref="H10">SUMPRODUCT(("RNWWST1"=[1]OUT_PrimaryEnergyCons!$A$1:$A$1000)*1,[1]OUT_PrimaryEnergyCons!F$1:F$1000)</f>
        <v>34.102944433994168</v>
      </c>
      <c r="I10" s="1" cm="1">
        <f t="array" ref="I10">SUMPRODUCT(("RNWWST1"=[1]OUT_PrimaryEnergyCons!$A$1:$A$1000)*1,[1]OUT_PrimaryEnergyCons!G$1:G$1000)</f>
        <v>34.100514518684605</v>
      </c>
      <c r="J10" s="1" cm="1">
        <f t="array" ref="J10">SUMPRODUCT(("RNWWST1"=[1]OUT_PrimaryEnergyCons!$A$1:$A$1000)*1,[1]OUT_PrimaryEnergyCons!H$1:H$1000)</f>
        <v>34.10300010020898</v>
      </c>
      <c r="K10" s="1" cm="1">
        <f t="array" ref="K10">SUMPRODUCT(("RNWWST1"=[1]OUT_PrimaryEnergyCons!$A$1:$A$1000)*1,[1]OUT_PrimaryEnergyCons!I$1:I$1000)</f>
        <v>40.972903060383324</v>
      </c>
      <c r="L10" s="1" cm="1">
        <f t="array" ref="L10">SUMPRODUCT(("RNWWST1"=[1]OUT_PrimaryEnergyCons!$A$1:$A$1000)*1,[1]OUT_PrimaryEnergyCons!J$1:J$1000)</f>
        <v>42.859748094290602</v>
      </c>
      <c r="M10" s="1" cm="1">
        <f t="array" ref="M10">SUMPRODUCT(("RNWWST1"=[1]OUT_PrimaryEnergyCons!$A$1:$A$1000)*1,[1]OUT_PrimaryEnergyCons!K$1:K$1000)</f>
        <v>44.606401760677862</v>
      </c>
      <c r="N10" s="1" cm="1">
        <f t="array" ref="N10">SUMPRODUCT(("RNWWST1"=[1]OUT_PrimaryEnergyCons!$A$1:$A$1000)*1,[1]OUT_PrimaryEnergyCons!L$1:L$1000)</f>
        <v>44.607155602757508</v>
      </c>
      <c r="O10" s="1" cm="1">
        <f t="array" ref="O10">SUMPRODUCT(("RNWWST1"=[1]OUT_PrimaryEnergyCons!$A$1:$A$1000)*1,[1]OUT_PrimaryEnergyCons!M$1:M$1000)</f>
        <v>45.301457608554813</v>
      </c>
      <c r="P10" s="1" cm="1">
        <f t="array" ref="P10">SUMPRODUCT(("RNWWST1"=[1]OUT_PrimaryEnergyCons!$A$1:$A$1000)*1,[1]OUT_PrimaryEnergyCons!N$1:N$1000)</f>
        <v>45.301465965921942</v>
      </c>
      <c r="Q10" s="1" cm="1">
        <f t="array" ref="Q10">SUMPRODUCT(("RNWWST1"=[1]OUT_PrimaryEnergyCons!$A$1:$A$1000)*1,[1]OUT_PrimaryEnergyCons!O$1:O$1000)</f>
        <v>45.334472249977047</v>
      </c>
      <c r="S10" s="3"/>
    </row>
    <row r="11" spans="1:19" x14ac:dyDescent="0.5">
      <c r="A11" s="5" t="str">
        <f t="shared" si="6"/>
        <v>STEM</v>
      </c>
      <c r="B11" s="5" t="str">
        <f t="shared" si="7"/>
        <v>SPS1</v>
      </c>
      <c r="C11" s="5" t="str">
        <f t="shared" si="8"/>
        <v>CH</v>
      </c>
      <c r="D11" t="s">
        <v>773</v>
      </c>
      <c r="E11" t="s">
        <v>8</v>
      </c>
      <c r="F11" s="1" cm="1">
        <f t="array" ref="F11">SUMPRODUCT(("mnr"=[1]OUT_PrimaryEnergyCons!$C$1:$C$1000)*1,[1]OUT_PrimaryEnergyCons!D$1:D$1000)</f>
        <v>3.7981634609877606</v>
      </c>
      <c r="G11" s="1" cm="1">
        <f t="array" ref="G11">SUMPRODUCT(("mnr"=[1]OUT_PrimaryEnergyCons!$C$1:$C$1000)*1,[1]OUT_PrimaryEnergyCons!E$1:E$1000)</f>
        <v>11.252286127554454</v>
      </c>
      <c r="H11" s="1" cm="1">
        <f t="array" ref="H11">SUMPRODUCT(("mnr"=[1]OUT_PrimaryEnergyCons!$C$1:$C$1000)*1,[1]OUT_PrimaryEnergyCons!F$1:F$1000)</f>
        <v>12.540446220780618</v>
      </c>
      <c r="I11" s="1" cm="1">
        <f t="array" ref="I11">SUMPRODUCT(("mnr"=[1]OUT_PrimaryEnergyCons!$C$1:$C$1000)*1,[1]OUT_PrimaryEnergyCons!G$1:G$1000)</f>
        <v>12.540493368836378</v>
      </c>
      <c r="J11" s="1" cm="1">
        <f t="array" ref="J11">SUMPRODUCT(("mnr"=[1]OUT_PrimaryEnergyCons!$C$1:$C$1000)*1,[1]OUT_PrimaryEnergyCons!H$1:H$1000)</f>
        <v>12.540499869310899</v>
      </c>
      <c r="K11" s="1" cm="1">
        <f t="array" ref="K11">SUMPRODUCT(("mnr"=[1]OUT_PrimaryEnergyCons!$C$1:$C$1000)*1,[1]OUT_PrimaryEnergyCons!I$1:I$1000)</f>
        <v>12.566494609810103</v>
      </c>
      <c r="L11" s="1" cm="1">
        <f t="array" ref="L11">SUMPRODUCT(("mnr"=[1]OUT_PrimaryEnergyCons!$C$1:$C$1000)*1,[1]OUT_PrimaryEnergyCons!J$1:J$1000)</f>
        <v>14.662043630112278</v>
      </c>
      <c r="M11" s="1" cm="1">
        <f t="array" ref="M11">SUMPRODUCT(("mnr"=[1]OUT_PrimaryEnergyCons!$C$1:$C$1000)*1,[1]OUT_PrimaryEnergyCons!K$1:K$1000)</f>
        <v>19.704721262425913</v>
      </c>
      <c r="N11" s="1" cm="1">
        <f t="array" ref="N11">SUMPRODUCT(("mnr"=[1]OUT_PrimaryEnergyCons!$C$1:$C$1000)*1,[1]OUT_PrimaryEnergyCons!L$1:L$1000)</f>
        <v>19.704732848406962</v>
      </c>
      <c r="O11" s="1" cm="1">
        <f t="array" ref="O11">SUMPRODUCT(("mnr"=[1]OUT_PrimaryEnergyCons!$C$1:$C$1000)*1,[1]OUT_PrimaryEnergyCons!M$1:M$1000)</f>
        <v>26.287343923222505</v>
      </c>
      <c r="P11" s="1" cm="1">
        <f t="array" ref="P11">SUMPRODUCT(("mnr"=[1]OUT_PrimaryEnergyCons!$C$1:$C$1000)*1,[1]OUT_PrimaryEnergyCons!N$1:N$1000)</f>
        <v>26.287369045745869</v>
      </c>
      <c r="Q11" s="1" cm="1">
        <f t="array" ref="Q11">SUMPRODUCT(("mnr"=[1]OUT_PrimaryEnergyCons!$C$1:$C$1000)*1,[1]OUT_PrimaryEnergyCons!O$1:O$1000)</f>
        <v>26.288441662101629</v>
      </c>
      <c r="S11" s="3"/>
    </row>
    <row r="12" spans="1:19" x14ac:dyDescent="0.5">
      <c r="A12" s="5" t="str">
        <f t="shared" si="6"/>
        <v>STEM</v>
      </c>
      <c r="B12" s="5" t="str">
        <f t="shared" si="7"/>
        <v>SPS1</v>
      </c>
      <c r="C12" s="5" t="str">
        <f t="shared" si="8"/>
        <v>CH</v>
      </c>
      <c r="D12" t="s">
        <v>774</v>
      </c>
      <c r="E12" t="s">
        <v>8</v>
      </c>
      <c r="F12" s="1">
        <f>SUM(F13:F15)</f>
        <v>149.43059337480662</v>
      </c>
      <c r="G12" s="1">
        <f t="shared" ref="G12:K12" si="11">SUM(G13:G15)</f>
        <v>125.6135373350977</v>
      </c>
      <c r="H12" s="1">
        <f t="shared" si="11"/>
        <v>136.72851371781385</v>
      </c>
      <c r="I12" s="1">
        <f t="shared" si="11"/>
        <v>151.8587986691914</v>
      </c>
      <c r="J12" s="1">
        <f t="shared" si="11"/>
        <v>152.7984553986376</v>
      </c>
      <c r="K12" s="1">
        <f t="shared" si="11"/>
        <v>155.24931358623027</v>
      </c>
      <c r="L12" s="1">
        <f t="shared" ref="L12:O12" si="12">SUM(L13:L15)</f>
        <v>157.35810234559594</v>
      </c>
      <c r="M12" s="1">
        <f t="shared" si="12"/>
        <v>159.61656544504115</v>
      </c>
      <c r="N12" s="1">
        <f t="shared" si="12"/>
        <v>160.22837810981682</v>
      </c>
      <c r="O12" s="1">
        <f t="shared" si="12"/>
        <v>159.77001382162845</v>
      </c>
      <c r="P12" s="1">
        <f>SUM(P13:P15)</f>
        <v>159.69766320955407</v>
      </c>
      <c r="Q12" s="1">
        <f>SUM(Q13:Q15)</f>
        <v>159.73738471343759</v>
      </c>
      <c r="S12" s="3"/>
    </row>
    <row r="13" spans="1:19" x14ac:dyDescent="0.5">
      <c r="A13" s="5" t="str">
        <f t="shared" si="6"/>
        <v>STEM</v>
      </c>
      <c r="B13" s="5" t="str">
        <f t="shared" si="7"/>
        <v>SPS1</v>
      </c>
      <c r="C13" s="5" t="str">
        <f t="shared" si="8"/>
        <v>CH</v>
      </c>
      <c r="D13" t="s">
        <v>16</v>
      </c>
      <c r="E13" t="s">
        <v>8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66.745708281990133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49.79887989838307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68.897628517817694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67.436176323598133</v>
      </c>
      <c r="J13" s="1" cm="1">
        <f t="array" ref="J13">SUMPRODUCT(ISNUMBER(SEARCH("EHYD-DAM",[1]OUT_Electricity_CHP!$B$1:$B$10000))*1,([1]OUT_Electricity_CHP!$C$1:$C$10000="Var_Fout")*1,ISNUMBER(SEARCH("ELC",[1]OUT_Electricity_CHP!$D$1:$D$10000))*1,[1]OUT_Electricity_CHP!I$1:I$10000)</f>
        <v>69.602693607232482</v>
      </c>
      <c r="K13" s="1" cm="1">
        <f t="array" ref="K13">SUMPRODUCT(ISNUMBER(SEARCH("EHYD-DAM",[1]OUT_Electricity_CHP!$B$1:$B$10000))*1,([1]OUT_Electricity_CHP!$C$1:$C$10000="Var_Fout")*1,ISNUMBER(SEARCH("ELC",[1]OUT_Electricity_CHP!$D$1:$D$10000))*1,[1]OUT_Electricity_CHP!J$1:J$10000)</f>
        <v>72.110610586777625</v>
      </c>
      <c r="L13" s="1" cm="1">
        <f t="array" ref="L13">SUMPRODUCT(ISNUMBER(SEARCH("EHYD-DAM",[1]OUT_Electricity_CHP!$B$1:$B$10000))*1,([1]OUT_Electricity_CHP!$C$1:$C$10000="Var_Fout")*1,ISNUMBER(SEARCH("ELC",[1]OUT_Electricity_CHP!$D$1:$D$10000))*1,[1]OUT_Electricity_CHP!K$1:K$10000)</f>
        <v>74.384203130425917</v>
      </c>
      <c r="M13" s="1" cm="1">
        <f t="array" ref="M13">SUMPRODUCT(ISNUMBER(SEARCH("EHYD-DAM",[1]OUT_Electricity_CHP!$B$1:$B$10000))*1,([1]OUT_Electricity_CHP!$C$1:$C$10000="Var_Fout")*1,ISNUMBER(SEARCH("ELC",[1]OUT_Electricity_CHP!$D$1:$D$10000))*1,[1]OUT_Electricity_CHP!L$1:L$10000)</f>
        <v>74.836122087372644</v>
      </c>
      <c r="N13" s="1" cm="1">
        <f t="array" ref="N13">SUMPRODUCT(ISNUMBER(SEARCH("EHYD-DAM",[1]OUT_Electricity_CHP!$B$1:$B$10000))*1,([1]OUT_Electricity_CHP!$C$1:$C$10000="Var_Fout")*1,ISNUMBER(SEARCH("ELC",[1]OUT_Electricity_CHP!$D$1:$D$10000))*1,[1]OUT_Electricity_CHP!M$1:M$10000)</f>
        <v>74.836120767225623</v>
      </c>
      <c r="O13" s="1" cm="1">
        <f t="array" ref="O13">SUMPRODUCT(ISNUMBER(SEARCH("EHYD-DAM",[1]OUT_Electricity_CHP!$B$1:$B$10000))*1,([1]OUT_Electricity_CHP!$C$1:$C$10000="Var_Fout")*1,ISNUMBER(SEARCH("ELC",[1]OUT_Electricity_CHP!$D$1:$D$10000))*1,[1]OUT_Electricity_CHP!N$1:N$10000)</f>
        <v>74.836121311270801</v>
      </c>
      <c r="P13" s="1" cm="1">
        <f t="array" ref="P13">SUMPRODUCT(ISNUMBER(SEARCH("EHYD-DAM",[1]OUT_Electricity_CHP!$B$1:$B$10000))*1,([1]OUT_Electricity_CHP!$C$1:$C$10000="Var_Fout")*1,ISNUMBER(SEARCH("ELC",[1]OUT_Electricity_CHP!$D$1:$D$10000))*1,[1]OUT_Electricity_CHP!O$1:O$10000)</f>
        <v>74.836121465747624</v>
      </c>
      <c r="Q13" s="1" cm="1">
        <f t="array" ref="Q13">SUMPRODUCT(ISNUMBER(SEARCH("EHYD-DAM",[1]OUT_Electricity_CHP!$B$1:$B$10000))*1,([1]OUT_Electricity_CHP!$C$1:$C$10000="Var_Fout")*1,ISNUMBER(SEARCH("ELC",[1]OUT_Electricity_CHP!$D$1:$D$10000))*1,[1]OUT_Electricity_CHP!P$1:P$10000)</f>
        <v>74.836110192055827</v>
      </c>
      <c r="S13" s="3"/>
    </row>
    <row r="14" spans="1:19" x14ac:dyDescent="0.5">
      <c r="A14" s="5" t="str">
        <f t="shared" si="6"/>
        <v>STEM</v>
      </c>
      <c r="B14" s="5" t="str">
        <f t="shared" si="7"/>
        <v>SPS1</v>
      </c>
      <c r="C14" s="5" t="str">
        <f t="shared" si="8"/>
        <v>CH</v>
      </c>
      <c r="D14" t="s">
        <v>17</v>
      </c>
      <c r="E14" t="s">
        <v>8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66.632456704505273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55.764165713605053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65.579025810201756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67.20614308569202</v>
      </c>
      <c r="J14" s="1" cm="1">
        <f t="array" ref="J14">SUMPRODUCT(ISNUMBER(SEARCH("EHYD-RUN",[1]OUT_Electricity_CHP!$B$1:$B$10000))*1,([1]OUT_Electricity_CHP!$C$1:$C$10000="Var_Fout")*1,ISNUMBER(SEARCH("ELC",[1]OUT_Electricity_CHP!$D$1:$D$10000))*1,[1]OUT_Electricity_CHP!I$1:I$10000)</f>
        <v>66.883813285455119</v>
      </c>
      <c r="K14" s="1" cm="1">
        <f t="array" ref="K14">SUMPRODUCT(ISNUMBER(SEARCH("EHYD-RUN",[1]OUT_Electricity_CHP!$B$1:$B$10000))*1,([1]OUT_Electricity_CHP!$C$1:$C$10000="Var_Fout")*1,ISNUMBER(SEARCH("ELC",[1]OUT_Electricity_CHP!$D$1:$D$10000))*1,[1]OUT_Electricity_CHP!J$1:J$10000)</f>
        <v>66.204245097786654</v>
      </c>
      <c r="L14" s="1" cm="1">
        <f t="array" ref="L14">SUMPRODUCT(ISNUMBER(SEARCH("EHYD-RUN",[1]OUT_Electricity_CHP!$B$1:$B$10000))*1,([1]OUT_Electricity_CHP!$C$1:$C$10000="Var_Fout")*1,ISNUMBER(SEARCH("ELC",[1]OUT_Electricity_CHP!$D$1:$D$10000))*1,[1]OUT_Electricity_CHP!K$1:K$10000)</f>
        <v>65.605812293477044</v>
      </c>
      <c r="M14" s="1" cm="1">
        <f t="array" ref="M14">SUMPRODUCT(ISNUMBER(SEARCH("EHYD-RUN",[1]OUT_Electricity_CHP!$B$1:$B$10000))*1,([1]OUT_Electricity_CHP!$C$1:$C$10000="Var_Fout")*1,ISNUMBER(SEARCH("ELC",[1]OUT_Electricity_CHP!$D$1:$D$10000))*1,[1]OUT_Electricity_CHP!L$1:L$10000)</f>
        <v>67.134916696870022</v>
      </c>
      <c r="N14" s="1" cm="1">
        <f t="array" ref="N14">SUMPRODUCT(ISNUMBER(SEARCH("EHYD-RUN",[1]OUT_Electricity_CHP!$B$1:$B$10000))*1,([1]OUT_Electricity_CHP!$C$1:$C$10000="Var_Fout")*1,ISNUMBER(SEARCH("ELC",[1]OUT_Electricity_CHP!$D$1:$D$10000))*1,[1]OUT_Electricity_CHP!M$1:M$10000)</f>
        <v>67.134923157520916</v>
      </c>
      <c r="O14" s="1" cm="1">
        <f t="array" ref="O14">SUMPRODUCT(ISNUMBER(SEARCH("EHYD-RUN",[1]OUT_Electricity_CHP!$B$1:$B$10000))*1,([1]OUT_Electricity_CHP!$C$1:$C$10000="Var_Fout")*1,ISNUMBER(SEARCH("ELC",[1]OUT_Electricity_CHP!$D$1:$D$10000))*1,[1]OUT_Electricity_CHP!N$1:N$10000)</f>
        <v>67.13494239530003</v>
      </c>
      <c r="P14" s="1" cm="1">
        <f t="array" ref="P14">SUMPRODUCT(ISNUMBER(SEARCH("EHYD-RUN",[1]OUT_Electricity_CHP!$B$1:$B$10000))*1,([1]OUT_Electricity_CHP!$C$1:$C$10000="Var_Fout")*1,ISNUMBER(SEARCH("ELC",[1]OUT_Electricity_CHP!$D$1:$D$10000))*1,[1]OUT_Electricity_CHP!O$1:O$10000)</f>
        <v>67.1349506734133</v>
      </c>
      <c r="Q14" s="1" cm="1">
        <f t="array" ref="Q14">SUMPRODUCT(ISNUMBER(SEARCH("EHYD-RUN",[1]OUT_Electricity_CHP!$B$1:$B$10000))*1,([1]OUT_Electricity_CHP!$C$1:$C$10000="Var_Fout")*1,ISNUMBER(SEARCH("ELC",[1]OUT_Electricity_CHP!$D$1:$D$10000))*1,[1]OUT_Electricity_CHP!P$1:P$10000)</f>
        <v>67.134986787595707</v>
      </c>
      <c r="S14" s="3"/>
    </row>
    <row r="15" spans="1:19" x14ac:dyDescent="0.5">
      <c r="A15" s="5" t="str">
        <f t="shared" si="6"/>
        <v>STEM</v>
      </c>
      <c r="B15" s="5" t="str">
        <f t="shared" si="7"/>
        <v>SPS1</v>
      </c>
      <c r="C15" s="5" t="str">
        <f t="shared" si="8"/>
        <v>CH</v>
      </c>
      <c r="D15" t="s">
        <v>18</v>
      </c>
      <c r="E15" t="s">
        <v>8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16.052428388311217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20.05049172310958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2.2518593897944266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17.21647925990122</v>
      </c>
      <c r="J15" s="1" cm="1">
        <f t="array" ref="J15">SUMPRODUCT(ISNUMBER(SEARCH("EHYD-PUM",[1]OUT_Electricity_CHP!$B$1:$B$10000))*1,([1]OUT_Electricity_CHP!$C$1:$C$10000="Var_Fin")*1,ISNUMBER(SEARCH("elc",[1]OUT_Electricity_CHP!$D$1:$D$10000))*1,[1]OUT_Electricity_CHP!I$1:I$10000)</f>
        <v>16.311948505949989</v>
      </c>
      <c r="K15" s="1" cm="1">
        <f t="array" ref="K15">SUMPRODUCT(ISNUMBER(SEARCH("EHYD-PUM",[1]OUT_Electricity_CHP!$B$1:$B$10000))*1,([1]OUT_Electricity_CHP!$C$1:$C$10000="Var_Fin")*1,ISNUMBER(SEARCH("elc",[1]OUT_Electricity_CHP!$D$1:$D$10000))*1,[1]OUT_Electricity_CHP!J$1:J$10000)</f>
        <v>16.934457901665986</v>
      </c>
      <c r="L15" s="1" cm="1">
        <f t="array" ref="L15">SUMPRODUCT(ISNUMBER(SEARCH("EHYD-PUM",[1]OUT_Electricity_CHP!$B$1:$B$10000))*1,([1]OUT_Electricity_CHP!$C$1:$C$10000="Var_Fin")*1,ISNUMBER(SEARCH("elc",[1]OUT_Electricity_CHP!$D$1:$D$10000))*1,[1]OUT_Electricity_CHP!K$1:K$10000)</f>
        <v>17.368086921693003</v>
      </c>
      <c r="M15" s="1" cm="1">
        <f t="array" ref="M15">SUMPRODUCT(ISNUMBER(SEARCH("EHYD-PUM",[1]OUT_Electricity_CHP!$B$1:$B$10000))*1,([1]OUT_Electricity_CHP!$C$1:$C$10000="Var_Fin")*1,ISNUMBER(SEARCH("elc",[1]OUT_Electricity_CHP!$D$1:$D$10000))*1,[1]OUT_Electricity_CHP!L$1:L$10000)</f>
        <v>17.645526660798485</v>
      </c>
      <c r="N15" s="1" cm="1">
        <f t="array" ref="N15">SUMPRODUCT(ISNUMBER(SEARCH("EHYD-PUM",[1]OUT_Electricity_CHP!$B$1:$B$10000))*1,([1]OUT_Electricity_CHP!$C$1:$C$10000="Var_Fin")*1,ISNUMBER(SEARCH("elc",[1]OUT_Electricity_CHP!$D$1:$D$10000))*1,[1]OUT_Electricity_CHP!M$1:M$10000)</f>
        <v>18.257334185070285</v>
      </c>
      <c r="O15" s="1" cm="1">
        <f t="array" ref="O15">SUMPRODUCT(ISNUMBER(SEARCH("EHYD-PUM",[1]OUT_Electricity_CHP!$B$1:$B$10000))*1,([1]OUT_Electricity_CHP!$C$1:$C$10000="Var_Fin")*1,ISNUMBER(SEARCH("elc",[1]OUT_Electricity_CHP!$D$1:$D$10000))*1,[1]OUT_Electricity_CHP!N$1:N$10000)</f>
        <v>17.798950115057636</v>
      </c>
      <c r="P15" s="1" cm="1">
        <f t="array" ref="P15">SUMPRODUCT(ISNUMBER(SEARCH("EHYD-PUM",[1]OUT_Electricity_CHP!$B$1:$B$10000))*1,([1]OUT_Electricity_CHP!$C$1:$C$10000="Var_Fin")*1,ISNUMBER(SEARCH("elc",[1]OUT_Electricity_CHP!$D$1:$D$10000))*1,[1]OUT_Electricity_CHP!O$1:O$10000)</f>
        <v>17.726591070393145</v>
      </c>
      <c r="Q15" s="1" cm="1">
        <f t="array" ref="Q15">SUMPRODUCT(ISNUMBER(SEARCH("EHYD-PUM",[1]OUT_Electricity_CHP!$B$1:$B$10000))*1,([1]OUT_Electricity_CHP!$C$1:$C$10000="Var_Fin")*1,ISNUMBER(SEARCH("elc",[1]OUT_Electricity_CHP!$D$1:$D$10000))*1,[1]OUT_Electricity_CHP!P$1:P$10000)</f>
        <v>17.766287733786076</v>
      </c>
      <c r="S15" s="3"/>
    </row>
    <row r="16" spans="1:19" x14ac:dyDescent="0.5">
      <c r="A16" s="5" t="str">
        <f t="shared" si="6"/>
        <v>STEM</v>
      </c>
      <c r="B16" s="5" t="str">
        <f t="shared" si="7"/>
        <v>SPS1</v>
      </c>
      <c r="C16" s="5" t="str">
        <f t="shared" si="8"/>
        <v>CH</v>
      </c>
      <c r="D16" t="s">
        <v>775</v>
      </c>
      <c r="E16" t="s">
        <v>8</v>
      </c>
      <c r="F16" s="1" cm="1">
        <f t="array" ref="F16">SUMPRODUCT(ISNUMBER(SEARCH("SOL",[1]OUT_PrimaryEnergyCons!$C$1:$C$1000))*1,[1]OUT_PrimaryEnergyCons!D$1:D$1000)</f>
        <v>12.556494257032776</v>
      </c>
      <c r="G16" s="1" cm="1">
        <f t="array" ref="G16">SUMPRODUCT(ISNUMBER(SEARCH("SOL",[1]OUT_PrimaryEnergyCons!$C$1:$C$1000))*1,[1]OUT_PrimaryEnergyCons!E$1:E$1000)</f>
        <v>16.522306445645874</v>
      </c>
      <c r="H16" s="1" cm="1">
        <f t="array" ref="H16">SUMPRODUCT(ISNUMBER(SEARCH("SOL",[1]OUT_PrimaryEnergyCons!$C$1:$C$1000))*1,[1]OUT_PrimaryEnergyCons!F$1:F$1000)</f>
        <v>32.05398651432921</v>
      </c>
      <c r="I16" s="1" cm="1">
        <f t="array" ref="I16">SUMPRODUCT(ISNUMBER(SEARCH("SOL",[1]OUT_PrimaryEnergyCons!$C$1:$C$1000))*1,[1]OUT_PrimaryEnergyCons!G$1:G$1000)</f>
        <v>50.377630975325346</v>
      </c>
      <c r="J16" s="1" cm="1">
        <f t="array" ref="J16">SUMPRODUCT(ISNUMBER(SEARCH("SOL",[1]OUT_PrimaryEnergyCons!$C$1:$C$1000))*1,[1]OUT_PrimaryEnergyCons!H$1:H$1000)</f>
        <v>81.469108322648992</v>
      </c>
      <c r="K16" s="1" cm="1">
        <f t="array" ref="K16">SUMPRODUCT(ISNUMBER(SEARCH("SOL",[1]OUT_PrimaryEnergyCons!$C$1:$C$1000))*1,[1]OUT_PrimaryEnergyCons!I$1:I$1000)</f>
        <v>132.06503396131743</v>
      </c>
      <c r="L16" s="1" cm="1">
        <f t="array" ref="L16">SUMPRODUCT(ISNUMBER(SEARCH("SOL",[1]OUT_PrimaryEnergyCons!$C$1:$C$1000))*1,[1]OUT_PrimaryEnergyCons!J$1:J$1000)</f>
        <v>161.64713133033644</v>
      </c>
      <c r="M16" s="1" cm="1">
        <f t="array" ref="M16">SUMPRODUCT(ISNUMBER(SEARCH("SOL",[1]OUT_PrimaryEnergyCons!$C$1:$C$1000))*1,[1]OUT_PrimaryEnergyCons!K$1:K$1000)</f>
        <v>177.45154684417281</v>
      </c>
      <c r="N16" s="1" cm="1">
        <f t="array" ref="N16">SUMPRODUCT(ISNUMBER(SEARCH("SOL",[1]OUT_PrimaryEnergyCons!$C$1:$C$1000))*1,[1]OUT_PrimaryEnergyCons!L$1:L$1000)</f>
        <v>180.00065400154011</v>
      </c>
      <c r="O16" s="1" cm="1">
        <f t="array" ref="O16">SUMPRODUCT(ISNUMBER(SEARCH("SOL",[1]OUT_PrimaryEnergyCons!$C$1:$C$1000))*1,[1]OUT_PrimaryEnergyCons!M$1:M$1000)</f>
        <v>180.00078999116968</v>
      </c>
      <c r="P16" s="1" cm="1">
        <f t="array" ref="P16">SUMPRODUCT(ISNUMBER(SEARCH("SOL",[1]OUT_PrimaryEnergyCons!$C$1:$C$1000))*1,[1]OUT_PrimaryEnergyCons!N$1:N$1000)</f>
        <v>180.00080694433231</v>
      </c>
      <c r="Q16" s="1" cm="1">
        <f t="array" ref="Q16">SUMPRODUCT(ISNUMBER(SEARCH("SOL",[1]OUT_PrimaryEnergyCons!$C$1:$C$1000))*1,[1]OUT_PrimaryEnergyCons!O$1:O$1000)</f>
        <v>180.00178861996113</v>
      </c>
      <c r="S16" s="3"/>
    </row>
    <row r="17" spans="1:19" x14ac:dyDescent="0.5">
      <c r="A17" s="5" t="str">
        <f t="shared" si="6"/>
        <v>STEM</v>
      </c>
      <c r="B17" s="5" t="str">
        <f t="shared" si="7"/>
        <v>SPS1</v>
      </c>
      <c r="C17" s="5" t="str">
        <f t="shared" si="8"/>
        <v>CH</v>
      </c>
      <c r="D17" t="s">
        <v>776</v>
      </c>
      <c r="E17" t="s">
        <v>8</v>
      </c>
      <c r="F17" s="1" cm="1">
        <f t="array" ref="F17">SUMPRODUCT(ISNUMBER(SEARCH("wnd",[1]OUT_PrimaryEnergyCons!$C$1:$C$1000))*1,[1]OUT_PrimaryEnergyCons!D$1:D$1000)</f>
        <v>0.52414210879104983</v>
      </c>
      <c r="G17" s="1" cm="1">
        <f t="array" ref="G17">SUMPRODUCT(ISNUMBER(SEARCH("wnd",[1]OUT_PrimaryEnergyCons!$C$1:$C$1000))*1,[1]OUT_PrimaryEnergyCons!E$1:E$1000)</f>
        <v>0.54543376309213754</v>
      </c>
      <c r="H17" s="1" cm="1">
        <f t="array" ref="H17">SUMPRODUCT(ISNUMBER(SEARCH("wnd",[1]OUT_PrimaryEnergyCons!$C$1:$C$1000))*1,[1]OUT_PrimaryEnergyCons!F$1:F$1000)</f>
        <v>0.50330636151404029</v>
      </c>
      <c r="I17" s="1" cm="1">
        <f t="array" ref="I17">SUMPRODUCT(ISNUMBER(SEARCH("wnd",[1]OUT_PrimaryEnergyCons!$C$1:$C$1000))*1,[1]OUT_PrimaryEnergyCons!G$1:G$1000)</f>
        <v>2.0503792399281515</v>
      </c>
      <c r="J17" s="1" cm="1">
        <f t="array" ref="J17">SUMPRODUCT(ISNUMBER(SEARCH("wnd",[1]OUT_PrimaryEnergyCons!$C$1:$C$1000))*1,[1]OUT_PrimaryEnergyCons!H$1:H$1000)</f>
        <v>3.6359514579086256</v>
      </c>
      <c r="K17" s="1" cm="1">
        <f t="array" ref="K17">SUMPRODUCT(ISNUMBER(SEARCH("wnd",[1]OUT_PrimaryEnergyCons!$C$1:$C$1000))*1,[1]OUT_PrimaryEnergyCons!I$1:I$1000)</f>
        <v>4.675342293139269</v>
      </c>
      <c r="L17" s="1" cm="1">
        <f t="array" ref="L17">SUMPRODUCT(ISNUMBER(SEARCH("wnd",[1]OUT_PrimaryEnergyCons!$C$1:$C$1000))*1,[1]OUT_PrimaryEnergyCons!J$1:J$1000)</f>
        <v>10.311689705681093</v>
      </c>
      <c r="M17" s="1" cm="1">
        <f t="array" ref="M17">SUMPRODUCT(ISNUMBER(SEARCH("wnd",[1]OUT_PrimaryEnergyCons!$C$1:$C$1000))*1,[1]OUT_PrimaryEnergyCons!K$1:K$1000)</f>
        <v>15.577746719220137</v>
      </c>
      <c r="N17" s="1" cm="1">
        <f t="array" ref="N17">SUMPRODUCT(ISNUMBER(SEARCH("wnd",[1]OUT_PrimaryEnergyCons!$C$1:$C$1000))*1,[1]OUT_PrimaryEnergyCons!L$1:L$1000)</f>
        <v>15.585700258166</v>
      </c>
      <c r="O17" s="1" cm="1">
        <f t="array" ref="O17">SUMPRODUCT(ISNUMBER(SEARCH("wnd",[1]OUT_PrimaryEnergyCons!$C$1:$C$1000))*1,[1]OUT_PrimaryEnergyCons!M$1:M$1000)</f>
        <v>15.596492887893234</v>
      </c>
      <c r="P17" s="1" cm="1">
        <f t="array" ref="P17">SUMPRODUCT(ISNUMBER(SEARCH("wnd",[1]OUT_PrimaryEnergyCons!$C$1:$C$1000))*1,[1]OUT_PrimaryEnergyCons!N$1:N$1000)</f>
        <v>15.596771279244715</v>
      </c>
      <c r="Q17" s="1" cm="1">
        <f t="array" ref="Q17">SUMPRODUCT(ISNUMBER(SEARCH("wnd",[1]OUT_PrimaryEnergyCons!$C$1:$C$1000))*1,[1]OUT_PrimaryEnergyCons!O$1:O$1000)</f>
        <v>15.619187937074891</v>
      </c>
      <c r="S17" s="3"/>
    </row>
    <row r="18" spans="1:19" x14ac:dyDescent="0.5">
      <c r="A18" s="5" t="str">
        <f t="shared" si="6"/>
        <v>STEM</v>
      </c>
      <c r="B18" s="5" t="str">
        <f t="shared" si="7"/>
        <v>SPS1</v>
      </c>
      <c r="C18" s="5" t="str">
        <f t="shared" si="8"/>
        <v>CH</v>
      </c>
      <c r="D18" t="s">
        <v>777</v>
      </c>
      <c r="E18" t="s">
        <v>8</v>
      </c>
      <c r="F18" s="1">
        <f>[1]Overview!B$9-F19</f>
        <v>18.873134262307417</v>
      </c>
      <c r="G18" s="1">
        <f>[1]Overview!C$9-G19</f>
        <v>22.216943256434529</v>
      </c>
      <c r="H18" s="1">
        <f>[1]Overview!D$9-H19</f>
        <v>26.844174396951175</v>
      </c>
      <c r="I18" s="1">
        <f>[1]Overview!E$9-I19</f>
        <v>39.091081103360459</v>
      </c>
      <c r="J18" s="1">
        <f>[1]Overview!F$9-J19</f>
        <v>58.786229067903733</v>
      </c>
      <c r="K18" s="1">
        <f>[1]Overview!G$9-K19</f>
        <v>75.563653264019507</v>
      </c>
      <c r="L18" s="1">
        <f>[1]Overview!H$9-L19</f>
        <v>82.060366353783635</v>
      </c>
      <c r="M18" s="1">
        <f>[1]Overview!I$9-M19</f>
        <v>93.003192857377684</v>
      </c>
      <c r="N18" s="1">
        <f>[1]Overview!J$9-N19</f>
        <v>95.73878750428409</v>
      </c>
      <c r="O18" s="1">
        <f>[1]Overview!K$9-O19</f>
        <v>98.601456610147537</v>
      </c>
      <c r="P18" s="1">
        <f>[1]Overview!L$9-P19</f>
        <v>98.244370116601857</v>
      </c>
      <c r="Q18" s="1">
        <f>[1]Overview!M$9-Q19</f>
        <v>99.739617083862129</v>
      </c>
      <c r="S18" s="3"/>
    </row>
    <row r="19" spans="1:19" x14ac:dyDescent="0.5">
      <c r="A19" s="5" t="str">
        <f t="shared" si="6"/>
        <v>STEM</v>
      </c>
      <c r="B19" s="5" t="str">
        <f t="shared" si="7"/>
        <v>SPS1</v>
      </c>
      <c r="C19" s="5" t="str">
        <f t="shared" si="8"/>
        <v>CH</v>
      </c>
      <c r="D19" t="s">
        <v>778</v>
      </c>
      <c r="E19" t="s">
        <v>8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+[1]Overview!F$28</f>
        <v>0</v>
      </c>
      <c r="K19" s="1">
        <f>+[1]Overview!G$28</f>
        <v>2.4338017361466334E-3</v>
      </c>
      <c r="L19" s="1">
        <f>+[1]Overview!H$28</f>
        <v>0.4944660371144971</v>
      </c>
      <c r="M19" s="1">
        <f>+[1]Overview!I$28</f>
        <v>1.1960326570207576</v>
      </c>
      <c r="N19" s="1">
        <f>+[1]Overview!J$28</f>
        <v>0</v>
      </c>
      <c r="O19" s="1">
        <f>+[1]Overview!K$28</f>
        <v>0</v>
      </c>
      <c r="P19" s="1">
        <f>+[1]Overview!L$28</f>
        <v>0</v>
      </c>
      <c r="Q19" s="1">
        <f>+[1]Overview!M$28</f>
        <v>0</v>
      </c>
      <c r="S19" s="3"/>
    </row>
    <row r="20" spans="1:19" x14ac:dyDescent="0.5">
      <c r="A20" s="9" t="str">
        <f t="shared" si="6"/>
        <v>STEM</v>
      </c>
      <c r="B20" s="9" t="str">
        <f t="shared" si="7"/>
        <v>SPS1</v>
      </c>
      <c r="C20" s="2" t="str">
        <f t="shared" si="8"/>
        <v>CH</v>
      </c>
      <c r="D20" s="2" t="s">
        <v>19</v>
      </c>
      <c r="E20" s="2" t="s">
        <v>8</v>
      </c>
      <c r="F20" s="3">
        <f t="shared" ref="F20:K20" si="13">SUM(F21:F22,F41,F50:F51,F56)</f>
        <v>779.39623837183285</v>
      </c>
      <c r="G20" s="3">
        <f t="shared" si="13"/>
        <v>701.76058901501062</v>
      </c>
      <c r="H20" s="3">
        <f t="shared" si="13"/>
        <v>608.79955809762976</v>
      </c>
      <c r="I20" s="3">
        <f t="shared" si="13"/>
        <v>547.33232805944328</v>
      </c>
      <c r="J20" s="3">
        <f t="shared" si="13"/>
        <v>409.6775652299504</v>
      </c>
      <c r="K20" s="3">
        <f t="shared" si="13"/>
        <v>283.20608324508339</v>
      </c>
      <c r="L20" s="3">
        <f t="shared" ref="L20:O20" si="14">SUM(L21:L22,L41,L50:L51,L56)</f>
        <v>164.62405822027358</v>
      </c>
      <c r="M20" s="3">
        <f t="shared" si="14"/>
        <v>144.54101638581818</v>
      </c>
      <c r="N20" s="3">
        <f t="shared" si="14"/>
        <v>141.61060759908136</v>
      </c>
      <c r="O20" s="3">
        <f t="shared" si="14"/>
        <v>137.69232032600883</v>
      </c>
      <c r="P20" s="3">
        <f>SUM(P21:P22,P41,P50:P51,P56)</f>
        <v>140.76074905039502</v>
      </c>
      <c r="Q20" s="3">
        <f>SUM(Q21:Q22,Q41,Q50:Q51,Q56)</f>
        <v>143.42989245287575</v>
      </c>
      <c r="R20" s="1"/>
      <c r="S20" s="3"/>
    </row>
    <row r="21" spans="1:19" x14ac:dyDescent="0.5">
      <c r="A21" s="5" t="str">
        <f t="shared" si="6"/>
        <v>STEM</v>
      </c>
      <c r="B21" s="5" t="str">
        <f t="shared" si="7"/>
        <v>SPS1</v>
      </c>
      <c r="C21" s="5" t="str">
        <f t="shared" si="8"/>
        <v>CH</v>
      </c>
      <c r="D21" t="s">
        <v>779</v>
      </c>
      <c r="E21" t="s">
        <v>8</v>
      </c>
      <c r="F21" s="1" cm="1">
        <f t="array" ref="F21">SUMPRODUCT(("COA"=[1]OUT_PrimaryEnergyCons!$C$4:$C$10000)*1,[1]OUT_PrimaryEnergyCons!D$4:D$10000)</f>
        <v>3.6600801580656013</v>
      </c>
      <c r="G21" s="1" cm="1">
        <f t="array" ref="G21">SUMPRODUCT(("COA"=[1]OUT_PrimaryEnergyCons!$C$4:$C$10000)*1,[1]OUT_PrimaryEnergyCons!E$4:E$10000)</f>
        <v>3.5647958650814391</v>
      </c>
      <c r="H21" s="1" cm="1">
        <f t="array" ref="H21">SUMPRODUCT(("COA"=[1]OUT_PrimaryEnergyCons!$C$4:$C$10000)*1,[1]OUT_PrimaryEnergyCons!F$4:F$10000)</f>
        <v>2.4916180180443916E-2</v>
      </c>
      <c r="I21" s="1" cm="1">
        <f t="array" ref="I21">SUMPRODUCT(("COA"=[1]OUT_PrimaryEnergyCons!$C$4:$C$10000)*1,[1]OUT_PrimaryEnergyCons!G$4:G$10000)</f>
        <v>5.1530996728071342E-3</v>
      </c>
      <c r="J21" s="1" cm="1">
        <f t="array" ref="J21">SUMPRODUCT(("COA"=[1]OUT_PrimaryEnergyCons!$C$4:$C$10000)*1,[1]OUT_PrimaryEnergyCons!H$4:H$10000)</f>
        <v>3.2006388693047168E-3</v>
      </c>
      <c r="K21" s="1" cm="1">
        <f t="array" ref="K21">SUMPRODUCT(("COA"=[1]OUT_PrimaryEnergyCons!$C$4:$C$10000)*1,[1]OUT_PrimaryEnergyCons!I$4:I$10000)</f>
        <v>3.9947130196455504E-3</v>
      </c>
      <c r="L21" s="1" cm="1">
        <f t="array" ref="L21">SUMPRODUCT(("COA"=[1]OUT_PrimaryEnergyCons!$C$4:$C$10000)*1,[1]OUT_PrimaryEnergyCons!J$4:J$10000)</f>
        <v>1.9201830249886559E-3</v>
      </c>
      <c r="M21" s="1" cm="1">
        <f t="array" ref="M21">SUMPRODUCT(("COA"=[1]OUT_PrimaryEnergyCons!$C$4:$C$10000)*1,[1]OUT_PrimaryEnergyCons!K$4:K$10000)</f>
        <v>4.1694470104093183E-5</v>
      </c>
      <c r="N21" s="1" cm="1">
        <f t="array" ref="N21">SUMPRODUCT(("COA"=[1]OUT_PrimaryEnergyCons!$C$4:$C$10000)*1,[1]OUT_PrimaryEnergyCons!L$4:L$10000)</f>
        <v>1.1309141021156351E-4</v>
      </c>
      <c r="O21" s="1" cm="1">
        <f t="array" ref="O21">SUMPRODUCT(("COA"=[1]OUT_PrimaryEnergyCons!$C$4:$C$10000)*1,[1]OUT_PrimaryEnergyCons!M$4:M$10000)</f>
        <v>1.5727616072570364E-4</v>
      </c>
      <c r="P21" s="1" cm="1">
        <f t="array" ref="P21">SUMPRODUCT(("COA"=[1]OUT_PrimaryEnergyCons!$C$4:$C$10000)*1,[1]OUT_PrimaryEnergyCons!N$4:N$10000)</f>
        <v>1.5267060017638086E-4</v>
      </c>
      <c r="Q21" s="1" cm="1">
        <f t="array" ref="Q21">SUMPRODUCT(("COA"=[1]OUT_PrimaryEnergyCons!$C$4:$C$10000)*1,[1]OUT_PrimaryEnergyCons!O$4:O$10000)</f>
        <v>1.7477235583997954E-4</v>
      </c>
      <c r="S21" s="3"/>
    </row>
    <row r="22" spans="1:19" x14ac:dyDescent="0.5">
      <c r="A22" s="5" t="str">
        <f t="shared" si="6"/>
        <v>STEM</v>
      </c>
      <c r="B22" s="5" t="str">
        <f t="shared" si="7"/>
        <v>SPS1</v>
      </c>
      <c r="C22" s="5" t="str">
        <f t="shared" si="8"/>
        <v>CH</v>
      </c>
      <c r="D22" t="s">
        <v>780</v>
      </c>
      <c r="E22" t="s">
        <v>8</v>
      </c>
      <c r="F22" s="1">
        <f>F23+F29</f>
        <v>310.34449715557719</v>
      </c>
      <c r="G22" s="1">
        <f t="shared" ref="G22:K22" si="15">G23+G29</f>
        <v>286.80605511412904</v>
      </c>
      <c r="H22" s="1">
        <f t="shared" si="15"/>
        <v>221.20173360499479</v>
      </c>
      <c r="I22" s="1">
        <f t="shared" si="15"/>
        <v>175.64515690053088</v>
      </c>
      <c r="J22" s="1">
        <f t="shared" si="15"/>
        <v>108.4886065921884</v>
      </c>
      <c r="K22" s="1">
        <f t="shared" si="15"/>
        <v>79.757035873173038</v>
      </c>
      <c r="L22" s="1">
        <f t="shared" ref="L22:O22" si="16">L23+L29</f>
        <v>87.865607474206783</v>
      </c>
      <c r="M22" s="1">
        <f t="shared" si="16"/>
        <v>97.817095057581568</v>
      </c>
      <c r="N22" s="1">
        <f t="shared" si="16"/>
        <v>96.273811891997866</v>
      </c>
      <c r="O22" s="1">
        <f t="shared" si="16"/>
        <v>98.044237104551698</v>
      </c>
      <c r="P22" s="1">
        <f>P23+P29</f>
        <v>98.742424418954542</v>
      </c>
      <c r="Q22" s="1">
        <f>Q23+Q29</f>
        <v>100.28767116636928</v>
      </c>
      <c r="S22" s="3"/>
    </row>
    <row r="23" spans="1:19" x14ac:dyDescent="0.5">
      <c r="A23" s="5" t="str">
        <f t="shared" ref="A23" si="17">A22</f>
        <v>STEM</v>
      </c>
      <c r="B23" s="5" t="str">
        <f t="shared" ref="B23" si="18">B22</f>
        <v>SPS1</v>
      </c>
      <c r="C23" s="5" t="str">
        <f t="shared" ref="C23" si="19">C22</f>
        <v>CH</v>
      </c>
      <c r="D23" t="s">
        <v>781</v>
      </c>
      <c r="E23" t="s">
        <v>8</v>
      </c>
      <c r="F23" s="1">
        <f>SUM(F24:F28)</f>
        <v>304.20934128879463</v>
      </c>
      <c r="G23" s="1">
        <f t="shared" ref="G23:K23" si="20">SUM(G24:G28)</f>
        <v>280.67109155102673</v>
      </c>
      <c r="H23" s="1">
        <f t="shared" si="20"/>
        <v>215.06656039060394</v>
      </c>
      <c r="I23" s="1">
        <f t="shared" si="20"/>
        <v>164.72336300083549</v>
      </c>
      <c r="J23" s="1">
        <f t="shared" si="20"/>
        <v>85.106373845091312</v>
      </c>
      <c r="K23" s="1">
        <f t="shared" si="20"/>
        <v>37.360752106632759</v>
      </c>
      <c r="L23" s="1">
        <f t="shared" ref="L23:O23" si="21">SUM(L24:L28)</f>
        <v>15.625520059732418</v>
      </c>
      <c r="M23" s="1">
        <f t="shared" si="21"/>
        <v>0</v>
      </c>
      <c r="N23" s="1">
        <f t="shared" si="21"/>
        <v>1.531355167811083E-3</v>
      </c>
      <c r="O23" s="1">
        <f t="shared" si="21"/>
        <v>2.3684240859460446E-3</v>
      </c>
      <c r="P23" s="1">
        <f>SUM(P24:P28)</f>
        <v>2.3461848243527292E-3</v>
      </c>
      <c r="Q23" s="1">
        <f>SUM(Q24:Q28)</f>
        <v>3.2886383756845637E-3</v>
      </c>
      <c r="S23" s="3"/>
    </row>
    <row r="24" spans="1:19" x14ac:dyDescent="0.5">
      <c r="A24" s="5" t="str">
        <f>A22</f>
        <v>STEM</v>
      </c>
      <c r="B24" s="5" t="str">
        <f>B22</f>
        <v>SPS1</v>
      </c>
      <c r="C24" s="5" t="str">
        <f>C22</f>
        <v>CH</v>
      </c>
      <c r="D24" t="s">
        <v>509</v>
      </c>
      <c r="E24" t="s">
        <v>8</v>
      </c>
      <c r="F24" s="1" cm="1">
        <f t="array" ref="F24">SUMPRODUCT(("LFO"=[1]OUT_PrimaryEnergyCons!$C$4:$C$10000)*1,[1]OUT_PrimaryEnergyCons!D$4:D$10000)</f>
        <v>101.81197206324623</v>
      </c>
      <c r="G24" s="1" cm="1">
        <f t="array" ref="G24">SUMPRODUCT(("LFO"=[1]OUT_PrimaryEnergyCons!$C$4:$C$10000)*1,[1]OUT_PrimaryEnergyCons!E$4:E$10000)</f>
        <v>88.217144345877742</v>
      </c>
      <c r="H24" s="1" cm="1">
        <f t="array" ref="H24">SUMPRODUCT(("LFO"=[1]OUT_PrimaryEnergyCons!$C$4:$C$10000)*1,[1]OUT_PrimaryEnergyCons!F$4:F$10000)</f>
        <v>76.506181112946209</v>
      </c>
      <c r="I24" s="1" cm="1">
        <f t="array" ref="I24">SUMPRODUCT(("LFO"=[1]OUT_PrimaryEnergyCons!$C$4:$C$10000)*1,[1]OUT_PrimaryEnergyCons!G$4:G$10000)</f>
        <v>63.571194787243229</v>
      </c>
      <c r="J24" s="1" cm="1">
        <f t="array" ref="J24">SUMPRODUCT(("LFO"=[1]OUT_PrimaryEnergyCons!$C$4:$C$10000)*1,[1]OUT_PrimaryEnergyCons!H$4:H$10000)</f>
        <v>27.295646585700307</v>
      </c>
      <c r="K24" s="1" cm="1">
        <f t="array" ref="K24">SUMPRODUCT(("LFO"=[1]OUT_PrimaryEnergyCons!$C$4:$C$10000)*1,[1]OUT_PrimaryEnergyCons!I$4:I$10000)</f>
        <v>9.3891517828106572</v>
      </c>
      <c r="L24" s="1" cm="1">
        <f t="array" ref="L24">SUMPRODUCT(("LFO"=[1]OUT_PrimaryEnergyCons!$C$4:$C$10000)*1,[1]OUT_PrimaryEnergyCons!J$4:J$10000)</f>
        <v>4.6746384865889619</v>
      </c>
      <c r="M24" s="1" cm="1">
        <f t="array" ref="M24">SUMPRODUCT(("LFO"=[1]OUT_PrimaryEnergyCons!$C$4:$C$10000)*1,[1]OUT_PrimaryEnergyCons!K$4:K$10000)</f>
        <v>0</v>
      </c>
      <c r="N24" s="1" cm="1">
        <f t="array" ref="N24">SUMPRODUCT(("LFO"=[1]OUT_PrimaryEnergyCons!$C$4:$C$10000)*1,[1]OUT_PrimaryEnergyCons!L$4:L$10000)</f>
        <v>1.3578506455689471E-3</v>
      </c>
      <c r="O24" s="1" cm="1">
        <f t="array" ref="O24">SUMPRODUCT(("LFO"=[1]OUT_PrimaryEnergyCons!$C$4:$C$10000)*1,[1]OUT_PrimaryEnergyCons!M$4:M$10000)</f>
        <v>2.1261878294051143E-3</v>
      </c>
      <c r="P24" s="1" cm="1">
        <f t="array" ref="P24">SUMPRODUCT(("LFO"=[1]OUT_PrimaryEnergyCons!$C$4:$C$10000)*1,[1]OUT_PrimaryEnergyCons!N$4:N$10000)</f>
        <v>2.1094961316949373E-3</v>
      </c>
      <c r="Q24" s="1" cm="1">
        <f t="array" ref="Q24">SUMPRODUCT(("LFO"=[1]OUT_PrimaryEnergyCons!$C$4:$C$10000)*1,[1]OUT_PrimaryEnergyCons!O$4:O$10000)</f>
        <v>2.9825451701626909E-3</v>
      </c>
      <c r="S24" s="3"/>
    </row>
    <row r="25" spans="1:19" x14ac:dyDescent="0.5">
      <c r="A25" s="5" t="str">
        <f t="shared" si="6"/>
        <v>STEM</v>
      </c>
      <c r="B25" s="5" t="str">
        <f t="shared" si="7"/>
        <v>SPS1</v>
      </c>
      <c r="C25" s="5" t="str">
        <f t="shared" si="8"/>
        <v>CH</v>
      </c>
      <c r="D25" t="s">
        <v>510</v>
      </c>
      <c r="E25" t="s">
        <v>8</v>
      </c>
      <c r="F25" s="1" cm="1">
        <f t="array" ref="F25">SUMPRODUCT(("HFO"=[1]OUT_PrimaryEnergyCons!$C$4:$C$10000)*1,[1]OUT_PrimaryEnergyCons!D$4:D$10000)</f>
        <v>2.7764113357715652</v>
      </c>
      <c r="G25" s="1" cm="1">
        <f t="array" ref="G25">SUMPRODUCT(("HFO"=[1]OUT_PrimaryEnergyCons!$C$4:$C$10000)*1,[1]OUT_PrimaryEnergyCons!E$4:E$10000)</f>
        <v>2.7644455885582047</v>
      </c>
      <c r="H25" s="1" cm="1">
        <f t="array" ref="H25">SUMPRODUCT(("HFO"=[1]OUT_PrimaryEnergyCons!$C$4:$C$10000)*1,[1]OUT_PrimaryEnergyCons!F$4:F$10000)</f>
        <v>8.2344887702521692E-3</v>
      </c>
      <c r="I25" s="1" cm="1">
        <f t="array" ref="I25">SUMPRODUCT(("HFO"=[1]OUT_PrimaryEnergyCons!$C$4:$C$10000)*1,[1]OUT_PrimaryEnergyCons!G$4:G$10000)</f>
        <v>1.7914530812517958E-3</v>
      </c>
      <c r="J25" s="1" cm="1">
        <f t="array" ref="J25">SUMPRODUCT(("HFO"=[1]OUT_PrimaryEnergyCons!$C$4:$C$10000)*1,[1]OUT_PrimaryEnergyCons!H$4:H$10000)</f>
        <v>2.3473434881341004E-3</v>
      </c>
      <c r="K25" s="1" cm="1">
        <f t="array" ref="K25">SUMPRODUCT(("HFO"=[1]OUT_PrimaryEnergyCons!$C$4:$C$10000)*1,[1]OUT_PrimaryEnergyCons!I$4:I$10000)</f>
        <v>4.8221185461121792E-3</v>
      </c>
      <c r="L25" s="1" cm="1">
        <f t="array" ref="L25">SUMPRODUCT(("HFO"=[1]OUT_PrimaryEnergyCons!$C$4:$C$10000)*1,[1]OUT_PrimaryEnergyCons!J$4:J$10000)</f>
        <v>2.1801738885602784E-3</v>
      </c>
      <c r="M25" s="1" cm="1">
        <f t="array" ref="M25">SUMPRODUCT(("HFO"=[1]OUT_PrimaryEnergyCons!$C$4:$C$10000)*1,[1]OUT_PrimaryEnergyCons!K$4:K$10000)</f>
        <v>0</v>
      </c>
      <c r="N25" s="1" cm="1">
        <f t="array" ref="N25">SUMPRODUCT(("HFO"=[1]OUT_PrimaryEnergyCons!$C$4:$C$10000)*1,[1]OUT_PrimaryEnergyCons!L$4:L$10000)</f>
        <v>0</v>
      </c>
      <c r="O25" s="1" cm="1">
        <f t="array" ref="O25">SUMPRODUCT(("HFO"=[1]OUT_PrimaryEnergyCons!$C$4:$C$10000)*1,[1]OUT_PrimaryEnergyCons!M$4:M$10000)</f>
        <v>0</v>
      </c>
      <c r="P25" s="1" cm="1">
        <f t="array" ref="P25">SUMPRODUCT(("HFO"=[1]OUT_PrimaryEnergyCons!$C$4:$C$10000)*1,[1]OUT_PrimaryEnergyCons!N$4:N$10000)</f>
        <v>0</v>
      </c>
      <c r="Q25" s="1" cm="1">
        <f t="array" ref="Q25">SUMPRODUCT(("HFO"=[1]OUT_PrimaryEnergyCons!$C$4:$C$10000)*1,[1]OUT_PrimaryEnergyCons!O$4:O$10000)</f>
        <v>0</v>
      </c>
      <c r="S25" s="3"/>
    </row>
    <row r="26" spans="1:19" x14ac:dyDescent="0.5">
      <c r="A26" s="5" t="str">
        <f t="shared" si="6"/>
        <v>STEM</v>
      </c>
      <c r="B26" s="5" t="str">
        <f t="shared" si="7"/>
        <v>SPS1</v>
      </c>
      <c r="C26" s="5" t="str">
        <f t="shared" si="8"/>
        <v>CH</v>
      </c>
      <c r="D26" t="s">
        <v>511</v>
      </c>
      <c r="E26" t="s">
        <v>8</v>
      </c>
      <c r="F26" s="1" cm="1">
        <f t="array" ref="F26">SUMPRODUCT(("DSL"=[1]OUT_PrimaryEnergyCons!$C$4:$C$10000)*1,[1]OUT_PrimaryEnergyCons!D$4:D$10000)</f>
        <v>119.13053968348927</v>
      </c>
      <c r="G26" s="1" cm="1">
        <f t="array" ref="G26">SUMPRODUCT(("DSL"=[1]OUT_PrimaryEnergyCons!$C$4:$C$10000)*1,[1]OUT_PrimaryEnergyCons!E$4:E$10000)</f>
        <v>112.68602531245527</v>
      </c>
      <c r="H26" s="1" cm="1">
        <f t="array" ref="H26">SUMPRODUCT(("DSL"=[1]OUT_PrimaryEnergyCons!$C$4:$C$10000)*1,[1]OUT_PrimaryEnergyCons!F$4:F$10000)</f>
        <v>68.165514097621937</v>
      </c>
      <c r="I26" s="1" cm="1">
        <f t="array" ref="I26">SUMPRODUCT(("DSL"=[1]OUT_PrimaryEnergyCons!$C$4:$C$10000)*1,[1]OUT_PrimaryEnergyCons!G$4:G$10000)</f>
        <v>52.265977688944822</v>
      </c>
      <c r="J26" s="1" cm="1">
        <f t="array" ref="J26">SUMPRODUCT(("DSL"=[1]OUT_PrimaryEnergyCons!$C$4:$C$10000)*1,[1]OUT_PrimaryEnergyCons!H$4:H$10000)</f>
        <v>33.713339746559605</v>
      </c>
      <c r="K26" s="1" cm="1">
        <f t="array" ref="K26">SUMPRODUCT(("DSL"=[1]OUT_PrimaryEnergyCons!$C$4:$C$10000)*1,[1]OUT_PrimaryEnergyCons!I$4:I$10000)</f>
        <v>19.663715695419764</v>
      </c>
      <c r="L26" s="1" cm="1">
        <f t="array" ref="L26">SUMPRODUCT(("DSL"=[1]OUT_PrimaryEnergyCons!$C$4:$C$10000)*1,[1]OUT_PrimaryEnergyCons!J$4:J$10000)</f>
        <v>5.2893274753799577</v>
      </c>
      <c r="M26" s="1" cm="1">
        <f t="array" ref="M26">SUMPRODUCT(("DSL"=[1]OUT_PrimaryEnergyCons!$C$4:$C$10000)*1,[1]OUT_PrimaryEnergyCons!K$4:K$10000)</f>
        <v>0</v>
      </c>
      <c r="N26" s="1" cm="1">
        <f t="array" ref="N26">SUMPRODUCT(("DSL"=[1]OUT_PrimaryEnergyCons!$C$4:$C$10000)*1,[1]OUT_PrimaryEnergyCons!L$4:L$10000)</f>
        <v>5.7487089991131152E-5</v>
      </c>
      <c r="O26" s="1" cm="1">
        <f t="array" ref="O26">SUMPRODUCT(("DSL"=[1]OUT_PrimaryEnergyCons!$C$4:$C$10000)*1,[1]OUT_PrimaryEnergyCons!M$4:M$10000)</f>
        <v>8.0138060856029604E-5</v>
      </c>
      <c r="P26" s="1" cm="1">
        <f t="array" ref="P26">SUMPRODUCT(("DSL"=[1]OUT_PrimaryEnergyCons!$C$4:$C$10000)*1,[1]OUT_PrimaryEnergyCons!N$4:N$10000)</f>
        <v>7.8452199579728544E-5</v>
      </c>
      <c r="Q26" s="1" cm="1">
        <f t="array" ref="Q26">SUMPRODUCT(("DSL"=[1]OUT_PrimaryEnergyCons!$C$4:$C$10000)*1,[1]OUT_PrimaryEnergyCons!O$4:O$10000)</f>
        <v>1.0167950868917803E-4</v>
      </c>
      <c r="S26" s="3"/>
    </row>
    <row r="27" spans="1:19" x14ac:dyDescent="0.5">
      <c r="A27" s="5" t="str">
        <f t="shared" si="6"/>
        <v>STEM</v>
      </c>
      <c r="B27" s="5" t="str">
        <f t="shared" si="7"/>
        <v>SPS1</v>
      </c>
      <c r="C27" s="5" t="str">
        <f t="shared" si="8"/>
        <v>CH</v>
      </c>
      <c r="D27" t="s">
        <v>512</v>
      </c>
      <c r="E27" t="s">
        <v>8</v>
      </c>
      <c r="F27" s="1" cm="1">
        <f t="array" ref="F27">SUMPRODUCT(("GSL"=[1]OUT_PrimaryEnergyCons!$C$4:$C$10000)*1,[1]OUT_PrimaryEnergyCons!D$4:D$10000)</f>
        <v>79.381207263144987</v>
      </c>
      <c r="G27" s="1" cm="1">
        <f t="array" ref="G27">SUMPRODUCT(("GSL"=[1]OUT_PrimaryEnergyCons!$C$4:$C$10000)*1,[1]OUT_PrimaryEnergyCons!E$4:E$10000)</f>
        <v>75.598378250430841</v>
      </c>
      <c r="H27" s="1" cm="1">
        <f t="array" ref="H27">SUMPRODUCT(("GSL"=[1]OUT_PrimaryEnergyCons!$C$4:$C$10000)*1,[1]OUT_PrimaryEnergyCons!F$4:F$10000)</f>
        <v>68.537753088306715</v>
      </c>
      <c r="I27" s="1" cm="1">
        <f t="array" ref="I27">SUMPRODUCT(("GSL"=[1]OUT_PrimaryEnergyCons!$C$4:$C$10000)*1,[1]OUT_PrimaryEnergyCons!G$4:G$10000)</f>
        <v>46.298537652950955</v>
      </c>
      <c r="J27" s="1" cm="1">
        <f t="array" ref="J27">SUMPRODUCT(("GSL"=[1]OUT_PrimaryEnergyCons!$C$4:$C$10000)*1,[1]OUT_PrimaryEnergyCons!H$4:H$10000)</f>
        <v>21.730558405245123</v>
      </c>
      <c r="K27" s="1" cm="1">
        <f t="array" ref="K27">SUMPRODUCT(("GSL"=[1]OUT_PrimaryEnergyCons!$C$4:$C$10000)*1,[1]OUT_PrimaryEnergyCons!I$4:I$10000)</f>
        <v>6.6212431766521282</v>
      </c>
      <c r="L27" s="1" cm="1">
        <f t="array" ref="L27">SUMPRODUCT(("GSL"=[1]OUT_PrimaryEnergyCons!$C$4:$C$10000)*1,[1]OUT_PrimaryEnergyCons!J$4:J$10000)</f>
        <v>4.1029248096555566</v>
      </c>
      <c r="M27" s="1" cm="1">
        <f t="array" ref="M27">SUMPRODUCT(("GSL"=[1]OUT_PrimaryEnergyCons!$C$4:$C$10000)*1,[1]OUT_PrimaryEnergyCons!K$4:K$10000)</f>
        <v>0</v>
      </c>
      <c r="N27" s="1" cm="1">
        <f t="array" ref="N27">SUMPRODUCT(("GSL"=[1]OUT_PrimaryEnergyCons!$C$4:$C$10000)*1,[1]OUT_PrimaryEnergyCons!L$4:L$10000)</f>
        <v>6.1028638378265498E-5</v>
      </c>
      <c r="O27" s="1" cm="1">
        <f t="array" ref="O27">SUMPRODUCT(("GSL"=[1]OUT_PrimaryEnergyCons!$C$4:$C$10000)*1,[1]OUT_PrimaryEnergyCons!M$4:M$10000)</f>
        <v>8.8898154495663578E-5</v>
      </c>
      <c r="P27" s="1" cm="1">
        <f t="array" ref="P27">SUMPRODUCT(("GSL"=[1]OUT_PrimaryEnergyCons!$C$4:$C$10000)*1,[1]OUT_PrimaryEnergyCons!N$4:N$10000)</f>
        <v>8.5024867155139149E-5</v>
      </c>
      <c r="Q27" s="1" cm="1">
        <f t="array" ref="Q27">SUMPRODUCT(("GSL"=[1]OUT_PrimaryEnergyCons!$C$4:$C$10000)*1,[1]OUT_PrimaryEnergyCons!O$4:O$10000)</f>
        <v>1.1113761467555288E-4</v>
      </c>
      <c r="S27" s="3"/>
    </row>
    <row r="28" spans="1:19" x14ac:dyDescent="0.5">
      <c r="A28" s="5" t="str">
        <f t="shared" ref="A28" si="22">A27</f>
        <v>STEM</v>
      </c>
      <c r="B28" s="5" t="str">
        <f t="shared" ref="B28" si="23">B27</f>
        <v>SPS1</v>
      </c>
      <c r="C28" s="5" t="str">
        <f t="shared" ref="C28" si="24">C27</f>
        <v>CH</v>
      </c>
      <c r="D28" t="s">
        <v>513</v>
      </c>
      <c r="E28" t="s">
        <v>8</v>
      </c>
      <c r="F28" s="1" cm="1">
        <f t="array" ref="F28">SUMPRODUCT(("KER"=[1]OUT_PrimaryEnergyCons!$C$4:$C$10000)*1,[1]OUT_PrimaryEnergyCons!D$4:D$10000)</f>
        <v>1.1092109431425539</v>
      </c>
      <c r="G28" s="1" cm="1">
        <f t="array" ref="G28">SUMPRODUCT(("KER"=[1]OUT_PrimaryEnergyCons!$C$4:$C$10000)*1,[1]OUT_PrimaryEnergyCons!E$4:E$10000)</f>
        <v>1.4050980537047013</v>
      </c>
      <c r="H28" s="1" cm="1">
        <f t="array" ref="H28">SUMPRODUCT(("KER"=[1]OUT_PrimaryEnergyCons!$C$4:$C$10000)*1,[1]OUT_PrimaryEnergyCons!F$4:F$10000)</f>
        <v>1.8488776029588259</v>
      </c>
      <c r="I28" s="1" cm="1">
        <f t="array" ref="I28">SUMPRODUCT(("KER"=[1]OUT_PrimaryEnergyCons!$C$4:$C$10000)*1,[1]OUT_PrimaryEnergyCons!G$4:G$10000)</f>
        <v>2.5858614186152269</v>
      </c>
      <c r="J28" s="1" cm="1">
        <f t="array" ref="J28">SUMPRODUCT(("KER"=[1]OUT_PrimaryEnergyCons!$C$4:$C$10000)*1,[1]OUT_PrimaryEnergyCons!H$4:H$10000)</f>
        <v>2.3644817640981484</v>
      </c>
      <c r="K28" s="1" cm="1">
        <f t="array" ref="K28">SUMPRODUCT(("KER"=[1]OUT_PrimaryEnergyCons!$C$4:$C$10000)*1,[1]OUT_PrimaryEnergyCons!I$4:I$10000)</f>
        <v>1.6818193332040992</v>
      </c>
      <c r="L28" s="1" cm="1">
        <f t="array" ref="L28">SUMPRODUCT(("KER"=[1]OUT_PrimaryEnergyCons!$C$4:$C$10000)*1,[1]OUT_PrimaryEnergyCons!J$4:J$10000)</f>
        <v>1.5564491142193813</v>
      </c>
      <c r="M28" s="1" cm="1">
        <f t="array" ref="M28">SUMPRODUCT(("KER"=[1]OUT_PrimaryEnergyCons!$C$4:$C$10000)*1,[1]OUT_PrimaryEnergyCons!K$4:K$10000)</f>
        <v>0</v>
      </c>
      <c r="N28" s="1" cm="1">
        <f t="array" ref="N28">SUMPRODUCT(("KER"=[1]OUT_PrimaryEnergyCons!$C$4:$C$10000)*1,[1]OUT_PrimaryEnergyCons!L$4:L$10000)</f>
        <v>5.498879387273923E-5</v>
      </c>
      <c r="O28" s="1" cm="1">
        <f t="array" ref="O28">SUMPRODUCT(("KER"=[1]OUT_PrimaryEnergyCons!$C$4:$C$10000)*1,[1]OUT_PrimaryEnergyCons!M$4:M$10000)</f>
        <v>7.3200041189236975E-5</v>
      </c>
      <c r="P28" s="1" cm="1">
        <f t="array" ref="P28">SUMPRODUCT(("KER"=[1]OUT_PrimaryEnergyCons!$C$4:$C$10000)*1,[1]OUT_PrimaryEnergyCons!N$4:N$10000)</f>
        <v>7.3211625922923654E-5</v>
      </c>
      <c r="Q28" s="1" cm="1">
        <f t="array" ref="Q28">SUMPRODUCT(("KER"=[1]OUT_PrimaryEnergyCons!$C$4:$C$10000)*1,[1]OUT_PrimaryEnergyCons!O$4:O$10000)</f>
        <v>9.3276082157141949E-5</v>
      </c>
      <c r="S28" s="3"/>
    </row>
    <row r="29" spans="1:19" x14ac:dyDescent="0.5">
      <c r="A29" s="5" t="str">
        <f>A50</f>
        <v>STEM</v>
      </c>
      <c r="B29" s="5" t="str">
        <f>B50</f>
        <v>SPS1</v>
      </c>
      <c r="C29" s="5" t="str">
        <f>C50</f>
        <v>CH</v>
      </c>
      <c r="D29" t="s">
        <v>782</v>
      </c>
      <c r="E29" t="s">
        <v>8</v>
      </c>
      <c r="F29" s="1">
        <f>SUM(F30:F32)</f>
        <v>6.135155866782541</v>
      </c>
      <c r="G29" s="1">
        <f t="shared" ref="G29:K29" si="25">SUM(G30:G32)</f>
        <v>6.1349635631022892</v>
      </c>
      <c r="H29" s="1">
        <f t="shared" si="25"/>
        <v>6.1351732143908428</v>
      </c>
      <c r="I29" s="1">
        <f t="shared" si="25"/>
        <v>10.9217938996954</v>
      </c>
      <c r="J29" s="1">
        <f t="shared" si="25"/>
        <v>23.382232747097092</v>
      </c>
      <c r="K29" s="1">
        <f t="shared" si="25"/>
        <v>42.396283766540279</v>
      </c>
      <c r="L29" s="1">
        <f t="shared" ref="L29:O29" si="26">SUM(L30:L32)</f>
        <v>72.24008741447436</v>
      </c>
      <c r="M29" s="1">
        <f t="shared" si="26"/>
        <v>97.817095057581568</v>
      </c>
      <c r="N29" s="1">
        <f t="shared" si="26"/>
        <v>96.272280536830053</v>
      </c>
      <c r="O29" s="1">
        <f t="shared" si="26"/>
        <v>98.041868680465754</v>
      </c>
      <c r="P29" s="1">
        <f>SUM(P30:P32)</f>
        <v>98.740078234130195</v>
      </c>
      <c r="Q29" s="1">
        <f>SUM(Q30:Q32)</f>
        <v>100.2843825279936</v>
      </c>
      <c r="S29" s="3"/>
    </row>
    <row r="30" spans="1:19" x14ac:dyDescent="0.5">
      <c r="A30" s="5" t="str">
        <f>A37</f>
        <v>STEM</v>
      </c>
      <c r="B30" s="5" t="str">
        <f>B37</f>
        <v>SPS1</v>
      </c>
      <c r="C30" s="5" t="str">
        <f>C37</f>
        <v>CH</v>
      </c>
      <c r="D30" t="s">
        <v>530</v>
      </c>
      <c r="E30" t="s">
        <v>8</v>
      </c>
      <c r="F30" s="1" cm="1">
        <f t="array" ref="F30">SUMPRODUCT(ISNUMBER(SEARCH("IMPBDS",[1]OUT_SyntheticFuels!$C$4:$C$1000))*1,("Var_Fout"=[1]OUT_SyntheticFuels!$B$4:$B$1000)*1,[1]OUT_SyntheticFuels!E$4:E$1000)-F32</f>
        <v>1.812140919299043</v>
      </c>
      <c r="G30" s="1" cm="1">
        <f t="array" ref="G30">SUMPRODUCT(ISNUMBER(SEARCH("IMPBDS",[1]OUT_SyntheticFuels!$C$4:$C$1000))*1,("Var_Fout"=[1]OUT_SyntheticFuels!$B$4:$B$1000)*1,[1]OUT_SyntheticFuels!F$4:F$1000)-G32</f>
        <v>1.8127713842173718</v>
      </c>
      <c r="H30" s="1" cm="1">
        <f t="array" ref="H30">SUMPRODUCT(ISNUMBER(SEARCH("IMPBDS",[1]OUT_SyntheticFuels!$C$4:$C$1000))*1,("Var_Fout"=[1]OUT_SyntheticFuels!$B$4:$B$1000)*1,[1]OUT_SyntheticFuels!G$4:G$1000)-H32</f>
        <v>3.2031095153604321</v>
      </c>
      <c r="I30" s="1" cm="1">
        <f t="array" ref="I30">SUMPRODUCT(ISNUMBER(SEARCH("IMPBDS",[1]OUT_SyntheticFuels!$C$4:$C$1000))*1,("Var_Fout"=[1]OUT_SyntheticFuels!$B$4:$B$1000)*1,[1]OUT_SyntheticFuels!H$4:H$1000)-I32</f>
        <v>3.2414241532235657</v>
      </c>
      <c r="J30" s="1" cm="1">
        <f t="array" ref="J30">SUMPRODUCT(ISNUMBER(SEARCH("IMPBDS",[1]OUT_SyntheticFuels!$C$4:$C$1000))*1,("Var_Fout"=[1]OUT_SyntheticFuels!$B$4:$B$1000)*1,[1]OUT_SyntheticFuels!I$4:I$1000)-J32</f>
        <v>3.2507835751836751</v>
      </c>
      <c r="K30" s="1" cm="1">
        <f t="array" ref="K30">SUMPRODUCT(ISNUMBER(SEARCH("IMPBDS",[1]OUT_SyntheticFuels!$C$4:$C$1000))*1,("Var_Fout"=[1]OUT_SyntheticFuels!$B$4:$B$1000)*1,[1]OUT_SyntheticFuels!J$4:J$1000)-K32</f>
        <v>3.2470071166074987</v>
      </c>
      <c r="L30" s="1" cm="1">
        <f t="array" ref="L30">SUMPRODUCT(ISNUMBER(SEARCH("IMPBDS",[1]OUT_SyntheticFuels!$C$4:$C$1000))*1,("Var_Fout"=[1]OUT_SyntheticFuels!$B$4:$B$1000)*1,[1]OUT_SyntheticFuels!K$4:K$1000)-L32</f>
        <v>3.2477658219679171</v>
      </c>
      <c r="M30" s="1" cm="1">
        <f t="array" ref="M30">SUMPRODUCT(ISNUMBER(SEARCH("IMPBDS",[1]OUT_SyntheticFuels!$C$4:$C$1000))*1,("Var_Fout"=[1]OUT_SyntheticFuels!$B$4:$B$1000)*1,[1]OUT_SyntheticFuels!L$4:L$1000)-M32</f>
        <v>1.0974689411012548</v>
      </c>
      <c r="N30" s="1" cm="1">
        <f t="array" ref="N30">SUMPRODUCT(ISNUMBER(SEARCH("IMPBDS",[1]OUT_SyntheticFuels!$C$4:$C$1000))*1,("Var_Fout"=[1]OUT_SyntheticFuels!$B$4:$B$1000)*1,[1]OUT_SyntheticFuels!M$4:M$1000)-N32</f>
        <v>-0.18870516006258242</v>
      </c>
      <c r="O30" s="1" cm="1">
        <f t="array" ref="O30">SUMPRODUCT(ISNUMBER(SEARCH("IMPBDS",[1]OUT_SyntheticFuels!$C$4:$C$1000))*1,("Var_Fout"=[1]OUT_SyntheticFuels!$B$4:$B$1000)*1,[1]OUT_SyntheticFuels!N$4:N$1000)-O32</f>
        <v>0.69193088495370603</v>
      </c>
      <c r="P30" s="1" cm="1">
        <f t="array" ref="P30">SUMPRODUCT(ISNUMBER(SEARCH("IMPBDS",[1]OUT_SyntheticFuels!$C$4:$C$1000))*1,("Var_Fout"=[1]OUT_SyntheticFuels!$B$4:$B$1000)*1,[1]OUT_SyntheticFuels!O$4:O$1000)-P32</f>
        <v>-2.3079916015376511E-2</v>
      </c>
      <c r="Q30" s="1" cm="1">
        <f t="array" ref="Q30">SUMPRODUCT(ISNUMBER(SEARCH("IMPBDS",[1]OUT_SyntheticFuels!$C$4:$C$1000))*1,("Var_Fout"=[1]OUT_SyntheticFuels!$B$4:$B$1000)*1,[1]OUT_SyntheticFuels!P$4:P$1000)-Q32</f>
        <v>-4.0966004445436965E-2</v>
      </c>
      <c r="S30" s="3"/>
    </row>
    <row r="31" spans="1:19" x14ac:dyDescent="0.5">
      <c r="A31" s="5" t="str">
        <f>A30</f>
        <v>STEM</v>
      </c>
      <c r="B31" s="5" t="str">
        <f>B30</f>
        <v>SPS1</v>
      </c>
      <c r="C31" s="5" t="str">
        <f>C30</f>
        <v>CH</v>
      </c>
      <c r="D31" t="s">
        <v>531</v>
      </c>
      <c r="E31" t="s">
        <v>8</v>
      </c>
      <c r="F31" s="1" cm="1">
        <f t="array" ref="F31">SUMPRODUCT(ISNUMBER(SEARCH("IMPeth",[1]OUT_SyntheticFuels!$C$4:$C$1000))*1,("Var_Fout"=[1]OUT_SyntheticFuels!$B$4:$B$1000)*1,[1]OUT_SyntheticFuels!E$4:E$1000)</f>
        <v>4.3228145692161712</v>
      </c>
      <c r="G31" s="1" cm="1">
        <f t="array" ref="G31">SUMPRODUCT(ISNUMBER(SEARCH("IMPeth",[1]OUT_SyntheticFuels!$C$4:$C$1000))*1,("Var_Fout"=[1]OUT_SyntheticFuels!$B$4:$B$1000)*1,[1]OUT_SyntheticFuels!F$4:F$1000)</f>
        <v>4.3220485482158262</v>
      </c>
      <c r="H31" s="1" cm="1">
        <f t="array" ref="H31">SUMPRODUCT(ISNUMBER(SEARCH("IMPeth",[1]OUT_SyntheticFuels!$C$4:$C$1000))*1,("Var_Fout"=[1]OUT_SyntheticFuels!$B$4:$B$1000)*1,[1]OUT_SyntheticFuels!G$4:G$1000)</f>
        <v>2.9319548243913456</v>
      </c>
      <c r="I31" s="1" cm="1">
        <f t="array" ref="I31">SUMPRODUCT(ISNUMBER(SEARCH("IMPeth",[1]OUT_SyntheticFuels!$C$4:$C$1000))*1,("Var_Fout"=[1]OUT_SyntheticFuels!$B$4:$B$1000)*1,[1]OUT_SyntheticFuels!H$4:H$1000)</f>
        <v>2.3746034615415135</v>
      </c>
      <c r="J31" s="1" cm="1">
        <f t="array" ref="J31">SUMPRODUCT(ISNUMBER(SEARCH("IMPeth",[1]OUT_SyntheticFuels!$C$4:$C$1000))*1,("Var_Fout"=[1]OUT_SyntheticFuels!$B$4:$B$1000)*1,[1]OUT_SyntheticFuels!I$4:I$1000)</f>
        <v>1.6031714337366112</v>
      </c>
      <c r="K31" s="1" cm="1">
        <f t="array" ref="K31">SUMPRODUCT(ISNUMBER(SEARCH("IMPeth",[1]OUT_SyntheticFuels!$C$4:$C$1000))*1,("Var_Fout"=[1]OUT_SyntheticFuels!$B$4:$B$1000)*1,[1]OUT_SyntheticFuels!J$4:J$1000)</f>
        <v>0.52040876213825393</v>
      </c>
      <c r="L31" s="1" cm="1">
        <f t="array" ref="L31">SUMPRODUCT(ISNUMBER(SEARCH("IMPeth",[1]OUT_SyntheticFuels!$C$4:$C$1000))*1,("Var_Fout"=[1]OUT_SyntheticFuels!$B$4:$B$1000)*1,[1]OUT_SyntheticFuels!K$4:K$1000)</f>
        <v>0.30855244062082282</v>
      </c>
      <c r="M31" s="1" cm="1">
        <f t="array" ref="M31">SUMPRODUCT(ISNUMBER(SEARCH("IMPeth",[1]OUT_SyntheticFuels!$C$4:$C$1000))*1,("Var_Fout"=[1]OUT_SyntheticFuels!$B$4:$B$1000)*1,[1]OUT_SyntheticFuels!L$4:L$1000)</f>
        <v>1.1550483951828885</v>
      </c>
      <c r="N31" s="1" cm="1">
        <f t="array" ref="N31">SUMPRODUCT(ISNUMBER(SEARCH("IMPeth",[1]OUT_SyntheticFuels!$C$4:$C$1000))*1,("Var_Fout"=[1]OUT_SyntheticFuels!$B$4:$B$1000)*1,[1]OUT_SyntheticFuels!M$4:M$1000)</f>
        <v>1.0776504066597381</v>
      </c>
      <c r="O31" s="1" cm="1">
        <f t="array" ref="O31">SUMPRODUCT(ISNUMBER(SEARCH("IMPeth",[1]OUT_SyntheticFuels!$C$4:$C$1000))*1,("Var_Fout"=[1]OUT_SyntheticFuels!$B$4:$B$1000)*1,[1]OUT_SyntheticFuels!N$4:N$1000)</f>
        <v>1.0727466273604227</v>
      </c>
      <c r="P31" s="1" cm="1">
        <f t="array" ref="P31">SUMPRODUCT(ISNUMBER(SEARCH("IMPeth",[1]OUT_SyntheticFuels!$C$4:$C$1000))*1,("Var_Fout"=[1]OUT_SyntheticFuels!$B$4:$B$1000)*1,[1]OUT_SyntheticFuels!O$4:O$1000)</f>
        <v>0.92181857646606047</v>
      </c>
      <c r="Q31" s="1" cm="1">
        <f t="array" ref="Q31">SUMPRODUCT(ISNUMBER(SEARCH("IMPeth",[1]OUT_SyntheticFuels!$C$4:$C$1000))*1,("Var_Fout"=[1]OUT_SyntheticFuels!$B$4:$B$1000)*1,[1]OUT_SyntheticFuels!P$4:P$1000)</f>
        <v>0.92076701748468481</v>
      </c>
      <c r="S31" s="3"/>
    </row>
    <row r="32" spans="1:19" x14ac:dyDescent="0.5">
      <c r="A32" s="5"/>
      <c r="B32" s="5" t="str">
        <f>B31</f>
        <v>SPS1</v>
      </c>
      <c r="C32" s="5" t="str">
        <f>C31</f>
        <v>CH</v>
      </c>
      <c r="D32" t="s">
        <v>2476</v>
      </c>
      <c r="E32" t="s">
        <v>8</v>
      </c>
      <c r="F32" s="1">
        <f>SUM([1]Transport_Aviation_Intl!B$12,[1]Transport!B$28)</f>
        <v>2.00378267327074E-4</v>
      </c>
      <c r="G32" s="1">
        <f>SUM([1]Transport_Aviation_Intl!C$12,[1]Transport!C$28)</f>
        <v>1.4363066909150001E-4</v>
      </c>
      <c r="H32" s="1">
        <f>SUM([1]Transport_Aviation_Intl!D$12,[1]Transport!D$28)</f>
        <v>1.08874639064796E-4</v>
      </c>
      <c r="I32" s="1">
        <f>SUM([1]Transport_Aviation_Intl!E$12,[1]Transport!E$28)</f>
        <v>5.3057662849303213</v>
      </c>
      <c r="J32" s="1">
        <f>SUM([1]Transport_Aviation_Intl!F$12,[1]Transport!F$28)</f>
        <v>18.528277738176808</v>
      </c>
      <c r="K32" s="1">
        <f>SUM([1]Transport_Aviation_Intl!G$12,[1]Transport!G$28)</f>
        <v>38.628867887794527</v>
      </c>
      <c r="L32" s="1">
        <f>SUM([1]Transport_Aviation_Intl!H$12,[1]Transport!H$28)</f>
        <v>68.683769151885613</v>
      </c>
      <c r="M32" s="1">
        <f>SUM([1]Transport_Aviation_Intl!I$12,[1]Transport!I$28)</f>
        <v>95.564577721297425</v>
      </c>
      <c r="N32" s="1">
        <f>SUM([1]Transport_Aviation_Intl!J$12,[1]Transport!J$28)</f>
        <v>95.383335290232893</v>
      </c>
      <c r="O32" s="1">
        <f>SUM([1]Transport_Aviation_Intl!K$12,[1]Transport!K$28)</f>
        <v>96.277191168151631</v>
      </c>
      <c r="P32" s="1">
        <f>SUM([1]Transport_Aviation_Intl!L$12,[1]Transport!L$28)</f>
        <v>97.841339573679505</v>
      </c>
      <c r="Q32" s="1">
        <f>SUM([1]Transport_Aviation_Intl!M$12,[1]Transport!M$28)</f>
        <v>99.404581514954359</v>
      </c>
      <c r="S32" s="3"/>
    </row>
    <row r="33" spans="1:19" x14ac:dyDescent="0.5">
      <c r="A33" s="5" t="str">
        <f>A29</f>
        <v>STEM</v>
      </c>
      <c r="B33" s="5" t="str">
        <f>B29</f>
        <v>SPS1</v>
      </c>
      <c r="C33" s="5" t="str">
        <f>C29</f>
        <v>CH</v>
      </c>
      <c r="D33" t="s">
        <v>532</v>
      </c>
      <c r="E33" t="s">
        <v>8</v>
      </c>
      <c r="F33" s="1">
        <f t="shared" ref="F33:J33" si="27">SUM(F34:F36)</f>
        <v>6.135155866782541</v>
      </c>
      <c r="G33" s="1">
        <f t="shared" si="27"/>
        <v>6.1349635631022892</v>
      </c>
      <c r="H33" s="1">
        <f t="shared" si="27"/>
        <v>6.1351732143908428</v>
      </c>
      <c r="I33" s="1">
        <f t="shared" si="27"/>
        <v>10.9217938996954</v>
      </c>
      <c r="J33" s="1">
        <f t="shared" si="27"/>
        <v>10.150361871890498</v>
      </c>
      <c r="K33" s="1">
        <f>SUM(K34:K36)</f>
        <v>22.295693616922559</v>
      </c>
      <c r="L33" s="1">
        <f t="shared" ref="L33:O33" si="28">SUM(L34:L36)</f>
        <v>42.185186150383267</v>
      </c>
      <c r="M33" s="1">
        <f t="shared" si="28"/>
        <v>70.936286488169756</v>
      </c>
      <c r="N33" s="1">
        <f t="shared" si="28"/>
        <v>96.272280536830053</v>
      </c>
      <c r="O33" s="1">
        <f t="shared" si="28"/>
        <v>97.329255233611548</v>
      </c>
      <c r="P33" s="1">
        <f>SUM(P34:P36)</f>
        <v>97.175929828602321</v>
      </c>
      <c r="Q33" s="1">
        <f>SUM(Q34:Q36)</f>
        <v>98.721140586718747</v>
      </c>
      <c r="S33" s="3"/>
    </row>
    <row r="34" spans="1:19" x14ac:dyDescent="0.5">
      <c r="A34" s="5" t="str">
        <f>A31</f>
        <v>STEM</v>
      </c>
      <c r="B34" s="5" t="str">
        <f>B31</f>
        <v>SPS1</v>
      </c>
      <c r="C34" s="5" t="str">
        <f>C31</f>
        <v>CH</v>
      </c>
      <c r="D34" t="s">
        <v>533</v>
      </c>
      <c r="E34" t="s">
        <v>8</v>
      </c>
      <c r="F34" s="1">
        <f t="shared" ref="F34:I35" si="29">F30</f>
        <v>1.812140919299043</v>
      </c>
      <c r="G34" s="1">
        <f t="shared" si="29"/>
        <v>1.8127713842173718</v>
      </c>
      <c r="H34" s="1">
        <f t="shared" si="29"/>
        <v>3.2031095153604321</v>
      </c>
      <c r="I34" s="1">
        <f t="shared" si="29"/>
        <v>3.2414241532235657</v>
      </c>
      <c r="J34" s="1">
        <f>IF(J30-MAX(F30:I30)&lt;0,J30,MAX(F30:I30))</f>
        <v>3.2414241532235657</v>
      </c>
      <c r="K34" s="1">
        <f>IF(K30-MAX(F30:J30)&lt;0,K30,MAX(F30:J30))</f>
        <v>3.2470071166074987</v>
      </c>
      <c r="L34" s="1">
        <f t="shared" ref="L34:O34" si="30">IF(L30-MAX(G30:K30)&lt;0,L30,MAX(G30:K30))</f>
        <v>3.2477658219679171</v>
      </c>
      <c r="M34" s="1">
        <f t="shared" si="30"/>
        <v>1.0974689411012548</v>
      </c>
      <c r="N34" s="1">
        <f t="shared" si="30"/>
        <v>-0.18870516006258242</v>
      </c>
      <c r="O34" s="1">
        <f t="shared" si="30"/>
        <v>0.69193088495370603</v>
      </c>
      <c r="P34" s="1">
        <f>IF(P30-MAX(K30:O30)&lt;0,P30,MAX(K30:O30))</f>
        <v>-2.3079916015376511E-2</v>
      </c>
      <c r="Q34" s="1">
        <f>IF(Q30-MAX(L30:P30)&lt;0,Q30,MAX(L30:P30))</f>
        <v>-4.0966004445436965E-2</v>
      </c>
      <c r="S34" s="3"/>
    </row>
    <row r="35" spans="1:19" x14ac:dyDescent="0.5">
      <c r="A35" s="5" t="str">
        <f>A34</f>
        <v>STEM</v>
      </c>
      <c r="B35" s="5" t="str">
        <f>B34</f>
        <v>SPS1</v>
      </c>
      <c r="C35" s="5" t="str">
        <f>C34</f>
        <v>CH</v>
      </c>
      <c r="D35" t="s">
        <v>534</v>
      </c>
      <c r="E35" t="s">
        <v>8</v>
      </c>
      <c r="F35" s="1">
        <f t="shared" si="29"/>
        <v>4.3228145692161712</v>
      </c>
      <c r="G35" s="1">
        <f t="shared" si="29"/>
        <v>4.3220485482158262</v>
      </c>
      <c r="H35" s="1">
        <f t="shared" si="29"/>
        <v>2.9319548243913456</v>
      </c>
      <c r="I35" s="1">
        <f t="shared" si="29"/>
        <v>2.3746034615415135</v>
      </c>
      <c r="J35" s="1">
        <f>IF(J31-MAX(F31:I31)&lt;0,J31,MAX(F31:I31))</f>
        <v>1.6031714337366112</v>
      </c>
      <c r="K35" s="1">
        <f>IF(K31-MAX(F31:J31)&lt;0,K31,MAX(F31:J31))</f>
        <v>0.52040876213825393</v>
      </c>
      <c r="L35" s="1">
        <f t="shared" ref="L35:O35" si="31">IF(L31-MAX(G31:K31)&lt;0,L31,MAX(G31:K31))</f>
        <v>0.30855244062082282</v>
      </c>
      <c r="M35" s="1">
        <f t="shared" si="31"/>
        <v>1.1550483951828885</v>
      </c>
      <c r="N35" s="1">
        <f t="shared" si="31"/>
        <v>1.0776504066597381</v>
      </c>
      <c r="O35" s="1">
        <f t="shared" si="31"/>
        <v>1.0727466273604227</v>
      </c>
      <c r="P35" s="1">
        <f>IF(P31-MAX(K31:O31)&lt;0,P31,MAX(K31:O31))</f>
        <v>0.92181857646606047</v>
      </c>
      <c r="Q35" s="1">
        <f>IF(Q31-MAX(L31:P31)&lt;0,Q31,MAX(L31:P31))</f>
        <v>0.92076701748468481</v>
      </c>
      <c r="S35" s="3"/>
    </row>
    <row r="36" spans="1:19" x14ac:dyDescent="0.5">
      <c r="A36" s="5"/>
      <c r="B36" s="5" t="str">
        <f>B35</f>
        <v>SPS1</v>
      </c>
      <c r="C36" s="5" t="str">
        <f>C35</f>
        <v>CH</v>
      </c>
      <c r="D36" t="s">
        <v>2478</v>
      </c>
      <c r="E36" t="s">
        <v>8</v>
      </c>
      <c r="F36" s="1">
        <f>SUM([1]Transport!B$28,[1]Transport_Aviation_Intl!B$12)</f>
        <v>2.00378267327074E-4</v>
      </c>
      <c r="G36" s="1">
        <f>SUM([1]Transport!C$28,[1]Transport_Aviation_Intl!C$12)</f>
        <v>1.4363066909150001E-4</v>
      </c>
      <c r="H36" s="1">
        <f>SUM([1]Transport!D$28,[1]Transport_Aviation_Intl!D$12)</f>
        <v>1.08874639064796E-4</v>
      </c>
      <c r="I36" s="1">
        <f>SUM([1]Transport!E$28,[1]Transport_Aviation_Intl!E$12)</f>
        <v>5.3057662849303213</v>
      </c>
      <c r="J36" s="1">
        <f>IF(J32-MAX(F32:I32)&lt;0,J32,MAX(F32:I32))</f>
        <v>5.3057662849303213</v>
      </c>
      <c r="K36" s="1">
        <f>IF(K32-MAX(G32:J32)&lt;0,K32,MAX(G32:J32))</f>
        <v>18.528277738176808</v>
      </c>
      <c r="L36" s="1">
        <f t="shared" ref="L36:O36" si="32">IF(L32-MAX(H32:K32)&lt;0,L32,MAX(H32:K32))</f>
        <v>38.628867887794527</v>
      </c>
      <c r="M36" s="1">
        <f t="shared" si="32"/>
        <v>68.683769151885613</v>
      </c>
      <c r="N36" s="1">
        <f t="shared" si="32"/>
        <v>95.383335290232893</v>
      </c>
      <c r="O36" s="1">
        <f t="shared" si="32"/>
        <v>95.564577721297425</v>
      </c>
      <c r="P36" s="1">
        <f>IF(P32-MAX(L32:O32)&lt;0,P32,MAX(L32:O32))</f>
        <v>96.277191168151631</v>
      </c>
      <c r="Q36" s="1">
        <f>IF(Q32-MAX(M32:P32)&lt;0,Q32,MAX(M32:P32))</f>
        <v>97.841339573679505</v>
      </c>
      <c r="S36" s="3"/>
    </row>
    <row r="37" spans="1:19" x14ac:dyDescent="0.5">
      <c r="A37" s="5" t="str">
        <f>A33</f>
        <v>STEM</v>
      </c>
      <c r="B37" s="5" t="str">
        <f>B33</f>
        <v>SPS1</v>
      </c>
      <c r="C37" s="5" t="str">
        <f>C33</f>
        <v>CH</v>
      </c>
      <c r="D37" t="s">
        <v>2477</v>
      </c>
      <c r="E37" t="s">
        <v>8</v>
      </c>
      <c r="F37" s="1">
        <f>SUM(F38:F40)</f>
        <v>0</v>
      </c>
      <c r="G37" s="1">
        <f t="shared" ref="G37:K37" si="33">SUM(G38:G40)</f>
        <v>0</v>
      </c>
      <c r="H37" s="1">
        <f t="shared" si="33"/>
        <v>0</v>
      </c>
      <c r="I37" s="1">
        <f t="shared" si="33"/>
        <v>0</v>
      </c>
      <c r="J37" s="1">
        <f t="shared" si="33"/>
        <v>13.231870875206596</v>
      </c>
      <c r="K37" s="1">
        <f t="shared" si="33"/>
        <v>20.10059014961772</v>
      </c>
      <c r="L37" s="1">
        <f t="shared" ref="L37:O37" si="34">SUM(L38:L40)</f>
        <v>30.054901264091086</v>
      </c>
      <c r="M37" s="1">
        <f t="shared" si="34"/>
        <v>26.880808569411812</v>
      </c>
      <c r="N37" s="1">
        <f t="shared" si="34"/>
        <v>0</v>
      </c>
      <c r="O37" s="1">
        <f t="shared" si="34"/>
        <v>0.71261344685420625</v>
      </c>
      <c r="P37" s="1">
        <f>SUM(P38:P40)</f>
        <v>1.5641484055278738</v>
      </c>
      <c r="Q37" s="1">
        <f>SUM(Q38:Q40)</f>
        <v>1.5632419412748533</v>
      </c>
      <c r="S37" s="3"/>
    </row>
    <row r="38" spans="1:19" x14ac:dyDescent="0.5">
      <c r="A38" s="5" t="str">
        <f>A35</f>
        <v>STEM</v>
      </c>
      <c r="B38" s="5" t="str">
        <f>B35</f>
        <v>SPS1</v>
      </c>
      <c r="C38" s="5" t="str">
        <f>C35</f>
        <v>CH</v>
      </c>
      <c r="D38" t="s">
        <v>535</v>
      </c>
      <c r="E38" t="s">
        <v>8</v>
      </c>
      <c r="F38" s="1">
        <v>0</v>
      </c>
      <c r="G38" s="1">
        <v>0</v>
      </c>
      <c r="H38" s="1">
        <v>0</v>
      </c>
      <c r="I38" s="1">
        <v>0</v>
      </c>
      <c r="J38" s="1">
        <f t="shared" ref="J38:K40" si="35">J30-J34</f>
        <v>9.3594219601094153E-3</v>
      </c>
      <c r="K38" s="1">
        <f t="shared" si="35"/>
        <v>0</v>
      </c>
      <c r="L38" s="1">
        <f t="shared" ref="L38:O38" si="36">L30-L34</f>
        <v>0</v>
      </c>
      <c r="M38" s="1">
        <f t="shared" si="36"/>
        <v>0</v>
      </c>
      <c r="N38" s="1">
        <f t="shared" si="36"/>
        <v>0</v>
      </c>
      <c r="O38" s="1">
        <f t="shared" si="36"/>
        <v>0</v>
      </c>
      <c r="P38" s="1">
        <f t="shared" ref="P38:Q40" si="37">P30-P34</f>
        <v>0</v>
      </c>
      <c r="Q38" s="1">
        <f t="shared" si="37"/>
        <v>0</v>
      </c>
      <c r="S38" s="3"/>
    </row>
    <row r="39" spans="1:19" x14ac:dyDescent="0.5">
      <c r="A39" s="5" t="str">
        <f>A38</f>
        <v>STEM</v>
      </c>
      <c r="B39" s="5" t="str">
        <f>B38</f>
        <v>SPS1</v>
      </c>
      <c r="C39" s="5" t="str">
        <f>C38</f>
        <v>CH</v>
      </c>
      <c r="D39" t="s">
        <v>536</v>
      </c>
      <c r="E39" t="s">
        <v>8</v>
      </c>
      <c r="F39" s="1">
        <v>0</v>
      </c>
      <c r="G39" s="1">
        <v>0</v>
      </c>
      <c r="H39" s="1">
        <v>0</v>
      </c>
      <c r="I39" s="1">
        <v>0</v>
      </c>
      <c r="J39" s="1">
        <f t="shared" si="35"/>
        <v>0</v>
      </c>
      <c r="K39" s="1">
        <f t="shared" si="35"/>
        <v>0</v>
      </c>
      <c r="L39" s="1">
        <f t="shared" ref="L39:O39" si="38">L31-L35</f>
        <v>0</v>
      </c>
      <c r="M39" s="1">
        <f t="shared" si="38"/>
        <v>0</v>
      </c>
      <c r="N39" s="1">
        <f t="shared" si="38"/>
        <v>0</v>
      </c>
      <c r="O39" s="1">
        <f t="shared" si="38"/>
        <v>0</v>
      </c>
      <c r="P39" s="1">
        <f t="shared" si="37"/>
        <v>0</v>
      </c>
      <c r="Q39" s="1">
        <f t="shared" si="37"/>
        <v>0</v>
      </c>
      <c r="S39" s="3"/>
    </row>
    <row r="40" spans="1:19" x14ac:dyDescent="0.5">
      <c r="A40" s="5"/>
      <c r="B40" s="5" t="str">
        <f>B39</f>
        <v>SPS1</v>
      </c>
      <c r="C40" s="5" t="str">
        <f>C39</f>
        <v>CH</v>
      </c>
      <c r="D40" t="s">
        <v>537</v>
      </c>
      <c r="E40" t="s">
        <v>8</v>
      </c>
      <c r="F40" s="1">
        <v>0</v>
      </c>
      <c r="G40" s="1">
        <v>0</v>
      </c>
      <c r="H40" s="1">
        <v>0</v>
      </c>
      <c r="I40" s="1">
        <v>0</v>
      </c>
      <c r="J40" s="1">
        <f t="shared" si="35"/>
        <v>13.222511453246486</v>
      </c>
      <c r="K40" s="1">
        <f t="shared" si="35"/>
        <v>20.10059014961772</v>
      </c>
      <c r="L40" s="1">
        <f t="shared" ref="L40:O40" si="39">L32-L36</f>
        <v>30.054901264091086</v>
      </c>
      <c r="M40" s="1">
        <f t="shared" si="39"/>
        <v>26.880808569411812</v>
      </c>
      <c r="N40" s="1">
        <f t="shared" si="39"/>
        <v>0</v>
      </c>
      <c r="O40" s="1">
        <f t="shared" si="39"/>
        <v>0.71261344685420625</v>
      </c>
      <c r="P40" s="1">
        <f t="shared" si="37"/>
        <v>1.5641484055278738</v>
      </c>
      <c r="Q40" s="1">
        <f t="shared" si="37"/>
        <v>1.5632419412748533</v>
      </c>
      <c r="S40" s="3"/>
    </row>
    <row r="41" spans="1:19" x14ac:dyDescent="0.5">
      <c r="A41" s="5" t="str">
        <f t="shared" ref="A41:C42" si="40">A28</f>
        <v>STEM</v>
      </c>
      <c r="B41" s="5" t="str">
        <f t="shared" si="40"/>
        <v>SPS1</v>
      </c>
      <c r="C41" s="5" t="str">
        <f t="shared" si="40"/>
        <v>CH</v>
      </c>
      <c r="D41" t="s">
        <v>783</v>
      </c>
      <c r="E41" t="s">
        <v>8</v>
      </c>
      <c r="F41" s="1">
        <f>F42+F45</f>
        <v>117.2830928400453</v>
      </c>
      <c r="G41" s="1">
        <f t="shared" ref="G41:K41" si="41">G42+G45</f>
        <v>106.72024844457306</v>
      </c>
      <c r="H41" s="1">
        <f t="shared" si="41"/>
        <v>112.94272590808744</v>
      </c>
      <c r="I41" s="1">
        <f t="shared" si="41"/>
        <v>104.26990046578753</v>
      </c>
      <c r="J41" s="1">
        <f t="shared" si="41"/>
        <v>86.39648760077344</v>
      </c>
      <c r="K41" s="1">
        <f t="shared" si="41"/>
        <v>55.66999454015378</v>
      </c>
      <c r="L41" s="1">
        <f t="shared" ref="L41:O41" si="42">L42+L45</f>
        <v>25.218117699715119</v>
      </c>
      <c r="M41" s="1">
        <f t="shared" si="42"/>
        <v>2.1911403563612897</v>
      </c>
      <c r="N41" s="1">
        <f t="shared" si="42"/>
        <v>3.7362019815589083</v>
      </c>
      <c r="O41" s="1">
        <f t="shared" si="42"/>
        <v>3.0225232502978763</v>
      </c>
      <c r="P41" s="1">
        <f>P42+P45</f>
        <v>4.0324593418158718</v>
      </c>
      <c r="Q41" s="1">
        <f>Q42+Q45</f>
        <v>4.1803015879099057</v>
      </c>
      <c r="S41" s="3"/>
    </row>
    <row r="42" spans="1:19" x14ac:dyDescent="0.5">
      <c r="A42" s="5" t="str">
        <f t="shared" si="40"/>
        <v>STEM</v>
      </c>
      <c r="B42" s="5" t="str">
        <f t="shared" si="40"/>
        <v>SPS1</v>
      </c>
      <c r="C42" s="5" t="str">
        <f t="shared" si="40"/>
        <v>CH</v>
      </c>
      <c r="D42" t="s">
        <v>549</v>
      </c>
      <c r="E42" t="s">
        <v>8</v>
      </c>
      <c r="F42" s="1">
        <f>F43+F44</f>
        <v>117.2830928400453</v>
      </c>
      <c r="G42" s="1">
        <f t="shared" ref="G42:K42" si="43">G43+G44</f>
        <v>106.72002752311008</v>
      </c>
      <c r="H42" s="1">
        <f t="shared" si="43"/>
        <v>112.94271407375933</v>
      </c>
      <c r="I42" s="1">
        <f t="shared" si="43"/>
        <v>101.63950680069054</v>
      </c>
      <c r="J42" s="1">
        <f t="shared" si="43"/>
        <v>83.569367083428617</v>
      </c>
      <c r="K42" s="1">
        <f t="shared" si="43"/>
        <v>53.300430243930919</v>
      </c>
      <c r="L42" s="1">
        <f t="shared" ref="L42:O42" si="44">L43+L44</f>
        <v>22.64027308959551</v>
      </c>
      <c r="M42" s="1">
        <f t="shared" si="44"/>
        <v>6.0698750510612703E-5</v>
      </c>
      <c r="N42" s="1">
        <f t="shared" si="44"/>
        <v>2.8051914373545037E-4</v>
      </c>
      <c r="O42" s="1">
        <f t="shared" si="44"/>
        <v>3.8849059505349759E-4</v>
      </c>
      <c r="P42" s="1">
        <f>P43+P44</f>
        <v>3.8900805096962299E-4</v>
      </c>
      <c r="Q42" s="1">
        <f>Q43+Q44</f>
        <v>5.0566955647175836E-4</v>
      </c>
      <c r="S42" s="3"/>
    </row>
    <row r="43" spans="1:19" x14ac:dyDescent="0.5">
      <c r="A43" s="5" t="str">
        <f>A27</f>
        <v>STEM</v>
      </c>
      <c r="B43" s="5" t="str">
        <f>B27</f>
        <v>SPS1</v>
      </c>
      <c r="C43" s="5" t="str">
        <f>C27</f>
        <v>CH</v>
      </c>
      <c r="D43" t="s">
        <v>550</v>
      </c>
      <c r="E43" t="s">
        <v>8</v>
      </c>
      <c r="F43" s="1" cm="1">
        <f t="array" ref="F43">SUMPRODUCT(("NGA"=[1]OUT_PrimaryEnergyCons!$C$4:$C$10000)*1,[1]OUT_PrimaryEnergyCons!D$4:D$10000)</f>
        <v>117.2830928400453</v>
      </c>
      <c r="G43" s="1" cm="1">
        <f t="array" ref="G43">SUMPRODUCT(("NGA"=[1]OUT_PrimaryEnergyCons!$C$4:$C$10000)*1,[1]OUT_PrimaryEnergyCons!E$4:E$10000)</f>
        <v>106.72002752311008</v>
      </c>
      <c r="H43" s="1" cm="1">
        <f t="array" ref="H43">SUMPRODUCT(("NGA"=[1]OUT_PrimaryEnergyCons!$C$4:$C$10000)*1,[1]OUT_PrimaryEnergyCons!F$4:F$10000)</f>
        <v>112.94271407375933</v>
      </c>
      <c r="I43" s="1" cm="1">
        <f t="array" ref="I43">SUMPRODUCT(("NGA"=[1]OUT_PrimaryEnergyCons!$C$4:$C$10000)*1,[1]OUT_PrimaryEnergyCons!G$4:G$10000)</f>
        <v>101.63469631606067</v>
      </c>
      <c r="J43" s="1" cm="1">
        <f t="array" ref="J43">SUMPRODUCT(("NGA"=[1]OUT_PrimaryEnergyCons!$C$4:$C$10000)*1,[1]OUT_PrimaryEnergyCons!H$4:H$10000)</f>
        <v>83.560897001897814</v>
      </c>
      <c r="K43" s="1" cm="1">
        <f t="array" ref="K43">SUMPRODUCT(("NGA"=[1]OUT_PrimaryEnergyCons!$C$4:$C$10000)*1,[1]OUT_PrimaryEnergyCons!I$4:I$10000)</f>
        <v>53.291657030086249</v>
      </c>
      <c r="L43" s="1" cm="1">
        <f t="array" ref="L43">SUMPRODUCT(("NGA"=[1]OUT_PrimaryEnergyCons!$C$4:$C$10000)*1,[1]OUT_PrimaryEnergyCons!J$4:J$10000)</f>
        <v>22.632101647254171</v>
      </c>
      <c r="M43" s="1" cm="1">
        <f t="array" ref="M43">SUMPRODUCT(("NGA"=[1]OUT_PrimaryEnergyCons!$C$4:$C$10000)*1,[1]OUT_PrimaryEnergyCons!K$4:K$10000)</f>
        <v>1.584667652920014E-5</v>
      </c>
      <c r="N43" s="1" cm="1">
        <f t="array" ref="N43">SUMPRODUCT(("NGA"=[1]OUT_PrimaryEnergyCons!$C$4:$C$10000)*1,[1]OUT_PrimaryEnergyCons!L$4:L$10000)</f>
        <v>6.3425115202030312E-5</v>
      </c>
      <c r="O43" s="1" cm="1">
        <f t="array" ref="O43">SUMPRODUCT(("NGA"=[1]OUT_PrimaryEnergyCons!$C$4:$C$10000)*1,[1]OUT_PrimaryEnergyCons!M$4:M$10000)</f>
        <v>8.4351190797318868E-5</v>
      </c>
      <c r="P43" s="1" cm="1">
        <f t="array" ref="P43">SUMPRODUCT(("NGA"=[1]OUT_PrimaryEnergyCons!$C$4:$C$10000)*1,[1]OUT_PrimaryEnergyCons!N$4:N$10000)</f>
        <v>8.2314419112913969E-5</v>
      </c>
      <c r="Q43" s="1" cm="1">
        <f t="array" ref="Q43">SUMPRODUCT(("NGA"=[1]OUT_PrimaryEnergyCons!$C$4:$C$10000)*1,[1]OUT_PrimaryEnergyCons!O$4:O$10000)</f>
        <v>1.0808123548537854E-4</v>
      </c>
      <c r="S43" s="3"/>
    </row>
    <row r="44" spans="1:19" x14ac:dyDescent="0.5">
      <c r="A44" s="5" t="str">
        <f t="shared" si="6"/>
        <v>STEM</v>
      </c>
      <c r="B44" s="5" t="str">
        <f t="shared" si="7"/>
        <v>SPS1</v>
      </c>
      <c r="C44" s="5" t="str">
        <f t="shared" si="8"/>
        <v>CH</v>
      </c>
      <c r="D44" t="s">
        <v>551</v>
      </c>
      <c r="E44" t="s">
        <v>8</v>
      </c>
      <c r="F44" s="1" cm="1">
        <f t="array" ref="F44">SUMPRODUCT(("LNGA"=[1]OUT_PrimaryEnergyCons!$C$4:$C$10000)*1,[1]OUT_PrimaryEnergyCons!D$4:D$10000)</f>
        <v>0</v>
      </c>
      <c r="G44" s="1" cm="1">
        <f t="array" ref="G44">SUMPRODUCT(("LNGA"=[1]OUT_PrimaryEnergyCons!$C$4:$C$10000)*1,[1]OUT_PrimaryEnergyCons!E$4:E$10000)</f>
        <v>0</v>
      </c>
      <c r="H44" s="1" cm="1">
        <f t="array" ref="H44">SUMPRODUCT(("LNGA"=[1]OUT_PrimaryEnergyCons!$C$4:$C$10000)*1,[1]OUT_PrimaryEnergyCons!F$4:F$10000)</f>
        <v>0</v>
      </c>
      <c r="I44" s="1" cm="1">
        <f t="array" ref="I44">SUMPRODUCT(("LNGA"=[1]OUT_PrimaryEnergyCons!$C$4:$C$10000)*1,[1]OUT_PrimaryEnergyCons!G$4:G$10000)</f>
        <v>4.8104846298666955E-3</v>
      </c>
      <c r="J44" s="1" cm="1">
        <f t="array" ref="J44">SUMPRODUCT(("LNGA"=[1]OUT_PrimaryEnergyCons!$C$4:$C$10000)*1,[1]OUT_PrimaryEnergyCons!H$4:H$10000)</f>
        <v>8.4700815308058723E-3</v>
      </c>
      <c r="K44" s="1" cm="1">
        <f t="array" ref="K44">SUMPRODUCT(("LNGA"=[1]OUT_PrimaryEnergyCons!$C$4:$C$10000)*1,[1]OUT_PrimaryEnergyCons!I$4:I$10000)</f>
        <v>8.7732138446698377E-3</v>
      </c>
      <c r="L44" s="1" cm="1">
        <f t="array" ref="L44">SUMPRODUCT(("LNGA"=[1]OUT_PrimaryEnergyCons!$C$4:$C$10000)*1,[1]OUT_PrimaryEnergyCons!J$4:J$10000)</f>
        <v>8.1714423413379571E-3</v>
      </c>
      <c r="M44" s="1" cm="1">
        <f t="array" ref="M44">SUMPRODUCT(("LNGA"=[1]OUT_PrimaryEnergyCons!$C$4:$C$10000)*1,[1]OUT_PrimaryEnergyCons!K$4:K$10000)</f>
        <v>4.4852073981412566E-5</v>
      </c>
      <c r="N44" s="1" cm="1">
        <f t="array" ref="N44">SUMPRODUCT(("LNGA"=[1]OUT_PrimaryEnergyCons!$C$4:$C$10000)*1,[1]OUT_PrimaryEnergyCons!L$4:L$10000)</f>
        <v>2.1709402853342004E-4</v>
      </c>
      <c r="O44" s="1" cm="1">
        <f t="array" ref="O44">SUMPRODUCT(("LNGA"=[1]OUT_PrimaryEnergyCons!$C$4:$C$10000)*1,[1]OUT_PrimaryEnergyCons!M$4:M$10000)</f>
        <v>3.0413940425617875E-4</v>
      </c>
      <c r="P44" s="1" cm="1">
        <f t="array" ref="P44">SUMPRODUCT(("LNGA"=[1]OUT_PrimaryEnergyCons!$C$4:$C$10000)*1,[1]OUT_PrimaryEnergyCons!N$4:N$10000)</f>
        <v>3.0669363185670902E-4</v>
      </c>
      <c r="Q44" s="1" cm="1">
        <f t="array" ref="Q44">SUMPRODUCT(("LNGA"=[1]OUT_PrimaryEnergyCons!$C$4:$C$10000)*1,[1]OUT_PrimaryEnergyCons!O$4:O$10000)</f>
        <v>3.9758832098637983E-4</v>
      </c>
      <c r="S44" s="3"/>
    </row>
    <row r="45" spans="1:19" x14ac:dyDescent="0.5">
      <c r="A45" s="5" t="str">
        <f>A39</f>
        <v>STEM</v>
      </c>
      <c r="B45" s="5" t="str">
        <f>B39</f>
        <v>SPS1</v>
      </c>
      <c r="C45" s="5" t="str">
        <f>C39</f>
        <v>CH</v>
      </c>
      <c r="D45" t="s">
        <v>784</v>
      </c>
      <c r="E45" t="s">
        <v>8</v>
      </c>
      <c r="F45" s="1" cm="1">
        <f t="array" ref="F45">SUMPRODUCT(("BIO"=[1]OUT_PrimaryEnergyCons!$C$4:$C$10000)*1+("LBIO"=[1]OUT_PrimaryEnergyCons!$C$4:$C$10000)*1,[1]OUT_PrimaryEnergyCons!D$4:D$10000)</f>
        <v>0</v>
      </c>
      <c r="G45" s="1" cm="1">
        <f t="array" ref="G45">SUMPRODUCT(("BIO"=[1]OUT_PrimaryEnergyCons!$C$4:$C$10000)*1+("LBIO"=[1]OUT_PrimaryEnergyCons!$C$4:$C$10000)*1,[1]OUT_PrimaryEnergyCons!E$4:E$10000)</f>
        <v>2.2092146298503836E-4</v>
      </c>
      <c r="H45" s="1" cm="1">
        <f t="array" ref="H45">SUMPRODUCT(("BIO"=[1]OUT_PrimaryEnergyCons!$C$4:$C$10000)*1+("LBIO"=[1]OUT_PrimaryEnergyCons!$C$4:$C$10000)*1,[1]OUT_PrimaryEnergyCons!F$4:F$10000)</f>
        <v>1.1834328101880158E-5</v>
      </c>
      <c r="I45" s="1" cm="1">
        <f t="array" ref="I45">SUMPRODUCT(("BIO"=[1]OUT_PrimaryEnergyCons!$C$4:$C$10000)*1+("LBIO"=[1]OUT_PrimaryEnergyCons!$C$4:$C$10000)*1,[1]OUT_PrimaryEnergyCons!G$4:G$10000)</f>
        <v>2.6303936650969924</v>
      </c>
      <c r="J45" s="1" cm="1">
        <f t="array" ref="J45">SUMPRODUCT(("BIO"=[1]OUT_PrimaryEnergyCons!$C$4:$C$10000)*1+("LBIO"=[1]OUT_PrimaryEnergyCons!$C$4:$C$10000)*1,[1]OUT_PrimaryEnergyCons!H$4:H$10000)</f>
        <v>2.8271205173448282</v>
      </c>
      <c r="K45" s="1" cm="1">
        <f t="array" ref="K45">SUMPRODUCT(("BIO"=[1]OUT_PrimaryEnergyCons!$C$4:$C$10000)*1+("LBIO"=[1]OUT_PrimaryEnergyCons!$C$4:$C$10000)*1,[1]OUT_PrimaryEnergyCons!I$4:I$10000)</f>
        <v>2.3695642962228614</v>
      </c>
      <c r="L45" s="1" cm="1">
        <f t="array" ref="L45">SUMPRODUCT(("BIO"=[1]OUT_PrimaryEnergyCons!$C$4:$C$10000)*1+("LBIO"=[1]OUT_PrimaryEnergyCons!$C$4:$C$10000)*1,[1]OUT_PrimaryEnergyCons!J$4:J$10000)</f>
        <v>2.5778446101196075</v>
      </c>
      <c r="M45" s="1" cm="1">
        <f t="array" ref="M45">SUMPRODUCT(("BIO"=[1]OUT_PrimaryEnergyCons!$C$4:$C$10000)*1+("LBIO"=[1]OUT_PrimaryEnergyCons!$C$4:$C$10000)*1,[1]OUT_PrimaryEnergyCons!K$4:K$10000)</f>
        <v>2.1910796576107789</v>
      </c>
      <c r="N45" s="1" cm="1">
        <f t="array" ref="N45">SUMPRODUCT(("BIO"=[1]OUT_PrimaryEnergyCons!$C$4:$C$10000)*1+("LBIO"=[1]OUT_PrimaryEnergyCons!$C$4:$C$10000)*1,[1]OUT_PrimaryEnergyCons!L$4:L$10000)</f>
        <v>3.7359214624151726</v>
      </c>
      <c r="O45" s="1" cm="1">
        <f t="array" ref="O45">SUMPRODUCT(("BIO"=[1]OUT_PrimaryEnergyCons!$C$4:$C$10000)*1+("LBIO"=[1]OUT_PrimaryEnergyCons!$C$4:$C$10000)*1,[1]OUT_PrimaryEnergyCons!M$4:M$10000)</f>
        <v>3.0221347597028227</v>
      </c>
      <c r="P45" s="1" cm="1">
        <f t="array" ref="P45">SUMPRODUCT(("BIO"=[1]OUT_PrimaryEnergyCons!$C$4:$C$10000)*1+("LBIO"=[1]OUT_PrimaryEnergyCons!$C$4:$C$10000)*1,[1]OUT_PrimaryEnergyCons!N$4:N$10000)</f>
        <v>4.032070333764902</v>
      </c>
      <c r="Q45" s="1" cm="1">
        <f t="array" ref="Q45">SUMPRODUCT(("BIO"=[1]OUT_PrimaryEnergyCons!$C$4:$C$10000)*1+("LBIO"=[1]OUT_PrimaryEnergyCons!$C$4:$C$10000)*1,[1]OUT_PrimaryEnergyCons!O$4:O$10000)</f>
        <v>4.1797959183534337</v>
      </c>
      <c r="S45" s="3"/>
    </row>
    <row r="46" spans="1:19" x14ac:dyDescent="0.5">
      <c r="A46" s="5" t="str">
        <f t="shared" ref="A46:C47" si="45">A45</f>
        <v>STEM</v>
      </c>
      <c r="B46" s="5" t="str">
        <f t="shared" si="45"/>
        <v>SPS1</v>
      </c>
      <c r="C46" s="5" t="str">
        <f t="shared" si="45"/>
        <v>CH</v>
      </c>
      <c r="D46" t="s">
        <v>785</v>
      </c>
      <c r="E46" t="s">
        <v>8</v>
      </c>
      <c r="F46" s="1">
        <f t="shared" ref="F46:O46" si="46">F47</f>
        <v>0</v>
      </c>
      <c r="G46" s="1">
        <f t="shared" si="46"/>
        <v>2.2092146298503836E-4</v>
      </c>
      <c r="H46" s="1">
        <f t="shared" si="46"/>
        <v>1.1834328101880158E-5</v>
      </c>
      <c r="I46" s="1">
        <f t="shared" si="46"/>
        <v>2.6303936650969924</v>
      </c>
      <c r="J46" s="1">
        <f t="shared" si="46"/>
        <v>2.6303936650969924</v>
      </c>
      <c r="K46" s="1">
        <f t="shared" si="46"/>
        <v>2.3695642962228614</v>
      </c>
      <c r="L46" s="1">
        <f t="shared" si="46"/>
        <v>2.5778446101196075</v>
      </c>
      <c r="M46" s="1">
        <f t="shared" si="46"/>
        <v>2.1910796576107789</v>
      </c>
      <c r="N46" s="1">
        <f t="shared" si="46"/>
        <v>2.8271205173448282</v>
      </c>
      <c r="O46" s="1">
        <f t="shared" si="46"/>
        <v>3.0221347597028227</v>
      </c>
      <c r="P46" s="1">
        <f>P47</f>
        <v>3.7359214624151726</v>
      </c>
      <c r="Q46" s="1">
        <f>Q47</f>
        <v>4.032070333764902</v>
      </c>
      <c r="S46" s="3"/>
    </row>
    <row r="47" spans="1:19" x14ac:dyDescent="0.5">
      <c r="A47" s="5" t="str">
        <f t="shared" si="45"/>
        <v>STEM</v>
      </c>
      <c r="B47" s="5" t="str">
        <f t="shared" si="45"/>
        <v>SPS1</v>
      </c>
      <c r="C47" s="5" t="str">
        <f t="shared" si="45"/>
        <v>CH</v>
      </c>
      <c r="D47" t="s">
        <v>611</v>
      </c>
      <c r="E47" t="s">
        <v>8</v>
      </c>
      <c r="F47" s="1">
        <f>F45</f>
        <v>0</v>
      </c>
      <c r="G47" s="1">
        <f>G45</f>
        <v>2.2092146298503836E-4</v>
      </c>
      <c r="H47" s="1">
        <f>H45</f>
        <v>1.1834328101880158E-5</v>
      </c>
      <c r="I47" s="1">
        <f>I45</f>
        <v>2.6303936650969924</v>
      </c>
      <c r="J47" s="1">
        <f>IF(J45-MAX(F45:I45)&lt;0,J45,MAX(F45:I45))</f>
        <v>2.6303936650969924</v>
      </c>
      <c r="K47" s="1">
        <f>IF(K45-MAX(G45:J45)&lt;0,K45,MAX(G45:J45))</f>
        <v>2.3695642962228614</v>
      </c>
      <c r="L47" s="1">
        <f t="shared" ref="L47:O47" si="47">IF(L45-MAX(H45:K45)&lt;0,L45,MAX(H45:K45))</f>
        <v>2.5778446101196075</v>
      </c>
      <c r="M47" s="1">
        <f t="shared" si="47"/>
        <v>2.1910796576107789</v>
      </c>
      <c r="N47" s="1">
        <f t="shared" si="47"/>
        <v>2.8271205173448282</v>
      </c>
      <c r="O47" s="1">
        <f t="shared" si="47"/>
        <v>3.0221347597028227</v>
      </c>
      <c r="P47" s="1">
        <f>IF(P45-MAX(L45:O45)&lt;0,P45,MAX(L45:O45))</f>
        <v>3.7359214624151726</v>
      </c>
      <c r="Q47" s="1">
        <f>IF(Q45-MAX(M45:P45)&lt;0,Q45,MAX(M45:P45))</f>
        <v>4.032070333764902</v>
      </c>
      <c r="S47" s="3"/>
    </row>
    <row r="48" spans="1:19" x14ac:dyDescent="0.5">
      <c r="A48" s="5" t="str">
        <f>A46</f>
        <v>STEM</v>
      </c>
      <c r="B48" s="5" t="str">
        <f>B46</f>
        <v>SPS1</v>
      </c>
      <c r="C48" s="5" t="str">
        <f>C46</f>
        <v>CH</v>
      </c>
      <c r="D48" t="s">
        <v>786</v>
      </c>
      <c r="E48" t="s">
        <v>8</v>
      </c>
      <c r="F48" s="1">
        <f t="shared" ref="F48:O48" si="48">F49</f>
        <v>0</v>
      </c>
      <c r="G48" s="1">
        <f t="shared" si="48"/>
        <v>0</v>
      </c>
      <c r="H48" s="1">
        <f t="shared" si="48"/>
        <v>0</v>
      </c>
      <c r="I48" s="1">
        <f t="shared" si="48"/>
        <v>0</v>
      </c>
      <c r="J48" s="1">
        <f t="shared" si="48"/>
        <v>0.19672685224783582</v>
      </c>
      <c r="K48" s="1">
        <f t="shared" si="48"/>
        <v>0</v>
      </c>
      <c r="L48" s="1">
        <f t="shared" si="48"/>
        <v>0</v>
      </c>
      <c r="M48" s="1">
        <f t="shared" si="48"/>
        <v>0</v>
      </c>
      <c r="N48" s="1">
        <f t="shared" si="48"/>
        <v>0.90880094507034448</v>
      </c>
      <c r="O48" s="1">
        <f t="shared" si="48"/>
        <v>0</v>
      </c>
      <c r="P48" s="1">
        <f>P49</f>
        <v>0.29614887134972934</v>
      </c>
      <c r="Q48" s="1">
        <f>Q49</f>
        <v>0.14772558458853169</v>
      </c>
      <c r="S48" s="3"/>
    </row>
    <row r="49" spans="1:19" x14ac:dyDescent="0.5">
      <c r="A49" s="5" t="str">
        <f t="shared" ref="A49" si="49">A47</f>
        <v>STEM</v>
      </c>
      <c r="B49" s="5" t="str">
        <f t="shared" ref="B49" si="50">B47</f>
        <v>SPS1</v>
      </c>
      <c r="C49" s="5" t="str">
        <f t="shared" ref="C49" si="51">C47</f>
        <v>CH</v>
      </c>
      <c r="D49" t="s">
        <v>612</v>
      </c>
      <c r="E49" t="s">
        <v>8</v>
      </c>
      <c r="F49" s="1">
        <v>0</v>
      </c>
      <c r="G49" s="1">
        <v>0</v>
      </c>
      <c r="H49" s="1">
        <v>0</v>
      </c>
      <c r="I49" s="1">
        <v>0</v>
      </c>
      <c r="J49" s="1">
        <f>J45-J47</f>
        <v>0.19672685224783582</v>
      </c>
      <c r="K49" s="1">
        <f>K45-K47</f>
        <v>0</v>
      </c>
      <c r="L49" s="1">
        <f t="shared" ref="L49:O49" si="52">L45-L47</f>
        <v>0</v>
      </c>
      <c r="M49" s="1">
        <f t="shared" si="52"/>
        <v>0</v>
      </c>
      <c r="N49" s="1">
        <f t="shared" si="52"/>
        <v>0.90880094507034448</v>
      </c>
      <c r="O49" s="1">
        <f t="shared" si="52"/>
        <v>0</v>
      </c>
      <c r="P49" s="1">
        <f>P45-P47</f>
        <v>0.29614887134972934</v>
      </c>
      <c r="Q49" s="1">
        <f>Q45-Q47</f>
        <v>0.14772558458853169</v>
      </c>
      <c r="S49" s="3"/>
    </row>
    <row r="50" spans="1:19" x14ac:dyDescent="0.5">
      <c r="A50" s="5" t="str">
        <f>A44</f>
        <v>STEM</v>
      </c>
      <c r="B50" s="5" t="str">
        <f>B44</f>
        <v>SPS1</v>
      </c>
      <c r="C50" s="5" t="str">
        <f>C44</f>
        <v>CH</v>
      </c>
      <c r="D50" t="s">
        <v>787</v>
      </c>
      <c r="E50" t="s">
        <v>8</v>
      </c>
      <c r="F50" s="1" cm="1">
        <f t="array" ref="F50">SUMPRODUCT(("urn"=[1]OUT_PrimaryEnergyCons!$C$4:$C$10000)*1,[1]OUT_PrimaryEnergyCons!D$4:D$10000)</f>
        <v>250.94845473400619</v>
      </c>
      <c r="G50" s="1" cm="1">
        <f t="array" ref="G50">SUMPRODUCT(("urn"=[1]OUT_PrimaryEnergyCons!$C$4:$C$10000)*1,[1]OUT_PrimaryEnergyCons!E$4:E$10000)</f>
        <v>254.39266173624486</v>
      </c>
      <c r="H50" s="1" cm="1">
        <f t="array" ref="H50">SUMPRODUCT(("urn"=[1]OUT_PrimaryEnergyCons!$C$4:$C$10000)*1,[1]OUT_PrimaryEnergyCons!F$4:F$10000)</f>
        <v>224.17755079030491</v>
      </c>
      <c r="I50" s="1" cm="1">
        <f t="array" ref="I50">SUMPRODUCT(("urn"=[1]OUT_PrimaryEnergyCons!$C$4:$C$10000)*1,[1]OUT_PrimaryEnergyCons!G$4:G$10000)</f>
        <v>221.47213765894637</v>
      </c>
      <c r="J50" s="1" cm="1">
        <f t="array" ref="J50">SUMPRODUCT(("urn"=[1]OUT_PrimaryEnergyCons!$C$4:$C$10000)*1,[1]OUT_PrimaryEnergyCons!H$4:H$10000)</f>
        <v>170.42371610197867</v>
      </c>
      <c r="K50" s="1" cm="1">
        <f t="array" ref="K50">SUMPRODUCT(("urn"=[1]OUT_PrimaryEnergyCons!$C$4:$C$10000)*1,[1]OUT_PrimaryEnergyCons!I$4:I$10000)</f>
        <v>100.00506324824322</v>
      </c>
      <c r="L50" s="1" cm="1">
        <f t="array" ref="L50">SUMPRODUCT(("urn"=[1]OUT_PrimaryEnergyCons!$C$4:$C$10000)*1,[1]OUT_PrimaryEnergyCons!J$4:J$10000)</f>
        <v>0</v>
      </c>
      <c r="M50" s="1" cm="1">
        <f t="array" ref="M50">SUMPRODUCT(("urn"=[1]OUT_PrimaryEnergyCons!$C$4:$C$10000)*1,[1]OUT_PrimaryEnergyCons!K$4:K$10000)</f>
        <v>0</v>
      </c>
      <c r="N50" s="1" cm="1">
        <f t="array" ref="N50">SUMPRODUCT(("urn"=[1]OUT_PrimaryEnergyCons!$C$4:$C$10000)*1,[1]OUT_PrimaryEnergyCons!L$4:L$10000)</f>
        <v>0</v>
      </c>
      <c r="O50" s="1" cm="1">
        <f t="array" ref="O50">SUMPRODUCT(("urn"=[1]OUT_PrimaryEnergyCons!$C$4:$C$10000)*1,[1]OUT_PrimaryEnergyCons!M$4:M$10000)</f>
        <v>0</v>
      </c>
      <c r="P50" s="1" cm="1">
        <f t="array" ref="P50">SUMPRODUCT(("urn"=[1]OUT_PrimaryEnergyCons!$C$4:$C$10000)*1,[1]OUT_PrimaryEnergyCons!N$4:N$10000)</f>
        <v>0</v>
      </c>
      <c r="Q50" s="1" cm="1">
        <f t="array" ref="Q50">SUMPRODUCT(("urn"=[1]OUT_PrimaryEnergyCons!$C$4:$C$10000)*1,[1]OUT_PrimaryEnergyCons!O$4:O$10000)</f>
        <v>0</v>
      </c>
      <c r="S50" s="3"/>
    </row>
    <row r="51" spans="1:19" x14ac:dyDescent="0.5">
      <c r="A51" s="5" t="str">
        <f>A39</f>
        <v>STEM</v>
      </c>
      <c r="B51" s="5" t="str">
        <f>B39</f>
        <v>SPS1</v>
      </c>
      <c r="C51" s="5" t="str">
        <f>C39</f>
        <v>CH</v>
      </c>
      <c r="D51" t="s">
        <v>788</v>
      </c>
      <c r="E51" t="s">
        <v>8</v>
      </c>
      <c r="F51" s="1">
        <f>SUM(F52:F55)</f>
        <v>97.160113484138478</v>
      </c>
      <c r="G51" s="1">
        <f t="shared" ref="G51:K51" si="53">SUM(G52:G55)</f>
        <v>50.276827854982116</v>
      </c>
      <c r="H51" s="1">
        <f t="shared" si="53"/>
        <v>50.452631614062199</v>
      </c>
      <c r="I51" s="1">
        <f t="shared" si="53"/>
        <v>45.939979934505708</v>
      </c>
      <c r="J51" s="1">
        <f t="shared" si="53"/>
        <v>44.365554296140616</v>
      </c>
      <c r="K51" s="1">
        <f t="shared" si="53"/>
        <v>46.961419300021667</v>
      </c>
      <c r="L51" s="1">
        <f t="shared" ref="L51:O51" si="54">SUM(L52:L55)</f>
        <v>49.968573931280545</v>
      </c>
      <c r="M51" s="1">
        <f t="shared" si="54"/>
        <v>44.532715899250533</v>
      </c>
      <c r="N51" s="1">
        <f t="shared" si="54"/>
        <v>41.600423664872338</v>
      </c>
      <c r="O51" s="1">
        <f t="shared" si="54"/>
        <v>36.625319145042923</v>
      </c>
      <c r="P51" s="1">
        <f>SUM(P52:P55)</f>
        <v>37.985631695228612</v>
      </c>
      <c r="Q51" s="1">
        <f>SUM(Q52:Q55)</f>
        <v>38.961640680208262</v>
      </c>
      <c r="S51" s="3"/>
    </row>
    <row r="52" spans="1:19" x14ac:dyDescent="0.5">
      <c r="A52" s="5" t="str">
        <f t="shared" si="6"/>
        <v>STEM</v>
      </c>
      <c r="B52" s="5" t="str">
        <f t="shared" si="7"/>
        <v>SPS1</v>
      </c>
      <c r="C52" s="5" t="str">
        <f t="shared" si="8"/>
        <v>CH</v>
      </c>
      <c r="D52" t="s">
        <v>20</v>
      </c>
      <c r="E52" t="s">
        <v>8</v>
      </c>
      <c r="F52" s="1" cm="1">
        <f t="array" ref="F52">SUMPRODUCT(([1]OUT_Electricity_CHP!$B$1:$B$10000="G-INTC-IMP00-AT")*1,([1]OUT_Electricity_CHP!$C$1:$C$10000="Var_Fout")*1,ISNUMBER(SEARCH("ELC",[1]OUT_Electricity_CHP!$D$1:$D$10000))*1,[1]OUT_Electricity_CHP!E$1:E$10000)</f>
        <v>15.013833876889493</v>
      </c>
      <c r="G52" s="1" cm="1">
        <f t="array" ref="G52">SUMPRODUCT(([1]OUT_Electricity_CHP!$B$1:$B$10000="G-INTC-IMP00-AT")*1,([1]OUT_Electricity_CHP!$C$1:$C$10000="Var_Fout")*1,ISNUMBER(SEARCH("ELC",[1]OUT_Electricity_CHP!$D$1:$D$10000))*1,[1]OUT_Electricity_CHP!F$1:F$10000)</f>
        <v>8.3969043698335716E-2</v>
      </c>
      <c r="H52" s="1" cm="1">
        <f t="array" ref="H52">SUMPRODUCT(([1]OUT_Electricity_CHP!$B$1:$B$10000="G-INTC-IMP00-AT")*1,([1]OUT_Electricity_CHP!$C$1:$C$10000="Var_Fout")*1,ISNUMBER(SEARCH("ELC",[1]OUT_Electricity_CHP!$D$1:$D$10000))*1,[1]OUT_Electricity_CHP!G$1:G$10000)</f>
        <v>4.1499299489571879E-2</v>
      </c>
      <c r="I52" s="1" cm="1">
        <f t="array" ref="I52">SUMPRODUCT(([1]OUT_Electricity_CHP!$B$1:$B$10000="G-INTC-IMP00-AT")*1,([1]OUT_Electricity_CHP!$C$1:$C$10000="Var_Fout")*1,ISNUMBER(SEARCH("ELC",[1]OUT_Electricity_CHP!$D$1:$D$10000))*1,[1]OUT_Electricity_CHP!H$1:H$10000)</f>
        <v>4.7481134576967142E-2</v>
      </c>
      <c r="J52" s="1" cm="1">
        <f t="array" ref="J52">SUMPRODUCT(([1]OUT_Electricity_CHP!$B$1:$B$10000="G-INTC-IMP00-AT")*1,([1]OUT_Electricity_CHP!$C$1:$C$10000="Var_Fout")*1,ISNUMBER(SEARCH("ELC",[1]OUT_Electricity_CHP!$D$1:$D$10000))*1,[1]OUT_Electricity_CHP!I$1:I$10000)</f>
        <v>2.4215058247201243E-2</v>
      </c>
      <c r="K52" s="1" cm="1">
        <f t="array" ref="K52">SUMPRODUCT(([1]OUT_Electricity_CHP!$B$1:$B$10000="G-INTC-IMP00-AT")*1,([1]OUT_Electricity_CHP!$C$1:$C$10000="Var_Fout")*1,ISNUMBER(SEARCH("ELC",[1]OUT_Electricity_CHP!$D$1:$D$10000))*1,[1]OUT_Electricity_CHP!J$1:J$10000)</f>
        <v>1.9357788430231806E-2</v>
      </c>
      <c r="L52" s="1" cm="1">
        <f t="array" ref="L52">SUMPRODUCT(([1]OUT_Electricity_CHP!$B$1:$B$10000="G-INTC-IMP00-AT")*1,([1]OUT_Electricity_CHP!$C$1:$C$10000="Var_Fout")*1,ISNUMBER(SEARCH("ELC",[1]OUT_Electricity_CHP!$D$1:$D$10000))*1,[1]OUT_Electricity_CHP!K$1:K$10000)</f>
        <v>2.3241371102383086</v>
      </c>
      <c r="M52" s="1" cm="1">
        <f t="array" ref="M52">SUMPRODUCT(([1]OUT_Electricity_CHP!$B$1:$B$10000="G-INTC-IMP00-AT")*1,([1]OUT_Electricity_CHP!$C$1:$C$10000="Var_Fout")*1,ISNUMBER(SEARCH("ELC",[1]OUT_Electricity_CHP!$D$1:$D$10000))*1,[1]OUT_Electricity_CHP!L$1:L$10000)</f>
        <v>4.3708248859981831</v>
      </c>
      <c r="N52" s="1" cm="1">
        <f t="array" ref="N52">SUMPRODUCT(([1]OUT_Electricity_CHP!$B$1:$B$10000="G-INTC-IMP00-AT")*1,([1]OUT_Electricity_CHP!$C$1:$C$10000="Var_Fout")*1,ISNUMBER(SEARCH("ELC",[1]OUT_Electricity_CHP!$D$1:$D$10000))*1,[1]OUT_Electricity_CHP!M$1:M$10000)</f>
        <v>5.2369593664939469</v>
      </c>
      <c r="O52" s="1" cm="1">
        <f t="array" ref="O52">SUMPRODUCT(([1]OUT_Electricity_CHP!$B$1:$B$10000="G-INTC-IMP00-AT")*1,([1]OUT_Electricity_CHP!$C$1:$C$10000="Var_Fout")*1,ISNUMBER(SEARCH("ELC",[1]OUT_Electricity_CHP!$D$1:$D$10000))*1,[1]OUT_Electricity_CHP!N$1:N$10000)</f>
        <v>5.3292996238440296</v>
      </c>
      <c r="P52" s="1" cm="1">
        <f t="array" ref="P52">SUMPRODUCT(([1]OUT_Electricity_CHP!$B$1:$B$10000="G-INTC-IMP00-AT")*1,([1]OUT_Electricity_CHP!$C$1:$C$10000="Var_Fout")*1,ISNUMBER(SEARCH("ELC",[1]OUT_Electricity_CHP!$D$1:$D$10000))*1,[1]OUT_Electricity_CHP!O$1:O$10000)</f>
        <v>5.2761031939368586</v>
      </c>
      <c r="Q52" s="1" cm="1">
        <f t="array" ref="Q52">SUMPRODUCT(([1]OUT_Electricity_CHP!$B$1:$B$10000="G-INTC-IMP00-AT")*1,([1]OUT_Electricity_CHP!$C$1:$C$10000="Var_Fout")*1,ISNUMBER(SEARCH("ELC",[1]OUT_Electricity_CHP!$D$1:$D$10000))*1,[1]OUT_Electricity_CHP!P$1:P$10000)</f>
        <v>5.2106638634153324</v>
      </c>
      <c r="S52" s="3"/>
    </row>
    <row r="53" spans="1:19" x14ac:dyDescent="0.5">
      <c r="A53" s="5" t="str">
        <f t="shared" si="6"/>
        <v>STEM</v>
      </c>
      <c r="B53" s="5" t="str">
        <f t="shared" si="7"/>
        <v>SPS1</v>
      </c>
      <c r="C53" s="5" t="str">
        <f t="shared" si="8"/>
        <v>CH</v>
      </c>
      <c r="D53" t="s">
        <v>21</v>
      </c>
      <c r="E53" t="s">
        <v>8</v>
      </c>
      <c r="F53" s="1" cm="1">
        <f t="array" ref="F53">SUMPRODUCT(([1]OUT_Electricity_CHP!$B$1:$B$10000="G-INTC-IMP00-fr")*1,([1]OUT_Electricity_CHP!$C$1:$C$10000="Var_Fout")*1,ISNUMBER(SEARCH("ELC",[1]OUT_Electricity_CHP!$D$1:$D$10000))*1,[1]OUT_Electricity_CHP!E$1:E$10000)</f>
        <v>28.948649429265167</v>
      </c>
      <c r="G53" s="1" cm="1">
        <f t="array" ref="G53">SUMPRODUCT(([1]OUT_Electricity_CHP!$B$1:$B$10000="G-INTC-IMP00-fr")*1,([1]OUT_Electricity_CHP!$C$1:$C$10000="Var_Fout")*1,ISNUMBER(SEARCH("ELC",[1]OUT_Electricity_CHP!$D$1:$D$10000))*1,[1]OUT_Electricity_CHP!F$1:F$10000)</f>
        <v>22.843950812098679</v>
      </c>
      <c r="H53" s="1" cm="1">
        <f t="array" ref="H53">SUMPRODUCT(([1]OUT_Electricity_CHP!$B$1:$B$10000="G-INTC-IMP00-fr")*1,([1]OUT_Electricity_CHP!$C$1:$C$10000="Var_Fout")*1,ISNUMBER(SEARCH("ELC",[1]OUT_Electricity_CHP!$D$1:$D$10000))*1,[1]OUT_Electricity_CHP!G$1:G$10000)</f>
        <v>27.838541564213486</v>
      </c>
      <c r="I53" s="1" cm="1">
        <f t="array" ref="I53">SUMPRODUCT(([1]OUT_Electricity_CHP!$B$1:$B$10000="G-INTC-IMP00-fr")*1,([1]OUT_Electricity_CHP!$C$1:$C$10000="Var_Fout")*1,ISNUMBER(SEARCH("ELC",[1]OUT_Electricity_CHP!$D$1:$D$10000))*1,[1]OUT_Electricity_CHP!H$1:H$10000)</f>
        <v>20.433051654902339</v>
      </c>
      <c r="J53" s="1" cm="1">
        <f t="array" ref="J53">SUMPRODUCT(([1]OUT_Electricity_CHP!$B$1:$B$10000="G-INTC-IMP00-fr")*1,([1]OUT_Electricity_CHP!$C$1:$C$10000="Var_Fout")*1,ISNUMBER(SEARCH("ELC",[1]OUT_Electricity_CHP!$D$1:$D$10000))*1,[1]OUT_Electricity_CHP!I$1:I$10000)</f>
        <v>26.770668347614869</v>
      </c>
      <c r="K53" s="1" cm="1">
        <f t="array" ref="K53">SUMPRODUCT(([1]OUT_Electricity_CHP!$B$1:$B$10000="G-INTC-IMP00-fr")*1,([1]OUT_Electricity_CHP!$C$1:$C$10000="Var_Fout")*1,ISNUMBER(SEARCH("ELC",[1]OUT_Electricity_CHP!$D$1:$D$10000))*1,[1]OUT_Electricity_CHP!J$1:J$10000)</f>
        <v>28.873627973693335</v>
      </c>
      <c r="L53" s="1" cm="1">
        <f t="array" ref="L53">SUMPRODUCT(([1]OUT_Electricity_CHP!$B$1:$B$10000="G-INTC-IMP00-fr")*1,([1]OUT_Electricity_CHP!$C$1:$C$10000="Var_Fout")*1,ISNUMBER(SEARCH("ELC",[1]OUT_Electricity_CHP!$D$1:$D$10000))*1,[1]OUT_Electricity_CHP!K$1:K$10000)</f>
        <v>35.465354752628983</v>
      </c>
      <c r="M53" s="1" cm="1">
        <f t="array" ref="M53">SUMPRODUCT(([1]OUT_Electricity_CHP!$B$1:$B$10000="G-INTC-IMP00-fr")*1,([1]OUT_Electricity_CHP!$C$1:$C$10000="Var_Fout")*1,ISNUMBER(SEARCH("ELC",[1]OUT_Electricity_CHP!$D$1:$D$10000))*1,[1]OUT_Electricity_CHP!L$1:L$10000)</f>
        <v>33.678164328557081</v>
      </c>
      <c r="N53" s="1" cm="1">
        <f t="array" ref="N53">SUMPRODUCT(([1]OUT_Electricity_CHP!$B$1:$B$10000="G-INTC-IMP00-fr")*1,([1]OUT_Electricity_CHP!$C$1:$C$10000="Var_Fout")*1,ISNUMBER(SEARCH("ELC",[1]OUT_Electricity_CHP!$D$1:$D$10000))*1,[1]OUT_Electricity_CHP!M$1:M$10000)</f>
        <v>32.063922944709759</v>
      </c>
      <c r="O53" s="1" cm="1">
        <f t="array" ref="O53">SUMPRODUCT(([1]OUT_Electricity_CHP!$B$1:$B$10000="G-INTC-IMP00-fr")*1,([1]OUT_Electricity_CHP!$C$1:$C$10000="Var_Fout")*1,ISNUMBER(SEARCH("ELC",[1]OUT_Electricity_CHP!$D$1:$D$10000))*1,[1]OUT_Electricity_CHP!N$1:N$10000)</f>
        <v>29.072151154881759</v>
      </c>
      <c r="P53" s="1" cm="1">
        <f t="array" ref="P53">SUMPRODUCT(([1]OUT_Electricity_CHP!$B$1:$B$10000="G-INTC-IMP00-fr")*1,([1]OUT_Electricity_CHP!$C$1:$C$10000="Var_Fout")*1,ISNUMBER(SEARCH("ELC",[1]OUT_Electricity_CHP!$D$1:$D$10000))*1,[1]OUT_Electricity_CHP!O$1:O$10000)</f>
        <v>30.201431051513705</v>
      </c>
      <c r="Q53" s="1" cm="1">
        <f t="array" ref="Q53">SUMPRODUCT(([1]OUT_Electricity_CHP!$B$1:$B$10000="G-INTC-IMP00-fr")*1,([1]OUT_Electricity_CHP!$C$1:$C$10000="Var_Fout")*1,ISNUMBER(SEARCH("ELC",[1]OUT_Electricity_CHP!$D$1:$D$10000))*1,[1]OUT_Electricity_CHP!P$1:P$10000)</f>
        <v>29.924480469254998</v>
      </c>
      <c r="S53" s="3"/>
    </row>
    <row r="54" spans="1:19" x14ac:dyDescent="0.5">
      <c r="A54" s="5" t="str">
        <f t="shared" si="6"/>
        <v>STEM</v>
      </c>
      <c r="B54" s="5" t="str">
        <f t="shared" si="7"/>
        <v>SPS1</v>
      </c>
      <c r="C54" s="5" t="str">
        <f t="shared" si="8"/>
        <v>CH</v>
      </c>
      <c r="D54" t="s">
        <v>22</v>
      </c>
      <c r="E54" t="s">
        <v>8</v>
      </c>
      <c r="F54" s="1" cm="1">
        <f t="array" ref="F54">SUMPRODUCT(([1]OUT_Electricity_CHP!$B$1:$B$10000="G-INTC-IMP00-de")*1,([1]OUT_Electricity_CHP!$C$1:$C$10000="Var_Fout")*1,ISNUMBER(SEARCH("ELC",[1]OUT_Electricity_CHP!$D$1:$D$10000))*1,[1]OUT_Electricity_CHP!E$1:E$10000)</f>
        <v>46.398503883065466</v>
      </c>
      <c r="G54" s="1" cm="1">
        <f t="array" ref="G54">SUMPRODUCT(([1]OUT_Electricity_CHP!$B$1:$B$10000="G-INTC-IMP00-de")*1,([1]OUT_Electricity_CHP!$C$1:$C$10000="Var_Fout")*1,ISNUMBER(SEARCH("ELC",[1]OUT_Electricity_CHP!$D$1:$D$10000))*1,[1]OUT_Electricity_CHP!F$1:F$10000)</f>
        <v>27.347140768762415</v>
      </c>
      <c r="H54" s="1" cm="1">
        <f t="array" ref="H54">SUMPRODUCT(([1]OUT_Electricity_CHP!$B$1:$B$10000="G-INTC-IMP00-de")*1,([1]OUT_Electricity_CHP!$C$1:$C$10000="Var_Fout")*1,ISNUMBER(SEARCH("ELC",[1]OUT_Electricity_CHP!$D$1:$D$10000))*1,[1]OUT_Electricity_CHP!G$1:G$10000)</f>
        <v>22.57097826178126</v>
      </c>
      <c r="I54" s="1" cm="1">
        <f t="array" ref="I54">SUMPRODUCT(([1]OUT_Electricity_CHP!$B$1:$B$10000="G-INTC-IMP00-de")*1,([1]OUT_Electricity_CHP!$C$1:$C$10000="Var_Fout")*1,ISNUMBER(SEARCH("ELC",[1]OUT_Electricity_CHP!$D$1:$D$10000))*1,[1]OUT_Electricity_CHP!H$1:H$10000)</f>
        <v>25.458585977772422</v>
      </c>
      <c r="J54" s="1" cm="1">
        <f t="array" ref="J54">SUMPRODUCT(([1]OUT_Electricity_CHP!$B$1:$B$10000="G-INTC-IMP00-de")*1,([1]OUT_Electricity_CHP!$C$1:$C$10000="Var_Fout")*1,ISNUMBER(SEARCH("ELC",[1]OUT_Electricity_CHP!$D$1:$D$10000))*1,[1]OUT_Electricity_CHP!I$1:I$10000)</f>
        <v>17.569553636152548</v>
      </c>
      <c r="K54" s="1" cm="1">
        <f t="array" ref="K54">SUMPRODUCT(([1]OUT_Electricity_CHP!$B$1:$B$10000="G-INTC-IMP00-de")*1,([1]OUT_Electricity_CHP!$C$1:$C$10000="Var_Fout")*1,ISNUMBER(SEARCH("ELC",[1]OUT_Electricity_CHP!$D$1:$D$10000))*1,[1]OUT_Electricity_CHP!J$1:J$10000)</f>
        <v>18.067397844155842</v>
      </c>
      <c r="L54" s="1" cm="1">
        <f t="array" ref="L54">SUMPRODUCT(([1]OUT_Electricity_CHP!$B$1:$B$10000="G-INTC-IMP00-de")*1,([1]OUT_Electricity_CHP!$C$1:$C$10000="Var_Fout")*1,ISNUMBER(SEARCH("ELC",[1]OUT_Electricity_CHP!$D$1:$D$10000))*1,[1]OUT_Electricity_CHP!K$1:K$10000)</f>
        <v>12.178244716370051</v>
      </c>
      <c r="M54" s="1" cm="1">
        <f t="array" ref="M54">SUMPRODUCT(([1]OUT_Electricity_CHP!$B$1:$B$10000="G-INTC-IMP00-de")*1,([1]OUT_Electricity_CHP!$C$1:$C$10000="Var_Fout")*1,ISNUMBER(SEARCH("ELC",[1]OUT_Electricity_CHP!$D$1:$D$10000))*1,[1]OUT_Electricity_CHP!L$1:L$10000)</f>
        <v>6.4828843405358185</v>
      </c>
      <c r="N54" s="1" cm="1">
        <f t="array" ref="N54">SUMPRODUCT(([1]OUT_Electricity_CHP!$B$1:$B$10000="G-INTC-IMP00-de")*1,([1]OUT_Electricity_CHP!$C$1:$C$10000="Var_Fout")*1,ISNUMBER(SEARCH("ELC",[1]OUT_Electricity_CHP!$D$1:$D$10000))*1,[1]OUT_Electricity_CHP!M$1:M$10000)</f>
        <v>4.298754932243094</v>
      </c>
      <c r="O54" s="1" cm="1">
        <f t="array" ref="O54">SUMPRODUCT(([1]OUT_Electricity_CHP!$B$1:$B$10000="G-INTC-IMP00-de")*1,([1]OUT_Electricity_CHP!$C$1:$C$10000="Var_Fout")*1,ISNUMBER(SEARCH("ELC",[1]OUT_Electricity_CHP!$D$1:$D$10000))*1,[1]OUT_Electricity_CHP!N$1:N$10000)</f>
        <v>2.2229238958250122</v>
      </c>
      <c r="P54" s="1" cm="1">
        <f t="array" ref="P54">SUMPRODUCT(([1]OUT_Electricity_CHP!$B$1:$B$10000="G-INTC-IMP00-de")*1,([1]OUT_Electricity_CHP!$C$1:$C$10000="Var_Fout")*1,ISNUMBER(SEARCH("ELC",[1]OUT_Electricity_CHP!$D$1:$D$10000))*1,[1]OUT_Electricity_CHP!O$1:O$10000)</f>
        <v>2.507217473553196</v>
      </c>
      <c r="Q54" s="1" cm="1">
        <f t="array" ref="Q54">SUMPRODUCT(([1]OUT_Electricity_CHP!$B$1:$B$10000="G-INTC-IMP00-de")*1,([1]OUT_Electricity_CHP!$C$1:$C$10000="Var_Fout")*1,ISNUMBER(SEARCH("ELC",[1]OUT_Electricity_CHP!$D$1:$D$10000))*1,[1]OUT_Electricity_CHP!P$1:P$10000)</f>
        <v>3.824948418848916</v>
      </c>
      <c r="S54" s="3"/>
    </row>
    <row r="55" spans="1:19" x14ac:dyDescent="0.5">
      <c r="A55" s="5" t="str">
        <f t="shared" si="6"/>
        <v>STEM</v>
      </c>
      <c r="B55" s="5" t="str">
        <f t="shared" si="7"/>
        <v>SPS1</v>
      </c>
      <c r="C55" s="5" t="str">
        <f t="shared" si="8"/>
        <v>CH</v>
      </c>
      <c r="D55" t="s">
        <v>23</v>
      </c>
      <c r="E55" t="s">
        <v>8</v>
      </c>
      <c r="F55" s="1" cm="1">
        <f t="array" ref="F55">SUMPRODUCT(([1]OUT_Electricity_CHP!$B$1:$B$10000="G-INTC-IMP00-it")*1,([1]OUT_Electricity_CHP!$C$1:$C$10000="Var_Fout")*1,ISNUMBER(SEARCH("ELC",[1]OUT_Electricity_CHP!$D$1:$D$10000))*1,[1]OUT_Electricity_CHP!E$1:E$10000)</f>
        <v>6.7991262949183513</v>
      </c>
      <c r="G55" s="1" cm="1">
        <f t="array" ref="G55">SUMPRODUCT(([1]OUT_Electricity_CHP!$B$1:$B$10000="G-INTC-IMP00-it")*1,([1]OUT_Electricity_CHP!$C$1:$C$10000="Var_Fout")*1,ISNUMBER(SEARCH("ELC",[1]OUT_Electricity_CHP!$D$1:$D$10000))*1,[1]OUT_Electricity_CHP!F$1:F$10000)</f>
        <v>1.7672304226866026E-3</v>
      </c>
      <c r="H55" s="1" cm="1">
        <f t="array" ref="H55">SUMPRODUCT(([1]OUT_Electricity_CHP!$B$1:$B$10000="G-INTC-IMP00-it")*1,([1]OUT_Electricity_CHP!$C$1:$C$10000="Var_Fout")*1,ISNUMBER(SEARCH("ELC",[1]OUT_Electricity_CHP!$D$1:$D$10000))*1,[1]OUT_Electricity_CHP!G$1:G$10000)</f>
        <v>1.6124885778786078E-3</v>
      </c>
      <c r="I55" s="1" cm="1">
        <f t="array" ref="I55">SUMPRODUCT(([1]OUT_Electricity_CHP!$B$1:$B$10000="G-INTC-IMP00-it")*1,([1]OUT_Electricity_CHP!$C$1:$C$10000="Var_Fout")*1,ISNUMBER(SEARCH("ELC",[1]OUT_Electricity_CHP!$D$1:$D$10000))*1,[1]OUT_Electricity_CHP!H$1:H$10000)</f>
        <v>8.6116725398142197E-4</v>
      </c>
      <c r="J55" s="1" cm="1">
        <f t="array" ref="J55">SUMPRODUCT(([1]OUT_Electricity_CHP!$B$1:$B$10000="G-INTC-IMP00-it")*1,([1]OUT_Electricity_CHP!$C$1:$C$10000="Var_Fout")*1,ISNUMBER(SEARCH("ELC",[1]OUT_Electricity_CHP!$D$1:$D$10000))*1,[1]OUT_Electricity_CHP!I$1:I$10000)</f>
        <v>1.1172541259997213E-3</v>
      </c>
      <c r="K55" s="1" cm="1">
        <f t="array" ref="K55">SUMPRODUCT(([1]OUT_Electricity_CHP!$B$1:$B$10000="G-INTC-IMP00-it")*1,([1]OUT_Electricity_CHP!$C$1:$C$10000="Var_Fout")*1,ISNUMBER(SEARCH("ELC",[1]OUT_Electricity_CHP!$D$1:$D$10000))*1,[1]OUT_Electricity_CHP!J$1:J$10000)</f>
        <v>1.0356937422593311E-3</v>
      </c>
      <c r="L55" s="1" cm="1">
        <f t="array" ref="L55">SUMPRODUCT(([1]OUT_Electricity_CHP!$B$1:$B$10000="G-INTC-IMP00-it")*1,([1]OUT_Electricity_CHP!$C$1:$C$10000="Var_Fout")*1,ISNUMBER(SEARCH("ELC",[1]OUT_Electricity_CHP!$D$1:$D$10000))*1,[1]OUT_Electricity_CHP!K$1:K$10000)</f>
        <v>8.373520431984616E-4</v>
      </c>
      <c r="M55" s="1" cm="1">
        <f t="array" ref="M55">SUMPRODUCT(([1]OUT_Electricity_CHP!$B$1:$B$10000="G-INTC-IMP00-it")*1,([1]OUT_Electricity_CHP!$C$1:$C$10000="Var_Fout")*1,ISNUMBER(SEARCH("ELC",[1]OUT_Electricity_CHP!$D$1:$D$10000))*1,[1]OUT_Electricity_CHP!L$1:L$10000)</f>
        <v>8.4234415944920555E-4</v>
      </c>
      <c r="N55" s="1" cm="1">
        <f t="array" ref="N55">SUMPRODUCT(([1]OUT_Electricity_CHP!$B$1:$B$10000="G-INTC-IMP00-it")*1,([1]OUT_Electricity_CHP!$C$1:$C$10000="Var_Fout")*1,ISNUMBER(SEARCH("ELC",[1]OUT_Electricity_CHP!$D$1:$D$10000))*1,[1]OUT_Electricity_CHP!M$1:M$10000)</f>
        <v>7.864214255345897E-4</v>
      </c>
      <c r="O55" s="1" cm="1">
        <f t="array" ref="O55">SUMPRODUCT(([1]OUT_Electricity_CHP!$B$1:$B$10000="G-INTC-IMP00-it")*1,([1]OUT_Electricity_CHP!$C$1:$C$10000="Var_Fout")*1,ISNUMBER(SEARCH("ELC",[1]OUT_Electricity_CHP!$D$1:$D$10000))*1,[1]OUT_Electricity_CHP!N$1:N$10000)</f>
        <v>9.4447049211957132E-4</v>
      </c>
      <c r="P55" s="1" cm="1">
        <f t="array" ref="P55">SUMPRODUCT(([1]OUT_Electricity_CHP!$B$1:$B$10000="G-INTC-IMP00-it")*1,([1]OUT_Electricity_CHP!$C$1:$C$10000="Var_Fout")*1,ISNUMBER(SEARCH("ELC",[1]OUT_Electricity_CHP!$D$1:$D$10000))*1,[1]OUT_Electricity_CHP!O$1:O$10000)</f>
        <v>8.799762248519014E-4</v>
      </c>
      <c r="Q55" s="1" cm="1">
        <f t="array" ref="Q55">SUMPRODUCT(([1]OUT_Electricity_CHP!$B$1:$B$10000="G-INTC-IMP00-it")*1,([1]OUT_Electricity_CHP!$C$1:$C$10000="Var_Fout")*1,ISNUMBER(SEARCH("ELC",[1]OUT_Electricity_CHP!$D$1:$D$10000))*1,[1]OUT_Electricity_CHP!P$1:P$10000)</f>
        <v>1.5479286890121686E-3</v>
      </c>
      <c r="S55" s="3"/>
    </row>
    <row r="56" spans="1:19" x14ac:dyDescent="0.5">
      <c r="A56" s="5" t="str">
        <f t="shared" ref="A56" si="55">A55</f>
        <v>STEM</v>
      </c>
      <c r="B56" s="5" t="str">
        <f t="shared" ref="B56" si="56">B55</f>
        <v>SPS1</v>
      </c>
      <c r="C56" s="5" t="str">
        <f t="shared" ref="C56" si="57">C55</f>
        <v>CH</v>
      </c>
      <c r="D56" t="s">
        <v>789</v>
      </c>
      <c r="E56" t="s">
        <v>8</v>
      </c>
      <c r="F56" s="1" cm="1">
        <f t="array" ref="F56">SUMPRODUCT(("h2"=[1]OUT_PrimaryEnergyCons!$C$4:$C$10000)*1,[1]OUT_PrimaryEnergyCons!D$4:D$10000)</f>
        <v>0</v>
      </c>
      <c r="G56" s="1" cm="1">
        <f t="array" ref="G56">SUMPRODUCT(("h2"=[1]OUT_PrimaryEnergyCons!$C$4:$C$10000)*1,[1]OUT_PrimaryEnergyCons!E$4:E$10000)</f>
        <v>0</v>
      </c>
      <c r="H56" s="1" cm="1">
        <f t="array" ref="H56">SUMPRODUCT(("h2"=[1]OUT_PrimaryEnergyCons!$C$4:$C$10000)*1,[1]OUT_PrimaryEnergyCons!F$4:F$10000)</f>
        <v>0</v>
      </c>
      <c r="I56" s="1" cm="1">
        <f t="array" ref="I56">SUMPRODUCT(("h2"=[1]OUT_PrimaryEnergyCons!$C$4:$C$10000)*1,[1]OUT_PrimaryEnergyCons!G$4:G$10000)</f>
        <v>0</v>
      </c>
      <c r="J56" s="1" cm="1">
        <f t="array" ref="J56">SUMPRODUCT(("h2"=[1]OUT_PrimaryEnergyCons!$C$4:$C$10000)*1,[1]OUT_PrimaryEnergyCons!H$4:H$10000)</f>
        <v>0</v>
      </c>
      <c r="K56" s="1" cm="1">
        <f t="array" ref="K56">SUMPRODUCT(("h2"=[1]OUT_PrimaryEnergyCons!$C$4:$C$10000)*1,[1]OUT_PrimaryEnergyCons!I$4:I$10000)</f>
        <v>0.80857557047202255</v>
      </c>
      <c r="L56" s="1" cm="1">
        <f t="array" ref="L56">SUMPRODUCT(("h2"=[1]OUT_PrimaryEnergyCons!$C$4:$C$10000)*1,[1]OUT_PrimaryEnergyCons!J$4:J$10000)</f>
        <v>1.5698389320461521</v>
      </c>
      <c r="M56" s="1" cm="1">
        <f t="array" ref="M56">SUMPRODUCT(("h2"=[1]OUT_PrimaryEnergyCons!$C$4:$C$10000)*1,[1]OUT_PrimaryEnergyCons!K$4:K$10000)</f>
        <v>2.3378154708861606E-5</v>
      </c>
      <c r="N56" s="1" cm="1">
        <f t="array" ref="N56">SUMPRODUCT(("h2"=[1]OUT_PrimaryEnergyCons!$C$4:$C$10000)*1,[1]OUT_PrimaryEnergyCons!L$4:L$10000)</f>
        <v>5.69692420270985E-5</v>
      </c>
      <c r="O56" s="1" cm="1">
        <f t="array" ref="O56">SUMPRODUCT(("h2"=[1]OUT_PrimaryEnergyCons!$C$4:$C$10000)*1,[1]OUT_PrimaryEnergyCons!M$4:M$10000)</f>
        <v>8.3549955596580024E-5</v>
      </c>
      <c r="P56" s="1" cm="1">
        <f t="array" ref="P56">SUMPRODUCT(("h2"=[1]OUT_PrimaryEnergyCons!$C$4:$C$10000)*1,[1]OUT_PrimaryEnergyCons!N$4:N$10000)</f>
        <v>8.0923795820748884E-5</v>
      </c>
      <c r="Q56" s="1" cm="1">
        <f t="array" ref="Q56">SUMPRODUCT(("h2"=[1]OUT_PrimaryEnergyCons!$C$4:$C$10000)*1,[1]OUT_PrimaryEnergyCons!O$4:O$10000)</f>
        <v>1.0424603246943406E-4</v>
      </c>
      <c r="S56" s="3"/>
    </row>
    <row r="57" spans="1:19" x14ac:dyDescent="0.5">
      <c r="A57" s="9" t="str">
        <f>A55</f>
        <v>STEM</v>
      </c>
      <c r="B57" s="9" t="str">
        <f>B55</f>
        <v>SPS1</v>
      </c>
      <c r="C57" s="2" t="str">
        <f>C55</f>
        <v>CH</v>
      </c>
      <c r="D57" s="2" t="s">
        <v>24</v>
      </c>
      <c r="E57" s="2" t="s">
        <v>8</v>
      </c>
      <c r="F57" s="3">
        <f>F58</f>
        <v>117.17011344217106</v>
      </c>
      <c r="G57" s="3">
        <f t="shared" ref="G57:O57" si="58">G58</f>
        <v>35.535821204973693</v>
      </c>
      <c r="H57" s="3">
        <f t="shared" si="58"/>
        <v>54.161986448071303</v>
      </c>
      <c r="I57" s="3">
        <f t="shared" si="58"/>
        <v>47.939976917029263</v>
      </c>
      <c r="J57" s="3">
        <f t="shared" si="58"/>
        <v>46.365541523954747</v>
      </c>
      <c r="K57" s="3">
        <f t="shared" si="58"/>
        <v>48.961415421496525</v>
      </c>
      <c r="L57" s="3">
        <f t="shared" si="58"/>
        <v>47.402867370099216</v>
      </c>
      <c r="M57" s="3">
        <f t="shared" si="58"/>
        <v>46.532704425469255</v>
      </c>
      <c r="N57" s="3">
        <f t="shared" si="58"/>
        <v>43.600414611424377</v>
      </c>
      <c r="O57" s="3">
        <f t="shared" si="58"/>
        <v>38.625309469822639</v>
      </c>
      <c r="P57" s="3">
        <f>P58</f>
        <v>39.985622466029021</v>
      </c>
      <c r="Q57" s="3">
        <f>Q58</f>
        <v>40.961631413931414</v>
      </c>
      <c r="R57" s="1"/>
      <c r="S57" s="3"/>
    </row>
    <row r="58" spans="1:19" x14ac:dyDescent="0.5">
      <c r="A58" s="5" t="str">
        <f>A57</f>
        <v>STEM</v>
      </c>
      <c r="B58" s="5" t="str">
        <f t="shared" si="7"/>
        <v>SPS1</v>
      </c>
      <c r="C58" s="5" t="str">
        <f t="shared" si="8"/>
        <v>CH</v>
      </c>
      <c r="D58" t="s">
        <v>790</v>
      </c>
      <c r="E58" t="str">
        <f>E57</f>
        <v>PJ/yr.</v>
      </c>
      <c r="F58" s="1">
        <f>SUM(F59:F62)</f>
        <v>117.17011344217106</v>
      </c>
      <c r="G58" s="1">
        <f t="shared" ref="G58:K58" si="59">SUM(G59:G62)</f>
        <v>35.535821204973693</v>
      </c>
      <c r="H58" s="1">
        <f t="shared" si="59"/>
        <v>54.161986448071303</v>
      </c>
      <c r="I58" s="1">
        <f t="shared" si="59"/>
        <v>47.939976917029263</v>
      </c>
      <c r="J58" s="1">
        <f t="shared" si="59"/>
        <v>46.365541523954747</v>
      </c>
      <c r="K58" s="1">
        <f t="shared" si="59"/>
        <v>48.961415421496525</v>
      </c>
      <c r="L58" s="1">
        <f t="shared" ref="L58:O58" si="60">SUM(L59:L62)</f>
        <v>47.402867370099216</v>
      </c>
      <c r="M58" s="1">
        <f t="shared" si="60"/>
        <v>46.532704425469255</v>
      </c>
      <c r="N58" s="1">
        <f t="shared" si="60"/>
        <v>43.600414611424377</v>
      </c>
      <c r="O58" s="1">
        <f t="shared" si="60"/>
        <v>38.625309469822639</v>
      </c>
      <c r="P58" s="1">
        <f>SUM(P59:P62)</f>
        <v>39.985622466029021</v>
      </c>
      <c r="Q58" s="1">
        <f>SUM(Q59:Q62)</f>
        <v>40.961631413931414</v>
      </c>
      <c r="S58" s="3"/>
    </row>
    <row r="59" spans="1:19" x14ac:dyDescent="0.5">
      <c r="A59" s="5" t="str">
        <f t="shared" ref="A59:A63" si="61">A58</f>
        <v>STEM</v>
      </c>
      <c r="B59" s="5" t="str">
        <f t="shared" si="7"/>
        <v>SPS1</v>
      </c>
      <c r="C59" s="5" t="str">
        <f t="shared" si="8"/>
        <v>CH</v>
      </c>
      <c r="D59" t="s">
        <v>25</v>
      </c>
      <c r="E59" t="str">
        <f t="shared" ref="E59:E62" si="62">E58</f>
        <v>PJ/yr.</v>
      </c>
      <c r="F59" s="1" cm="1">
        <f t="array" ref="F59">SUMPRODUCT(([1]OUT_Electricity_CHP!$B$1:$B$10000="G-INTC-exp00-AT")*1,([1]OUT_Electricity_CHP!$C$1:$C$10000="Var_Fout")*1,ISNUMBER(SEARCH("ELC",[1]OUT_Electricity_CHP!$D$1:$D$10000))*1,[1]OUT_Electricity_CHP!E$1:E$10000)</f>
        <v>6.2295828745127446</v>
      </c>
      <c r="G59" s="1" cm="1">
        <f t="array" ref="G59">SUMPRODUCT(([1]OUT_Electricity_CHP!$B$1:$B$10000="G-INTC-exp00-AT")*1,([1]OUT_Electricity_CHP!$C$1:$C$10000="Var_Fout")*1,ISNUMBER(SEARCH("ELC",[1]OUT_Electricity_CHP!$D$1:$D$10000))*1,[1]OUT_Electricity_CHP!F$1:F$10000)</f>
        <v>2.6623877758463381E-3</v>
      </c>
      <c r="H59" s="1" cm="1">
        <f t="array" ref="H59">SUMPRODUCT(([1]OUT_Electricity_CHP!$B$1:$B$10000="G-INTC-exp00-AT")*1,([1]OUT_Electricity_CHP!$C$1:$C$10000="Var_Fout")*1,ISNUMBER(SEARCH("ELC",[1]OUT_Electricity_CHP!$D$1:$D$10000))*1,[1]OUT_Electricity_CHP!G$1:G$10000)</f>
        <v>3.3864990991592523E-3</v>
      </c>
      <c r="I59" s="1" cm="1">
        <f t="array" ref="I59">SUMPRODUCT(([1]OUT_Electricity_CHP!$B$1:$B$10000="G-INTC-exp00-AT")*1,([1]OUT_Electricity_CHP!$C$1:$C$10000="Var_Fout")*1,ISNUMBER(SEARCH("ELC",[1]OUT_Electricity_CHP!$D$1:$D$10000))*1,[1]OUT_Electricity_CHP!H$1:H$10000)</f>
        <v>9.4470919425678672E-4</v>
      </c>
      <c r="J59" s="1" cm="1">
        <f t="array" ref="J59">SUMPRODUCT(([1]OUT_Electricity_CHP!$B$1:$B$10000="G-INTC-exp00-AT")*1,([1]OUT_Electricity_CHP!$C$1:$C$10000="Var_Fout")*1,ISNUMBER(SEARCH("ELC",[1]OUT_Electricity_CHP!$D$1:$D$10000))*1,[1]OUT_Electricity_CHP!I$1:I$10000)</f>
        <v>1.1250845905638334E-3</v>
      </c>
      <c r="K59" s="1" cm="1">
        <f t="array" ref="K59">SUMPRODUCT(([1]OUT_Electricity_CHP!$B$1:$B$10000="G-INTC-exp00-AT")*1,([1]OUT_Electricity_CHP!$C$1:$C$10000="Var_Fout")*1,ISNUMBER(SEARCH("ELC",[1]OUT_Electricity_CHP!$D$1:$D$10000))*1,[1]OUT_Electricity_CHP!J$1:J$10000)</f>
        <v>9.8772166008024654E-4</v>
      </c>
      <c r="L59" s="1" cm="1">
        <f t="array" ref="L59">SUMPRODUCT(([1]OUT_Electricity_CHP!$B$1:$B$10000="G-INTC-exp00-AT")*1,([1]OUT_Electricity_CHP!$C$1:$C$10000="Var_Fout")*1,ISNUMBER(SEARCH("ELC",[1]OUT_Electricity_CHP!$D$1:$D$10000))*1,[1]OUT_Electricity_CHP!K$1:K$10000)</f>
        <v>6.7253927252540003E-4</v>
      </c>
      <c r="M59" s="1" cm="1">
        <f t="array" ref="M59">SUMPRODUCT(([1]OUT_Electricity_CHP!$B$1:$B$10000="G-INTC-exp00-AT")*1,([1]OUT_Electricity_CHP!$C$1:$C$10000="Var_Fout")*1,ISNUMBER(SEARCH("ELC",[1]OUT_Electricity_CHP!$D$1:$D$10000))*1,[1]OUT_Electricity_CHP!L$1:L$10000)</f>
        <v>5.9408285371458005E-4</v>
      </c>
      <c r="N59" s="1" cm="1">
        <f t="array" ref="N59">SUMPRODUCT(([1]OUT_Electricity_CHP!$B$1:$B$10000="G-INTC-exp00-AT")*1,([1]OUT_Electricity_CHP!$C$1:$C$10000="Var_Fout")*1,ISNUMBER(SEARCH("ELC",[1]OUT_Electricity_CHP!$D$1:$D$10000))*1,[1]OUT_Electricity_CHP!M$1:M$10000)</f>
        <v>5.2584904673408101E-4</v>
      </c>
      <c r="O59" s="1" cm="1">
        <f t="array" ref="O59">SUMPRODUCT(([1]OUT_Electricity_CHP!$B$1:$B$10000="G-INTC-exp00-AT")*1,([1]OUT_Electricity_CHP!$C$1:$C$10000="Var_Fout")*1,ISNUMBER(SEARCH("ELC",[1]OUT_Electricity_CHP!$D$1:$D$10000))*1,[1]OUT_Electricity_CHP!N$1:N$10000)</f>
        <v>5.5645424137431036E-4</v>
      </c>
      <c r="P59" s="1" cm="1">
        <f t="array" ref="P59">SUMPRODUCT(([1]OUT_Electricity_CHP!$B$1:$B$10000="G-INTC-exp00-AT")*1,([1]OUT_Electricity_CHP!$C$1:$C$10000="Var_Fout")*1,ISNUMBER(SEARCH("ELC",[1]OUT_Electricity_CHP!$D$1:$D$10000))*1,[1]OUT_Electricity_CHP!O$1:O$10000)</f>
        <v>5.3960607376810695E-4</v>
      </c>
      <c r="Q59" s="1" cm="1">
        <f t="array" ref="Q59">SUMPRODUCT(([1]OUT_Electricity_CHP!$B$1:$B$10000="G-INTC-exp00-AT")*1,([1]OUT_Electricity_CHP!$C$1:$C$10000="Var_Fout")*1,ISNUMBER(SEARCH("ELC",[1]OUT_Electricity_CHP!$D$1:$D$10000))*1,[1]OUT_Electricity_CHP!P$1:P$10000)</f>
        <v>9.3094672652564822E-4</v>
      </c>
      <c r="S59" s="3"/>
    </row>
    <row r="60" spans="1:19" x14ac:dyDescent="0.5">
      <c r="A60" s="5" t="str">
        <f t="shared" si="61"/>
        <v>STEM</v>
      </c>
      <c r="B60" s="5" t="str">
        <f t="shared" si="7"/>
        <v>SPS1</v>
      </c>
      <c r="C60" s="5" t="str">
        <f t="shared" si="8"/>
        <v>CH</v>
      </c>
      <c r="D60" t="s">
        <v>26</v>
      </c>
      <c r="E60" t="str">
        <f t="shared" si="62"/>
        <v>PJ/yr.</v>
      </c>
      <c r="F60" s="1" cm="1">
        <f t="array" ref="F60">SUMPRODUCT(([1]OUT_Electricity_CHP!$B$1:$B$10000="G-INTC-exp00-fr")*1,([1]OUT_Electricity_CHP!$C$1:$C$10000="Var_Fout")*1,ISNUMBER(SEARCH("ELC",[1]OUT_Electricity_CHP!$D$1:$D$10000))*1,[1]OUT_Electricity_CHP!E$1:E$10000)</f>
        <v>12.753386937230355</v>
      </c>
      <c r="G60" s="1" cm="1">
        <f t="array" ref="G60">SUMPRODUCT(([1]OUT_Electricity_CHP!$B$1:$B$10000="G-INTC-exp00-fr")*1,([1]OUT_Electricity_CHP!$C$1:$C$10000="Var_Fout")*1,ISNUMBER(SEARCH("ELC",[1]OUT_Electricity_CHP!$D$1:$D$10000))*1,[1]OUT_Electricity_CHP!F$1:F$10000)</f>
        <v>2.1684619764709154E-3</v>
      </c>
      <c r="H60" s="1" cm="1">
        <f t="array" ref="H60">SUMPRODUCT(([1]OUT_Electricity_CHP!$B$1:$B$10000="G-INTC-exp00-fr")*1,([1]OUT_Electricity_CHP!$C$1:$C$10000="Var_Fout")*1,ISNUMBER(SEARCH("ELC",[1]OUT_Electricity_CHP!$D$1:$D$10000))*1,[1]OUT_Electricity_CHP!G$1:G$10000)</f>
        <v>2.1670442978022602E-3</v>
      </c>
      <c r="I60" s="1" cm="1">
        <f t="array" ref="I60">SUMPRODUCT(([1]OUT_Electricity_CHP!$B$1:$B$10000="G-INTC-exp00-fr")*1,([1]OUT_Electricity_CHP!$C$1:$C$10000="Var_Fout")*1,ISNUMBER(SEARCH("ELC",[1]OUT_Electricity_CHP!$D$1:$D$10000))*1,[1]OUT_Electricity_CHP!H$1:H$10000)</f>
        <v>1.1491329170163372E-3</v>
      </c>
      <c r="J60" s="1" cm="1">
        <f t="array" ref="J60">SUMPRODUCT(([1]OUT_Electricity_CHP!$B$1:$B$10000="G-INTC-exp00-fr")*1,([1]OUT_Electricity_CHP!$C$1:$C$10000="Var_Fout")*1,ISNUMBER(SEARCH("ELC",[1]OUT_Electricity_CHP!$D$1:$D$10000))*1,[1]OUT_Electricity_CHP!I$1:I$10000)</f>
        <v>1.795500319470817E-3</v>
      </c>
      <c r="K60" s="1" cm="1">
        <f t="array" ref="K60">SUMPRODUCT(([1]OUT_Electricity_CHP!$B$1:$B$10000="G-INTC-exp00-fr")*1,([1]OUT_Electricity_CHP!$C$1:$C$10000="Var_Fout")*1,ISNUMBER(SEARCH("ELC",[1]OUT_Electricity_CHP!$D$1:$D$10000))*1,[1]OUT_Electricity_CHP!J$1:J$10000)</f>
        <v>2.5160183035241564E-3</v>
      </c>
      <c r="L60" s="1" cm="1">
        <f t="array" ref="L60">SUMPRODUCT(([1]OUT_Electricity_CHP!$B$1:$B$10000="G-INTC-exp00-fr")*1,([1]OUT_Electricity_CHP!$C$1:$C$10000="Var_Fout")*1,ISNUMBER(SEARCH("ELC",[1]OUT_Electricity_CHP!$D$1:$D$10000))*1,[1]OUT_Electricity_CHP!K$1:K$10000)</f>
        <v>3.2946472456098328E-3</v>
      </c>
      <c r="M60" s="1" cm="1">
        <f t="array" ref="M60">SUMPRODUCT(([1]OUT_Electricity_CHP!$B$1:$B$10000="G-INTC-exp00-fr")*1,([1]OUT_Electricity_CHP!$C$1:$C$10000="Var_Fout")*1,ISNUMBER(SEARCH("ELC",[1]OUT_Electricity_CHP!$D$1:$D$10000))*1,[1]OUT_Electricity_CHP!L$1:L$10000)</f>
        <v>3.0892900181914164E-3</v>
      </c>
      <c r="N60" s="1" cm="1">
        <f t="array" ref="N60">SUMPRODUCT(([1]OUT_Electricity_CHP!$B$1:$B$10000="G-INTC-exp00-fr")*1,([1]OUT_Electricity_CHP!$C$1:$C$10000="Var_Fout")*1,ISNUMBER(SEARCH("ELC",[1]OUT_Electricity_CHP!$D$1:$D$10000))*1,[1]OUT_Electricity_CHP!M$1:M$10000)</f>
        <v>2.688220108514315E-3</v>
      </c>
      <c r="O60" s="1" cm="1">
        <f t="array" ref="O60">SUMPRODUCT(([1]OUT_Electricity_CHP!$B$1:$B$10000="G-INTC-exp00-fr")*1,([1]OUT_Electricity_CHP!$C$1:$C$10000="Var_Fout")*1,ISNUMBER(SEARCH("ELC",[1]OUT_Electricity_CHP!$D$1:$D$10000))*1,[1]OUT_Electricity_CHP!N$1:N$10000)</f>
        <v>3.0098067200582906E-3</v>
      </c>
      <c r="P60" s="1" cm="1">
        <f t="array" ref="P60">SUMPRODUCT(([1]OUT_Electricity_CHP!$B$1:$B$10000="G-INTC-exp00-fr")*1,([1]OUT_Electricity_CHP!$C$1:$C$10000="Var_Fout")*1,ISNUMBER(SEARCH("ELC",[1]OUT_Electricity_CHP!$D$1:$D$10000))*1,[1]OUT_Electricity_CHP!O$1:O$10000)</f>
        <v>2.8926996183140457E-3</v>
      </c>
      <c r="Q60" s="1" cm="1">
        <f t="array" ref="Q60">SUMPRODUCT(([1]OUT_Electricity_CHP!$B$1:$B$10000="G-INTC-exp00-fr")*1,([1]OUT_Electricity_CHP!$C$1:$C$10000="Var_Fout")*1,ISNUMBER(SEARCH("ELC",[1]OUT_Electricity_CHP!$D$1:$D$10000))*1,[1]OUT_Electricity_CHP!P$1:P$10000)</f>
        <v>5.485485972578575E-3</v>
      </c>
      <c r="S60" s="3"/>
    </row>
    <row r="61" spans="1:19" x14ac:dyDescent="0.5">
      <c r="A61" s="5" t="str">
        <f t="shared" si="61"/>
        <v>STEM</v>
      </c>
      <c r="B61" s="5" t="str">
        <f t="shared" si="7"/>
        <v>SPS1</v>
      </c>
      <c r="C61" s="5" t="str">
        <f t="shared" si="8"/>
        <v>CH</v>
      </c>
      <c r="D61" t="s">
        <v>27</v>
      </c>
      <c r="E61" t="str">
        <f t="shared" si="62"/>
        <v>PJ/yr.</v>
      </c>
      <c r="F61" s="1" cm="1">
        <f t="array" ref="F61">SUMPRODUCT(([1]OUT_Electricity_CHP!$B$1:$B$10000="G-INTC-exp00-de")*1,([1]OUT_Electricity_CHP!$C$1:$C$10000="Var_Fout")*1,ISNUMBER(SEARCH("ELC",[1]OUT_Electricity_CHP!$D$1:$D$10000))*1,[1]OUT_Electricity_CHP!E$1:E$10000)</f>
        <v>26.493007620813959</v>
      </c>
      <c r="G61" s="1" cm="1">
        <f t="array" ref="G61">SUMPRODUCT(([1]OUT_Electricity_CHP!$B$1:$B$10000="G-INTC-exp00-de")*1,([1]OUT_Electricity_CHP!$C$1:$C$10000="Var_Fout")*1,ISNUMBER(SEARCH("ELC",[1]OUT_Electricity_CHP!$D$1:$D$10000))*1,[1]OUT_Electricity_CHP!F$1:F$10000)</f>
        <v>1.5867480087792777E-3</v>
      </c>
      <c r="H61" s="1" cm="1">
        <f t="array" ref="H61">SUMPRODUCT(([1]OUT_Electricity_CHP!$B$1:$B$10000="G-INTC-exp00-de")*1,([1]OUT_Electricity_CHP!$C$1:$C$10000="Var_Fout")*1,ISNUMBER(SEARCH("ELC",[1]OUT_Electricity_CHP!$D$1:$D$10000))*1,[1]OUT_Electricity_CHP!G$1:G$10000)</f>
        <v>1.7724801066730203E-3</v>
      </c>
      <c r="I61" s="1" cm="1">
        <f t="array" ref="I61">SUMPRODUCT(([1]OUT_Electricity_CHP!$B$1:$B$10000="G-INTC-exp00-de")*1,([1]OUT_Electricity_CHP!$C$1:$C$10000="Var_Fout")*1,ISNUMBER(SEARCH("ELC",[1]OUT_Electricity_CHP!$D$1:$D$10000))*1,[1]OUT_Electricity_CHP!H$1:H$10000)</f>
        <v>1.908212454413807E-3</v>
      </c>
      <c r="J61" s="1" cm="1">
        <f t="array" ref="J61">SUMPRODUCT(([1]OUT_Electricity_CHP!$B$1:$B$10000="G-INTC-exp00-de")*1,([1]OUT_Electricity_CHP!$C$1:$C$10000="Var_Fout")*1,ISNUMBER(SEARCH("ELC",[1]OUT_Electricity_CHP!$D$1:$D$10000))*1,[1]OUT_Electricity_CHP!I$1:I$10000)</f>
        <v>2.9084905872453861E-3</v>
      </c>
      <c r="K61" s="1" cm="1">
        <f t="array" ref="K61">SUMPRODUCT(([1]OUT_Electricity_CHP!$B$1:$B$10000="G-INTC-exp00-de")*1,([1]OUT_Electricity_CHP!$C$1:$C$10000="Var_Fout")*1,ISNUMBER(SEARCH("ELC",[1]OUT_Electricity_CHP!$D$1:$D$10000))*1,[1]OUT_Electricity_CHP!J$1:J$10000)</f>
        <v>3.2874890450627671E-3</v>
      </c>
      <c r="L61" s="1" cm="1">
        <f t="array" ref="L61">SUMPRODUCT(([1]OUT_Electricity_CHP!$B$1:$B$10000="G-INTC-exp00-de")*1,([1]OUT_Electricity_CHP!$C$1:$C$10000="Var_Fout")*1,ISNUMBER(SEARCH("ELC",[1]OUT_Electricity_CHP!$D$1:$D$10000))*1,[1]OUT_Electricity_CHP!K$1:K$10000)</f>
        <v>4.7312231613825667E-3</v>
      </c>
      <c r="M61" s="1" cm="1">
        <f t="array" ref="M61">SUMPRODUCT(([1]OUT_Electricity_CHP!$B$1:$B$10000="G-INTC-exp00-de")*1,([1]OUT_Electricity_CHP!$C$1:$C$10000="Var_Fout")*1,ISNUMBER(SEARCH("ELC",[1]OUT_Electricity_CHP!$D$1:$D$10000))*1,[1]OUT_Electricity_CHP!L$1:L$10000)</f>
        <v>2.8999138803445616E-3</v>
      </c>
      <c r="N61" s="1" cm="1">
        <f t="array" ref="N61">SUMPRODUCT(([1]OUT_Electricity_CHP!$B$1:$B$10000="G-INTC-exp00-de")*1,([1]OUT_Electricity_CHP!$C$1:$C$10000="Var_Fout")*1,ISNUMBER(SEARCH("ELC",[1]OUT_Electricity_CHP!$D$1:$D$10000))*1,[1]OUT_Electricity_CHP!M$1:M$10000)</f>
        <v>1.9724961882676695E-3</v>
      </c>
      <c r="O61" s="1" cm="1">
        <f t="array" ref="O61">SUMPRODUCT(([1]OUT_Electricity_CHP!$B$1:$B$10000="G-INTC-exp00-de")*1,([1]OUT_Electricity_CHP!$C$1:$C$10000="Var_Fout")*1,ISNUMBER(SEARCH("ELC",[1]OUT_Electricity_CHP!$D$1:$D$10000))*1,[1]OUT_Electricity_CHP!N$1:N$10000)</f>
        <v>2.0370943738097854E-3</v>
      </c>
      <c r="P61" s="1" cm="1">
        <f t="array" ref="P61">SUMPRODUCT(([1]OUT_Electricity_CHP!$B$1:$B$10000="G-INTC-exp00-de")*1,([1]OUT_Electricity_CHP!$C$1:$C$10000="Var_Fout")*1,ISNUMBER(SEARCH("ELC",[1]OUT_Electricity_CHP!$D$1:$D$10000))*1,[1]OUT_Electricity_CHP!O$1:O$10000)</f>
        <v>2.0431182242428617E-3</v>
      </c>
      <c r="Q61" s="1" cm="1">
        <f t="array" ref="Q61">SUMPRODUCT(([1]OUT_Electricity_CHP!$B$1:$B$10000="G-INTC-exp00-de")*1,([1]OUT_Electricity_CHP!$C$1:$C$10000="Var_Fout")*1,ISNUMBER(SEARCH("ELC",[1]OUT_Electricity_CHP!$D$1:$D$10000))*1,[1]OUT_Electricity_CHP!P$1:P$10000)</f>
        <v>4.8639281921777919E-3</v>
      </c>
      <c r="S61" s="3"/>
    </row>
    <row r="62" spans="1:19" x14ac:dyDescent="0.5">
      <c r="A62" s="5" t="str">
        <f t="shared" si="61"/>
        <v>STEM</v>
      </c>
      <c r="B62" s="5" t="str">
        <f t="shared" si="7"/>
        <v>SPS1</v>
      </c>
      <c r="C62" s="5" t="str">
        <f t="shared" si="8"/>
        <v>CH</v>
      </c>
      <c r="D62" t="s">
        <v>28</v>
      </c>
      <c r="E62" t="str">
        <f t="shared" si="62"/>
        <v>PJ/yr.</v>
      </c>
      <c r="F62" s="1" cm="1">
        <f t="array" ref="F62">SUMPRODUCT(([1]OUT_Electricity_CHP!$B$1:$B$10000="G-INTC-exp00-it")*1,([1]OUT_Electricity_CHP!$C$1:$C$10000="Var_Fout")*1,ISNUMBER(SEARCH("ELC",[1]OUT_Electricity_CHP!$D$1:$D$10000))*1,[1]OUT_Electricity_CHP!E$1:E$10000)</f>
        <v>71.694136009613999</v>
      </c>
      <c r="G62" s="1" cm="1">
        <f t="array" ref="G62">SUMPRODUCT(([1]OUT_Electricity_CHP!$B$1:$B$10000="G-INTC-exp00-it")*1,([1]OUT_Electricity_CHP!$C$1:$C$10000="Var_Fout")*1,ISNUMBER(SEARCH("ELC",[1]OUT_Electricity_CHP!$D$1:$D$10000))*1,[1]OUT_Electricity_CHP!F$1:F$10000)</f>
        <v>35.529403607212593</v>
      </c>
      <c r="H62" s="1" cm="1">
        <f t="array" ref="H62">SUMPRODUCT(([1]OUT_Electricity_CHP!$B$1:$B$10000="G-INTC-exp00-it")*1,([1]OUT_Electricity_CHP!$C$1:$C$10000="Var_Fout")*1,ISNUMBER(SEARCH("ELC",[1]OUT_Electricity_CHP!$D$1:$D$10000))*1,[1]OUT_Electricity_CHP!G$1:G$10000)</f>
        <v>54.154660424567666</v>
      </c>
      <c r="I62" s="1" cm="1">
        <f t="array" ref="I62">SUMPRODUCT(([1]OUT_Electricity_CHP!$B$1:$B$10000="G-INTC-exp00-it")*1,([1]OUT_Electricity_CHP!$C$1:$C$10000="Var_Fout")*1,ISNUMBER(SEARCH("ELC",[1]OUT_Electricity_CHP!$D$1:$D$10000))*1,[1]OUT_Electricity_CHP!H$1:H$10000)</f>
        <v>47.935974862463574</v>
      </c>
      <c r="J62" s="1" cm="1">
        <f t="array" ref="J62">SUMPRODUCT(([1]OUT_Electricity_CHP!$B$1:$B$10000="G-INTC-exp00-it")*1,([1]OUT_Electricity_CHP!$C$1:$C$10000="Var_Fout")*1,ISNUMBER(SEARCH("ELC",[1]OUT_Electricity_CHP!$D$1:$D$10000))*1,[1]OUT_Electricity_CHP!I$1:I$10000)</f>
        <v>46.359712448457465</v>
      </c>
      <c r="K62" s="1" cm="1">
        <f t="array" ref="K62">SUMPRODUCT(([1]OUT_Electricity_CHP!$B$1:$B$10000="G-INTC-exp00-it")*1,([1]OUT_Electricity_CHP!$C$1:$C$10000="Var_Fout")*1,ISNUMBER(SEARCH("ELC",[1]OUT_Electricity_CHP!$D$1:$D$10000))*1,[1]OUT_Electricity_CHP!J$1:J$10000)</f>
        <v>48.954624192487856</v>
      </c>
      <c r="L62" s="1" cm="1">
        <f t="array" ref="L62">SUMPRODUCT(([1]OUT_Electricity_CHP!$B$1:$B$10000="G-INTC-exp00-it")*1,([1]OUT_Electricity_CHP!$C$1:$C$10000="Var_Fout")*1,ISNUMBER(SEARCH("ELC",[1]OUT_Electricity_CHP!$D$1:$D$10000))*1,[1]OUT_Electricity_CHP!K$1:K$10000)</f>
        <v>47.394168960419698</v>
      </c>
      <c r="M62" s="1" cm="1">
        <f t="array" ref="M62">SUMPRODUCT(([1]OUT_Electricity_CHP!$B$1:$B$10000="G-INTC-exp00-it")*1,([1]OUT_Electricity_CHP!$C$1:$C$10000="Var_Fout")*1,ISNUMBER(SEARCH("ELC",[1]OUT_Electricity_CHP!$D$1:$D$10000))*1,[1]OUT_Electricity_CHP!L$1:L$10000)</f>
        <v>46.526121138717002</v>
      </c>
      <c r="N62" s="1" cm="1">
        <f t="array" ref="N62">SUMPRODUCT(([1]OUT_Electricity_CHP!$B$1:$B$10000="G-INTC-exp00-it")*1,([1]OUT_Electricity_CHP!$C$1:$C$10000="Var_Fout")*1,ISNUMBER(SEARCH("ELC",[1]OUT_Electricity_CHP!$D$1:$D$10000))*1,[1]OUT_Electricity_CHP!M$1:M$10000)</f>
        <v>43.595228046080862</v>
      </c>
      <c r="O62" s="1" cm="1">
        <f t="array" ref="O62">SUMPRODUCT(([1]OUT_Electricity_CHP!$B$1:$B$10000="G-INTC-exp00-it")*1,([1]OUT_Electricity_CHP!$C$1:$C$10000="Var_Fout")*1,ISNUMBER(SEARCH("ELC",[1]OUT_Electricity_CHP!$D$1:$D$10000))*1,[1]OUT_Electricity_CHP!N$1:N$10000)</f>
        <v>38.6197061144874</v>
      </c>
      <c r="P62" s="1" cm="1">
        <f t="array" ref="P62">SUMPRODUCT(([1]OUT_Electricity_CHP!$B$1:$B$10000="G-INTC-exp00-it")*1,([1]OUT_Electricity_CHP!$C$1:$C$10000="Var_Fout")*1,ISNUMBER(SEARCH("ELC",[1]OUT_Electricity_CHP!$D$1:$D$10000))*1,[1]OUT_Electricity_CHP!O$1:O$10000)</f>
        <v>39.980147042112698</v>
      </c>
      <c r="Q62" s="1" cm="1">
        <f t="array" ref="Q62">SUMPRODUCT(([1]OUT_Electricity_CHP!$B$1:$B$10000="G-INTC-exp00-it")*1,([1]OUT_Electricity_CHP!$C$1:$C$10000="Var_Fout")*1,ISNUMBER(SEARCH("ELC",[1]OUT_Electricity_CHP!$D$1:$D$10000))*1,[1]OUT_Electricity_CHP!P$1:P$10000)</f>
        <v>40.95035105304013</v>
      </c>
      <c r="S62" s="3"/>
    </row>
    <row r="63" spans="1:19" x14ac:dyDescent="0.5">
      <c r="A63" s="9" t="str">
        <f t="shared" si="61"/>
        <v>STEM</v>
      </c>
      <c r="B63" s="9" t="str">
        <f t="shared" ref="B63:B64" si="63">B62</f>
        <v>SPS1</v>
      </c>
      <c r="C63" s="2" t="str">
        <f t="shared" ref="C63:C64" si="64">C62</f>
        <v>CH</v>
      </c>
      <c r="D63" s="2" t="s">
        <v>29</v>
      </c>
      <c r="E63" s="2" t="s">
        <v>8</v>
      </c>
      <c r="F63" s="3">
        <f>SUM(F64,F66,F70,F82,F130,F151,F159,F161,F169,F173,F167)</f>
        <v>251.13826045246333</v>
      </c>
      <c r="G63" s="3">
        <f t="shared" ref="G63:K63" si="65">SUM(G64,G66,G74,G82,G130,G151,G159,G161,G169,G173,G167)</f>
        <v>229.69202833201797</v>
      </c>
      <c r="H63" s="3">
        <f t="shared" si="65"/>
        <v>252.45429794815215</v>
      </c>
      <c r="I63" s="3">
        <f t="shared" si="65"/>
        <v>283.84635395337062</v>
      </c>
      <c r="J63" s="3">
        <f t="shared" si="65"/>
        <v>300.47113928568234</v>
      </c>
      <c r="K63" s="3">
        <f t="shared" si="65"/>
        <v>332.85540283994953</v>
      </c>
      <c r="L63" s="3">
        <f t="shared" ref="L63:O63" si="66">SUM(L64,L66,L74,L82,L130,L151,L159,L161,L169,L173,L167)</f>
        <v>339.34592140409131</v>
      </c>
      <c r="M63" s="3">
        <f t="shared" si="66"/>
        <v>366.10157408441233</v>
      </c>
      <c r="N63" s="3">
        <f t="shared" si="66"/>
        <v>380.91921077414008</v>
      </c>
      <c r="O63" s="3">
        <f t="shared" si="66"/>
        <v>389.78675138663647</v>
      </c>
      <c r="P63" s="3">
        <f>SUM(P64,P66,P74,P82,P130,P151,P159,P161,P169,P173,P167)</f>
        <v>385.36835268613783</v>
      </c>
      <c r="Q63" s="3">
        <f>SUM(Q64,Q66,Q74,Q82,Q130,Q151,Q159,Q161,Q169,Q173,Q167)</f>
        <v>390.50645754646752</v>
      </c>
      <c r="S63" s="3"/>
    </row>
    <row r="64" spans="1:19" x14ac:dyDescent="0.5">
      <c r="A64" s="5" t="str">
        <f>A63</f>
        <v>STEM</v>
      </c>
      <c r="B64" s="5" t="str">
        <f t="shared" si="63"/>
        <v>SPS1</v>
      </c>
      <c r="C64" s="5" t="str">
        <f t="shared" si="64"/>
        <v>CH</v>
      </c>
      <c r="D64" t="s">
        <v>791</v>
      </c>
      <c r="E64" t="str">
        <f>E62</f>
        <v>PJ/yr.</v>
      </c>
      <c r="F64" s="1">
        <f>+F65</f>
        <v>82.760085092361351</v>
      </c>
      <c r="G64" s="1">
        <f t="shared" ref="G64:O64" si="67">+G65</f>
        <v>83.109779703596232</v>
      </c>
      <c r="H64" s="1">
        <f t="shared" si="67"/>
        <v>73.080107109424674</v>
      </c>
      <c r="I64" s="1">
        <f t="shared" si="67"/>
        <v>73.06055813095702</v>
      </c>
      <c r="J64" s="1">
        <f t="shared" si="67"/>
        <v>56.287933791987768</v>
      </c>
      <c r="K64" s="1">
        <f t="shared" si="67"/>
        <v>33.159612070253523</v>
      </c>
      <c r="L64" s="1">
        <f t="shared" si="67"/>
        <v>0</v>
      </c>
      <c r="M64" s="1">
        <f t="shared" si="67"/>
        <v>0</v>
      </c>
      <c r="N64" s="1">
        <f t="shared" si="67"/>
        <v>0</v>
      </c>
      <c r="O64" s="1">
        <f t="shared" si="67"/>
        <v>0</v>
      </c>
      <c r="P64" s="1">
        <f>+P65</f>
        <v>0</v>
      </c>
      <c r="Q64" s="1">
        <f>+Q65</f>
        <v>0</v>
      </c>
      <c r="S64" s="3"/>
    </row>
    <row r="65" spans="1:19" x14ac:dyDescent="0.5">
      <c r="A65" s="5" t="str">
        <f t="shared" ref="A65:A149" si="68">A64</f>
        <v>STEM</v>
      </c>
      <c r="B65" s="5" t="str">
        <f t="shared" ref="B65:B149" si="69">B64</f>
        <v>SPS1</v>
      </c>
      <c r="C65" s="5" t="str">
        <f t="shared" ref="C65:C149" si="70">C64</f>
        <v>CH</v>
      </c>
      <c r="D65" t="s">
        <v>30</v>
      </c>
      <c r="E65" t="str">
        <f>E63</f>
        <v>PJ/yr.</v>
      </c>
      <c r="F65" s="1">
        <f>'[1]Electricity and CHPs'!B14</f>
        <v>82.760085092361351</v>
      </c>
      <c r="G65" s="1">
        <f>'[1]Electricity and CHPs'!C14</f>
        <v>83.109779703596232</v>
      </c>
      <c r="H65" s="1">
        <f>'[1]Electricity and CHPs'!D14</f>
        <v>73.080107109424674</v>
      </c>
      <c r="I65" s="1">
        <f>'[1]Electricity and CHPs'!E14</f>
        <v>73.06055813095702</v>
      </c>
      <c r="J65" s="1">
        <f>'[1]Electricity and CHPs'!F14</f>
        <v>56.287933791987768</v>
      </c>
      <c r="K65" s="1">
        <f>'[1]Electricity and CHPs'!G14</f>
        <v>33.159612070253523</v>
      </c>
      <c r="L65" s="1">
        <f>'[1]Electricity and CHPs'!H14</f>
        <v>0</v>
      </c>
      <c r="M65" s="1">
        <f>'[1]Electricity and CHPs'!I14</f>
        <v>0</v>
      </c>
      <c r="N65" s="1">
        <f>'[1]Electricity and CHPs'!J14</f>
        <v>0</v>
      </c>
      <c r="O65" s="1">
        <f>'[1]Electricity and CHPs'!K14</f>
        <v>0</v>
      </c>
      <c r="P65" s="1">
        <f>'[1]Electricity and CHPs'!L14</f>
        <v>0</v>
      </c>
      <c r="Q65" s="1">
        <f>'[1]Electricity and CHPs'!M14</f>
        <v>0</v>
      </c>
      <c r="S65" s="3"/>
    </row>
    <row r="66" spans="1:19" x14ac:dyDescent="0.5">
      <c r="A66" s="5" t="str">
        <f t="shared" si="68"/>
        <v>STEM</v>
      </c>
      <c r="B66" s="5" t="str">
        <f t="shared" si="69"/>
        <v>SPS1</v>
      </c>
      <c r="C66" s="5" t="str">
        <f t="shared" si="70"/>
        <v>CH</v>
      </c>
      <c r="D66" t="s">
        <v>792</v>
      </c>
      <c r="E66" t="str">
        <f>E65</f>
        <v>PJ/yr.</v>
      </c>
      <c r="F66" s="1">
        <f>SUM(F67:F69)</f>
        <v>146.22010011794765</v>
      </c>
      <c r="G66" s="1">
        <f t="shared" ref="G66:K66" si="71">SUM(G67:G69)</f>
        <v>121.60343141128179</v>
      </c>
      <c r="H66" s="1">
        <f t="shared" si="71"/>
        <v>136.27814373464983</v>
      </c>
      <c r="I66" s="1">
        <f t="shared" si="71"/>
        <v>148.41550471203172</v>
      </c>
      <c r="J66" s="1">
        <f t="shared" si="71"/>
        <v>149.53606759212738</v>
      </c>
      <c r="K66" s="1">
        <f t="shared" si="71"/>
        <v>151.86242370418478</v>
      </c>
      <c r="L66" s="1">
        <f t="shared" ref="L66:O66" si="72">SUM(L67:L69)</f>
        <v>153.88448685595498</v>
      </c>
      <c r="M66" s="1">
        <f t="shared" si="72"/>
        <v>156.08746186204124</v>
      </c>
      <c r="N66" s="1">
        <f t="shared" si="72"/>
        <v>156.57691316758252</v>
      </c>
      <c r="O66" s="1">
        <f t="shared" si="72"/>
        <v>156.21022569342517</v>
      </c>
      <c r="P66" s="1">
        <f>SUM(P67:P69)</f>
        <v>156.15234689018627</v>
      </c>
      <c r="Q66" s="1">
        <f>SUM(Q67:Q69)</f>
        <v>156.18412732057323</v>
      </c>
      <c r="S66" s="3"/>
    </row>
    <row r="67" spans="1:19" x14ac:dyDescent="0.5">
      <c r="A67" s="5" t="str">
        <f t="shared" si="68"/>
        <v>STEM</v>
      </c>
      <c r="B67" s="5" t="str">
        <f t="shared" si="69"/>
        <v>SPS1</v>
      </c>
      <c r="C67" s="5" t="str">
        <f t="shared" si="70"/>
        <v>CH</v>
      </c>
      <c r="D67" t="s">
        <v>31</v>
      </c>
      <c r="E67" t="str">
        <f>E65</f>
        <v>PJ/yr.</v>
      </c>
      <c r="F67" s="1">
        <f>'[1]Electricity and CHPs'!B15</f>
        <v>66.745708281990133</v>
      </c>
      <c r="G67" s="1">
        <f>'[1]Electricity and CHPs'!C15</f>
        <v>49.79887989838307</v>
      </c>
      <c r="H67" s="1">
        <f>'[1]Electricity and CHPs'!D15</f>
        <v>68.897628517817694</v>
      </c>
      <c r="I67" s="1">
        <f>'[1]Electricity and CHPs'!E15</f>
        <v>67.436176323598133</v>
      </c>
      <c r="J67" s="1">
        <f>'[1]Electricity and CHPs'!F15</f>
        <v>69.602693607232482</v>
      </c>
      <c r="K67" s="1">
        <f>'[1]Electricity and CHPs'!G15</f>
        <v>72.110610586777625</v>
      </c>
      <c r="L67" s="1">
        <f>'[1]Electricity and CHPs'!H15</f>
        <v>74.384203130425917</v>
      </c>
      <c r="M67" s="1">
        <f>'[1]Electricity and CHPs'!I15</f>
        <v>74.836122087372644</v>
      </c>
      <c r="N67" s="1">
        <f>'[1]Electricity and CHPs'!J15</f>
        <v>74.836120767225623</v>
      </c>
      <c r="O67" s="1">
        <f>'[1]Electricity and CHPs'!K15</f>
        <v>74.836121311270801</v>
      </c>
      <c r="P67" s="1">
        <f>'[1]Electricity and CHPs'!L15</f>
        <v>74.836121465747624</v>
      </c>
      <c r="Q67" s="1">
        <f>'[1]Electricity and CHPs'!M15</f>
        <v>74.836110192055827</v>
      </c>
      <c r="S67" s="3"/>
    </row>
    <row r="68" spans="1:19" x14ac:dyDescent="0.5">
      <c r="A68" s="5" t="str">
        <f t="shared" si="68"/>
        <v>STEM</v>
      </c>
      <c r="B68" s="5" t="str">
        <f t="shared" si="69"/>
        <v>SPS1</v>
      </c>
      <c r="C68" s="5" t="str">
        <f t="shared" si="70"/>
        <v>CH</v>
      </c>
      <c r="D68" t="s">
        <v>32</v>
      </c>
      <c r="E68" t="str">
        <f t="shared" ref="E68:E69" si="73">E67</f>
        <v>PJ/yr.</v>
      </c>
      <c r="F68" s="1">
        <f>'[1]Electricity and CHPs'!B16</f>
        <v>66.632456704505273</v>
      </c>
      <c r="G68" s="1">
        <f>'[1]Electricity and CHPs'!C16</f>
        <v>55.764165713605053</v>
      </c>
      <c r="H68" s="1">
        <f>'[1]Electricity and CHPs'!D16</f>
        <v>65.579025810201756</v>
      </c>
      <c r="I68" s="1">
        <f>'[1]Electricity and CHPs'!E16</f>
        <v>67.20614308569202</v>
      </c>
      <c r="J68" s="1">
        <f>'[1]Electricity and CHPs'!F16</f>
        <v>66.883813285455119</v>
      </c>
      <c r="K68" s="1">
        <f>'[1]Electricity and CHPs'!G16</f>
        <v>66.204245097786654</v>
      </c>
      <c r="L68" s="1">
        <f>'[1]Electricity and CHPs'!H16</f>
        <v>65.605812293477044</v>
      </c>
      <c r="M68" s="1">
        <f>'[1]Electricity and CHPs'!I16</f>
        <v>67.134916696870022</v>
      </c>
      <c r="N68" s="1">
        <f>'[1]Electricity and CHPs'!J16</f>
        <v>67.134923157520916</v>
      </c>
      <c r="O68" s="1">
        <f>'[1]Electricity and CHPs'!K16</f>
        <v>67.13494239530003</v>
      </c>
      <c r="P68" s="1">
        <f>'[1]Electricity and CHPs'!L16</f>
        <v>67.1349506734133</v>
      </c>
      <c r="Q68" s="1">
        <f>'[1]Electricity and CHPs'!M16</f>
        <v>67.134986787595707</v>
      </c>
      <c r="S68" s="3"/>
    </row>
    <row r="69" spans="1:19" x14ac:dyDescent="0.5">
      <c r="A69" s="5" t="str">
        <f t="shared" si="68"/>
        <v>STEM</v>
      </c>
      <c r="B69" s="5" t="str">
        <f t="shared" si="69"/>
        <v>SPS1</v>
      </c>
      <c r="C69" s="5" t="str">
        <f t="shared" si="70"/>
        <v>CH</v>
      </c>
      <c r="D69" t="s">
        <v>33</v>
      </c>
      <c r="E69" t="str">
        <f t="shared" si="73"/>
        <v>PJ/yr.</v>
      </c>
      <c r="F69" s="1">
        <f>'[1]Electricity and CHPs'!B17</f>
        <v>12.841935131452248</v>
      </c>
      <c r="G69" s="1">
        <f>'[1]Electricity and CHPs'!C17</f>
        <v>16.040385799293674</v>
      </c>
      <c r="H69" s="1">
        <f>'[1]Electricity and CHPs'!D17</f>
        <v>1.8014894066303999</v>
      </c>
      <c r="I69" s="1">
        <f>'[1]Electricity and CHPs'!E17</f>
        <v>13.773185302741553</v>
      </c>
      <c r="J69" s="1">
        <f>'[1]Electricity and CHPs'!F17</f>
        <v>13.049560699439779</v>
      </c>
      <c r="K69" s="1">
        <f>'[1]Electricity and CHPs'!G17</f>
        <v>13.547568019620497</v>
      </c>
      <c r="L69" s="1">
        <f>'[1]Electricity and CHPs'!H17</f>
        <v>13.894471432052024</v>
      </c>
      <c r="M69" s="1">
        <f>'[1]Electricity and CHPs'!I17</f>
        <v>14.116423077798562</v>
      </c>
      <c r="N69" s="1">
        <f>'[1]Electricity and CHPs'!J17</f>
        <v>14.605869242835967</v>
      </c>
      <c r="O69" s="1">
        <f>'[1]Electricity and CHPs'!K17</f>
        <v>14.239161986854343</v>
      </c>
      <c r="P69" s="1">
        <f>'[1]Electricity and CHPs'!L17</f>
        <v>14.181274751025333</v>
      </c>
      <c r="Q69" s="1">
        <f>'[1]Electricity and CHPs'!M17</f>
        <v>14.213030340921701</v>
      </c>
      <c r="S69" s="3"/>
    </row>
    <row r="70" spans="1:19" x14ac:dyDescent="0.5">
      <c r="A70" s="5" t="str">
        <f>A61</f>
        <v>STEM</v>
      </c>
      <c r="B70" s="5" t="str">
        <f>B61</f>
        <v>SPS1</v>
      </c>
      <c r="C70" s="5" t="str">
        <f>C61</f>
        <v>CH</v>
      </c>
      <c r="D70" t="s">
        <v>793</v>
      </c>
      <c r="E70" t="str">
        <f>E61</f>
        <v>PJ/yr.</v>
      </c>
      <c r="F70" s="1">
        <f>SUM(F71:F73)</f>
        <v>0.11201372295815409</v>
      </c>
      <c r="G70" s="1">
        <f t="shared" ref="G70" si="74">SUM(G71:G73)</f>
        <v>0.17163973238371469</v>
      </c>
      <c r="H70" s="1">
        <f t="shared" ref="H70" si="75">SUM(H71:H73)</f>
        <v>2.1004385501981533E-2</v>
      </c>
      <c r="I70" s="1">
        <f t="shared" ref="I70" si="76">SUM(I71:I73)</f>
        <v>0.17161272882080814</v>
      </c>
      <c r="J70" s="1">
        <f t="shared" ref="J70" si="77">SUM(J71:J73)</f>
        <v>0.17161178783631528</v>
      </c>
      <c r="K70" s="1">
        <f t="shared" ref="K70" si="78">SUM(K71:K73)</f>
        <v>0.17171855667420335</v>
      </c>
      <c r="L70" s="1">
        <f t="shared" ref="L70:O70" si="79">SUM(L71:L73)</f>
        <v>1.8994274430554535E-2</v>
      </c>
      <c r="M70" s="1">
        <f t="shared" si="79"/>
        <v>7.7202734200767413E-5</v>
      </c>
      <c r="N70" s="1">
        <f t="shared" si="79"/>
        <v>2.7101584920452282E-3</v>
      </c>
      <c r="O70" s="1">
        <f t="shared" si="79"/>
        <v>3.8757264806217207E-3</v>
      </c>
      <c r="P70" s="1">
        <f>SUM(P71:P73)</f>
        <v>5.9537126988762788E-3</v>
      </c>
      <c r="Q70" s="1">
        <f>SUM(Q71:Q73)</f>
        <v>8.6553722029459393E-3</v>
      </c>
      <c r="S70" s="3"/>
    </row>
    <row r="71" spans="1:19" x14ac:dyDescent="0.5">
      <c r="A71" s="5" t="str">
        <f>A70</f>
        <v>STEM</v>
      </c>
      <c r="B71" s="5" t="str">
        <f>B70</f>
        <v>SPS1</v>
      </c>
      <c r="C71" s="5" t="str">
        <f>C70</f>
        <v>CH</v>
      </c>
      <c r="D71" t="s">
        <v>34</v>
      </c>
      <c r="E71" t="str">
        <f>E61</f>
        <v>PJ/yr.</v>
      </c>
      <c r="F71" s="1">
        <f>'[1]Electricity and CHPs'!B18</f>
        <v>3.9628421894954115E-2</v>
      </c>
      <c r="G71" s="1">
        <f>'[1]Electricity and CHPs'!C18</f>
        <v>1.5048991307034745E-4</v>
      </c>
      <c r="H71" s="1">
        <f>'[1]Electricity and CHPs'!D18</f>
        <v>9.6172898053957373E-3</v>
      </c>
      <c r="I71" s="1">
        <f>'[1]Electricity and CHPs'!E18</f>
        <v>1.0983233432042764E-3</v>
      </c>
      <c r="J71" s="1">
        <f>'[1]Electricity and CHPs'!F18</f>
        <v>1.3985054085508878E-3</v>
      </c>
      <c r="K71" s="1">
        <f>'[1]Electricity and CHPs'!G18</f>
        <v>0.17006036599600638</v>
      </c>
      <c r="L71" s="1">
        <f>'[1]Electricity and CHPs'!H18</f>
        <v>1.7439406904199799E-2</v>
      </c>
      <c r="M71" s="1">
        <f>'[1]Electricity and CHPs'!I18</f>
        <v>6.5447333646418868E-5</v>
      </c>
      <c r="N71" s="1">
        <f>'[1]Electricity and CHPs'!J18</f>
        <v>2.8698721465886127E-4</v>
      </c>
      <c r="O71" s="1">
        <f>'[1]Electricity and CHPs'!K18</f>
        <v>4.3666315334153587E-4</v>
      </c>
      <c r="P71" s="1">
        <f>'[1]Electricity and CHPs'!L18</f>
        <v>4.4171781102587097E-4</v>
      </c>
      <c r="Q71" s="1">
        <f>'[1]Electricity and CHPs'!M18</f>
        <v>6.0923957929699007E-4</v>
      </c>
      <c r="S71" s="3"/>
    </row>
    <row r="72" spans="1:19" x14ac:dyDescent="0.5">
      <c r="A72" s="5" t="str">
        <f t="shared" ref="A72:A73" si="80">A71</f>
        <v>STEM</v>
      </c>
      <c r="B72" s="5" t="str">
        <f t="shared" ref="B72:B73" si="81">B71</f>
        <v>SPS1</v>
      </c>
      <c r="C72" s="5" t="str">
        <f t="shared" ref="C72:C73" si="82">C71</f>
        <v>CH</v>
      </c>
      <c r="D72" t="s">
        <v>228</v>
      </c>
      <c r="E72" t="str">
        <f>E126</f>
        <v>PJ/yr.</v>
      </c>
      <c r="F72" s="1">
        <f>'[1]Electricity and CHPs'!B28</f>
        <v>1.8284219742322509E-3</v>
      </c>
      <c r="G72" s="1">
        <f>'[1]Electricity and CHPs'!C28</f>
        <v>1.0901577436305898E-4</v>
      </c>
      <c r="H72" s="1">
        <f>'[1]Electricity and CHPs'!D28</f>
        <v>2.6816853046051805E-3</v>
      </c>
      <c r="I72" s="1">
        <f>'[1]Electricity and CHPs'!E28</f>
        <v>6.8632652847808173E-4</v>
      </c>
      <c r="J72" s="1">
        <f>'[1]Electricity and CHPs'!F28</f>
        <v>3.8753474085779642E-4</v>
      </c>
      <c r="K72" s="1">
        <f>'[1]Electricity and CHPs'!G28</f>
        <v>1.6581906781969861E-3</v>
      </c>
      <c r="L72" s="1">
        <f>'[1]Electricity and CHPs'!H28</f>
        <v>1.5548675263547358E-3</v>
      </c>
      <c r="M72" s="1">
        <f>'[1]Electricity and CHPs'!I28</f>
        <v>1.1755400554348552E-5</v>
      </c>
      <c r="N72" s="1">
        <f>'[1]Electricity and CHPs'!J28</f>
        <v>4.693327543727533E-5</v>
      </c>
      <c r="O72" s="1">
        <f>'[1]Electricity and CHPs'!K28</f>
        <v>6.1642579432776056E-5</v>
      </c>
      <c r="P72" s="1">
        <f>'[1]Electricity and CHPs'!L28</f>
        <v>6.0939045171047899E-5</v>
      </c>
      <c r="Q72" s="1">
        <f>'[1]Electricity and CHPs'!M28</f>
        <v>6.95751728708296E-5</v>
      </c>
      <c r="S72" s="3"/>
    </row>
    <row r="73" spans="1:19" x14ac:dyDescent="0.5">
      <c r="A73" s="5" t="str">
        <f t="shared" si="80"/>
        <v>STEM</v>
      </c>
      <c r="B73" s="5" t="str">
        <f t="shared" si="81"/>
        <v>SPS1</v>
      </c>
      <c r="C73" s="5" t="str">
        <f t="shared" si="82"/>
        <v>CH</v>
      </c>
      <c r="D73" t="s">
        <v>40</v>
      </c>
      <c r="E73" t="str">
        <f>E81</f>
        <v>PJ/yr.</v>
      </c>
      <c r="F73" s="1">
        <f>'[1]Electricity and CHPs'!B41</f>
        <v>7.0556879088967725E-2</v>
      </c>
      <c r="G73" s="1">
        <f>'[1]Electricity and CHPs'!C41</f>
        <v>0.17138022669628128</v>
      </c>
      <c r="H73" s="1">
        <f>'[1]Electricity and CHPs'!D41</f>
        <v>8.7054103919806131E-3</v>
      </c>
      <c r="I73" s="1">
        <f>'[1]Electricity and CHPs'!E41</f>
        <v>0.16982807894912577</v>
      </c>
      <c r="J73" s="1">
        <f>'[1]Electricity and CHPs'!F41</f>
        <v>0.16982574768690659</v>
      </c>
      <c r="K73" s="1">
        <f>'[1]Electricity and CHPs'!G41</f>
        <v>0</v>
      </c>
      <c r="L73" s="1">
        <f>'[1]Electricity and CHPs'!H41</f>
        <v>0</v>
      </c>
      <c r="M73" s="1">
        <f>'[1]Electricity and CHPs'!I41</f>
        <v>0</v>
      </c>
      <c r="N73" s="1">
        <f>'[1]Electricity and CHPs'!J41</f>
        <v>2.3762380019490916E-3</v>
      </c>
      <c r="O73" s="1">
        <f>'[1]Electricity and CHPs'!K41</f>
        <v>3.3774207478474089E-3</v>
      </c>
      <c r="P73" s="1">
        <f>'[1]Electricity and CHPs'!L41</f>
        <v>5.4510558426793601E-3</v>
      </c>
      <c r="Q73" s="1">
        <f>'[1]Electricity and CHPs'!M41</f>
        <v>7.9765574507781201E-3</v>
      </c>
      <c r="S73" s="3"/>
    </row>
    <row r="74" spans="1:19" x14ac:dyDescent="0.5">
      <c r="A74" s="5" t="str">
        <f>A69</f>
        <v>STEM</v>
      </c>
      <c r="B74" s="5" t="str">
        <f>B69</f>
        <v>SPS1</v>
      </c>
      <c r="C74" s="5" t="str">
        <f>C69</f>
        <v>CH</v>
      </c>
      <c r="D74" t="s">
        <v>794</v>
      </c>
      <c r="E74" t="str">
        <f>E69</f>
        <v>PJ/yr.</v>
      </c>
      <c r="F74" s="1">
        <f>SUM(F75:F77)</f>
        <v>0.11201372295815409</v>
      </c>
      <c r="G74" s="1">
        <f t="shared" ref="G74:K74" si="83">SUM(G75:G77)</f>
        <v>0.17163973238371469</v>
      </c>
      <c r="H74" s="1">
        <f t="shared" si="83"/>
        <v>2.1004385501981533E-2</v>
      </c>
      <c r="I74" s="1">
        <f t="shared" si="83"/>
        <v>0.17161272882080814</v>
      </c>
      <c r="J74" s="1">
        <f t="shared" si="83"/>
        <v>0.17161178783631528</v>
      </c>
      <c r="K74" s="1">
        <f t="shared" si="83"/>
        <v>0.17171855667420335</v>
      </c>
      <c r="L74" s="1">
        <f t="shared" ref="L74:O74" si="84">SUM(L75:L77)</f>
        <v>1.8994274430554535E-2</v>
      </c>
      <c r="M74" s="1">
        <f t="shared" si="84"/>
        <v>7.7202734200767413E-5</v>
      </c>
      <c r="N74" s="1">
        <f t="shared" si="84"/>
        <v>2.7101584920452282E-3</v>
      </c>
      <c r="O74" s="1">
        <f t="shared" si="84"/>
        <v>3.8757264806217207E-3</v>
      </c>
      <c r="P74" s="1">
        <f>SUM(P75:P77)</f>
        <v>5.9537126988762788E-3</v>
      </c>
      <c r="Q74" s="1">
        <f>SUM(Q75:Q77)</f>
        <v>8.6553722029459393E-3</v>
      </c>
      <c r="S74" s="3"/>
    </row>
    <row r="75" spans="1:19" x14ac:dyDescent="0.5">
      <c r="A75" s="5" t="str">
        <f>A74</f>
        <v>STEM</v>
      </c>
      <c r="B75" s="5" t="str">
        <f>B74</f>
        <v>SPS1</v>
      </c>
      <c r="C75" s="5" t="str">
        <f>C74</f>
        <v>CH</v>
      </c>
      <c r="D75" t="s">
        <v>514</v>
      </c>
      <c r="E75" t="str">
        <f>E69</f>
        <v>PJ/yr.</v>
      </c>
      <c r="F75" s="1">
        <f>F71</f>
        <v>3.9628421894954115E-2</v>
      </c>
      <c r="G75" s="1">
        <f t="shared" ref="G75:K75" si="85">G71</f>
        <v>1.5048991307034745E-4</v>
      </c>
      <c r="H75" s="1">
        <f t="shared" si="85"/>
        <v>9.6172898053957373E-3</v>
      </c>
      <c r="I75" s="1">
        <f t="shared" si="85"/>
        <v>1.0983233432042764E-3</v>
      </c>
      <c r="J75" s="1">
        <f t="shared" si="85"/>
        <v>1.3985054085508878E-3</v>
      </c>
      <c r="K75" s="1">
        <f t="shared" si="85"/>
        <v>0.17006036599600638</v>
      </c>
      <c r="L75" s="1">
        <f t="shared" ref="L75:O75" si="86">L71</f>
        <v>1.7439406904199799E-2</v>
      </c>
      <c r="M75" s="1">
        <f t="shared" si="86"/>
        <v>6.5447333646418868E-5</v>
      </c>
      <c r="N75" s="1">
        <f t="shared" si="86"/>
        <v>2.8698721465886127E-4</v>
      </c>
      <c r="O75" s="1">
        <f t="shared" si="86"/>
        <v>4.3666315334153587E-4</v>
      </c>
      <c r="P75" s="1">
        <f>P71</f>
        <v>4.4171781102587097E-4</v>
      </c>
      <c r="Q75" s="1">
        <f>Q71</f>
        <v>6.0923957929699007E-4</v>
      </c>
      <c r="S75" s="3"/>
    </row>
    <row r="76" spans="1:19" x14ac:dyDescent="0.5">
      <c r="A76" s="5" t="str">
        <f t="shared" si="68"/>
        <v>STEM</v>
      </c>
      <c r="B76" s="5" t="str">
        <f t="shared" si="69"/>
        <v>SPS1</v>
      </c>
      <c r="C76" s="5" t="str">
        <f t="shared" si="70"/>
        <v>CH</v>
      </c>
      <c r="D76" t="s">
        <v>515</v>
      </c>
      <c r="E76" t="str">
        <f>E134</f>
        <v>PJ/yr.</v>
      </c>
      <c r="F76" s="1">
        <f>'[1]Electricity and CHPs'!B28</f>
        <v>1.8284219742322509E-3</v>
      </c>
      <c r="G76" s="1">
        <f>'[1]Electricity and CHPs'!C28</f>
        <v>1.0901577436305898E-4</v>
      </c>
      <c r="H76" s="1">
        <f>'[1]Electricity and CHPs'!D28</f>
        <v>2.6816853046051805E-3</v>
      </c>
      <c r="I76" s="1">
        <f>'[1]Electricity and CHPs'!E28</f>
        <v>6.8632652847808173E-4</v>
      </c>
      <c r="J76" s="1">
        <f>'[1]Electricity and CHPs'!F28</f>
        <v>3.8753474085779642E-4</v>
      </c>
      <c r="K76" s="1">
        <f>'[1]Electricity and CHPs'!G28</f>
        <v>1.6581906781969861E-3</v>
      </c>
      <c r="L76" s="1">
        <f>'[1]Electricity and CHPs'!H28</f>
        <v>1.5548675263547358E-3</v>
      </c>
      <c r="M76" s="1">
        <f>'[1]Electricity and CHPs'!I28</f>
        <v>1.1755400554348552E-5</v>
      </c>
      <c r="N76" s="1">
        <f>'[1]Electricity and CHPs'!J28</f>
        <v>4.693327543727533E-5</v>
      </c>
      <c r="O76" s="1">
        <f>'[1]Electricity and CHPs'!K28</f>
        <v>6.1642579432776056E-5</v>
      </c>
      <c r="P76" s="1">
        <f>'[1]Electricity and CHPs'!L28</f>
        <v>6.0939045171047899E-5</v>
      </c>
      <c r="Q76" s="1">
        <f>'[1]Electricity and CHPs'!M28</f>
        <v>6.95751728708296E-5</v>
      </c>
      <c r="S76" s="3"/>
    </row>
    <row r="77" spans="1:19" x14ac:dyDescent="0.5">
      <c r="A77" s="5" t="str">
        <f t="shared" si="68"/>
        <v>STEM</v>
      </c>
      <c r="B77" s="5" t="str">
        <f t="shared" si="69"/>
        <v>SPS1</v>
      </c>
      <c r="C77" s="5" t="str">
        <f t="shared" si="70"/>
        <v>CH</v>
      </c>
      <c r="D77" t="s">
        <v>516</v>
      </c>
      <c r="E77" t="str">
        <f>E89</f>
        <v>PJ/yr.</v>
      </c>
      <c r="F77" s="1">
        <f>'[1]Electricity and CHPs'!B41</f>
        <v>7.0556879088967725E-2</v>
      </c>
      <c r="G77" s="1">
        <f>'[1]Electricity and CHPs'!C41</f>
        <v>0.17138022669628128</v>
      </c>
      <c r="H77" s="1">
        <f>'[1]Electricity and CHPs'!D41</f>
        <v>8.7054103919806131E-3</v>
      </c>
      <c r="I77" s="1">
        <f>'[1]Electricity and CHPs'!E41</f>
        <v>0.16982807894912577</v>
      </c>
      <c r="J77" s="1">
        <f>'[1]Electricity and CHPs'!F41</f>
        <v>0.16982574768690659</v>
      </c>
      <c r="K77" s="1">
        <f>'[1]Electricity and CHPs'!G41</f>
        <v>0</v>
      </c>
      <c r="L77" s="1">
        <f>'[1]Electricity and CHPs'!H41</f>
        <v>0</v>
      </c>
      <c r="M77" s="1">
        <f>'[1]Electricity and CHPs'!I41</f>
        <v>0</v>
      </c>
      <c r="N77" s="1">
        <f>'[1]Electricity and CHPs'!J41</f>
        <v>2.3762380019490916E-3</v>
      </c>
      <c r="O77" s="1">
        <f>'[1]Electricity and CHPs'!K41</f>
        <v>3.3774207478474089E-3</v>
      </c>
      <c r="P77" s="1">
        <f>'[1]Electricity and CHPs'!L41</f>
        <v>5.4510558426793601E-3</v>
      </c>
      <c r="Q77" s="1">
        <f>'[1]Electricity and CHPs'!M41</f>
        <v>7.9765574507781201E-3</v>
      </c>
      <c r="S77" s="3"/>
    </row>
    <row r="78" spans="1:19" x14ac:dyDescent="0.5">
      <c r="A78" s="5" t="str">
        <f t="shared" ref="A78:C79" si="87">A76</f>
        <v>STEM</v>
      </c>
      <c r="B78" s="5" t="str">
        <f t="shared" si="87"/>
        <v>SPS1</v>
      </c>
      <c r="C78" s="5" t="str">
        <f t="shared" si="87"/>
        <v>CH</v>
      </c>
      <c r="D78" t="s">
        <v>795</v>
      </c>
      <c r="E78" t="str">
        <f>E75</f>
        <v>PJ/yr.</v>
      </c>
      <c r="F78" s="1">
        <f>SUM(F79:F81)</f>
        <v>0</v>
      </c>
      <c r="G78" s="1">
        <f t="shared" ref="G78:K78" si="88">SUM(G79:G81)</f>
        <v>0</v>
      </c>
      <c r="H78" s="1">
        <f t="shared" si="88"/>
        <v>0</v>
      </c>
      <c r="I78" s="1">
        <f t="shared" si="88"/>
        <v>0</v>
      </c>
      <c r="J78" s="1">
        <f t="shared" si="88"/>
        <v>0</v>
      </c>
      <c r="K78" s="1">
        <f t="shared" si="88"/>
        <v>0</v>
      </c>
      <c r="L78" s="1">
        <f t="shared" ref="L78:O78" si="89">SUM(L79:L81)</f>
        <v>0</v>
      </c>
      <c r="M78" s="1">
        <f t="shared" si="89"/>
        <v>0</v>
      </c>
      <c r="N78" s="1">
        <f t="shared" si="89"/>
        <v>0</v>
      </c>
      <c r="O78" s="1">
        <f t="shared" si="89"/>
        <v>0</v>
      </c>
      <c r="P78" s="1">
        <f>SUM(P79:P81)</f>
        <v>0</v>
      </c>
      <c r="Q78" s="1">
        <f>SUM(Q79:Q81)</f>
        <v>0</v>
      </c>
      <c r="S78" s="3"/>
    </row>
    <row r="79" spans="1:19" x14ac:dyDescent="0.5">
      <c r="A79" s="5" t="str">
        <f t="shared" si="87"/>
        <v>STEM</v>
      </c>
      <c r="B79" s="5" t="str">
        <f t="shared" si="87"/>
        <v>SPS1</v>
      </c>
      <c r="C79" s="5" t="str">
        <f t="shared" si="87"/>
        <v>CH</v>
      </c>
      <c r="D79" t="s">
        <v>538</v>
      </c>
      <c r="E79" t="str">
        <f>E76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S79" s="3"/>
    </row>
    <row r="80" spans="1:19" x14ac:dyDescent="0.5">
      <c r="A80" s="5" t="str">
        <f t="shared" si="68"/>
        <v>STEM</v>
      </c>
      <c r="B80" s="5" t="str">
        <f t="shared" si="69"/>
        <v>SPS1</v>
      </c>
      <c r="C80" s="5" t="str">
        <f t="shared" si="70"/>
        <v>CH</v>
      </c>
      <c r="D80" t="s">
        <v>539</v>
      </c>
      <c r="E80" t="str">
        <f>E137</f>
        <v>PJ/yr.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S80" s="3"/>
    </row>
    <row r="81" spans="1:19" x14ac:dyDescent="0.5">
      <c r="A81" s="5" t="str">
        <f t="shared" si="68"/>
        <v>STEM</v>
      </c>
      <c r="B81" s="5" t="str">
        <f t="shared" si="69"/>
        <v>SPS1</v>
      </c>
      <c r="C81" s="5" t="str">
        <f t="shared" si="70"/>
        <v>CH</v>
      </c>
      <c r="D81" t="s">
        <v>540</v>
      </c>
      <c r="E81" t="str">
        <f>E92</f>
        <v>PJ/yr.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S81" s="3"/>
    </row>
    <row r="82" spans="1:19" x14ac:dyDescent="0.5">
      <c r="A82" s="5" t="str">
        <f t="shared" si="68"/>
        <v>STEM</v>
      </c>
      <c r="B82" s="5" t="str">
        <f t="shared" si="69"/>
        <v>SPS1</v>
      </c>
      <c r="C82" s="5" t="str">
        <f t="shared" si="70"/>
        <v>CH</v>
      </c>
      <c r="D82" t="s">
        <v>796</v>
      </c>
      <c r="E82" t="str">
        <f>E131</f>
        <v>PJ/yr.</v>
      </c>
      <c r="F82" s="1">
        <f>SUM(F83:F97)</f>
        <v>3.2391870446726099</v>
      </c>
      <c r="G82" s="1">
        <f t="shared" ref="G82:K82" si="90">SUM(G83:G97)</f>
        <v>1.8748210145949802</v>
      </c>
      <c r="H82" s="1">
        <f t="shared" si="90"/>
        <v>2.1469575712130937</v>
      </c>
      <c r="I82" s="1">
        <f t="shared" si="90"/>
        <v>2.0409844506445998</v>
      </c>
      <c r="J82" s="1">
        <f t="shared" si="90"/>
        <v>2.2727449318724862</v>
      </c>
      <c r="K82" s="1">
        <f t="shared" si="90"/>
        <v>1.8734193477074021</v>
      </c>
      <c r="L82" s="1">
        <f t="shared" ref="L82:O82" si="91">SUM(L83:L97)</f>
        <v>1.2510524160113663</v>
      </c>
      <c r="M82" s="1">
        <f t="shared" si="91"/>
        <v>1.7125829118664275</v>
      </c>
      <c r="N82" s="1">
        <f t="shared" si="91"/>
        <v>3.0593216507751029</v>
      </c>
      <c r="O82" s="1">
        <f t="shared" si="91"/>
        <v>4.2689894734237175</v>
      </c>
      <c r="P82" s="1">
        <f>SUM(P83:P97)</f>
        <v>4.5380978999322821</v>
      </c>
      <c r="Q82" s="1">
        <f>SUM(Q83:Q97)</f>
        <v>5.1348487879829863</v>
      </c>
      <c r="S82" s="3"/>
    </row>
    <row r="83" spans="1:19" x14ac:dyDescent="0.5">
      <c r="A83" s="5" t="str">
        <f t="shared" si="68"/>
        <v>STEM</v>
      </c>
      <c r="B83" s="5" t="str">
        <f t="shared" si="69"/>
        <v>SPS1</v>
      </c>
      <c r="C83" s="5" t="str">
        <f t="shared" si="70"/>
        <v>CH</v>
      </c>
      <c r="D83" t="s">
        <v>35</v>
      </c>
      <c r="E83" t="str">
        <f>E132</f>
        <v>PJ/yr.</v>
      </c>
      <c r="F83" s="1">
        <f>'[1]Electricity and CHPs'!B21</f>
        <v>0</v>
      </c>
      <c r="G83" s="1">
        <f>'[1]Electricity and CHPs'!C21</f>
        <v>0</v>
      </c>
      <c r="H83" s="1">
        <f>'[1]Electricity and CHPs'!D21</f>
        <v>0</v>
      </c>
      <c r="I83" s="1">
        <f>'[1]Electricity and CHPs'!E21</f>
        <v>0</v>
      </c>
      <c r="J83" s="1">
        <f>'[1]Electricity and CHPs'!F21</f>
        <v>0</v>
      </c>
      <c r="K83" s="1">
        <f>'[1]Electricity and CHPs'!G21</f>
        <v>4.1248842295991511E-4</v>
      </c>
      <c r="L83" s="1">
        <f>'[1]Electricity and CHPs'!H21</f>
        <v>8.6163592857889729E-4</v>
      </c>
      <c r="M83" s="1">
        <f>'[1]Electricity and CHPs'!I21</f>
        <v>6.0704569911149983E-3</v>
      </c>
      <c r="N83" s="1">
        <f>'[1]Electricity and CHPs'!J21</f>
        <v>6.2652479779652069E-3</v>
      </c>
      <c r="O83" s="1">
        <f>'[1]Electricity and CHPs'!K21</f>
        <v>5.9799869234888415E-3</v>
      </c>
      <c r="P83" s="1">
        <f>'[1]Electricity and CHPs'!L21</f>
        <v>8.64137391283408E-3</v>
      </c>
      <c r="Q83" s="1">
        <f>'[1]Electricity and CHPs'!M21</f>
        <v>1.2284000449600194E-2</v>
      </c>
      <c r="S83" s="3"/>
    </row>
    <row r="84" spans="1:19" x14ac:dyDescent="0.5">
      <c r="A84" s="5" t="str">
        <f t="shared" si="68"/>
        <v>STEM</v>
      </c>
      <c r="B84" s="5" t="str">
        <f t="shared" si="69"/>
        <v>SPS1</v>
      </c>
      <c r="C84" s="5" t="str">
        <f t="shared" si="70"/>
        <v>CH</v>
      </c>
      <c r="D84" t="s">
        <v>36</v>
      </c>
      <c r="E84" t="str">
        <f>E83</f>
        <v>PJ/yr.</v>
      </c>
      <c r="F84" s="1">
        <f>'[1]Electricity and CHPs'!B22</f>
        <v>0</v>
      </c>
      <c r="G84" s="1">
        <f>'[1]Electricity and CHPs'!C22</f>
        <v>0</v>
      </c>
      <c r="H84" s="1">
        <f>'[1]Electricity and CHPs'!D22</f>
        <v>0</v>
      </c>
      <c r="I84" s="1">
        <f>'[1]Electricity and CHPs'!E22</f>
        <v>0</v>
      </c>
      <c r="J84" s="1">
        <f>'[1]Electricity and CHPs'!F22</f>
        <v>0</v>
      </c>
      <c r="K84" s="1">
        <f>'[1]Electricity and CHPs'!G22</f>
        <v>1.2095783885262992E-4</v>
      </c>
      <c r="L84" s="1">
        <f>'[1]Electricity and CHPs'!H22</f>
        <v>3.0509054961138559E-4</v>
      </c>
      <c r="M84" s="1">
        <f>'[1]Electricity and CHPs'!I22</f>
        <v>5.9394163710176119E-3</v>
      </c>
      <c r="N84" s="1">
        <f>'[1]Electricity and CHPs'!J22</f>
        <v>5.4959428445266086E-3</v>
      </c>
      <c r="O84" s="1">
        <f>'[1]Electricity and CHPs'!K22</f>
        <v>4.5666521033356586E-3</v>
      </c>
      <c r="P84" s="1">
        <f>'[1]Electricity and CHPs'!L22</f>
        <v>5.9075342066603562E-3</v>
      </c>
      <c r="Q84" s="1">
        <f>'[1]Electricity and CHPs'!M22</f>
        <v>1.0126387249159308E-2</v>
      </c>
      <c r="S84" s="3"/>
    </row>
    <row r="85" spans="1:19" x14ac:dyDescent="0.5">
      <c r="A85" s="5" t="str">
        <f t="shared" si="68"/>
        <v>STEM</v>
      </c>
      <c r="B85" s="5" t="str">
        <f t="shared" si="69"/>
        <v>SPS1</v>
      </c>
      <c r="C85" s="5" t="str">
        <f t="shared" si="70"/>
        <v>CH</v>
      </c>
      <c r="D85" t="s">
        <v>37</v>
      </c>
      <c r="E85" t="str">
        <f>E84</f>
        <v>PJ/yr.</v>
      </c>
      <c r="F85" s="1">
        <f>'[1]Electricity and CHPs'!B23</f>
        <v>0</v>
      </c>
      <c r="G85" s="1">
        <f>'[1]Electricity and CHPs'!C23</f>
        <v>0</v>
      </c>
      <c r="H85" s="1">
        <f>'[1]Electricity and CHPs'!D23</f>
        <v>0</v>
      </c>
      <c r="I85" s="1">
        <f>'[1]Electricity and CHPs'!E23</f>
        <v>0</v>
      </c>
      <c r="J85" s="1">
        <f>'[1]Electricity and CHPs'!F23</f>
        <v>0</v>
      </c>
      <c r="K85" s="1">
        <f>'[1]Electricity and CHPs'!G23</f>
        <v>0</v>
      </c>
      <c r="L85" s="1">
        <f>'[1]Electricity and CHPs'!H23</f>
        <v>8.8962276313052499E-4</v>
      </c>
      <c r="M85" s="1">
        <f>'[1]Electricity and CHPs'!I23</f>
        <v>1.3142775519504157E-2</v>
      </c>
      <c r="N85" s="1">
        <f>'[1]Electricity and CHPs'!J23</f>
        <v>1.184426874759593</v>
      </c>
      <c r="O85" s="1">
        <f>'[1]Electricity and CHPs'!K23</f>
        <v>2.338954298011974</v>
      </c>
      <c r="P85" s="1">
        <f>'[1]Electricity and CHPs'!L23</f>
        <v>2.3319026540254604</v>
      </c>
      <c r="Q85" s="1">
        <f>'[1]Electricity and CHPs'!M23</f>
        <v>2.3208560049491966</v>
      </c>
      <c r="S85" s="3"/>
    </row>
    <row r="86" spans="1:19" x14ac:dyDescent="0.5">
      <c r="A86" s="5" t="str">
        <f t="shared" si="68"/>
        <v>STEM</v>
      </c>
      <c r="B86" s="5" t="str">
        <f t="shared" si="69"/>
        <v>SPS1</v>
      </c>
      <c r="C86" s="5" t="str">
        <f t="shared" si="70"/>
        <v>CH</v>
      </c>
      <c r="D86" t="s">
        <v>38</v>
      </c>
      <c r="E86" t="str">
        <f>E85</f>
        <v>PJ/yr.</v>
      </c>
      <c r="F86" s="1">
        <f>'[1]Electricity and CHPs'!B24</f>
        <v>0.96590841995223264</v>
      </c>
      <c r="G86" s="1">
        <f>'[1]Electricity and CHPs'!C24</f>
        <v>1.002210521776155E-3</v>
      </c>
      <c r="H86" s="1">
        <f>'[1]Electricity and CHPs'!D24</f>
        <v>7.4533236872880524E-3</v>
      </c>
      <c r="I86" s="1">
        <f>'[1]Electricity and CHPs'!E24</f>
        <v>0</v>
      </c>
      <c r="J86" s="1">
        <f>'[1]Electricity and CHPs'!F24</f>
        <v>0</v>
      </c>
      <c r="K86" s="1">
        <f>'[1]Electricity and CHPs'!G24</f>
        <v>0</v>
      </c>
      <c r="L86" s="1">
        <f>'[1]Electricity and CHPs'!H24</f>
        <v>0</v>
      </c>
      <c r="M86" s="1">
        <f>'[1]Electricity and CHPs'!I24</f>
        <v>0</v>
      </c>
      <c r="N86" s="1">
        <f>'[1]Electricity and CHPs'!J24</f>
        <v>0</v>
      </c>
      <c r="O86" s="1">
        <f>'[1]Electricity and CHPs'!K24</f>
        <v>0</v>
      </c>
      <c r="P86" s="1">
        <f>'[1]Electricity and CHPs'!L24</f>
        <v>0</v>
      </c>
      <c r="Q86" s="1">
        <f>'[1]Electricity and CHPs'!M24</f>
        <v>0</v>
      </c>
      <c r="S86" s="3"/>
    </row>
    <row r="87" spans="1:19" x14ac:dyDescent="0.5">
      <c r="A87" s="5" t="str">
        <f t="shared" si="68"/>
        <v>STEM</v>
      </c>
      <c r="B87" s="5" t="str">
        <f t="shared" si="69"/>
        <v>SPS1</v>
      </c>
      <c r="C87" s="5" t="str">
        <f t="shared" si="70"/>
        <v>CH</v>
      </c>
      <c r="D87" t="s">
        <v>39</v>
      </c>
      <c r="E87" t="str">
        <f>E76</f>
        <v>PJ/yr.</v>
      </c>
      <c r="F87" s="1">
        <f>'[1]Electricity and CHPs'!B29</f>
        <v>0</v>
      </c>
      <c r="G87" s="1">
        <f>'[1]Electricity and CHPs'!C29</f>
        <v>0</v>
      </c>
      <c r="H87" s="1">
        <f>'[1]Electricity and CHPs'!D29</f>
        <v>0</v>
      </c>
      <c r="I87" s="1">
        <f>'[1]Electricity and CHPs'!E29</f>
        <v>0</v>
      </c>
      <c r="J87" s="1">
        <f>'[1]Electricity and CHPs'!F29</f>
        <v>0</v>
      </c>
      <c r="K87" s="1">
        <f>'[1]Electricity and CHPs'!G29</f>
        <v>0</v>
      </c>
      <c r="L87" s="1">
        <f>'[1]Electricity and CHPs'!H29</f>
        <v>0</v>
      </c>
      <c r="M87" s="1">
        <f>'[1]Electricity and CHPs'!I29</f>
        <v>0</v>
      </c>
      <c r="N87" s="1">
        <f>'[1]Electricity and CHPs'!J29</f>
        <v>0</v>
      </c>
      <c r="O87" s="1">
        <f>'[1]Electricity and CHPs'!K29</f>
        <v>0</v>
      </c>
      <c r="P87" s="1">
        <f>'[1]Electricity and CHPs'!L29</f>
        <v>0</v>
      </c>
      <c r="Q87" s="1">
        <f>'[1]Electricity and CHPs'!M29</f>
        <v>0</v>
      </c>
      <c r="S87" s="3"/>
    </row>
    <row r="88" spans="1:19" x14ac:dyDescent="0.5">
      <c r="A88" s="5" t="str">
        <f t="shared" si="68"/>
        <v>STEM</v>
      </c>
      <c r="B88" s="5" t="str">
        <f t="shared" si="69"/>
        <v>SPS1</v>
      </c>
      <c r="C88" s="5" t="str">
        <f t="shared" si="70"/>
        <v>CH</v>
      </c>
      <c r="D88" t="s">
        <v>41</v>
      </c>
      <c r="E88" t="str">
        <f>E166</f>
        <v>PJ/yr.</v>
      </c>
      <c r="F88" s="1">
        <f>'[1]Electricity and CHPs'!B39</f>
        <v>0.67001684255090865</v>
      </c>
      <c r="G88" s="1">
        <f>'[1]Electricity and CHPs'!C39</f>
        <v>8.7495518340792902E-2</v>
      </c>
      <c r="H88" s="1">
        <f>'[1]Electricity and CHPs'!D39</f>
        <v>5.7993203522707246E-2</v>
      </c>
      <c r="I88" s="1">
        <f>'[1]Electricity and CHPs'!E39</f>
        <v>7.9500090601235515E-2</v>
      </c>
      <c r="J88" s="1">
        <f>'[1]Electricity and CHPs'!F39</f>
        <v>0.37850024734112181</v>
      </c>
      <c r="K88" s="1">
        <f>'[1]Electricity and CHPs'!G39</f>
        <v>0.34920131357912637</v>
      </c>
      <c r="L88" s="1">
        <f>'[1]Electricity and CHPs'!H39</f>
        <v>0.11083509762371957</v>
      </c>
      <c r="M88" s="1">
        <f>'[1]Electricity and CHPs'!I39</f>
        <v>0.3407365565935998</v>
      </c>
      <c r="N88" s="1">
        <f>'[1]Electricity and CHPs'!J39</f>
        <v>0.41985784906940149</v>
      </c>
      <c r="O88" s="1">
        <f>'[1]Electricity and CHPs'!K39</f>
        <v>0.40118960602925779</v>
      </c>
      <c r="P88" s="1">
        <f>'[1]Electricity and CHPs'!L39</f>
        <v>0.42186263315171946</v>
      </c>
      <c r="Q88" s="1">
        <f>'[1]Electricity and CHPs'!M39</f>
        <v>0.42195667442503493</v>
      </c>
      <c r="S88" s="3"/>
    </row>
    <row r="89" spans="1:19" x14ac:dyDescent="0.5">
      <c r="A89" s="5" t="str">
        <f t="shared" si="68"/>
        <v>STEM</v>
      </c>
      <c r="B89" s="5" t="str">
        <f t="shared" si="69"/>
        <v>SPS1</v>
      </c>
      <c r="C89" s="5" t="str">
        <f t="shared" si="70"/>
        <v>CH</v>
      </c>
      <c r="D89" t="s">
        <v>42</v>
      </c>
      <c r="E89" t="str">
        <f>E88</f>
        <v>PJ/yr.</v>
      </c>
      <c r="F89" s="1">
        <f>'[1]Electricity and CHPs'!B40</f>
        <v>0</v>
      </c>
      <c r="G89" s="1">
        <f>'[1]Electricity and CHPs'!C40</f>
        <v>0</v>
      </c>
      <c r="H89" s="1">
        <f>'[1]Electricity and CHPs'!D40</f>
        <v>0</v>
      </c>
      <c r="I89" s="1">
        <f>'[1]Electricity and CHPs'!E40</f>
        <v>0</v>
      </c>
      <c r="J89" s="1">
        <f>'[1]Electricity and CHPs'!F40</f>
        <v>0</v>
      </c>
      <c r="K89" s="1">
        <f>'[1]Electricity and CHPs'!G40</f>
        <v>3.8907058508332883E-3</v>
      </c>
      <c r="L89" s="1">
        <f>'[1]Electricity and CHPs'!H40</f>
        <v>4.163471417885669E-3</v>
      </c>
      <c r="M89" s="1">
        <f>'[1]Electricity and CHPs'!I40</f>
        <v>0.19707402966888085</v>
      </c>
      <c r="N89" s="1">
        <f>'[1]Electricity and CHPs'!J40</f>
        <v>0.24276713607436609</v>
      </c>
      <c r="O89" s="1">
        <f>'[1]Electricity and CHPs'!K40</f>
        <v>0.23203152413286635</v>
      </c>
      <c r="P89" s="1">
        <f>'[1]Electricity and CHPs'!L40</f>
        <v>0.24397806406926259</v>
      </c>
      <c r="Q89" s="1">
        <f>'[1]Electricity and CHPs'!M40</f>
        <v>0.24403557108405713</v>
      </c>
      <c r="S89" s="3"/>
    </row>
    <row r="90" spans="1:19" x14ac:dyDescent="0.5">
      <c r="A90" s="5" t="str">
        <f t="shared" si="68"/>
        <v>STEM</v>
      </c>
      <c r="B90" s="5" t="str">
        <f t="shared" si="69"/>
        <v>SPS1</v>
      </c>
      <c r="C90" s="5" t="str">
        <f t="shared" si="70"/>
        <v>CH</v>
      </c>
      <c r="D90" t="s">
        <v>43</v>
      </c>
      <c r="E90" t="str">
        <f>E171</f>
        <v>PJ/yr.</v>
      </c>
      <c r="F90" s="1">
        <f>'[1]Electricity and CHPs'!B47</f>
        <v>0</v>
      </c>
      <c r="G90" s="1">
        <f>'[1]Electricity and CHPs'!C47</f>
        <v>0</v>
      </c>
      <c r="H90" s="1">
        <f>'[1]Electricity and CHPs'!D47</f>
        <v>0</v>
      </c>
      <c r="I90" s="1">
        <f>'[1]Electricity and CHPs'!E47</f>
        <v>0</v>
      </c>
      <c r="J90" s="1">
        <f>'[1]Electricity and CHPs'!F47</f>
        <v>4.333034150411222E-3</v>
      </c>
      <c r="K90" s="1">
        <f>'[1]Electricity and CHPs'!G47</f>
        <v>8.1634535395434787E-3</v>
      </c>
      <c r="L90" s="1">
        <f>'[1]Electricity and CHPs'!H47</f>
        <v>5.9287479950609744E-3</v>
      </c>
      <c r="M90" s="1">
        <f>'[1]Electricity and CHPs'!I47</f>
        <v>6.7159743429717894E-3</v>
      </c>
      <c r="N90" s="1">
        <f>'[1]Electricity and CHPs'!J47</f>
        <v>7.4964114062620506E-3</v>
      </c>
      <c r="O90" s="1">
        <f>'[1]Electricity and CHPs'!K47</f>
        <v>4.7596019265475449E-3</v>
      </c>
      <c r="P90" s="1">
        <f>'[1]Electricity and CHPs'!L47</f>
        <v>4.3169435951051745E-3</v>
      </c>
      <c r="Q90" s="1">
        <f>'[1]Electricity and CHPs'!M47</f>
        <v>4.205810936909673E-3</v>
      </c>
      <c r="S90" s="3"/>
    </row>
    <row r="91" spans="1:19" x14ac:dyDescent="0.5">
      <c r="A91" s="5" t="str">
        <f t="shared" si="68"/>
        <v>STEM</v>
      </c>
      <c r="B91" s="5" t="str">
        <f t="shared" si="69"/>
        <v>SPS1</v>
      </c>
      <c r="C91" s="5" t="str">
        <f t="shared" si="70"/>
        <v>CH</v>
      </c>
      <c r="D91" t="s">
        <v>44</v>
      </c>
      <c r="E91" t="str">
        <f>E90</f>
        <v>PJ/yr.</v>
      </c>
      <c r="F91" s="1">
        <f>'[1]Electricity and CHPs'!B48</f>
        <v>1.8881207239921535E-2</v>
      </c>
      <c r="G91" s="1">
        <f>'[1]Electricity and CHPs'!C48</f>
        <v>1.6670032231296386E-2</v>
      </c>
      <c r="H91" s="1">
        <f>'[1]Electricity and CHPs'!D48</f>
        <v>1.788359316140899E-2</v>
      </c>
      <c r="I91" s="1">
        <f>'[1]Electricity and CHPs'!E48</f>
        <v>1.2051585480985384E-2</v>
      </c>
      <c r="J91" s="1">
        <f>'[1]Electricity and CHPs'!F48</f>
        <v>9.7826766175921811E-3</v>
      </c>
      <c r="K91" s="1">
        <f>'[1]Electricity and CHPs'!G48</f>
        <v>4.9828367015318309E-3</v>
      </c>
      <c r="L91" s="1">
        <f>'[1]Electricity and CHPs'!H48</f>
        <v>0</v>
      </c>
      <c r="M91" s="1">
        <f>'[1]Electricity and CHPs'!I48</f>
        <v>0</v>
      </c>
      <c r="N91" s="1">
        <f>'[1]Electricity and CHPs'!J48</f>
        <v>6.955719525144748E-3</v>
      </c>
      <c r="O91" s="1">
        <f>'[1]Electricity and CHPs'!K48</f>
        <v>9.5864737910232416E-3</v>
      </c>
      <c r="P91" s="1">
        <f>'[1]Electricity and CHPs'!L48</f>
        <v>2.9039496724610966E-2</v>
      </c>
      <c r="Q91" s="1">
        <f>'[1]Electricity and CHPs'!M48</f>
        <v>3.2278792663533951E-2</v>
      </c>
      <c r="S91" s="3"/>
    </row>
    <row r="92" spans="1:19" x14ac:dyDescent="0.5">
      <c r="A92" s="5" t="str">
        <f t="shared" si="68"/>
        <v>STEM</v>
      </c>
      <c r="B92" s="5" t="str">
        <f t="shared" si="69"/>
        <v>SPS1</v>
      </c>
      <c r="C92" s="5" t="str">
        <f t="shared" si="70"/>
        <v>CH</v>
      </c>
      <c r="D92" t="s">
        <v>45</v>
      </c>
      <c r="E92" t="str">
        <f>E91</f>
        <v>PJ/yr.</v>
      </c>
      <c r="F92" s="1">
        <f>'[1]Electricity and CHPs'!B49</f>
        <v>0</v>
      </c>
      <c r="G92" s="1">
        <f>'[1]Electricity and CHPs'!C49</f>
        <v>0</v>
      </c>
      <c r="H92" s="1">
        <f>'[1]Electricity and CHPs'!D49</f>
        <v>0</v>
      </c>
      <c r="I92" s="1">
        <f>'[1]Electricity and CHPs'!E49</f>
        <v>0</v>
      </c>
      <c r="J92" s="1">
        <f>'[1]Electricity and CHPs'!F49</f>
        <v>0</v>
      </c>
      <c r="K92" s="1">
        <f>'[1]Electricity and CHPs'!G49</f>
        <v>0</v>
      </c>
      <c r="L92" s="1">
        <f>'[1]Electricity and CHPs'!H49</f>
        <v>0</v>
      </c>
      <c r="M92" s="1">
        <f>'[1]Electricity and CHPs'!I49</f>
        <v>0</v>
      </c>
      <c r="N92" s="1">
        <f>'[1]Electricity and CHPs'!J49</f>
        <v>4.3904045389354706E-3</v>
      </c>
      <c r="O92" s="1">
        <f>'[1]Electricity and CHPs'!K49</f>
        <v>7.6509140325847561E-3</v>
      </c>
      <c r="P92" s="1">
        <f>'[1]Electricity and CHPs'!L49</f>
        <v>7.8136138351840162E-3</v>
      </c>
      <c r="Q92" s="1">
        <f>'[1]Electricity and CHPs'!M49</f>
        <v>1.5657272244732567E-2</v>
      </c>
      <c r="S92" s="3"/>
    </row>
    <row r="93" spans="1:19" x14ac:dyDescent="0.5">
      <c r="A93" s="5" t="str">
        <f t="shared" si="68"/>
        <v>STEM</v>
      </c>
      <c r="B93" s="5" t="str">
        <f t="shared" si="69"/>
        <v>SPS1</v>
      </c>
      <c r="C93" s="5" t="str">
        <f t="shared" si="70"/>
        <v>CH</v>
      </c>
      <c r="D93" t="s">
        <v>46</v>
      </c>
      <c r="E93" t="str">
        <f>E156</f>
        <v>PJ/yr.</v>
      </c>
      <c r="F93" s="1">
        <f>'[1]Electricity and CHPs'!B51</f>
        <v>3.0506804384740939E-2</v>
      </c>
      <c r="G93" s="1">
        <f>'[1]Electricity and CHPs'!C51</f>
        <v>3.6723762661064495E-2</v>
      </c>
      <c r="H93" s="1">
        <f>'[1]Electricity and CHPs'!D51</f>
        <v>0.14912784142043176</v>
      </c>
      <c r="I93" s="1">
        <f>'[1]Electricity and CHPs'!E51</f>
        <v>0.1470994375018366</v>
      </c>
      <c r="J93" s="1">
        <f>'[1]Electricity and CHPs'!F51</f>
        <v>0.14646622976263046</v>
      </c>
      <c r="K93" s="1">
        <f>'[1]Electricity and CHPs'!G51</f>
        <v>6.7030473494335926E-2</v>
      </c>
      <c r="L93" s="1">
        <f>'[1]Electricity and CHPs'!H51</f>
        <v>0</v>
      </c>
      <c r="M93" s="1">
        <f>'[1]Electricity and CHPs'!I51</f>
        <v>0</v>
      </c>
      <c r="N93" s="1">
        <f>'[1]Electricity and CHPs'!J51</f>
        <v>1.4140821722826179E-2</v>
      </c>
      <c r="O93" s="1">
        <f>'[1]Electricity and CHPs'!K51</f>
        <v>8.8402974298318115E-2</v>
      </c>
      <c r="P93" s="1">
        <f>'[1]Electricity and CHPs'!L51</f>
        <v>0.12073290802496742</v>
      </c>
      <c r="Q93" s="1">
        <f>'[1]Electricity and CHPs'!M51</f>
        <v>0.20425141849181533</v>
      </c>
      <c r="S93" s="3"/>
    </row>
    <row r="94" spans="1:19" x14ac:dyDescent="0.5">
      <c r="A94" s="5" t="str">
        <f t="shared" si="68"/>
        <v>STEM</v>
      </c>
      <c r="B94" s="5" t="str">
        <f t="shared" si="69"/>
        <v>SPS1</v>
      </c>
      <c r="C94" s="5" t="str">
        <f t="shared" si="70"/>
        <v>CH</v>
      </c>
      <c r="D94" t="s">
        <v>47</v>
      </c>
      <c r="E94" t="str">
        <f>E93</f>
        <v>PJ/yr.</v>
      </c>
      <c r="F94" s="1">
        <f>'[1]Electricity and CHPs'!B52</f>
        <v>0</v>
      </c>
      <c r="G94" s="1">
        <f>'[1]Electricity and CHPs'!C52</f>
        <v>0</v>
      </c>
      <c r="H94" s="1">
        <f>'[1]Electricity and CHPs'!D52</f>
        <v>0</v>
      </c>
      <c r="I94" s="1">
        <f>'[1]Electricity and CHPs'!E52</f>
        <v>0</v>
      </c>
      <c r="J94" s="1">
        <f>'[1]Electricity and CHPs'!F52</f>
        <v>0</v>
      </c>
      <c r="K94" s="1">
        <f>'[1]Electricity and CHPs'!G52</f>
        <v>0</v>
      </c>
      <c r="L94" s="1">
        <f>'[1]Electricity and CHPs'!H52</f>
        <v>0</v>
      </c>
      <c r="M94" s="1">
        <f>'[1]Electricity and CHPs'!I52</f>
        <v>0</v>
      </c>
      <c r="N94" s="1">
        <f>'[1]Electricity and CHPs'!J52</f>
        <v>1.1324090475802268E-2</v>
      </c>
      <c r="O94" s="1">
        <f>'[1]Electricity and CHPs'!K52</f>
        <v>1.7108364924814601E-2</v>
      </c>
      <c r="P94" s="1">
        <f>'[1]Electricity and CHPs'!L52</f>
        <v>2.1095596534841311E-2</v>
      </c>
      <c r="Q94" s="1">
        <f>'[1]Electricity and CHPs'!M52</f>
        <v>4.6498085977892581E-2</v>
      </c>
      <c r="S94" s="3"/>
    </row>
    <row r="95" spans="1:19" x14ac:dyDescent="0.5">
      <c r="A95" s="5" t="str">
        <f t="shared" si="68"/>
        <v>STEM</v>
      </c>
      <c r="B95" s="5" t="str">
        <f t="shared" si="69"/>
        <v>SPS1</v>
      </c>
      <c r="C95" s="5" t="str">
        <f t="shared" si="70"/>
        <v>CH</v>
      </c>
      <c r="D95" t="s">
        <v>84</v>
      </c>
      <c r="E95" t="str">
        <f>E157</f>
        <v>PJ/yr.</v>
      </c>
      <c r="F95" s="1">
        <f>'[1]Electricity and CHPs'!B54</f>
        <v>0.95942092783543942</v>
      </c>
      <c r="G95" s="1">
        <f>'[1]Electricity and CHPs'!C54</f>
        <v>1.1069743065028093</v>
      </c>
      <c r="H95" s="1">
        <f>'[1]Electricity and CHPs'!D54</f>
        <v>1.1139828773575073</v>
      </c>
      <c r="I95" s="1">
        <f>'[1]Electricity and CHPs'!E54</f>
        <v>1.1148532974386145</v>
      </c>
      <c r="J95" s="1">
        <f>'[1]Electricity and CHPs'!F54</f>
        <v>1.1148917977313888</v>
      </c>
      <c r="K95" s="1">
        <f>'[1]Electricity and CHPs'!G54</f>
        <v>1.1149051184397003</v>
      </c>
      <c r="L95" s="1">
        <f>'[1]Electricity and CHPs'!H54</f>
        <v>1.1280687497333792</v>
      </c>
      <c r="M95" s="1">
        <f>'[1]Electricity and CHPs'!I54</f>
        <v>1.1429037023793382</v>
      </c>
      <c r="N95" s="1">
        <f>'[1]Electricity and CHPs'!J54</f>
        <v>1.1429064331404066</v>
      </c>
      <c r="O95" s="1">
        <f>'[1]Electricity and CHPs'!K54</f>
        <v>1.1429251231291493</v>
      </c>
      <c r="P95" s="1">
        <f>'[1]Electricity and CHPs'!L54</f>
        <v>1.3168517114450387</v>
      </c>
      <c r="Q95" s="1">
        <f>'[1]Electricity and CHPs'!M54</f>
        <v>1.7748136513243538</v>
      </c>
      <c r="S95" s="3"/>
    </row>
    <row r="96" spans="1:19" x14ac:dyDescent="0.5">
      <c r="A96" s="5" t="str">
        <f t="shared" si="68"/>
        <v>STEM</v>
      </c>
      <c r="B96" s="5" t="str">
        <f t="shared" si="69"/>
        <v>SPS1</v>
      </c>
      <c r="C96" s="5" t="str">
        <f t="shared" si="70"/>
        <v>CH</v>
      </c>
      <c r="D96" t="s">
        <v>85</v>
      </c>
      <c r="E96" t="str">
        <f>E95</f>
        <v>PJ/yr.</v>
      </c>
      <c r="F96" s="1">
        <f>'[1]Electricity and CHPs'!B55</f>
        <v>0.5944528427093666</v>
      </c>
      <c r="G96" s="1">
        <f>'[1]Electricity and CHPs'!C55</f>
        <v>0.62595518433724096</v>
      </c>
      <c r="H96" s="1">
        <f>'[1]Electricity and CHPs'!D55</f>
        <v>0.8005167320637504</v>
      </c>
      <c r="I96" s="1">
        <f>'[1]Electricity and CHPs'!E55</f>
        <v>0.68748003962192794</v>
      </c>
      <c r="J96" s="1">
        <f>'[1]Electricity and CHPs'!F55</f>
        <v>0.61877094626934137</v>
      </c>
      <c r="K96" s="1">
        <f>'[1]Electricity and CHPs'!G55</f>
        <v>0.32471199984051841</v>
      </c>
      <c r="L96" s="1">
        <f>'[1]Electricity and CHPs'!H55</f>
        <v>0</v>
      </c>
      <c r="M96" s="1">
        <f>'[1]Electricity and CHPs'!I55</f>
        <v>0</v>
      </c>
      <c r="N96" s="1">
        <f>'[1]Electricity and CHPs'!J55</f>
        <v>8.5843033135360805E-3</v>
      </c>
      <c r="O96" s="1">
        <f>'[1]Electricity and CHPs'!K55</f>
        <v>9.8554981400476287E-3</v>
      </c>
      <c r="P96" s="1">
        <f>'[1]Electricity and CHPs'!L55</f>
        <v>1.5678476685490914E-2</v>
      </c>
      <c r="Q96" s="1">
        <f>'[1]Electricity and CHPs'!M55</f>
        <v>2.5756138832804171E-2</v>
      </c>
      <c r="S96" s="3"/>
    </row>
    <row r="97" spans="1:19" x14ac:dyDescent="0.5">
      <c r="A97" s="5" t="str">
        <f t="shared" si="68"/>
        <v>STEM</v>
      </c>
      <c r="B97" s="5" t="str">
        <f t="shared" si="69"/>
        <v>SPS1</v>
      </c>
      <c r="C97" s="5" t="str">
        <f t="shared" si="70"/>
        <v>CH</v>
      </c>
      <c r="D97" t="s">
        <v>88</v>
      </c>
      <c r="E97" t="str">
        <f>E172</f>
        <v>PJ/yr.</v>
      </c>
      <c r="F97" s="1">
        <f>'[1]Electricity and CHPs'!B58</f>
        <v>0</v>
      </c>
      <c r="G97" s="1">
        <f>'[1]Electricity and CHPs'!C58</f>
        <v>0</v>
      </c>
      <c r="H97" s="1">
        <f>'[1]Electricity and CHPs'!D58</f>
        <v>0</v>
      </c>
      <c r="I97" s="1">
        <f>'[1]Electricity and CHPs'!E58</f>
        <v>0</v>
      </c>
      <c r="J97" s="1">
        <f>'[1]Electricity and CHPs'!F58</f>
        <v>0</v>
      </c>
      <c r="K97" s="1">
        <f>'[1]Electricity and CHPs'!G58</f>
        <v>0</v>
      </c>
      <c r="L97" s="1">
        <f>'[1]Electricity and CHPs'!H58</f>
        <v>0</v>
      </c>
      <c r="M97" s="1">
        <f>'[1]Electricity and CHPs'!I58</f>
        <v>0</v>
      </c>
      <c r="N97" s="1">
        <f>'[1]Electricity and CHPs'!J58</f>
        <v>4.7104159263367598E-3</v>
      </c>
      <c r="O97" s="1">
        <f>'[1]Electricity and CHPs'!K58</f>
        <v>5.9784559803089414E-3</v>
      </c>
      <c r="P97" s="1">
        <f>'[1]Electricity and CHPs'!L58</f>
        <v>1.0276893721107001E-2</v>
      </c>
      <c r="Q97" s="1">
        <f>'[1]Electricity and CHPs'!M58</f>
        <v>2.212897935389609E-2</v>
      </c>
      <c r="S97" s="3"/>
    </row>
    <row r="98" spans="1:19" x14ac:dyDescent="0.5">
      <c r="A98" s="5" t="str">
        <f t="shared" ref="A98:A113" si="92">A97</f>
        <v>STEM</v>
      </c>
      <c r="B98" s="5" t="str">
        <f t="shared" ref="B98:B113" si="93">B97</f>
        <v>SPS1</v>
      </c>
      <c r="C98" s="5" t="str">
        <f t="shared" ref="C98:C113" si="94">C97</f>
        <v>CH</v>
      </c>
      <c r="D98" t="s">
        <v>797</v>
      </c>
      <c r="E98" t="str">
        <f t="shared" ref="E98:E108" si="95">E173</f>
        <v>PJ/yr.</v>
      </c>
      <c r="F98" s="1">
        <f>F82-F114</f>
        <v>2.2207032904381223</v>
      </c>
      <c r="G98" s="1">
        <f t="shared" ref="G98:K98" si="96">G82-G114</f>
        <v>0.73758477378026321</v>
      </c>
      <c r="H98" s="1">
        <f t="shared" si="96"/>
        <v>1.001506779182652</v>
      </c>
      <c r="I98" s="1">
        <f>I82-I114</f>
        <v>0.91846529427911161</v>
      </c>
      <c r="J98" s="1">
        <f t="shared" si="96"/>
        <v>1.0902240638117831</v>
      </c>
      <c r="K98" s="1">
        <f t="shared" si="96"/>
        <v>0.64940009713883207</v>
      </c>
      <c r="L98" s="1">
        <f t="shared" ref="L98:O98" si="97">L82-L114</f>
        <v>5.6147547188962532E-2</v>
      </c>
      <c r="M98" s="1">
        <f t="shared" si="97"/>
        <v>5.2958530822315719E-2</v>
      </c>
      <c r="N98" s="1">
        <f t="shared" si="97"/>
        <v>6.0028314823174611E-2</v>
      </c>
      <c r="O98" s="1">
        <f t="shared" si="97"/>
        <v>0.13844963077287709</v>
      </c>
      <c r="P98" s="1">
        <f t="shared" ref="P98:Q113" si="98">P82-P114</f>
        <v>0.20962399071281457</v>
      </c>
      <c r="Q98" s="1">
        <f t="shared" si="98"/>
        <v>0.32416140375847213</v>
      </c>
      <c r="S98" s="3"/>
    </row>
    <row r="99" spans="1:19" x14ac:dyDescent="0.5">
      <c r="A99" s="5" t="str">
        <f t="shared" si="92"/>
        <v>STEM</v>
      </c>
      <c r="B99" s="5" t="str">
        <f t="shared" si="93"/>
        <v>SPS1</v>
      </c>
      <c r="C99" s="5" t="str">
        <f t="shared" si="94"/>
        <v>CH</v>
      </c>
      <c r="D99" t="s">
        <v>552</v>
      </c>
      <c r="E99" t="str">
        <f t="shared" si="95"/>
        <v>PJ/yr.</v>
      </c>
      <c r="F99" s="1">
        <f t="shared" ref="F99:K99" si="99">F83-F115</f>
        <v>0</v>
      </c>
      <c r="G99" s="1">
        <f t="shared" si="99"/>
        <v>0</v>
      </c>
      <c r="H99" s="1">
        <f t="shared" si="99"/>
        <v>0</v>
      </c>
      <c r="I99" s="1">
        <f t="shared" si="99"/>
        <v>0</v>
      </c>
      <c r="J99" s="1">
        <f t="shared" si="99"/>
        <v>0</v>
      </c>
      <c r="K99" s="1">
        <f t="shared" si="99"/>
        <v>3.53150951693318E-4</v>
      </c>
      <c r="L99" s="1">
        <f t="shared" ref="L99:O99" si="100">L83-L115</f>
        <v>3.9337535970212383E-4</v>
      </c>
      <c r="M99" s="1">
        <f t="shared" si="100"/>
        <v>5.643219522772332E-4</v>
      </c>
      <c r="N99" s="1">
        <f t="shared" si="100"/>
        <v>1.9624780402794847E-4</v>
      </c>
      <c r="O99" s="1">
        <f t="shared" si="100"/>
        <v>2.6484642950668803E-4</v>
      </c>
      <c r="P99" s="1">
        <f t="shared" si="98"/>
        <v>5.623411496221524E-4</v>
      </c>
      <c r="Q99" s="1">
        <f t="shared" si="98"/>
        <v>1.1851063062013022E-3</v>
      </c>
      <c r="S99" s="3"/>
    </row>
    <row r="100" spans="1:19" x14ac:dyDescent="0.5">
      <c r="A100" s="5" t="str">
        <f t="shared" si="92"/>
        <v>STEM</v>
      </c>
      <c r="B100" s="5" t="str">
        <f t="shared" si="93"/>
        <v>SPS1</v>
      </c>
      <c r="C100" s="5" t="str">
        <f t="shared" si="94"/>
        <v>CH</v>
      </c>
      <c r="D100" t="s">
        <v>553</v>
      </c>
      <c r="E100" t="str">
        <f t="shared" si="95"/>
        <v>PJ/yr.</v>
      </c>
      <c r="F100" s="1">
        <f t="shared" ref="F100:K100" si="101">F84-F116</f>
        <v>0</v>
      </c>
      <c r="G100" s="1">
        <f t="shared" si="101"/>
        <v>0</v>
      </c>
      <c r="H100" s="1">
        <f t="shared" si="101"/>
        <v>0</v>
      </c>
      <c r="I100" s="1">
        <f t="shared" si="101"/>
        <v>0</v>
      </c>
      <c r="J100" s="1">
        <f t="shared" si="101"/>
        <v>0</v>
      </c>
      <c r="K100" s="1">
        <f t="shared" si="101"/>
        <v>1.0355775708576517E-4</v>
      </c>
      <c r="L100" s="1">
        <f t="shared" ref="L100:O100" si="102">L84-L116</f>
        <v>1.3928748873441165E-4</v>
      </c>
      <c r="M100" s="1">
        <f t="shared" si="102"/>
        <v>5.5214015135693784E-4</v>
      </c>
      <c r="N100" s="1">
        <f t="shared" si="102"/>
        <v>1.7215068231852398E-4</v>
      </c>
      <c r="O100" s="1">
        <f t="shared" si="102"/>
        <v>2.0225152995184681E-4</v>
      </c>
      <c r="P100" s="1">
        <f t="shared" si="98"/>
        <v>3.844353468227665E-4</v>
      </c>
      <c r="Q100" s="1">
        <f t="shared" si="98"/>
        <v>9.7694927945120129E-4</v>
      </c>
      <c r="S100" s="3"/>
    </row>
    <row r="101" spans="1:19" x14ac:dyDescent="0.5">
      <c r="A101" s="5" t="str">
        <f t="shared" si="92"/>
        <v>STEM</v>
      </c>
      <c r="B101" s="5" t="str">
        <f t="shared" si="93"/>
        <v>SPS1</v>
      </c>
      <c r="C101" s="5" t="str">
        <f t="shared" si="94"/>
        <v>CH</v>
      </c>
      <c r="D101" t="s">
        <v>554</v>
      </c>
      <c r="E101" t="str">
        <f t="shared" si="95"/>
        <v>PJ/yr.</v>
      </c>
      <c r="F101" s="1">
        <f t="shared" ref="F101:K101" si="103">F85-F117</f>
        <v>0</v>
      </c>
      <c r="G101" s="1">
        <f t="shared" si="103"/>
        <v>0</v>
      </c>
      <c r="H101" s="1">
        <f t="shared" si="103"/>
        <v>0</v>
      </c>
      <c r="I101" s="1">
        <f t="shared" si="103"/>
        <v>0</v>
      </c>
      <c r="J101" s="1">
        <f t="shared" si="103"/>
        <v>0</v>
      </c>
      <c r="K101" s="1">
        <f t="shared" si="103"/>
        <v>0</v>
      </c>
      <c r="L101" s="1">
        <f t="shared" ref="L101:O101" si="104">L85-L117</f>
        <v>4.0615260208897293E-4</v>
      </c>
      <c r="M101" s="1">
        <f t="shared" si="104"/>
        <v>1.2217789781500017E-3</v>
      </c>
      <c r="N101" s="1">
        <f t="shared" si="104"/>
        <v>3.7100075531048216E-2</v>
      </c>
      <c r="O101" s="1">
        <f t="shared" si="104"/>
        <v>0.10358947310981526</v>
      </c>
      <c r="P101" s="1">
        <f t="shared" si="98"/>
        <v>0.15174957506746223</v>
      </c>
      <c r="Q101" s="1">
        <f t="shared" si="98"/>
        <v>0.22390597416006841</v>
      </c>
      <c r="S101" s="3"/>
    </row>
    <row r="102" spans="1:19" x14ac:dyDescent="0.5">
      <c r="A102" s="5" t="str">
        <f t="shared" si="92"/>
        <v>STEM</v>
      </c>
      <c r="B102" s="5" t="str">
        <f t="shared" si="93"/>
        <v>SPS1</v>
      </c>
      <c r="C102" s="5" t="str">
        <f t="shared" si="94"/>
        <v>CH</v>
      </c>
      <c r="D102" t="s">
        <v>555</v>
      </c>
      <c r="E102" t="str">
        <f t="shared" si="95"/>
        <v>PJ/yr.</v>
      </c>
      <c r="F102" s="1">
        <f t="shared" ref="F102:K102" si="105">F86-F118</f>
        <v>0.94088423834707535</v>
      </c>
      <c r="G102" s="1">
        <f t="shared" si="105"/>
        <v>9.6271197518207083E-4</v>
      </c>
      <c r="H102" s="1">
        <f t="shared" si="105"/>
        <v>7.2262701542088288E-3</v>
      </c>
      <c r="I102" s="1">
        <f t="shared" si="105"/>
        <v>0</v>
      </c>
      <c r="J102" s="1">
        <f t="shared" si="105"/>
        <v>0</v>
      </c>
      <c r="K102" s="1">
        <f t="shared" si="105"/>
        <v>0</v>
      </c>
      <c r="L102" s="1">
        <f t="shared" ref="L102:O102" si="106">L86-L118</f>
        <v>0</v>
      </c>
      <c r="M102" s="1">
        <f t="shared" si="106"/>
        <v>0</v>
      </c>
      <c r="N102" s="1">
        <f t="shared" si="106"/>
        <v>0</v>
      </c>
      <c r="O102" s="1">
        <f t="shared" si="106"/>
        <v>0</v>
      </c>
      <c r="P102" s="1">
        <f t="shared" si="98"/>
        <v>0</v>
      </c>
      <c r="Q102" s="1">
        <f t="shared" si="98"/>
        <v>0</v>
      </c>
      <c r="S102" s="3"/>
    </row>
    <row r="103" spans="1:19" x14ac:dyDescent="0.5">
      <c r="A103" s="5" t="str">
        <f t="shared" si="92"/>
        <v>STEM</v>
      </c>
      <c r="B103" s="5" t="str">
        <f t="shared" si="93"/>
        <v>SPS1</v>
      </c>
      <c r="C103" s="5" t="str">
        <f t="shared" si="94"/>
        <v>CH</v>
      </c>
      <c r="D103" t="s">
        <v>556</v>
      </c>
      <c r="E103" t="str">
        <f t="shared" si="95"/>
        <v>PJ/yr.</v>
      </c>
      <c r="F103" s="1">
        <f t="shared" ref="F103:K103" si="107">F87-F119</f>
        <v>0</v>
      </c>
      <c r="G103" s="1">
        <f t="shared" si="107"/>
        <v>0</v>
      </c>
      <c r="H103" s="1">
        <f t="shared" si="107"/>
        <v>0</v>
      </c>
      <c r="I103" s="1">
        <f t="shared" si="107"/>
        <v>0</v>
      </c>
      <c r="J103" s="1">
        <f t="shared" si="107"/>
        <v>0</v>
      </c>
      <c r="K103" s="1">
        <f t="shared" si="107"/>
        <v>0</v>
      </c>
      <c r="L103" s="1">
        <f t="shared" ref="L103:O103" si="108">L87-L119</f>
        <v>0</v>
      </c>
      <c r="M103" s="1">
        <f t="shared" si="108"/>
        <v>0</v>
      </c>
      <c r="N103" s="1">
        <f t="shared" si="108"/>
        <v>0</v>
      </c>
      <c r="O103" s="1">
        <f t="shared" si="108"/>
        <v>0</v>
      </c>
      <c r="P103" s="1">
        <f t="shared" si="98"/>
        <v>0</v>
      </c>
      <c r="Q103" s="1">
        <f t="shared" si="98"/>
        <v>0</v>
      </c>
      <c r="S103" s="3"/>
    </row>
    <row r="104" spans="1:19" x14ac:dyDescent="0.5">
      <c r="A104" s="5" t="str">
        <f t="shared" si="92"/>
        <v>STEM</v>
      </c>
      <c r="B104" s="5" t="str">
        <f t="shared" si="93"/>
        <v>SPS1</v>
      </c>
      <c r="C104" s="5" t="str">
        <f t="shared" si="94"/>
        <v>CH</v>
      </c>
      <c r="D104" t="s">
        <v>557</v>
      </c>
      <c r="E104" t="str">
        <f t="shared" si="95"/>
        <v>PJ/yr.</v>
      </c>
      <c r="F104" s="1">
        <f t="shared" ref="F104:K104" si="109">F88-F120</f>
        <v>0.65265844417672614</v>
      </c>
      <c r="G104" s="1">
        <f t="shared" si="109"/>
        <v>8.4047195126392207E-2</v>
      </c>
      <c r="H104" s="1">
        <f t="shared" si="109"/>
        <v>5.6226533737941162E-2</v>
      </c>
      <c r="I104" s="1">
        <f t="shared" si="109"/>
        <v>7.8842045056484039E-2</v>
      </c>
      <c r="J104" s="1">
        <f t="shared" si="109"/>
        <v>0.35639241769303437</v>
      </c>
      <c r="K104" s="1">
        <f t="shared" si="109"/>
        <v>0.29896784820797101</v>
      </c>
      <c r="L104" s="1">
        <f t="shared" ref="L104:O104" si="110">L88-L120</f>
        <v>5.060118194845957E-2</v>
      </c>
      <c r="M104" s="1">
        <f t="shared" si="110"/>
        <v>3.1675559041198953E-2</v>
      </c>
      <c r="N104" s="1">
        <f t="shared" si="110"/>
        <v>1.3151304014390852E-2</v>
      </c>
      <c r="O104" s="1">
        <f t="shared" si="110"/>
        <v>1.7768205193675113E-2</v>
      </c>
      <c r="P104" s="1">
        <f t="shared" si="98"/>
        <v>2.7452893544721357E-2</v>
      </c>
      <c r="Q104" s="1">
        <f t="shared" si="98"/>
        <v>4.0708523078987202E-2</v>
      </c>
      <c r="S104" s="3"/>
    </row>
    <row r="105" spans="1:19" x14ac:dyDescent="0.5">
      <c r="A105" s="5" t="str">
        <f t="shared" si="92"/>
        <v>STEM</v>
      </c>
      <c r="B105" s="5" t="str">
        <f t="shared" si="93"/>
        <v>SPS1</v>
      </c>
      <c r="C105" s="5" t="str">
        <f t="shared" si="94"/>
        <v>CH</v>
      </c>
      <c r="D105" t="s">
        <v>558</v>
      </c>
      <c r="E105" t="str">
        <f t="shared" si="95"/>
        <v>PJ/yr.</v>
      </c>
      <c r="F105" s="1">
        <f t="shared" ref="F105:K105" si="111">F89-F121</f>
        <v>0</v>
      </c>
      <c r="G105" s="1">
        <f t="shared" si="111"/>
        <v>0</v>
      </c>
      <c r="H105" s="1">
        <f t="shared" si="111"/>
        <v>0</v>
      </c>
      <c r="I105" s="1">
        <f t="shared" si="111"/>
        <v>0</v>
      </c>
      <c r="J105" s="1">
        <f t="shared" si="111"/>
        <v>0</v>
      </c>
      <c r="K105" s="1">
        <f t="shared" si="111"/>
        <v>3.3310182722729644E-3</v>
      </c>
      <c r="L105" s="1">
        <f t="shared" ref="L105:O105" si="112">L89-L121</f>
        <v>1.9008110180845574E-3</v>
      </c>
      <c r="M105" s="1">
        <f t="shared" si="112"/>
        <v>1.8320400149224508E-2</v>
      </c>
      <c r="N105" s="1">
        <f t="shared" si="112"/>
        <v>7.6042508632230554E-3</v>
      </c>
      <c r="O105" s="1">
        <f t="shared" si="112"/>
        <v>1.027639717040249E-2</v>
      </c>
      <c r="P105" s="1">
        <f t="shared" si="98"/>
        <v>1.5876978176760759E-2</v>
      </c>
      <c r="Q105" s="1">
        <f t="shared" si="98"/>
        <v>2.3543477991208067E-2</v>
      </c>
      <c r="S105" s="3"/>
    </row>
    <row r="106" spans="1:19" x14ac:dyDescent="0.5">
      <c r="A106" s="5" t="str">
        <f t="shared" si="92"/>
        <v>STEM</v>
      </c>
      <c r="B106" s="5" t="str">
        <f t="shared" si="93"/>
        <v>SPS1</v>
      </c>
      <c r="C106" s="5" t="str">
        <f t="shared" si="94"/>
        <v>CH</v>
      </c>
      <c r="D106" t="s">
        <v>559</v>
      </c>
      <c r="E106" t="str">
        <f t="shared" si="95"/>
        <v>PJ/yr.</v>
      </c>
      <c r="F106" s="1">
        <f t="shared" ref="F106:K106" si="113">F90-F122</f>
        <v>0</v>
      </c>
      <c r="G106" s="1">
        <f t="shared" si="113"/>
        <v>0</v>
      </c>
      <c r="H106" s="1">
        <f t="shared" si="113"/>
        <v>0</v>
      </c>
      <c r="I106" s="1">
        <f t="shared" si="113"/>
        <v>0</v>
      </c>
      <c r="J106" s="1">
        <f t="shared" si="113"/>
        <v>4.0799458591100467E-3</v>
      </c>
      <c r="K106" s="1">
        <f t="shared" si="113"/>
        <v>6.9891207270903772E-3</v>
      </c>
      <c r="L106" s="1">
        <f t="shared" ref="L106:O106" si="114">L90-L122</f>
        <v>2.7067387718927994E-3</v>
      </c>
      <c r="M106" s="1">
        <f t="shared" si="114"/>
        <v>6.243305501079776E-4</v>
      </c>
      <c r="N106" s="1">
        <f t="shared" si="114"/>
        <v>2.3481181937938002E-4</v>
      </c>
      <c r="O106" s="1">
        <f t="shared" si="114"/>
        <v>2.1079704558682119E-4</v>
      </c>
      <c r="P106" s="1">
        <f t="shared" si="98"/>
        <v>2.8092697395260165E-4</v>
      </c>
      <c r="Q106" s="1">
        <f t="shared" si="98"/>
        <v>4.0575813103167725E-4</v>
      </c>
      <c r="S106" s="3"/>
    </row>
    <row r="107" spans="1:19" x14ac:dyDescent="0.5">
      <c r="A107" s="5" t="str">
        <f t="shared" si="92"/>
        <v>STEM</v>
      </c>
      <c r="B107" s="5" t="str">
        <f t="shared" si="93"/>
        <v>SPS1</v>
      </c>
      <c r="C107" s="5" t="str">
        <f t="shared" si="94"/>
        <v>CH</v>
      </c>
      <c r="D107" t="s">
        <v>560</v>
      </c>
      <c r="E107" t="str">
        <f t="shared" si="95"/>
        <v>PJ/yr.</v>
      </c>
      <c r="F107" s="1">
        <f t="shared" ref="F107:K107" si="115">F91-F123</f>
        <v>1.8392044137978833E-2</v>
      </c>
      <c r="G107" s="1">
        <f t="shared" si="115"/>
        <v>1.6013042476643015E-2</v>
      </c>
      <c r="H107" s="1">
        <f t="shared" si="115"/>
        <v>1.7338798224034304E-2</v>
      </c>
      <c r="I107" s="1">
        <f t="shared" si="115"/>
        <v>1.1951830976644848E-2</v>
      </c>
      <c r="J107" s="1">
        <f t="shared" si="115"/>
        <v>9.211280034146516E-3</v>
      </c>
      <c r="K107" s="1">
        <f t="shared" si="115"/>
        <v>4.2660434216583174E-3</v>
      </c>
      <c r="L107" s="1">
        <f t="shared" ref="L107:O107" si="116">L91-L123</f>
        <v>0</v>
      </c>
      <c r="M107" s="1">
        <f t="shared" si="116"/>
        <v>0</v>
      </c>
      <c r="N107" s="1">
        <f t="shared" si="116"/>
        <v>2.1787560317561641E-4</v>
      </c>
      <c r="O107" s="1">
        <f t="shared" si="116"/>
        <v>4.2457339582787496E-4</v>
      </c>
      <c r="P107" s="1">
        <f t="shared" si="98"/>
        <v>1.8897578252357709E-3</v>
      </c>
      <c r="Q107" s="1">
        <f t="shared" si="98"/>
        <v>3.114115869587375E-3</v>
      </c>
      <c r="S107" s="3"/>
    </row>
    <row r="108" spans="1:19" x14ac:dyDescent="0.5">
      <c r="A108" s="5" t="str">
        <f t="shared" si="92"/>
        <v>STEM</v>
      </c>
      <c r="B108" s="5" t="str">
        <f t="shared" si="93"/>
        <v>SPS1</v>
      </c>
      <c r="C108" s="5" t="str">
        <f t="shared" si="94"/>
        <v>CH</v>
      </c>
      <c r="D108" t="s">
        <v>561</v>
      </c>
      <c r="E108" t="str">
        <f t="shared" si="95"/>
        <v>PJ/yr.</v>
      </c>
      <c r="F108" s="1">
        <f t="shared" ref="F108:K108" si="117">F92-F124</f>
        <v>0</v>
      </c>
      <c r="G108" s="1">
        <f t="shared" si="117"/>
        <v>0</v>
      </c>
      <c r="H108" s="1">
        <f t="shared" si="117"/>
        <v>0</v>
      </c>
      <c r="I108" s="1">
        <f t="shared" si="117"/>
        <v>0</v>
      </c>
      <c r="J108" s="1">
        <f t="shared" si="117"/>
        <v>0</v>
      </c>
      <c r="K108" s="1">
        <f t="shared" si="117"/>
        <v>0</v>
      </c>
      <c r="L108" s="1">
        <f t="shared" ref="L108:O108" si="118">L92-L124</f>
        <v>0</v>
      </c>
      <c r="M108" s="1">
        <f t="shared" si="118"/>
        <v>0</v>
      </c>
      <c r="N108" s="1">
        <f t="shared" si="118"/>
        <v>1.3752165159155484E-4</v>
      </c>
      <c r="O108" s="1">
        <f t="shared" si="118"/>
        <v>3.3884978176682966E-4</v>
      </c>
      <c r="P108" s="1">
        <f t="shared" si="98"/>
        <v>5.0847430409823365E-4</v>
      </c>
      <c r="Q108" s="1">
        <f t="shared" si="98"/>
        <v>1.5105447245198616E-3</v>
      </c>
      <c r="S108" s="3"/>
    </row>
    <row r="109" spans="1:19" x14ac:dyDescent="0.5">
      <c r="A109" s="5" t="str">
        <f t="shared" si="92"/>
        <v>STEM</v>
      </c>
      <c r="B109" s="5" t="str">
        <f t="shared" si="93"/>
        <v>SPS1</v>
      </c>
      <c r="C109" s="5" t="str">
        <f t="shared" si="94"/>
        <v>CH</v>
      </c>
      <c r="D109" t="s">
        <v>562</v>
      </c>
      <c r="E109" t="str">
        <f>E185</f>
        <v>PJ/yr.</v>
      </c>
      <c r="F109" s="1">
        <f t="shared" ref="F109:K109" si="119">F93-F125</f>
        <v>2.9716452217446943E-2</v>
      </c>
      <c r="G109" s="1">
        <f t="shared" si="119"/>
        <v>3.5276426777973338E-2</v>
      </c>
      <c r="H109" s="1">
        <f t="shared" si="119"/>
        <v>0.14458490129121976</v>
      </c>
      <c r="I109" s="1">
        <f t="shared" si="119"/>
        <v>0.1458818523550591</v>
      </c>
      <c r="J109" s="1">
        <f t="shared" si="119"/>
        <v>0.13791128038139111</v>
      </c>
      <c r="K109" s="1">
        <f t="shared" si="119"/>
        <v>5.7387975490596613E-2</v>
      </c>
      <c r="L109" s="1">
        <f t="shared" ref="L109:O109" si="120">L93-L125</f>
        <v>0</v>
      </c>
      <c r="M109" s="1">
        <f t="shared" si="120"/>
        <v>0</v>
      </c>
      <c r="N109" s="1">
        <f t="shared" si="120"/>
        <v>4.4293621258334123E-4</v>
      </c>
      <c r="O109" s="1">
        <f t="shared" si="120"/>
        <v>3.915261421177374E-3</v>
      </c>
      <c r="P109" s="1">
        <f t="shared" si="98"/>
        <v>7.8567462744728173E-3</v>
      </c>
      <c r="Q109" s="1">
        <f t="shared" si="98"/>
        <v>1.9705278023910339E-2</v>
      </c>
      <c r="S109" s="3"/>
    </row>
    <row r="110" spans="1:19" x14ac:dyDescent="0.5">
      <c r="A110" s="5" t="str">
        <f t="shared" si="92"/>
        <v>STEM</v>
      </c>
      <c r="B110" s="5" t="str">
        <f t="shared" si="93"/>
        <v>SPS1</v>
      </c>
      <c r="C110" s="5" t="str">
        <f t="shared" si="94"/>
        <v>CH</v>
      </c>
      <c r="D110" t="s">
        <v>563</v>
      </c>
      <c r="E110" t="str">
        <f>E187</f>
        <v>PJ/yr.</v>
      </c>
      <c r="F110" s="1">
        <f t="shared" ref="F110:K110" si="121">F94-F126</f>
        <v>0</v>
      </c>
      <c r="G110" s="1">
        <f t="shared" si="121"/>
        <v>0</v>
      </c>
      <c r="H110" s="1">
        <f t="shared" si="121"/>
        <v>0</v>
      </c>
      <c r="I110" s="1">
        <f t="shared" si="121"/>
        <v>0</v>
      </c>
      <c r="J110" s="1">
        <f t="shared" si="121"/>
        <v>0</v>
      </c>
      <c r="K110" s="1">
        <f t="shared" si="121"/>
        <v>0</v>
      </c>
      <c r="L110" s="1">
        <f t="shared" ref="L110:O110" si="122">L94-L126</f>
        <v>0</v>
      </c>
      <c r="M110" s="1">
        <f t="shared" si="122"/>
        <v>0</v>
      </c>
      <c r="N110" s="1">
        <f t="shared" si="122"/>
        <v>3.5470709161168103E-4</v>
      </c>
      <c r="O110" s="1">
        <f t="shared" si="122"/>
        <v>7.577089085658191E-4</v>
      </c>
      <c r="P110" s="1">
        <f t="shared" si="98"/>
        <v>1.3728050801909038E-3</v>
      </c>
      <c r="Q110" s="1">
        <f t="shared" si="98"/>
        <v>4.4859307148986879E-3</v>
      </c>
      <c r="S110" s="3"/>
    </row>
    <row r="111" spans="1:19" x14ac:dyDescent="0.5">
      <c r="A111" s="5" t="str">
        <f t="shared" si="92"/>
        <v>STEM</v>
      </c>
      <c r="B111" s="5" t="str">
        <f t="shared" si="93"/>
        <v>SPS1</v>
      </c>
      <c r="C111" s="5" t="str">
        <f t="shared" si="94"/>
        <v>CH</v>
      </c>
      <c r="D111" t="s">
        <v>564</v>
      </c>
      <c r="E111" t="str">
        <f>E189</f>
        <v>PJ/yr.</v>
      </c>
      <c r="F111" s="1">
        <f t="shared" ref="F111:K111" si="123">F95-F127</f>
        <v>0</v>
      </c>
      <c r="G111" s="1">
        <f t="shared" si="123"/>
        <v>0</v>
      </c>
      <c r="H111" s="1">
        <f t="shared" si="123"/>
        <v>0</v>
      </c>
      <c r="I111" s="1">
        <f t="shared" si="123"/>
        <v>0</v>
      </c>
      <c r="J111" s="1">
        <f t="shared" si="123"/>
        <v>0</v>
      </c>
      <c r="K111" s="1">
        <f t="shared" si="123"/>
        <v>0</v>
      </c>
      <c r="L111" s="1">
        <f t="shared" ref="L111:O111" si="124">L95-L127</f>
        <v>0</v>
      </c>
      <c r="M111" s="1">
        <f t="shared" si="124"/>
        <v>0</v>
      </c>
      <c r="N111" s="1">
        <f t="shared" si="124"/>
        <v>0</v>
      </c>
      <c r="O111" s="1">
        <f t="shared" si="124"/>
        <v>0</v>
      </c>
      <c r="P111" s="1">
        <f t="shared" si="98"/>
        <v>0</v>
      </c>
      <c r="Q111" s="1">
        <f t="shared" si="98"/>
        <v>0</v>
      </c>
      <c r="S111" s="3"/>
    </row>
    <row r="112" spans="1:19" x14ac:dyDescent="0.5">
      <c r="A112" s="5" t="str">
        <f t="shared" si="92"/>
        <v>STEM</v>
      </c>
      <c r="B112" s="5" t="str">
        <f t="shared" si="93"/>
        <v>SPS1</v>
      </c>
      <c r="C112" s="5" t="str">
        <f t="shared" si="94"/>
        <v>CH</v>
      </c>
      <c r="D112" t="s">
        <v>565</v>
      </c>
      <c r="E112" t="str">
        <f>E190</f>
        <v>PJ/yr.</v>
      </c>
      <c r="F112" s="1">
        <f t="shared" ref="F112:K112" si="125">F96-F128</f>
        <v>0.57905211155889491</v>
      </c>
      <c r="G112" s="1">
        <f t="shared" si="125"/>
        <v>0.60128539742407261</v>
      </c>
      <c r="H112" s="1">
        <f t="shared" si="125"/>
        <v>0.77613027577524818</v>
      </c>
      <c r="I112" s="1">
        <f t="shared" si="125"/>
        <v>0.68178956589092388</v>
      </c>
      <c r="J112" s="1">
        <f t="shared" si="125"/>
        <v>0.58262913984410081</v>
      </c>
      <c r="K112" s="1">
        <f t="shared" si="125"/>
        <v>0.27800138231046367</v>
      </c>
      <c r="L112" s="1">
        <f t="shared" ref="L112:O112" si="126">L96-L128</f>
        <v>0</v>
      </c>
      <c r="M112" s="1">
        <f t="shared" si="126"/>
        <v>0</v>
      </c>
      <c r="N112" s="1">
        <f t="shared" si="126"/>
        <v>2.6888810791148021E-4</v>
      </c>
      <c r="O112" s="1">
        <f t="shared" si="126"/>
        <v>4.3648816072637542E-4</v>
      </c>
      <c r="P112" s="1">
        <f t="shared" si="98"/>
        <v>1.0202836600495535E-3</v>
      </c>
      <c r="Q112" s="1">
        <f t="shared" si="98"/>
        <v>2.4848389316971982E-3</v>
      </c>
      <c r="S112" s="3"/>
    </row>
    <row r="113" spans="1:19" x14ac:dyDescent="0.5">
      <c r="A113" s="5" t="str">
        <f t="shared" si="92"/>
        <v>STEM</v>
      </c>
      <c r="B113" s="5" t="str">
        <f t="shared" si="93"/>
        <v>SPS1</v>
      </c>
      <c r="C113" s="5" t="str">
        <f t="shared" si="94"/>
        <v>CH</v>
      </c>
      <c r="D113" t="s">
        <v>566</v>
      </c>
      <c r="E113" t="str">
        <f>E195</f>
        <v>PJ/yr.</v>
      </c>
      <c r="F113" s="1">
        <f t="shared" ref="F113:K113" si="127">F97-F129</f>
        <v>0</v>
      </c>
      <c r="G113" s="1">
        <f t="shared" si="127"/>
        <v>0</v>
      </c>
      <c r="H113" s="1">
        <f>H97-H129</f>
        <v>0</v>
      </c>
      <c r="I113" s="1">
        <f t="shared" si="127"/>
        <v>0</v>
      </c>
      <c r="J113" s="1">
        <f t="shared" si="127"/>
        <v>0</v>
      </c>
      <c r="K113" s="1">
        <f t="shared" si="127"/>
        <v>0</v>
      </c>
      <c r="L113" s="1">
        <f t="shared" ref="L113:O113" si="128">L97-L129</f>
        <v>0</v>
      </c>
      <c r="M113" s="1">
        <f t="shared" si="128"/>
        <v>0</v>
      </c>
      <c r="N113" s="1">
        <f t="shared" si="128"/>
        <v>1.4754544191275358E-4</v>
      </c>
      <c r="O113" s="1">
        <f t="shared" si="128"/>
        <v>2.6477862587431181E-4</v>
      </c>
      <c r="P113" s="1">
        <f t="shared" si="98"/>
        <v>6.6877330942581928E-4</v>
      </c>
      <c r="Q113" s="1">
        <f t="shared" si="98"/>
        <v>2.1349065469103111E-3</v>
      </c>
      <c r="S113" s="3"/>
    </row>
    <row r="114" spans="1:19" x14ac:dyDescent="0.5">
      <c r="A114" s="5" t="str">
        <f>A97</f>
        <v>STEM</v>
      </c>
      <c r="B114" s="5" t="str">
        <f>B97</f>
        <v>SPS1</v>
      </c>
      <c r="C114" s="5" t="str">
        <f>C97</f>
        <v>CH</v>
      </c>
      <c r="D114" t="s">
        <v>798</v>
      </c>
      <c r="E114" t="str">
        <f>E97</f>
        <v>PJ/yr.</v>
      </c>
      <c r="F114" s="1">
        <f>SUM(F115:F129)</f>
        <v>1.0184837542344876</v>
      </c>
      <c r="G114" s="1">
        <f t="shared" ref="G114:Q114" si="129">SUM(G115:G129)</f>
        <v>1.137236240814717</v>
      </c>
      <c r="H114" s="1">
        <f t="shared" si="129"/>
        <v>1.1454507920304418</v>
      </c>
      <c r="I114" s="1">
        <f t="shared" si="129"/>
        <v>1.1225191563654882</v>
      </c>
      <c r="J114" s="1">
        <f t="shared" si="129"/>
        <v>1.1825208680607031</v>
      </c>
      <c r="K114" s="1">
        <f t="shared" si="129"/>
        <v>1.2240192505685701</v>
      </c>
      <c r="L114" s="1">
        <f t="shared" si="129"/>
        <v>1.1949048688224038</v>
      </c>
      <c r="M114" s="1">
        <f t="shared" si="129"/>
        <v>1.6596243810441118</v>
      </c>
      <c r="N114" s="1">
        <f t="shared" si="129"/>
        <v>2.9992933359519283</v>
      </c>
      <c r="O114" s="1">
        <f t="shared" si="129"/>
        <v>4.1305398426508404</v>
      </c>
      <c r="P114" s="1">
        <f t="shared" si="129"/>
        <v>4.3284739092194675</v>
      </c>
      <c r="Q114" s="1">
        <f t="shared" si="129"/>
        <v>4.8106873842245141</v>
      </c>
      <c r="S114" s="3"/>
    </row>
    <row r="115" spans="1:19" x14ac:dyDescent="0.5">
      <c r="A115" s="5" t="str">
        <f t="shared" si="68"/>
        <v>STEM</v>
      </c>
      <c r="B115" s="5" t="str">
        <f t="shared" si="69"/>
        <v>SPS1</v>
      </c>
      <c r="C115" s="5" t="str">
        <f t="shared" si="70"/>
        <v>CH</v>
      </c>
      <c r="D115" t="s">
        <v>613</v>
      </c>
      <c r="E115" t="str">
        <f t="shared" ref="E115:E130" si="130">E114</f>
        <v>PJ/yr.</v>
      </c>
      <c r="F115" s="1">
        <f>'[1]Electricity and CHPs_IN'!P$23/SUM('[1]Electricity and CHPs_IN'!P$22:P$23)*F83</f>
        <v>0</v>
      </c>
      <c r="G115" s="1">
        <f>'[1]Electricity and CHPs_IN'!Q$23/SUM('[1]Electricity and CHPs_IN'!Q$22:Q$23)*G83</f>
        <v>0</v>
      </c>
      <c r="H115" s="1">
        <f>'[1]Electricity and CHPs_IN'!R$23/SUM('[1]Electricity and CHPs_IN'!R$22:R$23)*H83</f>
        <v>0</v>
      </c>
      <c r="I115" s="1">
        <f>'[1]Electricity and CHPs_IN'!S$23/SUM('[1]Electricity and CHPs_IN'!S$22:S$23)*I83</f>
        <v>0</v>
      </c>
      <c r="J115" s="1">
        <f>'[1]Electricity and CHPs_IN'!T$23/SUM('[1]Electricity and CHPs_IN'!T$22:T$23)*J83</f>
        <v>0</v>
      </c>
      <c r="K115" s="1">
        <f>'[1]Electricity and CHPs_IN'!U$23/SUM('[1]Electricity and CHPs_IN'!U$22:U$23)*K83</f>
        <v>5.9337471266597121E-5</v>
      </c>
      <c r="L115" s="1">
        <f>'[1]Electricity and CHPs_IN'!V$23/SUM('[1]Electricity and CHPs_IN'!V$22:V$23)*L83</f>
        <v>4.6826056887677345E-4</v>
      </c>
      <c r="M115" s="1">
        <f>'[1]Electricity and CHPs_IN'!W$23/SUM('[1]Electricity and CHPs_IN'!W$22:W$23)*M83</f>
        <v>5.5061350388377651E-3</v>
      </c>
      <c r="N115" s="1">
        <f>'[1]Electricity and CHPs_IN'!X$23/SUM('[1]Electricity and CHPs_IN'!X$22:X$23)*N83</f>
        <v>6.0690001739372584E-3</v>
      </c>
      <c r="O115" s="1">
        <f>'[1]Electricity and CHPs_IN'!Y$23/SUM('[1]Electricity and CHPs_IN'!Y$22:Y$23)*O83</f>
        <v>5.7151404939821534E-3</v>
      </c>
      <c r="P115" s="1">
        <f>'[1]Electricity and CHPs_IN'!Z$23/SUM('[1]Electricity and CHPs_IN'!Z$22:Z$23)*P83</f>
        <v>8.0790327632119276E-3</v>
      </c>
      <c r="Q115" s="1">
        <f>'[1]Electricity and CHPs_IN'!AA$23/SUM('[1]Electricity and CHPs_IN'!AA$22:AA$23)*Q83</f>
        <v>1.1098894143398891E-2</v>
      </c>
      <c r="S115" s="3"/>
    </row>
    <row r="116" spans="1:19" x14ac:dyDescent="0.5">
      <c r="A116" s="5" t="str">
        <f t="shared" si="68"/>
        <v>STEM</v>
      </c>
      <c r="B116" s="5" t="str">
        <f t="shared" si="69"/>
        <v>SPS1</v>
      </c>
      <c r="C116" s="5" t="str">
        <f t="shared" si="70"/>
        <v>CH</v>
      </c>
      <c r="D116" t="s">
        <v>614</v>
      </c>
      <c r="E116" t="str">
        <f t="shared" si="130"/>
        <v>PJ/yr.</v>
      </c>
      <c r="F116" s="1">
        <f>'[1]Electricity and CHPs_IN'!P$23/SUM('[1]Electricity and CHPs_IN'!P$22:P$23)*F84</f>
        <v>0</v>
      </c>
      <c r="G116" s="1">
        <f>'[1]Electricity and CHPs_IN'!Q$23/SUM('[1]Electricity and CHPs_IN'!Q$22:Q$23)*G84</f>
        <v>0</v>
      </c>
      <c r="H116" s="1">
        <f>'[1]Electricity and CHPs_IN'!R$23/SUM('[1]Electricity and CHPs_IN'!R$22:R$23)*H84</f>
        <v>0</v>
      </c>
      <c r="I116" s="1">
        <f>'[1]Electricity and CHPs_IN'!S$23/SUM('[1]Electricity and CHPs_IN'!S$22:S$23)*I84</f>
        <v>0</v>
      </c>
      <c r="J116" s="1">
        <f>'[1]Electricity and CHPs_IN'!T$23/SUM('[1]Electricity and CHPs_IN'!T$22:T$23)*J84</f>
        <v>0</v>
      </c>
      <c r="K116" s="1">
        <f>'[1]Electricity and CHPs_IN'!U$23/SUM('[1]Electricity and CHPs_IN'!U$22:U$23)*K84</f>
        <v>1.7400081766864749E-5</v>
      </c>
      <c r="L116" s="1">
        <f>'[1]Electricity and CHPs_IN'!V$23/SUM('[1]Electricity and CHPs_IN'!V$22:V$23)*L84</f>
        <v>1.6580306087697394E-4</v>
      </c>
      <c r="M116" s="1">
        <f>'[1]Electricity and CHPs_IN'!W$23/SUM('[1]Electricity and CHPs_IN'!W$22:W$23)*M84</f>
        <v>5.3872762196606741E-3</v>
      </c>
      <c r="N116" s="1">
        <f>'[1]Electricity and CHPs_IN'!X$23/SUM('[1]Electricity and CHPs_IN'!X$22:X$23)*N84</f>
        <v>5.3237921622080846E-3</v>
      </c>
      <c r="O116" s="1">
        <f>'[1]Electricity and CHPs_IN'!Y$23/SUM('[1]Electricity and CHPs_IN'!Y$22:Y$23)*O84</f>
        <v>4.3644005733838118E-3</v>
      </c>
      <c r="P116" s="1">
        <f>'[1]Electricity and CHPs_IN'!Z$23/SUM('[1]Electricity and CHPs_IN'!Z$22:Z$23)*P84</f>
        <v>5.5230988598375897E-3</v>
      </c>
      <c r="Q116" s="1">
        <f>'[1]Electricity and CHPs_IN'!AA$23/SUM('[1]Electricity and CHPs_IN'!AA$22:AA$23)*Q84</f>
        <v>9.1494379697081071E-3</v>
      </c>
      <c r="S116" s="3"/>
    </row>
    <row r="117" spans="1:19" x14ac:dyDescent="0.5">
      <c r="A117" s="5" t="str">
        <f t="shared" si="68"/>
        <v>STEM</v>
      </c>
      <c r="B117" s="5" t="str">
        <f t="shared" si="69"/>
        <v>SPS1</v>
      </c>
      <c r="C117" s="5" t="str">
        <f t="shared" si="70"/>
        <v>CH</v>
      </c>
      <c r="D117" t="s">
        <v>615</v>
      </c>
      <c r="E117" t="str">
        <f t="shared" si="130"/>
        <v>PJ/yr.</v>
      </c>
      <c r="F117" s="1">
        <f>'[1]Electricity and CHPs_IN'!P$23/SUM('[1]Electricity and CHPs_IN'!P$22:P$23)*F85</f>
        <v>0</v>
      </c>
      <c r="G117" s="1">
        <f>'[1]Electricity and CHPs_IN'!Q$23/SUM('[1]Electricity and CHPs_IN'!Q$22:Q$23)*G85</f>
        <v>0</v>
      </c>
      <c r="H117" s="1">
        <f>'[1]Electricity and CHPs_IN'!R$23/SUM('[1]Electricity and CHPs_IN'!R$22:R$23)*H85</f>
        <v>0</v>
      </c>
      <c r="I117" s="1">
        <f>'[1]Electricity and CHPs_IN'!S$23/SUM('[1]Electricity and CHPs_IN'!S$22:S$23)*I85</f>
        <v>0</v>
      </c>
      <c r="J117" s="1">
        <f>'[1]Electricity and CHPs_IN'!T$23/SUM('[1]Electricity and CHPs_IN'!T$22:T$23)*J85</f>
        <v>0</v>
      </c>
      <c r="K117" s="1">
        <f>'[1]Electricity and CHPs_IN'!U$23/SUM('[1]Electricity and CHPs_IN'!U$22:U$23)*K85</f>
        <v>0</v>
      </c>
      <c r="L117" s="1">
        <f>'[1]Electricity and CHPs_IN'!V$23/SUM('[1]Electricity and CHPs_IN'!V$22:V$23)*L85</f>
        <v>4.8347016104155206E-4</v>
      </c>
      <c r="M117" s="1">
        <f>'[1]Electricity and CHPs_IN'!W$23/SUM('[1]Electricity and CHPs_IN'!W$22:W$23)*M85</f>
        <v>1.1920996541354156E-2</v>
      </c>
      <c r="N117" s="1">
        <f>'[1]Electricity and CHPs_IN'!X$23/SUM('[1]Electricity and CHPs_IN'!X$22:X$23)*N85</f>
        <v>1.1473267992285447</v>
      </c>
      <c r="O117" s="1">
        <f>'[1]Electricity and CHPs_IN'!Y$23/SUM('[1]Electricity and CHPs_IN'!Y$22:Y$23)*O85</f>
        <v>2.2353648249021587</v>
      </c>
      <c r="P117" s="1">
        <f>'[1]Electricity and CHPs_IN'!Z$23/SUM('[1]Electricity and CHPs_IN'!Z$22:Z$23)*P85</f>
        <v>2.1801530789579981</v>
      </c>
      <c r="Q117" s="1">
        <f>'[1]Electricity and CHPs_IN'!AA$23/SUM('[1]Electricity and CHPs_IN'!AA$22:AA$23)*Q85</f>
        <v>2.0969500307891282</v>
      </c>
      <c r="S117" s="3"/>
    </row>
    <row r="118" spans="1:19" x14ac:dyDescent="0.5">
      <c r="A118" s="5" t="str">
        <f t="shared" si="68"/>
        <v>STEM</v>
      </c>
      <c r="B118" s="5" t="str">
        <f t="shared" si="69"/>
        <v>SPS1</v>
      </c>
      <c r="C118" s="5" t="str">
        <f t="shared" si="70"/>
        <v>CH</v>
      </c>
      <c r="D118" t="s">
        <v>616</v>
      </c>
      <c r="E118" t="str">
        <f t="shared" si="130"/>
        <v>PJ/yr.</v>
      </c>
      <c r="F118" s="1">
        <f>'[1]Electricity and CHPs_IN'!P$23/SUM('[1]Electricity and CHPs_IN'!P$22:P$23)*F86</f>
        <v>2.5024181605157344E-2</v>
      </c>
      <c r="G118" s="1">
        <f>'[1]Electricity and CHPs_IN'!Q$23/SUM('[1]Electricity and CHPs_IN'!Q$22:Q$23)*G86</f>
        <v>3.9498546594084102E-5</v>
      </c>
      <c r="H118" s="1">
        <f>'[1]Electricity and CHPs_IN'!R$23/SUM('[1]Electricity and CHPs_IN'!R$22:R$23)*H86</f>
        <v>2.2705353307922335E-4</v>
      </c>
      <c r="I118" s="1">
        <f>'[1]Electricity and CHPs_IN'!S$23/SUM('[1]Electricity and CHPs_IN'!S$22:S$23)*I86</f>
        <v>0</v>
      </c>
      <c r="J118" s="1">
        <f>'[1]Electricity and CHPs_IN'!T$23/SUM('[1]Electricity and CHPs_IN'!T$22:T$23)*J86</f>
        <v>0</v>
      </c>
      <c r="K118" s="1">
        <f>'[1]Electricity and CHPs_IN'!U$23/SUM('[1]Electricity and CHPs_IN'!U$22:U$23)*K86</f>
        <v>0</v>
      </c>
      <c r="L118" s="1">
        <f>'[1]Electricity and CHPs_IN'!V$23/SUM('[1]Electricity and CHPs_IN'!V$22:V$23)*L86</f>
        <v>0</v>
      </c>
      <c r="M118" s="1">
        <f>'[1]Electricity and CHPs_IN'!W$23/SUM('[1]Electricity and CHPs_IN'!W$22:W$23)*M86</f>
        <v>0</v>
      </c>
      <c r="N118" s="1">
        <f>'[1]Electricity and CHPs_IN'!X$23/SUM('[1]Electricity and CHPs_IN'!X$22:X$23)*N86</f>
        <v>0</v>
      </c>
      <c r="O118" s="1">
        <f>'[1]Electricity and CHPs_IN'!Y$23/SUM('[1]Electricity and CHPs_IN'!Y$22:Y$23)*O86</f>
        <v>0</v>
      </c>
      <c r="P118" s="1">
        <f>'[1]Electricity and CHPs_IN'!Z$23/SUM('[1]Electricity and CHPs_IN'!Z$22:Z$23)*P86</f>
        <v>0</v>
      </c>
      <c r="Q118" s="1">
        <f>'[1]Electricity and CHPs_IN'!AA$23/SUM('[1]Electricity and CHPs_IN'!AA$22:AA$23)*Q86</f>
        <v>0</v>
      </c>
      <c r="S118" s="3"/>
    </row>
    <row r="119" spans="1:19" x14ac:dyDescent="0.5">
      <c r="A119" s="5" t="str">
        <f t="shared" si="68"/>
        <v>STEM</v>
      </c>
      <c r="B119" s="5" t="str">
        <f t="shared" si="69"/>
        <v>SPS1</v>
      </c>
      <c r="C119" s="5" t="str">
        <f t="shared" si="70"/>
        <v>CH</v>
      </c>
      <c r="D119" t="s">
        <v>617</v>
      </c>
      <c r="E119" t="str">
        <f t="shared" si="130"/>
        <v>PJ/yr.</v>
      </c>
      <c r="F119" s="1">
        <f>'[1]Electricity and CHPs_IN'!P$23/SUM('[1]Electricity and CHPs_IN'!P$22:P$23)*F87</f>
        <v>0</v>
      </c>
      <c r="G119" s="1">
        <f>'[1]Electricity and CHPs_IN'!Q$23/SUM('[1]Electricity and CHPs_IN'!Q$22:Q$23)*G87</f>
        <v>0</v>
      </c>
      <c r="H119" s="1">
        <f>'[1]Electricity and CHPs_IN'!R$23/SUM('[1]Electricity and CHPs_IN'!R$22:R$23)*H87</f>
        <v>0</v>
      </c>
      <c r="I119" s="1">
        <f>'[1]Electricity and CHPs_IN'!S$23/SUM('[1]Electricity and CHPs_IN'!S$22:S$23)*I87</f>
        <v>0</v>
      </c>
      <c r="J119" s="1">
        <f>'[1]Electricity and CHPs_IN'!T$23/SUM('[1]Electricity and CHPs_IN'!T$22:T$23)*J87</f>
        <v>0</v>
      </c>
      <c r="K119" s="1">
        <f>'[1]Electricity and CHPs_IN'!U$23/SUM('[1]Electricity and CHPs_IN'!U$22:U$23)*K87</f>
        <v>0</v>
      </c>
      <c r="L119" s="1">
        <f>'[1]Electricity and CHPs_IN'!V$23/SUM('[1]Electricity and CHPs_IN'!V$22:V$23)*L87</f>
        <v>0</v>
      </c>
      <c r="M119" s="1">
        <f>'[1]Electricity and CHPs_IN'!W$23/SUM('[1]Electricity and CHPs_IN'!W$22:W$23)*M87</f>
        <v>0</v>
      </c>
      <c r="N119" s="1">
        <f>'[1]Electricity and CHPs_IN'!X$23/SUM('[1]Electricity and CHPs_IN'!X$22:X$23)*N87</f>
        <v>0</v>
      </c>
      <c r="O119" s="1">
        <f>'[1]Electricity and CHPs_IN'!Y$23/SUM('[1]Electricity and CHPs_IN'!Y$22:Y$23)*O87</f>
        <v>0</v>
      </c>
      <c r="P119" s="1">
        <f>'[1]Electricity and CHPs_IN'!Z$23/SUM('[1]Electricity and CHPs_IN'!Z$22:Z$23)*P87</f>
        <v>0</v>
      </c>
      <c r="Q119" s="1">
        <f>'[1]Electricity and CHPs_IN'!AA$23/SUM('[1]Electricity and CHPs_IN'!AA$22:AA$23)*Q87</f>
        <v>0</v>
      </c>
      <c r="S119" s="3"/>
    </row>
    <row r="120" spans="1:19" x14ac:dyDescent="0.5">
      <c r="A120" s="5" t="str">
        <f t="shared" si="68"/>
        <v>STEM</v>
      </c>
      <c r="B120" s="5" t="str">
        <f t="shared" si="69"/>
        <v>SPS1</v>
      </c>
      <c r="C120" s="5" t="str">
        <f t="shared" si="70"/>
        <v>CH</v>
      </c>
      <c r="D120" t="s">
        <v>618</v>
      </c>
      <c r="E120" t="str">
        <f t="shared" si="130"/>
        <v>PJ/yr.</v>
      </c>
      <c r="F120" s="1">
        <f>'[1]Electricity and CHPs_IN'!P$23/SUM('[1]Electricity and CHPs_IN'!P$22:P$23)*F88</f>
        <v>1.7358398374182533E-2</v>
      </c>
      <c r="G120" s="1">
        <f>'[1]Electricity and CHPs_IN'!Q$23/SUM('[1]Electricity and CHPs_IN'!Q$22:Q$23)*G88</f>
        <v>3.4483232144006952E-3</v>
      </c>
      <c r="H120" s="1">
        <f>'[1]Electricity and CHPs_IN'!R$23/SUM('[1]Electricity and CHPs_IN'!R$22:R$23)*H88</f>
        <v>1.7666697847660844E-3</v>
      </c>
      <c r="I120" s="1">
        <f>'[1]Electricity and CHPs_IN'!S$23/SUM('[1]Electricity and CHPs_IN'!S$22:S$23)*I88</f>
        <v>6.5804554475147039E-4</v>
      </c>
      <c r="J120" s="1">
        <f>'[1]Electricity and CHPs_IN'!T$23/SUM('[1]Electricity and CHPs_IN'!T$22:T$23)*J88</f>
        <v>2.2107829648087461E-2</v>
      </c>
      <c r="K120" s="1">
        <f>'[1]Electricity and CHPs_IN'!U$23/SUM('[1]Electricity and CHPs_IN'!U$22:U$23)*K88</f>
        <v>5.0233465371155368E-2</v>
      </c>
      <c r="L120" s="1">
        <f>'[1]Electricity and CHPs_IN'!V$23/SUM('[1]Electricity and CHPs_IN'!V$22:V$23)*L88</f>
        <v>6.023391567526E-2</v>
      </c>
      <c r="M120" s="1">
        <f>'[1]Electricity and CHPs_IN'!W$23/SUM('[1]Electricity and CHPs_IN'!W$22:W$23)*M88</f>
        <v>0.30906099755240085</v>
      </c>
      <c r="N120" s="1">
        <f>'[1]Electricity and CHPs_IN'!X$23/SUM('[1]Electricity and CHPs_IN'!X$22:X$23)*N88</f>
        <v>0.40670654505501064</v>
      </c>
      <c r="O120" s="1">
        <f>'[1]Electricity and CHPs_IN'!Y$23/SUM('[1]Electricity and CHPs_IN'!Y$22:Y$23)*O88</f>
        <v>0.38342140083558268</v>
      </c>
      <c r="P120" s="1">
        <f>'[1]Electricity and CHPs_IN'!Z$23/SUM('[1]Electricity and CHPs_IN'!Z$22:Z$23)*P88</f>
        <v>0.3944097396069981</v>
      </c>
      <c r="Q120" s="1">
        <f>'[1]Electricity and CHPs_IN'!AA$23/SUM('[1]Electricity and CHPs_IN'!AA$22:AA$23)*Q88</f>
        <v>0.38124815134604773</v>
      </c>
      <c r="S120" s="3"/>
    </row>
    <row r="121" spans="1:19" x14ac:dyDescent="0.5">
      <c r="A121" s="5" t="str">
        <f t="shared" si="68"/>
        <v>STEM</v>
      </c>
      <c r="B121" s="5" t="str">
        <f t="shared" si="69"/>
        <v>SPS1</v>
      </c>
      <c r="C121" s="5" t="str">
        <f t="shared" si="70"/>
        <v>CH</v>
      </c>
      <c r="D121" t="s">
        <v>619</v>
      </c>
      <c r="E121" t="str">
        <f t="shared" si="130"/>
        <v>PJ/yr.</v>
      </c>
      <c r="F121" s="1">
        <f>'[1]Electricity and CHPs_IN'!P$23/SUM('[1]Electricity and CHPs_IN'!P$22:P$23)*F89</f>
        <v>0</v>
      </c>
      <c r="G121" s="1">
        <f>'[1]Electricity and CHPs_IN'!Q$23/SUM('[1]Electricity and CHPs_IN'!Q$22:Q$23)*G89</f>
        <v>0</v>
      </c>
      <c r="H121" s="1">
        <f>'[1]Electricity and CHPs_IN'!R$23/SUM('[1]Electricity and CHPs_IN'!R$22:R$23)*H89</f>
        <v>0</v>
      </c>
      <c r="I121" s="1">
        <f>'[1]Electricity and CHPs_IN'!S$23/SUM('[1]Electricity and CHPs_IN'!S$22:S$23)*I89</f>
        <v>0</v>
      </c>
      <c r="J121" s="1">
        <f>'[1]Electricity and CHPs_IN'!T$23/SUM('[1]Electricity and CHPs_IN'!T$22:T$23)*J89</f>
        <v>0</v>
      </c>
      <c r="K121" s="1">
        <f>'[1]Electricity and CHPs_IN'!U$23/SUM('[1]Electricity and CHPs_IN'!U$22:U$23)*K89</f>
        <v>5.5968757856032379E-4</v>
      </c>
      <c r="L121" s="1">
        <f>'[1]Electricity and CHPs_IN'!V$23/SUM('[1]Electricity and CHPs_IN'!V$22:V$23)*L89</f>
        <v>2.2626603998011116E-3</v>
      </c>
      <c r="M121" s="1">
        <f>'[1]Electricity and CHPs_IN'!W$23/SUM('[1]Electricity and CHPs_IN'!W$22:W$23)*M89</f>
        <v>0.17875362951965634</v>
      </c>
      <c r="N121" s="1">
        <f>'[1]Electricity and CHPs_IN'!X$23/SUM('[1]Electricity and CHPs_IN'!X$22:X$23)*N89</f>
        <v>0.23516288521114304</v>
      </c>
      <c r="O121" s="1">
        <f>'[1]Electricity and CHPs_IN'!Y$23/SUM('[1]Electricity and CHPs_IN'!Y$22:Y$23)*O89</f>
        <v>0.22175512696246386</v>
      </c>
      <c r="P121" s="1">
        <f>'[1]Electricity and CHPs_IN'!Z$23/SUM('[1]Electricity and CHPs_IN'!Z$22:Z$23)*P89</f>
        <v>0.22810108589250183</v>
      </c>
      <c r="Q121" s="1">
        <f>'[1]Electricity and CHPs_IN'!AA$23/SUM('[1]Electricity and CHPs_IN'!AA$22:AA$23)*Q89</f>
        <v>0.22049209309284906</v>
      </c>
      <c r="S121" s="3"/>
    </row>
    <row r="122" spans="1:19" x14ac:dyDescent="0.5">
      <c r="A122" s="5" t="str">
        <f t="shared" si="68"/>
        <v>STEM</v>
      </c>
      <c r="B122" s="5" t="str">
        <f t="shared" si="69"/>
        <v>SPS1</v>
      </c>
      <c r="C122" s="5" t="str">
        <f t="shared" si="70"/>
        <v>CH</v>
      </c>
      <c r="D122" t="s">
        <v>620</v>
      </c>
      <c r="E122" t="str">
        <f t="shared" si="130"/>
        <v>PJ/yr.</v>
      </c>
      <c r="F122" s="1">
        <f>'[1]Electricity and CHPs_IN'!P$23/SUM('[1]Electricity and CHPs_IN'!P$22:P$23)*F90</f>
        <v>0</v>
      </c>
      <c r="G122" s="1">
        <f>'[1]Electricity and CHPs_IN'!Q$23/SUM('[1]Electricity and CHPs_IN'!Q$22:Q$23)*G90</f>
        <v>0</v>
      </c>
      <c r="H122" s="1">
        <f>'[1]Electricity and CHPs_IN'!R$23/SUM('[1]Electricity and CHPs_IN'!R$22:R$23)*H90</f>
        <v>0</v>
      </c>
      <c r="I122" s="1">
        <f>'[1]Electricity and CHPs_IN'!S$23/SUM('[1]Electricity and CHPs_IN'!S$22:S$23)*I90</f>
        <v>0</v>
      </c>
      <c r="J122" s="1">
        <f>'[1]Electricity and CHPs_IN'!T$23/SUM('[1]Electricity and CHPs_IN'!T$22:T$23)*J90</f>
        <v>2.5308829130117513E-4</v>
      </c>
      <c r="K122" s="1">
        <f>'[1]Electricity and CHPs_IN'!U$23/SUM('[1]Electricity and CHPs_IN'!U$22:U$23)*K90</f>
        <v>1.1743328124531019E-3</v>
      </c>
      <c r="L122" s="1">
        <f>'[1]Electricity and CHPs_IN'!V$23/SUM('[1]Electricity and CHPs_IN'!V$22:V$23)*L90</f>
        <v>3.222009223168175E-3</v>
      </c>
      <c r="M122" s="1">
        <f>'[1]Electricity and CHPs_IN'!W$23/SUM('[1]Electricity and CHPs_IN'!W$22:W$23)*M90</f>
        <v>6.0916437928638118E-3</v>
      </c>
      <c r="N122" s="1">
        <f>'[1]Electricity and CHPs_IN'!X$23/SUM('[1]Electricity and CHPs_IN'!X$22:X$23)*N90</f>
        <v>7.2615995868826706E-3</v>
      </c>
      <c r="O122" s="1">
        <f>'[1]Electricity and CHPs_IN'!Y$23/SUM('[1]Electricity and CHPs_IN'!Y$22:Y$23)*O90</f>
        <v>4.5488048809607237E-3</v>
      </c>
      <c r="P122" s="1">
        <f>'[1]Electricity and CHPs_IN'!Z$23/SUM('[1]Electricity and CHPs_IN'!Z$22:Z$23)*P90</f>
        <v>4.0360166211525729E-3</v>
      </c>
      <c r="Q122" s="1">
        <f>'[1]Electricity and CHPs_IN'!AA$23/SUM('[1]Electricity and CHPs_IN'!AA$22:AA$23)*Q90</f>
        <v>3.8000528058779958E-3</v>
      </c>
      <c r="S122" s="3"/>
    </row>
    <row r="123" spans="1:19" x14ac:dyDescent="0.5">
      <c r="A123" s="5" t="str">
        <f t="shared" si="68"/>
        <v>STEM</v>
      </c>
      <c r="B123" s="5" t="str">
        <f t="shared" si="69"/>
        <v>SPS1</v>
      </c>
      <c r="C123" s="5" t="str">
        <f t="shared" si="70"/>
        <v>CH</v>
      </c>
      <c r="D123" t="s">
        <v>621</v>
      </c>
      <c r="E123" t="str">
        <f t="shared" si="130"/>
        <v>PJ/yr.</v>
      </c>
      <c r="F123" s="1">
        <f>'[1]Electricity and CHPs_IN'!P$23/SUM('[1]Electricity and CHPs_IN'!P$22:P$23)*F91</f>
        <v>4.8916310194270193E-4</v>
      </c>
      <c r="G123" s="1">
        <f>'[1]Electricity and CHPs_IN'!Q$23/SUM('[1]Electricity and CHPs_IN'!Q$22:Q$23)*G91</f>
        <v>6.5698975465337209E-4</v>
      </c>
      <c r="H123" s="1">
        <f>'[1]Electricity and CHPs_IN'!R$23/SUM('[1]Electricity and CHPs_IN'!R$22:R$23)*H91</f>
        <v>5.4479493737468474E-4</v>
      </c>
      <c r="I123" s="1">
        <f>'[1]Electricity and CHPs_IN'!S$23/SUM('[1]Electricity and CHPs_IN'!S$22:S$23)*I91</f>
        <v>9.9754504340535813E-5</v>
      </c>
      <c r="J123" s="1">
        <f>'[1]Electricity and CHPs_IN'!T$23/SUM('[1]Electricity and CHPs_IN'!T$22:T$23)*J91</f>
        <v>5.7139658344566564E-4</v>
      </c>
      <c r="K123" s="1">
        <f>'[1]Electricity and CHPs_IN'!U$23/SUM('[1]Electricity and CHPs_IN'!U$22:U$23)*K91</f>
        <v>7.1679327987351344E-4</v>
      </c>
      <c r="L123" s="1">
        <f>'[1]Electricity and CHPs_IN'!V$23/SUM('[1]Electricity and CHPs_IN'!V$22:V$23)*L91</f>
        <v>0</v>
      </c>
      <c r="M123" s="1">
        <f>'[1]Electricity and CHPs_IN'!W$23/SUM('[1]Electricity and CHPs_IN'!W$22:W$23)*M91</f>
        <v>0</v>
      </c>
      <c r="N123" s="1">
        <f>'[1]Electricity and CHPs_IN'!X$23/SUM('[1]Electricity and CHPs_IN'!X$22:X$23)*N91</f>
        <v>6.7378439219691316E-3</v>
      </c>
      <c r="O123" s="1">
        <f>'[1]Electricity and CHPs_IN'!Y$23/SUM('[1]Electricity and CHPs_IN'!Y$22:Y$23)*O91</f>
        <v>9.1619003951953666E-3</v>
      </c>
      <c r="P123" s="1">
        <f>'[1]Electricity and CHPs_IN'!Z$23/SUM('[1]Electricity and CHPs_IN'!Z$22:Z$23)*P91</f>
        <v>2.7149738899375195E-2</v>
      </c>
      <c r="Q123" s="1">
        <f>'[1]Electricity and CHPs_IN'!AA$23/SUM('[1]Electricity and CHPs_IN'!AA$22:AA$23)*Q91</f>
        <v>2.9164676793946576E-2</v>
      </c>
      <c r="S123" s="3"/>
    </row>
    <row r="124" spans="1:19" x14ac:dyDescent="0.5">
      <c r="A124" s="5" t="str">
        <f t="shared" si="68"/>
        <v>STEM</v>
      </c>
      <c r="B124" s="5" t="str">
        <f t="shared" si="69"/>
        <v>SPS1</v>
      </c>
      <c r="C124" s="5" t="str">
        <f t="shared" si="70"/>
        <v>CH</v>
      </c>
      <c r="D124" t="s">
        <v>622</v>
      </c>
      <c r="E124" t="str">
        <f t="shared" si="130"/>
        <v>PJ/yr.</v>
      </c>
      <c r="F124" s="1">
        <f>'[1]Electricity and CHPs_IN'!P$23/SUM('[1]Electricity and CHPs_IN'!P$22:P$23)*F92</f>
        <v>0</v>
      </c>
      <c r="G124" s="1">
        <f>'[1]Electricity and CHPs_IN'!Q$23/SUM('[1]Electricity and CHPs_IN'!Q$22:Q$23)*G92</f>
        <v>0</v>
      </c>
      <c r="H124" s="1">
        <f>'[1]Electricity and CHPs_IN'!R$23/SUM('[1]Electricity and CHPs_IN'!R$22:R$23)*H92</f>
        <v>0</v>
      </c>
      <c r="I124" s="1">
        <f>'[1]Electricity and CHPs_IN'!S$23/SUM('[1]Electricity and CHPs_IN'!S$22:S$23)*I92</f>
        <v>0</v>
      </c>
      <c r="J124" s="1">
        <f>'[1]Electricity and CHPs_IN'!T$23/SUM('[1]Electricity and CHPs_IN'!T$22:T$23)*J92</f>
        <v>0</v>
      </c>
      <c r="K124" s="1">
        <f>'[1]Electricity and CHPs_IN'!U$23/SUM('[1]Electricity and CHPs_IN'!U$22:U$23)*K92</f>
        <v>0</v>
      </c>
      <c r="L124" s="1">
        <f>'[1]Electricity and CHPs_IN'!V$23/SUM('[1]Electricity and CHPs_IN'!V$22:V$23)*L92</f>
        <v>0</v>
      </c>
      <c r="M124" s="1">
        <f>'[1]Electricity and CHPs_IN'!W$23/SUM('[1]Electricity and CHPs_IN'!W$22:W$23)*M92</f>
        <v>0</v>
      </c>
      <c r="N124" s="1">
        <f>'[1]Electricity and CHPs_IN'!X$23/SUM('[1]Electricity and CHPs_IN'!X$22:X$23)*N92</f>
        <v>4.2528828873439157E-3</v>
      </c>
      <c r="O124" s="1">
        <f>'[1]Electricity and CHPs_IN'!Y$23/SUM('[1]Electricity and CHPs_IN'!Y$22:Y$23)*O92</f>
        <v>7.3120642508179264E-3</v>
      </c>
      <c r="P124" s="1">
        <f>'[1]Electricity and CHPs_IN'!Z$23/SUM('[1]Electricity and CHPs_IN'!Z$22:Z$23)*P92</f>
        <v>7.3051395310857825E-3</v>
      </c>
      <c r="Q124" s="1">
        <f>'[1]Electricity and CHPs_IN'!AA$23/SUM('[1]Electricity and CHPs_IN'!AA$22:AA$23)*Q92</f>
        <v>1.4146727520212706E-2</v>
      </c>
      <c r="S124" s="3"/>
    </row>
    <row r="125" spans="1:19" x14ac:dyDescent="0.5">
      <c r="A125" s="5" t="str">
        <f t="shared" si="68"/>
        <v>STEM</v>
      </c>
      <c r="B125" s="5" t="str">
        <f t="shared" si="69"/>
        <v>SPS1</v>
      </c>
      <c r="C125" s="5" t="str">
        <f t="shared" si="70"/>
        <v>CH</v>
      </c>
      <c r="D125" t="s">
        <v>623</v>
      </c>
      <c r="E125" t="str">
        <f t="shared" si="130"/>
        <v>PJ/yr.</v>
      </c>
      <c r="F125" s="1">
        <f>'[1]Electricity and CHPs_IN'!P$23/SUM('[1]Electricity and CHPs_IN'!P$22:P$23)*F93</f>
        <v>7.9035216729399737E-4</v>
      </c>
      <c r="G125" s="1">
        <f>'[1]Electricity and CHPs_IN'!Q$23/SUM('[1]Electricity and CHPs_IN'!Q$22:Q$23)*G93</f>
        <v>1.4473358830911585E-3</v>
      </c>
      <c r="H125" s="1">
        <f>'[1]Electricity and CHPs_IN'!R$23/SUM('[1]Electricity and CHPs_IN'!R$22:R$23)*H93</f>
        <v>4.5429401292119906E-3</v>
      </c>
      <c r="I125" s="1">
        <f>'[1]Electricity and CHPs_IN'!S$23/SUM('[1]Electricity and CHPs_IN'!S$22:S$23)*I93</f>
        <v>1.2175851467775131E-3</v>
      </c>
      <c r="J125" s="1">
        <f>'[1]Electricity and CHPs_IN'!T$23/SUM('[1]Electricity and CHPs_IN'!T$22:T$23)*J93</f>
        <v>8.5549493812393535E-3</v>
      </c>
      <c r="K125" s="1">
        <f>'[1]Electricity and CHPs_IN'!U$23/SUM('[1]Electricity and CHPs_IN'!U$22:U$23)*K93</f>
        <v>9.642498003739312E-3</v>
      </c>
      <c r="L125" s="1">
        <f>'[1]Electricity and CHPs_IN'!V$23/SUM('[1]Electricity and CHPs_IN'!V$22:V$23)*L93</f>
        <v>0</v>
      </c>
      <c r="M125" s="1">
        <f>'[1]Electricity and CHPs_IN'!W$23/SUM('[1]Electricity and CHPs_IN'!W$22:W$23)*M93</f>
        <v>0</v>
      </c>
      <c r="N125" s="1">
        <f>'[1]Electricity and CHPs_IN'!X$23/SUM('[1]Electricity and CHPs_IN'!X$22:X$23)*N93</f>
        <v>1.3697885510242837E-2</v>
      </c>
      <c r="O125" s="1">
        <f>'[1]Electricity and CHPs_IN'!Y$23/SUM('[1]Electricity and CHPs_IN'!Y$22:Y$23)*O93</f>
        <v>8.4487712877140742E-2</v>
      </c>
      <c r="P125" s="1">
        <f>'[1]Electricity and CHPs_IN'!Z$23/SUM('[1]Electricity and CHPs_IN'!Z$22:Z$23)*P93</f>
        <v>0.1128761617504946</v>
      </c>
      <c r="Q125" s="1">
        <f>'[1]Electricity and CHPs_IN'!AA$23/SUM('[1]Electricity and CHPs_IN'!AA$22:AA$23)*Q93</f>
        <v>0.18454614046790499</v>
      </c>
      <c r="S125" s="3"/>
    </row>
    <row r="126" spans="1:19" x14ac:dyDescent="0.5">
      <c r="A126" s="5" t="str">
        <f t="shared" si="68"/>
        <v>STEM</v>
      </c>
      <c r="B126" s="5" t="str">
        <f t="shared" si="69"/>
        <v>SPS1</v>
      </c>
      <c r="C126" s="5" t="str">
        <f t="shared" si="70"/>
        <v>CH</v>
      </c>
      <c r="D126" t="s">
        <v>624</v>
      </c>
      <c r="E126" t="str">
        <f t="shared" si="130"/>
        <v>PJ/yr.</v>
      </c>
      <c r="F126" s="1">
        <f>'[1]Electricity and CHPs_IN'!P$23/SUM('[1]Electricity and CHPs_IN'!P$22:P$23)*F94</f>
        <v>0</v>
      </c>
      <c r="G126" s="1">
        <f>'[1]Electricity and CHPs_IN'!Q$23/SUM('[1]Electricity and CHPs_IN'!Q$22:Q$23)*G94</f>
        <v>0</v>
      </c>
      <c r="H126" s="1">
        <f>'[1]Electricity and CHPs_IN'!R$23/SUM('[1]Electricity and CHPs_IN'!R$22:R$23)*H94</f>
        <v>0</v>
      </c>
      <c r="I126" s="1">
        <f>'[1]Electricity and CHPs_IN'!S$23/SUM('[1]Electricity and CHPs_IN'!S$22:S$23)*I94</f>
        <v>0</v>
      </c>
      <c r="J126" s="1">
        <f>'[1]Electricity and CHPs_IN'!T$23/SUM('[1]Electricity and CHPs_IN'!T$22:T$23)*J94</f>
        <v>0</v>
      </c>
      <c r="K126" s="1">
        <f>'[1]Electricity and CHPs_IN'!U$23/SUM('[1]Electricity and CHPs_IN'!U$22:U$23)*K94</f>
        <v>0</v>
      </c>
      <c r="L126" s="1">
        <f>'[1]Electricity and CHPs_IN'!V$23/SUM('[1]Electricity and CHPs_IN'!V$22:V$23)*L94</f>
        <v>0</v>
      </c>
      <c r="M126" s="1">
        <f>'[1]Electricity and CHPs_IN'!W$23/SUM('[1]Electricity and CHPs_IN'!W$22:W$23)*M94</f>
        <v>0</v>
      </c>
      <c r="N126" s="1">
        <f>'[1]Electricity and CHPs_IN'!X$23/SUM('[1]Electricity and CHPs_IN'!X$22:X$23)*N94</f>
        <v>1.0969383384190587E-2</v>
      </c>
      <c r="O126" s="1">
        <f>'[1]Electricity and CHPs_IN'!Y$23/SUM('[1]Electricity and CHPs_IN'!Y$22:Y$23)*O94</f>
        <v>1.6350656016248782E-2</v>
      </c>
      <c r="P126" s="1">
        <f>'[1]Electricity and CHPs_IN'!Z$23/SUM('[1]Electricity and CHPs_IN'!Z$22:Z$23)*P94</f>
        <v>1.9722791454650408E-2</v>
      </c>
      <c r="Q126" s="1">
        <f>'[1]Electricity and CHPs_IN'!AA$23/SUM('[1]Electricity and CHPs_IN'!AA$22:AA$23)*Q94</f>
        <v>4.2012155262993893E-2</v>
      </c>
      <c r="S126" s="3"/>
    </row>
    <row r="127" spans="1:19" x14ac:dyDescent="0.5">
      <c r="A127" s="5" t="str">
        <f t="shared" si="68"/>
        <v>STEM</v>
      </c>
      <c r="B127" s="5" t="str">
        <f t="shared" si="69"/>
        <v>SPS1</v>
      </c>
      <c r="C127" s="5" t="str">
        <f t="shared" si="70"/>
        <v>CH</v>
      </c>
      <c r="D127" t="s">
        <v>625</v>
      </c>
      <c r="E127" t="str">
        <f t="shared" si="130"/>
        <v>PJ/yr.</v>
      </c>
      <c r="F127" s="1">
        <f t="shared" ref="F127" si="131">F95</f>
        <v>0.95942092783543942</v>
      </c>
      <c r="G127" s="1">
        <f t="shared" ref="G127:Q127" si="132">G95</f>
        <v>1.1069743065028093</v>
      </c>
      <c r="H127" s="1">
        <f t="shared" si="132"/>
        <v>1.1139828773575073</v>
      </c>
      <c r="I127" s="1">
        <f t="shared" si="132"/>
        <v>1.1148532974386145</v>
      </c>
      <c r="J127" s="1">
        <f t="shared" si="132"/>
        <v>1.1148917977313888</v>
      </c>
      <c r="K127" s="1">
        <f t="shared" si="132"/>
        <v>1.1149051184397003</v>
      </c>
      <c r="L127" s="1">
        <f t="shared" si="132"/>
        <v>1.1280687497333792</v>
      </c>
      <c r="M127" s="1">
        <f t="shared" si="132"/>
        <v>1.1429037023793382</v>
      </c>
      <c r="N127" s="1">
        <f t="shared" si="132"/>
        <v>1.1429064331404066</v>
      </c>
      <c r="O127" s="1">
        <f t="shared" si="132"/>
        <v>1.1429251231291493</v>
      </c>
      <c r="P127" s="1">
        <f t="shared" si="132"/>
        <v>1.3168517114450387</v>
      </c>
      <c r="Q127" s="1">
        <f t="shared" si="132"/>
        <v>1.7748136513243538</v>
      </c>
      <c r="S127" s="3"/>
    </row>
    <row r="128" spans="1:19" x14ac:dyDescent="0.5">
      <c r="A128" s="5" t="str">
        <f t="shared" si="68"/>
        <v>STEM</v>
      </c>
      <c r="B128" s="5" t="str">
        <f t="shared" si="69"/>
        <v>SPS1</v>
      </c>
      <c r="C128" s="5" t="str">
        <f t="shared" si="70"/>
        <v>CH</v>
      </c>
      <c r="D128" t="s">
        <v>626</v>
      </c>
      <c r="E128" t="str">
        <f t="shared" si="130"/>
        <v>PJ/yr.</v>
      </c>
      <c r="F128" s="1">
        <f>'[1]Electricity and CHPs_IN'!P$23/SUM('[1]Electricity and CHPs_IN'!P$22:P$23)*F96</f>
        <v>1.5400731150471674E-2</v>
      </c>
      <c r="G128" s="1">
        <f>'[1]Electricity and CHPs_IN'!Q$23/SUM('[1]Electricity and CHPs_IN'!Q$22:Q$23)*G96</f>
        <v>2.4669786913168353E-2</v>
      </c>
      <c r="H128" s="1">
        <f>'[1]Electricity and CHPs_IN'!R$23/SUM('[1]Electricity and CHPs_IN'!R$22:R$23)*H96</f>
        <v>2.4386456288502254E-2</v>
      </c>
      <c r="I128" s="1">
        <f>'[1]Electricity and CHPs_IN'!S$23/SUM('[1]Electricity and CHPs_IN'!S$22:S$23)*I96</f>
        <v>5.6904737310040669E-3</v>
      </c>
      <c r="J128" s="1">
        <f>'[1]Electricity and CHPs_IN'!T$23/SUM('[1]Electricity and CHPs_IN'!T$22:T$23)*J96</f>
        <v>3.6141806425240515E-2</v>
      </c>
      <c r="K128" s="1">
        <f>'[1]Electricity and CHPs_IN'!U$23/SUM('[1]Electricity and CHPs_IN'!U$22:U$23)*K96</f>
        <v>4.6710617530054753E-2</v>
      </c>
      <c r="L128" s="1">
        <f>'[1]Electricity and CHPs_IN'!V$23/SUM('[1]Electricity and CHPs_IN'!V$22:V$23)*L96</f>
        <v>0</v>
      </c>
      <c r="M128" s="1">
        <f>'[1]Electricity and CHPs_IN'!W$23/SUM('[1]Electricity and CHPs_IN'!W$22:W$23)*M96</f>
        <v>0</v>
      </c>
      <c r="N128" s="1">
        <f>'[1]Electricity and CHPs_IN'!X$23/SUM('[1]Electricity and CHPs_IN'!X$22:X$23)*N96</f>
        <v>8.3154152056246003E-3</v>
      </c>
      <c r="O128" s="1">
        <f>'[1]Electricity and CHPs_IN'!Y$23/SUM('[1]Electricity and CHPs_IN'!Y$22:Y$23)*O96</f>
        <v>9.4190099793212533E-3</v>
      </c>
      <c r="P128" s="1">
        <f>'[1]Electricity and CHPs_IN'!Z$23/SUM('[1]Electricity and CHPs_IN'!Z$22:Z$23)*P96</f>
        <v>1.4658193025441361E-2</v>
      </c>
      <c r="Q128" s="1">
        <f>'[1]Electricity and CHPs_IN'!AA$23/SUM('[1]Electricity and CHPs_IN'!AA$22:AA$23)*Q96</f>
        <v>2.3271299901106973E-2</v>
      </c>
      <c r="S128" s="3"/>
    </row>
    <row r="129" spans="1:19" x14ac:dyDescent="0.5">
      <c r="A129" s="5" t="str">
        <f t="shared" si="68"/>
        <v>STEM</v>
      </c>
      <c r="B129" s="5" t="str">
        <f t="shared" si="69"/>
        <v>SPS1</v>
      </c>
      <c r="C129" s="5" t="str">
        <f t="shared" si="70"/>
        <v>CH</v>
      </c>
      <c r="D129" t="s">
        <v>627</v>
      </c>
      <c r="E129" t="str">
        <f t="shared" si="130"/>
        <v>PJ/yr.</v>
      </c>
      <c r="F129" s="1">
        <f>'[1]Electricity and CHPs_IN'!P$23/SUM('[1]Electricity and CHPs_IN'!P$22:P$23)*F97</f>
        <v>0</v>
      </c>
      <c r="G129" s="1">
        <f>'[1]Electricity and CHPs_IN'!Q$23/SUM('[1]Electricity and CHPs_IN'!Q$22:Q$23)*G97</f>
        <v>0</v>
      </c>
      <c r="H129" s="1">
        <f>'[1]Electricity and CHPs_IN'!R$23/SUM('[1]Electricity and CHPs_IN'!R$22:R$23)*H97</f>
        <v>0</v>
      </c>
      <c r="I129" s="1">
        <f>'[1]Electricity and CHPs_IN'!S$23/SUM('[1]Electricity and CHPs_IN'!S$22:S$23)*I97</f>
        <v>0</v>
      </c>
      <c r="J129" s="1">
        <f>'[1]Electricity and CHPs_IN'!T$23/SUM('[1]Electricity and CHPs_IN'!T$22:T$23)*J97</f>
        <v>0</v>
      </c>
      <c r="K129" s="1">
        <f>'[1]Electricity and CHPs_IN'!U$23/SUM('[1]Electricity and CHPs_IN'!U$22:U$23)*K97</f>
        <v>0</v>
      </c>
      <c r="L129" s="1">
        <f>'[1]Electricity and CHPs_IN'!V$23/SUM('[1]Electricity and CHPs_IN'!V$22:V$23)*L97</f>
        <v>0</v>
      </c>
      <c r="M129" s="1">
        <f>'[1]Electricity and CHPs_IN'!W$23/SUM('[1]Electricity and CHPs_IN'!W$22:W$23)*M97</f>
        <v>0</v>
      </c>
      <c r="N129" s="1">
        <f>'[1]Electricity and CHPs_IN'!X$23/SUM('[1]Electricity and CHPs_IN'!X$22:X$23)*N97</f>
        <v>4.5628704844240062E-3</v>
      </c>
      <c r="O129" s="1">
        <f>'[1]Electricity and CHPs_IN'!Y$23/SUM('[1]Electricity and CHPs_IN'!Y$22:Y$23)*O97</f>
        <v>5.7136773544346296E-3</v>
      </c>
      <c r="P129" s="1">
        <f>'[1]Electricity and CHPs_IN'!Z$23/SUM('[1]Electricity and CHPs_IN'!Z$22:Z$23)*P97</f>
        <v>9.6081204116811817E-3</v>
      </c>
      <c r="Q129" s="1">
        <f>'[1]Electricity and CHPs_IN'!AA$23/SUM('[1]Electricity and CHPs_IN'!AA$22:AA$23)*Q97</f>
        <v>1.9994072806985778E-2</v>
      </c>
      <c r="S129" s="3"/>
    </row>
    <row r="130" spans="1:19" x14ac:dyDescent="0.5">
      <c r="A130" s="5" t="str">
        <f t="shared" si="68"/>
        <v>STEM</v>
      </c>
      <c r="B130" s="5" t="str">
        <f t="shared" si="69"/>
        <v>SPS1</v>
      </c>
      <c r="C130" s="5" t="str">
        <f t="shared" si="70"/>
        <v>CH</v>
      </c>
      <c r="D130" t="s">
        <v>799</v>
      </c>
      <c r="E130" t="str">
        <f t="shared" si="130"/>
        <v>PJ/yr.</v>
      </c>
      <c r="F130" s="1">
        <f>SUM(F131:F136)</f>
        <v>8.2847024760702581</v>
      </c>
      <c r="G130" s="1">
        <f t="shared" ref="G130:Q130" si="133">SUM(G131:G136)</f>
        <v>9.0083582386518071</v>
      </c>
      <c r="H130" s="1">
        <f t="shared" si="133"/>
        <v>10.062515472319584</v>
      </c>
      <c r="I130" s="1">
        <f t="shared" si="133"/>
        <v>9.137447256276527</v>
      </c>
      <c r="J130" s="1">
        <f t="shared" si="133"/>
        <v>9.216852654846388</v>
      </c>
      <c r="K130" s="1">
        <f t="shared" si="133"/>
        <v>10.190009626199068</v>
      </c>
      <c r="L130" s="1">
        <f t="shared" si="133"/>
        <v>10.573993813796939</v>
      </c>
      <c r="M130" s="1">
        <f t="shared" si="133"/>
        <v>12.209401943322879</v>
      </c>
      <c r="N130" s="1">
        <f t="shared" si="133"/>
        <v>11.636691360668268</v>
      </c>
      <c r="O130" s="1">
        <f t="shared" si="133"/>
        <v>11.422272546098691</v>
      </c>
      <c r="P130" s="1">
        <f t="shared" si="133"/>
        <v>11.411626528697409</v>
      </c>
      <c r="Q130" s="1">
        <f t="shared" si="133"/>
        <v>11.423160133530223</v>
      </c>
      <c r="S130" s="3"/>
    </row>
    <row r="131" spans="1:19" x14ac:dyDescent="0.5">
      <c r="A131" s="5" t="str">
        <f t="shared" si="68"/>
        <v>STEM</v>
      </c>
      <c r="B131" s="5" t="str">
        <f t="shared" si="69"/>
        <v>SPS1</v>
      </c>
      <c r="C131" s="5" t="str">
        <f t="shared" si="70"/>
        <v>CH</v>
      </c>
      <c r="D131" t="s">
        <v>53</v>
      </c>
      <c r="E131" t="str">
        <f>E75</f>
        <v>PJ/yr.</v>
      </c>
      <c r="F131" s="1">
        <f>'[1]Electricity and CHPs'!B19</f>
        <v>6.5070284083309566</v>
      </c>
      <c r="G131" s="1">
        <f>'[1]Electricity and CHPs'!C19</f>
        <v>7.3431082250502637</v>
      </c>
      <c r="H131" s="1">
        <f>'[1]Electricity and CHPs'!D19</f>
        <v>8.3773350245992351</v>
      </c>
      <c r="I131" s="1">
        <f>'[1]Electricity and CHPs'!E19</f>
        <v>7.3981701169678624</v>
      </c>
      <c r="J131" s="1">
        <f>'[1]Electricity and CHPs'!F19</f>
        <v>7.4918965591486462</v>
      </c>
      <c r="K131" s="1">
        <f>'[1]Electricity and CHPs'!G19</f>
        <v>7.0796093966815272</v>
      </c>
      <c r="L131" s="1">
        <f>'[1]Electricity and CHPs'!H19</f>
        <v>4.3378416728033313</v>
      </c>
      <c r="M131" s="1">
        <f>'[1]Electricity and CHPs'!I19</f>
        <v>5.126400307115607</v>
      </c>
      <c r="N131" s="1">
        <f>'[1]Electricity and CHPs'!J19</f>
        <v>4.8881786223219494</v>
      </c>
      <c r="O131" s="1">
        <f>'[1]Electricity and CHPs'!K19</f>
        <v>4.7848124473425058</v>
      </c>
      <c r="P131" s="1">
        <f>'[1]Electricity and CHPs'!L19</f>
        <v>4.7791633804489067</v>
      </c>
      <c r="Q131" s="1">
        <f>'[1]Electricity and CHPs'!M19</f>
        <v>4.7842361720836202</v>
      </c>
      <c r="S131" s="3"/>
    </row>
    <row r="132" spans="1:19" x14ac:dyDescent="0.5">
      <c r="A132" s="5" t="str">
        <f t="shared" si="68"/>
        <v>STEM</v>
      </c>
      <c r="B132" s="5" t="str">
        <f t="shared" si="69"/>
        <v>SPS1</v>
      </c>
      <c r="C132" s="5" t="str">
        <f t="shared" si="70"/>
        <v>CH</v>
      </c>
      <c r="D132" t="s">
        <v>52</v>
      </c>
      <c r="E132" t="str">
        <f>E131</f>
        <v>PJ/yr.</v>
      </c>
      <c r="F132" s="1">
        <f>'[1]Electricity and CHPs'!B20</f>
        <v>0</v>
      </c>
      <c r="G132" s="1">
        <f>'[1]Electricity and CHPs'!C20</f>
        <v>0</v>
      </c>
      <c r="H132" s="1">
        <f>'[1]Electricity and CHPs'!D20</f>
        <v>0</v>
      </c>
      <c r="I132" s="1">
        <f>'[1]Electricity and CHPs'!E20</f>
        <v>0</v>
      </c>
      <c r="J132" s="1">
        <f>'[1]Electricity and CHPs'!F20</f>
        <v>0</v>
      </c>
      <c r="K132" s="1">
        <f>'[1]Electricity and CHPs'!G20</f>
        <v>1.229272633976489</v>
      </c>
      <c r="L132" s="1">
        <f>'[1]Electricity and CHPs'!H20</f>
        <v>4.3378752817565527</v>
      </c>
      <c r="M132" s="1">
        <f>'[1]Electricity and CHPs'!I20</f>
        <v>4.8959125208856538</v>
      </c>
      <c r="N132" s="1">
        <f>'[1]Electricity and CHPs'!J20</f>
        <v>4.668355804919007</v>
      </c>
      <c r="O132" s="1">
        <f>'[1]Electricity and CHPs'!K20</f>
        <v>4.5696789942372158</v>
      </c>
      <c r="P132" s="1">
        <f>'[1]Electricity and CHPs'!L20</f>
        <v>4.564296030963888</v>
      </c>
      <c r="Q132" s="1">
        <f>'[1]Electricity and CHPs'!M20</f>
        <v>4.5691965017011915</v>
      </c>
      <c r="S132" s="3"/>
    </row>
    <row r="133" spans="1:19" x14ac:dyDescent="0.5">
      <c r="A133" s="5" t="str">
        <f t="shared" si="68"/>
        <v>STEM</v>
      </c>
      <c r="B133" s="5" t="str">
        <f t="shared" si="69"/>
        <v>SPS1</v>
      </c>
      <c r="C133" s="5" t="str">
        <f t="shared" si="70"/>
        <v>CH</v>
      </c>
      <c r="D133" t="s">
        <v>51</v>
      </c>
      <c r="E133" t="str">
        <f>E152</f>
        <v>PJ/yr.</v>
      </c>
      <c r="F133" s="1">
        <f>'[1]Electricity and CHPs'!B26</f>
        <v>1.5475772242657517</v>
      </c>
      <c r="G133" s="1">
        <f>'[1]Electricity and CHPs'!C26</f>
        <v>1.4216493183060943</v>
      </c>
      <c r="H133" s="1">
        <f>'[1]Electricity and CHPs'!D26</f>
        <v>1.3484459080633333</v>
      </c>
      <c r="I133" s="1">
        <f>'[1]Electricity and CHPs'!E26</f>
        <v>1.406301719211883</v>
      </c>
      <c r="J133" s="1">
        <f>'[1]Electricity and CHPs'!F26</f>
        <v>1.3957386794402706</v>
      </c>
      <c r="K133" s="1">
        <f>'[1]Electricity and CHPs'!G26</f>
        <v>1.3524923310883135</v>
      </c>
      <c r="L133" s="1">
        <f>'[1]Electricity and CHPs'!H26</f>
        <v>0.89449903577803946</v>
      </c>
      <c r="M133" s="1">
        <f>'[1]Electricity and CHPs'!I26</f>
        <v>0.75043884488368784</v>
      </c>
      <c r="N133" s="1">
        <f>'[1]Electricity and CHPs'!J26</f>
        <v>0.73972856739791171</v>
      </c>
      <c r="O133" s="1">
        <f>'[1]Electricity and CHPs'!K26</f>
        <v>0.74301774530331066</v>
      </c>
      <c r="P133" s="1">
        <f>'[1]Electricity and CHPs'!L26</f>
        <v>0.74420568147279087</v>
      </c>
      <c r="Q133" s="1">
        <f>'[1]Electricity and CHPs'!M26</f>
        <v>0.7449037735977031</v>
      </c>
      <c r="S133" s="3"/>
    </row>
    <row r="134" spans="1:19" x14ac:dyDescent="0.5">
      <c r="A134" s="5" t="str">
        <f t="shared" si="68"/>
        <v>STEM</v>
      </c>
      <c r="B134" s="5" t="str">
        <f t="shared" si="69"/>
        <v>SPS1</v>
      </c>
      <c r="C134" s="5" t="str">
        <f t="shared" si="70"/>
        <v>CH</v>
      </c>
      <c r="D134" t="s">
        <v>50</v>
      </c>
      <c r="E134" t="str">
        <f>E133</f>
        <v>PJ/yr.</v>
      </c>
      <c r="F134" s="1">
        <f>'[1]Electricity and CHPs'!B27</f>
        <v>0</v>
      </c>
      <c r="G134" s="1">
        <f>'[1]Electricity and CHPs'!C27</f>
        <v>0</v>
      </c>
      <c r="H134" s="1">
        <f>'[1]Electricity and CHPs'!D27</f>
        <v>0</v>
      </c>
      <c r="I134" s="1">
        <f>'[1]Electricity and CHPs'!E27</f>
        <v>0</v>
      </c>
      <c r="J134" s="1">
        <f>'[1]Electricity and CHPs'!F27</f>
        <v>0</v>
      </c>
      <c r="K134" s="1">
        <f>'[1]Electricity and CHPs'!G27</f>
        <v>0.20570729139648691</v>
      </c>
      <c r="L134" s="1">
        <f>'[1]Electricity and CHPs'!H27</f>
        <v>0.71020496673422029</v>
      </c>
      <c r="M134" s="1">
        <f>'[1]Electricity and CHPs'!I27</f>
        <v>0.78411945264298111</v>
      </c>
      <c r="N134" s="1">
        <f>'[1]Electricity and CHPs'!J27</f>
        <v>0.74769100015848666</v>
      </c>
      <c r="O134" s="1">
        <f>'[1]Electricity and CHPs'!K27</f>
        <v>0.73187717119987128</v>
      </c>
      <c r="P134" s="1">
        <f>'[1]Electricity and CHPs'!L27</f>
        <v>0.73102907335947009</v>
      </c>
      <c r="Q134" s="1">
        <f>'[1]Electricity and CHPs'!M27</f>
        <v>0.73180390132452322</v>
      </c>
      <c r="S134" s="3"/>
    </row>
    <row r="135" spans="1:19" x14ac:dyDescent="0.5">
      <c r="A135" s="5" t="str">
        <f t="shared" si="68"/>
        <v>STEM</v>
      </c>
      <c r="B135" s="5" t="str">
        <f t="shared" si="69"/>
        <v>SPS1</v>
      </c>
      <c r="C135" s="5" t="str">
        <f t="shared" si="70"/>
        <v>CH</v>
      </c>
      <c r="D135" t="s">
        <v>48</v>
      </c>
      <c r="E135" t="str">
        <f>E155</f>
        <v>PJ/yr.</v>
      </c>
      <c r="F135" s="1">
        <f>'[1]Electricity and CHPs'!B44</f>
        <v>0.23009684347355058</v>
      </c>
      <c r="G135" s="1">
        <f>'[1]Electricity and CHPs'!C44</f>
        <v>0.24360069529544917</v>
      </c>
      <c r="H135" s="1">
        <f>'[1]Electricity and CHPs'!D44</f>
        <v>0.33673453965701605</v>
      </c>
      <c r="I135" s="1">
        <f>'[1]Electricity and CHPs'!E44</f>
        <v>0.33297542009678138</v>
      </c>
      <c r="J135" s="1">
        <f>'[1]Electricity and CHPs'!F44</f>
        <v>0.32921741625747086</v>
      </c>
      <c r="K135" s="1">
        <f>'[1]Electricity and CHPs'!G44</f>
        <v>0.28015330524963583</v>
      </c>
      <c r="L135" s="1">
        <f>'[1]Electricity and CHPs'!H44</f>
        <v>1.3081609969500748E-3</v>
      </c>
      <c r="M135" s="1">
        <f>'[1]Electricity and CHPs'!I44</f>
        <v>6.8676871935824922E-4</v>
      </c>
      <c r="N135" s="1">
        <f>'[1]Electricity and CHPs'!J44</f>
        <v>6.4564528132893262E-4</v>
      </c>
      <c r="O135" s="1">
        <f>'[1]Electricity and CHPs'!K44</f>
        <v>3.50871103481809E-4</v>
      </c>
      <c r="P135" s="1">
        <f>'[1]Electricity and CHPs'!L44</f>
        <v>3.2891175804767778E-4</v>
      </c>
      <c r="Q135" s="1">
        <f>'[1]Electricity and CHPs'!M44</f>
        <v>2.095349265343189E-4</v>
      </c>
      <c r="S135" s="3"/>
    </row>
    <row r="136" spans="1:19" x14ac:dyDescent="0.5">
      <c r="A136" s="5" t="str">
        <f t="shared" si="68"/>
        <v>STEM</v>
      </c>
      <c r="B136" s="5" t="str">
        <f t="shared" si="69"/>
        <v>SPS1</v>
      </c>
      <c r="C136" s="5" t="str">
        <f t="shared" si="70"/>
        <v>CH</v>
      </c>
      <c r="D136" t="s">
        <v>49</v>
      </c>
      <c r="E136" t="str">
        <f>E135</f>
        <v>PJ/yr.</v>
      </c>
      <c r="F136" s="1">
        <f>'[1]Electricity and CHPs'!B45</f>
        <v>0</v>
      </c>
      <c r="G136" s="1">
        <f>'[1]Electricity and CHPs'!C45</f>
        <v>0</v>
      </c>
      <c r="H136" s="1">
        <f>'[1]Electricity and CHPs'!D45</f>
        <v>0</v>
      </c>
      <c r="I136" s="1">
        <f>'[1]Electricity and CHPs'!E45</f>
        <v>0</v>
      </c>
      <c r="J136" s="1">
        <f>'[1]Electricity and CHPs'!F45</f>
        <v>0</v>
      </c>
      <c r="K136" s="1">
        <f>'[1]Electricity and CHPs'!G45</f>
        <v>4.2774667806615513E-2</v>
      </c>
      <c r="L136" s="1">
        <f>'[1]Electricity and CHPs'!H45</f>
        <v>0.29226469572784353</v>
      </c>
      <c r="M136" s="1">
        <f>'[1]Electricity and CHPs'!I45</f>
        <v>0.65184404907559068</v>
      </c>
      <c r="N136" s="1">
        <f>'[1]Electricity and CHPs'!J45</f>
        <v>0.59209172058958437</v>
      </c>
      <c r="O136" s="1">
        <f>'[1]Electricity and CHPs'!K45</f>
        <v>0.59253531691230532</v>
      </c>
      <c r="P136" s="1">
        <f>'[1]Electricity and CHPs'!L45</f>
        <v>0.59260345069430531</v>
      </c>
      <c r="Q136" s="1">
        <f>'[1]Electricity and CHPs'!M45</f>
        <v>0.59281024989664899</v>
      </c>
      <c r="S136" s="3"/>
    </row>
    <row r="137" spans="1:19" x14ac:dyDescent="0.5">
      <c r="A137" s="5" t="str">
        <f t="shared" si="68"/>
        <v>STEM</v>
      </c>
      <c r="B137" s="5" t="str">
        <f t="shared" si="69"/>
        <v>SPS1</v>
      </c>
      <c r="C137" s="5" t="str">
        <f t="shared" si="70"/>
        <v>CH</v>
      </c>
      <c r="D137" t="s">
        <v>89</v>
      </c>
      <c r="E137" t="str">
        <f t="shared" ref="E137:E151" si="134">E136</f>
        <v>PJ/yr.</v>
      </c>
      <c r="F137" s="1">
        <f>SUM(F138:F141)</f>
        <v>4.027302816298354</v>
      </c>
      <c r="G137" s="1">
        <f t="shared" ref="G137:K137" si="135">SUM(G138:G141)</f>
        <v>4.3823787716781792</v>
      </c>
      <c r="H137" s="1">
        <f t="shared" si="135"/>
        <v>4.862890466331284</v>
      </c>
      <c r="I137" s="1">
        <f t="shared" si="135"/>
        <v>4.4022359180898727</v>
      </c>
      <c r="J137" s="1">
        <f t="shared" si="135"/>
        <v>4.4438176192944585</v>
      </c>
      <c r="K137" s="1">
        <f t="shared" si="135"/>
        <v>4.9335408265714085</v>
      </c>
      <c r="L137" s="1">
        <f t="shared" ref="L137:O137" si="136">SUM(L138:L141)</f>
        <v>5.1402104785360727</v>
      </c>
      <c r="M137" s="1">
        <f t="shared" si="136"/>
        <v>5.7784355627639643</v>
      </c>
      <c r="N137" s="1">
        <f t="shared" si="136"/>
        <v>5.521976997398677</v>
      </c>
      <c r="O137" s="1">
        <f t="shared" si="136"/>
        <v>5.4146931790414516</v>
      </c>
      <c r="P137" s="1">
        <f>SUM(P138:P141)</f>
        <v>5.4093470831225279</v>
      </c>
      <c r="Q137" s="1">
        <f>SUM(Q138:Q141)</f>
        <v>5.4150701743535192</v>
      </c>
      <c r="S137" s="3"/>
    </row>
    <row r="138" spans="1:19" x14ac:dyDescent="0.5">
      <c r="A138" s="5" t="str">
        <f t="shared" si="68"/>
        <v>STEM</v>
      </c>
      <c r="B138" s="5" t="str">
        <f t="shared" si="69"/>
        <v>SPS1</v>
      </c>
      <c r="C138" s="5" t="str">
        <f t="shared" si="70"/>
        <v>CH</v>
      </c>
      <c r="D138" t="s">
        <v>60</v>
      </c>
      <c r="E138" t="str">
        <f>E137</f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3.2535142041654779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3.6715541125251319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4.1886675122996175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3.6990850584839312</v>
      </c>
      <c r="J138" s="1" cm="1">
        <f t="array" ref="J138">J131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3.7459482795743231</v>
      </c>
      <c r="K138" s="1" cm="1">
        <f t="array" ref="K138">K131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3.5398046983407632</v>
      </c>
      <c r="L138" s="1" cm="1">
        <f t="array" ref="L138">L131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2.1689208364016657</v>
      </c>
      <c r="M138" s="1" cm="1">
        <f t="array" ref="M138">M131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2.5632001535578031</v>
      </c>
      <c r="N138" s="1" cm="1">
        <f t="array" ref="N138">N131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2.4440893111609747</v>
      </c>
      <c r="O138" s="1" cm="1">
        <f t="array" ref="O138">O131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2.3924062236712529</v>
      </c>
      <c r="P138" s="1" cm="1">
        <f t="array" ref="P138">P131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2.3895816902244533</v>
      </c>
      <c r="Q138" s="1" cm="1">
        <f t="array" ref="Q138">Q131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2.3921180860418101</v>
      </c>
      <c r="S138" s="3"/>
    </row>
    <row r="139" spans="1:19" x14ac:dyDescent="0.5">
      <c r="A139" s="5" t="str">
        <f t="shared" si="68"/>
        <v>STEM</v>
      </c>
      <c r="B139" s="5" t="str">
        <f t="shared" si="69"/>
        <v>SPS1</v>
      </c>
      <c r="C139" s="5" t="str">
        <f t="shared" si="70"/>
        <v>CH</v>
      </c>
      <c r="D139" t="s">
        <v>61</v>
      </c>
      <c r="E139" t="str">
        <f t="shared" si="134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</v>
      </c>
      <c r="K139" s="1" cm="1">
        <f t="array" ref="K139">K132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0.6146363169882445</v>
      </c>
      <c r="L139" s="1" cm="1">
        <f t="array" ref="L139">L132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2.1689376408782763</v>
      </c>
      <c r="M139" s="1" cm="1">
        <f t="array" ref="M139">M132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2.4479562604428269</v>
      </c>
      <c r="N139" s="1" cm="1">
        <f t="array" ref="N139">N132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2.3341779024595035</v>
      </c>
      <c r="O139" s="1" cm="1">
        <f t="array" ref="O139">O132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2.2848394971186079</v>
      </c>
      <c r="P139" s="1" cm="1">
        <f t="array" ref="P139">P132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2.282148015481944</v>
      </c>
      <c r="Q139" s="1" cm="1">
        <f t="array" ref="Q139">Q132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2.2845982508505958</v>
      </c>
      <c r="S139" s="3"/>
    </row>
    <row r="140" spans="1:19" x14ac:dyDescent="0.5">
      <c r="A140" s="5" t="str">
        <f t="shared" si="68"/>
        <v>STEM</v>
      </c>
      <c r="B140" s="5" t="str">
        <f t="shared" si="69"/>
        <v>SPS1</v>
      </c>
      <c r="C140" s="5" t="str">
        <f t="shared" si="70"/>
        <v>CH</v>
      </c>
      <c r="D140" t="s">
        <v>62</v>
      </c>
      <c r="E140" t="str">
        <f t="shared" si="134"/>
        <v>PJ/yr.</v>
      </c>
      <c r="F140" s="1" cm="1">
        <f t="array" ref="F140">F133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0.77378861213287586</v>
      </c>
      <c r="G140" s="1" cm="1">
        <f t="array" ref="G140">G133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0.71082465915304716</v>
      </c>
      <c r="H140" s="1" cm="1">
        <f t="array" ref="H140">H133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0.67422295403166665</v>
      </c>
      <c r="I140" s="1" cm="1">
        <f t="array" ref="I140">I133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0.70315085960594148</v>
      </c>
      <c r="J140" s="1" cm="1">
        <f t="array" ref="J140">J133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0.69786933972013532</v>
      </c>
      <c r="K140" s="1" cm="1">
        <f t="array" ref="K140">K133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0.67624616554415673</v>
      </c>
      <c r="L140" s="1" cm="1">
        <f t="array" ref="L140">L133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0.44724951788901973</v>
      </c>
      <c r="M140" s="1" cm="1">
        <f t="array" ref="M140">M133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0.37521942244184392</v>
      </c>
      <c r="N140" s="1" cm="1">
        <f t="array" ref="N140">N133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0.36986428369895591</v>
      </c>
      <c r="O140" s="1" cm="1">
        <f t="array" ref="O140">O133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0.37150887265165533</v>
      </c>
      <c r="P140" s="1" cm="1">
        <f t="array" ref="P140">P133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0.37210284073639549</v>
      </c>
      <c r="Q140" s="1" cm="1">
        <f t="array" ref="Q140">Q133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0.37245188679885155</v>
      </c>
      <c r="S140" s="3"/>
    </row>
    <row r="141" spans="1:19" x14ac:dyDescent="0.5">
      <c r="A141" s="5" t="str">
        <f t="shared" si="68"/>
        <v>STEM</v>
      </c>
      <c r="B141" s="5" t="str">
        <f t="shared" si="69"/>
        <v>SPS1</v>
      </c>
      <c r="C141" s="5" t="str">
        <f t="shared" si="70"/>
        <v>CH</v>
      </c>
      <c r="D141" t="s">
        <v>63</v>
      </c>
      <c r="E141" t="str">
        <f t="shared" si="134"/>
        <v>PJ/yr.</v>
      </c>
      <c r="F141" s="1" cm="1">
        <f t="array" ref="F141">F134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41" s="1" cm="1">
        <f t="array" ref="G141">G134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41" s="1" cm="1">
        <f t="array" ref="H141">H134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41" s="1" cm="1">
        <f t="array" ref="I141">I134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41" s="1" cm="1">
        <f t="array" ref="J141">J134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</v>
      </c>
      <c r="K141" s="1" cm="1">
        <f t="array" ref="K141">K134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0.10285364569824346</v>
      </c>
      <c r="L141" s="1" cm="1">
        <f t="array" ref="L141">L134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0.35510248336711014</v>
      </c>
      <c r="M141" s="1" cm="1">
        <f t="array" ref="M141">M134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0.39205972632149055</v>
      </c>
      <c r="N141" s="1" cm="1">
        <f t="array" ref="N141">N134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0.37384550007924333</v>
      </c>
      <c r="O141" s="1" cm="1">
        <f t="array" ref="O141">O134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0.36593858559993564</v>
      </c>
      <c r="P141" s="1" cm="1">
        <f t="array" ref="P141">P134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0.36551453667973505</v>
      </c>
      <c r="Q141" s="1" cm="1">
        <f t="array" ref="Q141">Q134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0.36590195066226161</v>
      </c>
      <c r="S141" s="3"/>
    </row>
    <row r="142" spans="1:19" x14ac:dyDescent="0.5">
      <c r="A142" s="5" t="str">
        <f t="shared" si="68"/>
        <v>STEM</v>
      </c>
      <c r="B142" s="5" t="str">
        <f t="shared" si="69"/>
        <v>SPS1</v>
      </c>
      <c r="C142" s="5" t="str">
        <f t="shared" si="70"/>
        <v>CH</v>
      </c>
      <c r="D142" t="s">
        <v>64</v>
      </c>
      <c r="E142" t="str">
        <f t="shared" si="134"/>
        <v>PJ/yr.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S142" s="3"/>
    </row>
    <row r="143" spans="1:19" x14ac:dyDescent="0.5">
      <c r="A143" s="5" t="str">
        <f t="shared" si="68"/>
        <v>STEM</v>
      </c>
      <c r="B143" s="5" t="str">
        <f t="shared" si="69"/>
        <v>SPS1</v>
      </c>
      <c r="C143" s="5" t="str">
        <f t="shared" si="70"/>
        <v>CH</v>
      </c>
      <c r="D143" t="s">
        <v>65</v>
      </c>
      <c r="E143" t="str">
        <f t="shared" si="134"/>
        <v>PJ/yr.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S143" s="3"/>
    </row>
    <row r="144" spans="1:19" x14ac:dyDescent="0.5">
      <c r="A144" s="5" t="str">
        <f t="shared" si="68"/>
        <v>STEM</v>
      </c>
      <c r="B144" s="5" t="str">
        <f t="shared" si="69"/>
        <v>SPS1</v>
      </c>
      <c r="C144" s="5" t="str">
        <f t="shared" si="70"/>
        <v>CH</v>
      </c>
      <c r="D144" t="s">
        <v>800</v>
      </c>
      <c r="E144" t="str">
        <f>E143</f>
        <v>PJ/yr.</v>
      </c>
      <c r="F144" s="1">
        <f>SUM(F145:F150)</f>
        <v>4.257399659771905</v>
      </c>
      <c r="G144" s="1">
        <f t="shared" ref="G144:K144" si="137">SUM(G145:G150)</f>
        <v>4.6259794669736287</v>
      </c>
      <c r="H144" s="1">
        <f t="shared" si="137"/>
        <v>5.1996250059882998</v>
      </c>
      <c r="I144" s="1">
        <f t="shared" si="137"/>
        <v>4.7352113381866543</v>
      </c>
      <c r="J144" s="1">
        <f t="shared" si="137"/>
        <v>4.7730350355519295</v>
      </c>
      <c r="K144" s="1">
        <f t="shared" si="137"/>
        <v>5.2564687996276609</v>
      </c>
      <c r="L144" s="1">
        <f t="shared" ref="L144:O144" si="138">SUM(L145:L150)</f>
        <v>5.4337833352608662</v>
      </c>
      <c r="M144" s="1">
        <f t="shared" si="138"/>
        <v>6.4309663805589139</v>
      </c>
      <c r="N144" s="1">
        <f t="shared" si="138"/>
        <v>6.1147143632695906</v>
      </c>
      <c r="O144" s="1">
        <f t="shared" si="138"/>
        <v>6.0075793670572386</v>
      </c>
      <c r="P144" s="1">
        <f>SUM(P145:P150)</f>
        <v>6.0022794455748807</v>
      </c>
      <c r="Q144" s="1">
        <f>SUM(Q145:Q150)</f>
        <v>6.0080899591767025</v>
      </c>
      <c r="S144" s="3"/>
    </row>
    <row r="145" spans="1:19" x14ac:dyDescent="0.5">
      <c r="A145" s="5" t="str">
        <f t="shared" si="68"/>
        <v>STEM</v>
      </c>
      <c r="B145" s="5" t="str">
        <f t="shared" si="69"/>
        <v>SPS1</v>
      </c>
      <c r="C145" s="5" t="str">
        <f t="shared" si="70"/>
        <v>CH</v>
      </c>
      <c r="D145" t="s">
        <v>56</v>
      </c>
      <c r="E145" t="str">
        <f>E144</f>
        <v>PJ/yr.</v>
      </c>
      <c r="F145" s="1">
        <f>F131-F138</f>
        <v>3.2535142041654788</v>
      </c>
      <c r="G145" s="1">
        <f t="shared" ref="G145:K145" si="139">G131-G138</f>
        <v>3.6715541125251319</v>
      </c>
      <c r="H145" s="1">
        <f t="shared" si="139"/>
        <v>4.1886675122996175</v>
      </c>
      <c r="I145" s="1">
        <f t="shared" si="139"/>
        <v>3.6990850584839312</v>
      </c>
      <c r="J145" s="1">
        <f t="shared" si="139"/>
        <v>3.7459482795743231</v>
      </c>
      <c r="K145" s="1">
        <f t="shared" si="139"/>
        <v>3.5398046983407641</v>
      </c>
      <c r="L145" s="1">
        <f t="shared" ref="L145:O145" si="140">L131-L138</f>
        <v>2.1689208364016657</v>
      </c>
      <c r="M145" s="1">
        <f t="shared" si="140"/>
        <v>2.563200153557804</v>
      </c>
      <c r="N145" s="1">
        <f t="shared" si="140"/>
        <v>2.4440893111609747</v>
      </c>
      <c r="O145" s="1">
        <f t="shared" si="140"/>
        <v>2.3924062236712529</v>
      </c>
      <c r="P145" s="1">
        <f t="shared" ref="P145:Q150" si="141">P131-P138</f>
        <v>2.3895816902244533</v>
      </c>
      <c r="Q145" s="1">
        <f t="shared" si="141"/>
        <v>2.3921180860418101</v>
      </c>
      <c r="S145" s="3"/>
    </row>
    <row r="146" spans="1:19" x14ac:dyDescent="0.5">
      <c r="A146" s="5" t="str">
        <f t="shared" si="68"/>
        <v>STEM</v>
      </c>
      <c r="B146" s="5" t="str">
        <f t="shared" si="69"/>
        <v>SPS1</v>
      </c>
      <c r="C146" s="5" t="str">
        <f t="shared" si="70"/>
        <v>CH</v>
      </c>
      <c r="D146" t="s">
        <v>57</v>
      </c>
      <c r="E146" t="str">
        <f t="shared" si="134"/>
        <v>PJ/yr.</v>
      </c>
      <c r="F146" s="1">
        <f t="shared" ref="F146:K146" si="142">F132-F139</f>
        <v>0</v>
      </c>
      <c r="G146" s="1">
        <f t="shared" si="142"/>
        <v>0</v>
      </c>
      <c r="H146" s="1">
        <f t="shared" si="142"/>
        <v>0</v>
      </c>
      <c r="I146" s="1">
        <f t="shared" si="142"/>
        <v>0</v>
      </c>
      <c r="J146" s="1">
        <f t="shared" si="142"/>
        <v>0</v>
      </c>
      <c r="K146" s="1">
        <f t="shared" si="142"/>
        <v>0.6146363169882445</v>
      </c>
      <c r="L146" s="1">
        <f t="shared" ref="L146:O146" si="143">L132-L139</f>
        <v>2.1689376408782763</v>
      </c>
      <c r="M146" s="1">
        <f t="shared" si="143"/>
        <v>2.4479562604428269</v>
      </c>
      <c r="N146" s="1">
        <f t="shared" si="143"/>
        <v>2.3341779024595035</v>
      </c>
      <c r="O146" s="1">
        <f t="shared" si="143"/>
        <v>2.2848394971186079</v>
      </c>
      <c r="P146" s="1">
        <f t="shared" si="141"/>
        <v>2.282148015481944</v>
      </c>
      <c r="Q146" s="1">
        <f t="shared" si="141"/>
        <v>2.2845982508505958</v>
      </c>
      <c r="S146" s="3"/>
    </row>
    <row r="147" spans="1:19" x14ac:dyDescent="0.5">
      <c r="A147" s="5" t="str">
        <f t="shared" si="68"/>
        <v>STEM</v>
      </c>
      <c r="B147" s="5" t="str">
        <f t="shared" si="69"/>
        <v>SPS1</v>
      </c>
      <c r="C147" s="5" t="str">
        <f t="shared" si="70"/>
        <v>CH</v>
      </c>
      <c r="D147" t="s">
        <v>58</v>
      </c>
      <c r="E147" t="str">
        <f t="shared" si="134"/>
        <v>PJ/yr.</v>
      </c>
      <c r="F147" s="1">
        <f t="shared" ref="F147:K147" si="144">F133-F140</f>
        <v>0.77378861213287586</v>
      </c>
      <c r="G147" s="1">
        <f t="shared" si="144"/>
        <v>0.71082465915304716</v>
      </c>
      <c r="H147" s="1">
        <f t="shared" si="144"/>
        <v>0.67422295403166665</v>
      </c>
      <c r="I147" s="1">
        <f t="shared" si="144"/>
        <v>0.70315085960594148</v>
      </c>
      <c r="J147" s="1">
        <f t="shared" si="144"/>
        <v>0.69786933972013532</v>
      </c>
      <c r="K147" s="1">
        <f t="shared" si="144"/>
        <v>0.67624616554415673</v>
      </c>
      <c r="L147" s="1">
        <f t="shared" ref="L147:O147" si="145">L133-L140</f>
        <v>0.44724951788901973</v>
      </c>
      <c r="M147" s="1">
        <f t="shared" si="145"/>
        <v>0.37521942244184392</v>
      </c>
      <c r="N147" s="1">
        <f t="shared" si="145"/>
        <v>0.3698642836989558</v>
      </c>
      <c r="O147" s="1">
        <f t="shared" si="145"/>
        <v>0.37150887265165533</v>
      </c>
      <c r="P147" s="1">
        <f t="shared" si="141"/>
        <v>0.37210284073639538</v>
      </c>
      <c r="Q147" s="1">
        <f t="shared" si="141"/>
        <v>0.37245188679885155</v>
      </c>
      <c r="S147" s="3"/>
    </row>
    <row r="148" spans="1:19" x14ac:dyDescent="0.5">
      <c r="A148" s="5" t="str">
        <f t="shared" si="68"/>
        <v>STEM</v>
      </c>
      <c r="B148" s="5" t="str">
        <f t="shared" si="69"/>
        <v>SPS1</v>
      </c>
      <c r="C148" s="5" t="str">
        <f t="shared" si="70"/>
        <v>CH</v>
      </c>
      <c r="D148" t="s">
        <v>59</v>
      </c>
      <c r="E148" t="str">
        <f t="shared" si="134"/>
        <v>PJ/yr.</v>
      </c>
      <c r="F148" s="1">
        <f t="shared" ref="F148:K148" si="146">F134-F141</f>
        <v>0</v>
      </c>
      <c r="G148" s="1">
        <f t="shared" si="146"/>
        <v>0</v>
      </c>
      <c r="H148" s="1">
        <f t="shared" si="146"/>
        <v>0</v>
      </c>
      <c r="I148" s="1">
        <f t="shared" si="146"/>
        <v>0</v>
      </c>
      <c r="J148" s="1">
        <f t="shared" si="146"/>
        <v>0</v>
      </c>
      <c r="K148" s="1">
        <f t="shared" si="146"/>
        <v>0.10285364569824346</v>
      </c>
      <c r="L148" s="1">
        <f t="shared" ref="L148:O148" si="147">L134-L141</f>
        <v>0.35510248336711014</v>
      </c>
      <c r="M148" s="1">
        <f t="shared" si="147"/>
        <v>0.39205972632149055</v>
      </c>
      <c r="N148" s="1">
        <f t="shared" si="147"/>
        <v>0.37384550007924333</v>
      </c>
      <c r="O148" s="1">
        <f t="shared" si="147"/>
        <v>0.36593858559993564</v>
      </c>
      <c r="P148" s="1">
        <f t="shared" si="141"/>
        <v>0.36551453667973505</v>
      </c>
      <c r="Q148" s="1">
        <f t="shared" si="141"/>
        <v>0.36590195066226161</v>
      </c>
      <c r="S148" s="3"/>
    </row>
    <row r="149" spans="1:19" x14ac:dyDescent="0.5">
      <c r="A149" s="5" t="str">
        <f t="shared" si="68"/>
        <v>STEM</v>
      </c>
      <c r="B149" s="5" t="str">
        <f t="shared" si="69"/>
        <v>SPS1</v>
      </c>
      <c r="C149" s="5" t="str">
        <f t="shared" si="70"/>
        <v>CH</v>
      </c>
      <c r="D149" t="s">
        <v>54</v>
      </c>
      <c r="E149" t="str">
        <f t="shared" si="134"/>
        <v>PJ/yr.</v>
      </c>
      <c r="F149" s="1">
        <f t="shared" ref="F149:K149" si="148">F135-F142</f>
        <v>0.23009684347355058</v>
      </c>
      <c r="G149" s="1">
        <f t="shared" si="148"/>
        <v>0.24360069529544917</v>
      </c>
      <c r="H149" s="1">
        <f t="shared" si="148"/>
        <v>0.33673453965701605</v>
      </c>
      <c r="I149" s="1">
        <f t="shared" si="148"/>
        <v>0.33297542009678138</v>
      </c>
      <c r="J149" s="1">
        <f t="shared" si="148"/>
        <v>0.32921741625747086</v>
      </c>
      <c r="K149" s="1">
        <f t="shared" si="148"/>
        <v>0.28015330524963583</v>
      </c>
      <c r="L149" s="1">
        <f t="shared" ref="L149:O149" si="149">L135-L142</f>
        <v>1.3081609969500748E-3</v>
      </c>
      <c r="M149" s="1">
        <f t="shared" si="149"/>
        <v>6.8676871935824922E-4</v>
      </c>
      <c r="N149" s="1">
        <f t="shared" si="149"/>
        <v>6.4564528132893262E-4</v>
      </c>
      <c r="O149" s="1">
        <f t="shared" si="149"/>
        <v>3.50871103481809E-4</v>
      </c>
      <c r="P149" s="1">
        <f t="shared" si="141"/>
        <v>3.2891175804767778E-4</v>
      </c>
      <c r="Q149" s="1">
        <f t="shared" si="141"/>
        <v>2.095349265343189E-4</v>
      </c>
      <c r="S149" s="3"/>
    </row>
    <row r="150" spans="1:19" x14ac:dyDescent="0.5">
      <c r="A150" s="5" t="str">
        <f t="shared" ref="A150:A181" si="150">A149</f>
        <v>STEM</v>
      </c>
      <c r="B150" s="5" t="str">
        <f t="shared" ref="B150:B181" si="151">B149</f>
        <v>SPS1</v>
      </c>
      <c r="C150" s="5" t="str">
        <f t="shared" ref="C150:C181" si="152">C149</f>
        <v>CH</v>
      </c>
      <c r="D150" t="s">
        <v>55</v>
      </c>
      <c r="E150" t="str">
        <f t="shared" si="134"/>
        <v>PJ/yr.</v>
      </c>
      <c r="F150" s="1">
        <f t="shared" ref="F150:K150" si="153">F136-F143</f>
        <v>0</v>
      </c>
      <c r="G150" s="1">
        <f t="shared" si="153"/>
        <v>0</v>
      </c>
      <c r="H150" s="1">
        <f t="shared" si="153"/>
        <v>0</v>
      </c>
      <c r="I150" s="1">
        <f t="shared" si="153"/>
        <v>0</v>
      </c>
      <c r="J150" s="1">
        <f t="shared" si="153"/>
        <v>0</v>
      </c>
      <c r="K150" s="1">
        <f t="shared" si="153"/>
        <v>4.2774667806615513E-2</v>
      </c>
      <c r="L150" s="1">
        <f t="shared" ref="L150:O150" si="154">L136-L143</f>
        <v>0.29226469572784353</v>
      </c>
      <c r="M150" s="1">
        <f t="shared" si="154"/>
        <v>0.65184404907559068</v>
      </c>
      <c r="N150" s="1">
        <f t="shared" si="154"/>
        <v>0.59209172058958437</v>
      </c>
      <c r="O150" s="1">
        <f t="shared" si="154"/>
        <v>0.59253531691230532</v>
      </c>
      <c r="P150" s="1">
        <f t="shared" si="141"/>
        <v>0.59260345069430531</v>
      </c>
      <c r="Q150" s="1">
        <f t="shared" si="141"/>
        <v>0.59281024989664899</v>
      </c>
      <c r="S150" s="3"/>
    </row>
    <row r="151" spans="1:19" x14ac:dyDescent="0.5">
      <c r="A151" s="5" t="str">
        <f t="shared" si="150"/>
        <v>STEM</v>
      </c>
      <c r="B151" s="5" t="str">
        <f t="shared" si="151"/>
        <v>SPS1</v>
      </c>
      <c r="C151" s="5" t="str">
        <f t="shared" si="152"/>
        <v>CH</v>
      </c>
      <c r="D151" t="s">
        <v>801</v>
      </c>
      <c r="E151" t="str">
        <f t="shared" si="134"/>
        <v>PJ/yr.</v>
      </c>
      <c r="F151" s="1">
        <f>SUM(F152:F158)</f>
        <v>0.49418833581332494</v>
      </c>
      <c r="G151" s="1">
        <f t="shared" ref="G151:K151" si="155">SUM(G152:G158)</f>
        <v>0.49420645581464201</v>
      </c>
      <c r="H151" s="1">
        <f t="shared" si="155"/>
        <v>1.481377792329482</v>
      </c>
      <c r="I151" s="1">
        <f t="shared" si="155"/>
        <v>1.4817362445093158</v>
      </c>
      <c r="J151" s="1">
        <f t="shared" si="155"/>
        <v>1.4822646990314454</v>
      </c>
      <c r="K151" s="1">
        <f t="shared" si="155"/>
        <v>3.1432442800983051</v>
      </c>
      <c r="L151" s="1">
        <f t="shared" ref="L151:O151" si="156">SUM(L152:L158)</f>
        <v>5.2152373770945006</v>
      </c>
      <c r="M151" s="1">
        <f t="shared" si="156"/>
        <v>5.887285375232703</v>
      </c>
      <c r="N151" s="1">
        <f t="shared" si="156"/>
        <v>5.8875170224284501</v>
      </c>
      <c r="O151" s="1">
        <f t="shared" si="156"/>
        <v>5.8875713203446995</v>
      </c>
      <c r="P151" s="1">
        <f>SUM(P152:P158)</f>
        <v>5.8876354724761777</v>
      </c>
      <c r="Q151" s="1">
        <f>SUM(Q152:Q158)</f>
        <v>5.8881380865828854</v>
      </c>
      <c r="S151" s="3"/>
    </row>
    <row r="152" spans="1:19" x14ac:dyDescent="0.5">
      <c r="A152" s="5" t="str">
        <f t="shared" si="150"/>
        <v>STEM</v>
      </c>
      <c r="B152" s="5" t="str">
        <f t="shared" si="151"/>
        <v>SPS1</v>
      </c>
      <c r="C152" s="5" t="str">
        <f t="shared" si="152"/>
        <v>CH</v>
      </c>
      <c r="D152" t="s">
        <v>66</v>
      </c>
      <c r="E152" t="str">
        <f>E86</f>
        <v>PJ/yr.</v>
      </c>
      <c r="F152" s="1">
        <f>'[1]Electricity and CHPs'!B25</f>
        <v>0.32157429213531785</v>
      </c>
      <c r="G152" s="1">
        <f>'[1]Electricity and CHPs'!C25</f>
        <v>9.5216797148364675E-4</v>
      </c>
      <c r="H152" s="1">
        <f>'[1]Electricity and CHPs'!D25</f>
        <v>0.34547126218236412</v>
      </c>
      <c r="I152" s="1">
        <f>'[1]Electricity and CHPs'!E25</f>
        <v>3.1101895792784509E-3</v>
      </c>
      <c r="J152" s="1">
        <f>'[1]Electricity and CHPs'!F25</f>
        <v>4.6321778185218088E-3</v>
      </c>
      <c r="K152" s="1">
        <f>'[1]Electricity and CHPs'!G25</f>
        <v>0.48253003937949301</v>
      </c>
      <c r="L152" s="1">
        <f>'[1]Electricity and CHPs'!H25</f>
        <v>0.96872337476933934</v>
      </c>
      <c r="M152" s="1">
        <f>'[1]Electricity and CHPs'!I25</f>
        <v>0.87279210439721544</v>
      </c>
      <c r="N152" s="1">
        <f>'[1]Electricity and CHPs'!J25</f>
        <v>0.88367926198144764</v>
      </c>
      <c r="O152" s="1">
        <f>'[1]Electricity and CHPs'!K25</f>
        <v>0.92839831189595046</v>
      </c>
      <c r="P152" s="1">
        <f>'[1]Electricity and CHPs'!L25</f>
        <v>0.94471982367728702</v>
      </c>
      <c r="Q152" s="1">
        <f>'[1]Electricity and CHPs'!M25</f>
        <v>0.99040218951790182</v>
      </c>
      <c r="S152" s="3"/>
    </row>
    <row r="153" spans="1:19" x14ac:dyDescent="0.5">
      <c r="A153" s="5" t="str">
        <f t="shared" si="150"/>
        <v>STEM</v>
      </c>
      <c r="B153" s="5" t="str">
        <f t="shared" si="151"/>
        <v>SPS1</v>
      </c>
      <c r="C153" s="5" t="str">
        <f t="shared" si="152"/>
        <v>CH</v>
      </c>
      <c r="D153" t="s">
        <v>67</v>
      </c>
      <c r="E153" t="str">
        <f>E170</f>
        <v>PJ/yr.</v>
      </c>
      <c r="F153" s="1">
        <f>'[1]Electricity and CHPs'!B31</f>
        <v>0</v>
      </c>
      <c r="G153" s="1">
        <f>'[1]Electricity and CHPs'!C31</f>
        <v>0</v>
      </c>
      <c r="H153" s="1">
        <f>'[1]Electricity and CHPs'!D31</f>
        <v>0</v>
      </c>
      <c r="I153" s="1">
        <f>'[1]Electricity and CHPs'!E31</f>
        <v>0</v>
      </c>
      <c r="J153" s="1">
        <f>'[1]Electricity and CHPs'!F31</f>
        <v>0</v>
      </c>
      <c r="K153" s="1">
        <f>'[1]Electricity and CHPs'!G31</f>
        <v>5.0391744003934512E-4</v>
      </c>
      <c r="L153" s="1">
        <f>'[1]Electricity and CHPs'!H31</f>
        <v>2.4686375028119731E-3</v>
      </c>
      <c r="M153" s="1">
        <f>'[1]Electricity and CHPs'!I31</f>
        <v>2.9536942690854846E-2</v>
      </c>
      <c r="N153" s="1">
        <f>'[1]Electricity and CHPs'!J31</f>
        <v>0.37774140316094151</v>
      </c>
      <c r="O153" s="1">
        <f>'[1]Electricity and CHPs'!K31</f>
        <v>0.39769002915015217</v>
      </c>
      <c r="P153" s="1">
        <f>'[1]Electricity and CHPs'!L31</f>
        <v>0.40446428688246261</v>
      </c>
      <c r="Q153" s="1">
        <f>'[1]Electricity and CHPs'!M31</f>
        <v>0.4226617227099565</v>
      </c>
      <c r="S153" s="3"/>
    </row>
    <row r="154" spans="1:19" x14ac:dyDescent="0.5">
      <c r="A154" s="5" t="str">
        <f t="shared" si="150"/>
        <v>STEM</v>
      </c>
      <c r="B154" s="5" t="str">
        <f t="shared" si="151"/>
        <v>SPS1</v>
      </c>
      <c r="C154" s="5" t="str">
        <f t="shared" si="152"/>
        <v>CH</v>
      </c>
      <c r="D154" t="s">
        <v>68</v>
      </c>
      <c r="E154" t="str">
        <f>E77</f>
        <v>PJ/yr.</v>
      </c>
      <c r="F154" s="1">
        <f>'[1]Electricity and CHPs'!B42</f>
        <v>0.17261404367800709</v>
      </c>
      <c r="G154" s="1">
        <f>'[1]Electricity and CHPs'!C42</f>
        <v>0.49325428784315839</v>
      </c>
      <c r="H154" s="1">
        <f>'[1]Electricity and CHPs'!D42</f>
        <v>1.1359065301471178</v>
      </c>
      <c r="I154" s="1">
        <f>'[1]Electricity and CHPs'!E42</f>
        <v>1.470556959942066</v>
      </c>
      <c r="J154" s="1">
        <f>'[1]Electricity and CHPs'!F42</f>
        <v>1.4604219776466498</v>
      </c>
      <c r="K154" s="1">
        <f>'[1]Electricity and CHPs'!G42</f>
        <v>0.91063853741025502</v>
      </c>
      <c r="L154" s="1">
        <f>'[1]Electricity and CHPs'!H42</f>
        <v>0.37167535040972904</v>
      </c>
      <c r="M154" s="1">
        <f>'[1]Electricity and CHPs'!I42</f>
        <v>0.3455963350311812</v>
      </c>
      <c r="N154" s="1">
        <f>'[1]Electricity and CHPs'!J42</f>
        <v>7.4102517609785194E-3</v>
      </c>
      <c r="O154" s="1">
        <f>'[1]Electricity and CHPs'!K42</f>
        <v>3.8055907525778609E-3</v>
      </c>
      <c r="P154" s="1">
        <f>'[1]Electricity and CHPs'!L42</f>
        <v>4.2641617976429619E-3</v>
      </c>
      <c r="Q154" s="1">
        <f>'[1]Electricity and CHPs'!M42</f>
        <v>4.8893885405614859E-3</v>
      </c>
      <c r="S154" s="3"/>
    </row>
    <row r="155" spans="1:19" x14ac:dyDescent="0.5">
      <c r="A155" s="5" t="str">
        <f t="shared" si="150"/>
        <v>STEM</v>
      </c>
      <c r="B155" s="5" t="str">
        <f t="shared" si="151"/>
        <v>SPS1</v>
      </c>
      <c r="C155" s="5" t="str">
        <f t="shared" si="152"/>
        <v>CH</v>
      </c>
      <c r="D155" t="s">
        <v>69</v>
      </c>
      <c r="E155" t="str">
        <f>E154</f>
        <v>PJ/yr.</v>
      </c>
      <c r="F155" s="1">
        <f>'[1]Electricity and CHPs'!B43</f>
        <v>0</v>
      </c>
      <c r="G155" s="1">
        <f>'[1]Electricity and CHPs'!C43</f>
        <v>0</v>
      </c>
      <c r="H155" s="1">
        <f>'[1]Electricity and CHPs'!D43</f>
        <v>0</v>
      </c>
      <c r="I155" s="1">
        <f>'[1]Electricity and CHPs'!E43</f>
        <v>0</v>
      </c>
      <c r="J155" s="1">
        <f>'[1]Electricity and CHPs'!F43</f>
        <v>0</v>
      </c>
      <c r="K155" s="1">
        <f>'[1]Electricity and CHPs'!G43</f>
        <v>1.6605284139626117</v>
      </c>
      <c r="L155" s="1">
        <f>'[1]Electricity and CHPs'!H43</f>
        <v>3.7325673526226413</v>
      </c>
      <c r="M155" s="1">
        <f>'[1]Electricity and CHPs'!I43</f>
        <v>4.4047639208152054</v>
      </c>
      <c r="N155" s="1">
        <f>'[1]Electricity and CHPs'!J43</f>
        <v>4.4049165829248791</v>
      </c>
      <c r="O155" s="1">
        <f>'[1]Electricity and CHPs'!K43</f>
        <v>4.4047666087823103</v>
      </c>
      <c r="P155" s="1">
        <f>'[1]Electricity and CHPs'!L43</f>
        <v>4.4047528773159055</v>
      </c>
      <c r="Q155" s="1">
        <f>'[1]Electricity and CHPs'!M43</f>
        <v>4.4048554001949629</v>
      </c>
      <c r="S155" s="3"/>
    </row>
    <row r="156" spans="1:19" x14ac:dyDescent="0.5">
      <c r="A156" s="5" t="str">
        <f t="shared" si="150"/>
        <v>STEM</v>
      </c>
      <c r="B156" s="5" t="str">
        <f t="shared" si="151"/>
        <v>SPS1</v>
      </c>
      <c r="C156" s="5" t="str">
        <f t="shared" si="152"/>
        <v>CH</v>
      </c>
      <c r="D156" t="s">
        <v>70</v>
      </c>
      <c r="E156" t="str">
        <f>E92</f>
        <v>PJ/yr.</v>
      </c>
      <c r="F156" s="1">
        <f>'[1]Electricity and CHPs'!B50</f>
        <v>0</v>
      </c>
      <c r="G156" s="1">
        <f>'[1]Electricity and CHPs'!C50</f>
        <v>0</v>
      </c>
      <c r="H156" s="1">
        <f>'[1]Electricity and CHPs'!D50</f>
        <v>0</v>
      </c>
      <c r="I156" s="1">
        <f>'[1]Electricity and CHPs'!E50</f>
        <v>2.3875713668809646E-3</v>
      </c>
      <c r="J156" s="1">
        <f>'[1]Electricity and CHPs'!F50</f>
        <v>4.7173587799637495E-3</v>
      </c>
      <c r="K156" s="1">
        <f>'[1]Electricity and CHPs'!G50</f>
        <v>1.1404880428690034E-2</v>
      </c>
      <c r="L156" s="1">
        <f>'[1]Electricity and CHPs'!H50</f>
        <v>1.1720986586110451E-2</v>
      </c>
      <c r="M156" s="1">
        <f>'[1]Electricity and CHPs'!I50</f>
        <v>2.0242326554013295E-2</v>
      </c>
      <c r="N156" s="1">
        <f>'[1]Electricity and CHPs'!J50</f>
        <v>1.3318313107028804E-2</v>
      </c>
      <c r="O156" s="1">
        <f>'[1]Electricity and CHPs'!K50</f>
        <v>9.3728174658921047E-3</v>
      </c>
      <c r="P156" s="1">
        <f>'[1]Electricity and CHPs'!L50</f>
        <v>1.2203610994092734E-2</v>
      </c>
      <c r="Q156" s="1">
        <f>'[1]Electricity and CHPs'!M50</f>
        <v>1.3460580443294436E-2</v>
      </c>
      <c r="S156" s="3"/>
    </row>
    <row r="157" spans="1:19" x14ac:dyDescent="0.5">
      <c r="A157" s="5" t="str">
        <f t="shared" si="150"/>
        <v>STEM</v>
      </c>
      <c r="B157" s="5" t="str">
        <f t="shared" si="151"/>
        <v>SPS1</v>
      </c>
      <c r="C157" s="5" t="str">
        <f t="shared" si="152"/>
        <v>CH</v>
      </c>
      <c r="D157" t="s">
        <v>71</v>
      </c>
      <c r="E157" t="str">
        <f>E94</f>
        <v>PJ/yr.</v>
      </c>
      <c r="F157" s="1">
        <f>'[1]Electricity and CHPs'!B53</f>
        <v>0</v>
      </c>
      <c r="G157" s="1">
        <f>'[1]Electricity and CHPs'!C53</f>
        <v>0</v>
      </c>
      <c r="H157" s="1">
        <f>'[1]Electricity and CHPs'!D53</f>
        <v>0</v>
      </c>
      <c r="I157" s="1">
        <f>'[1]Electricity and CHPs'!E53</f>
        <v>3.4824239568587694E-3</v>
      </c>
      <c r="J157" s="1">
        <f>'[1]Electricity and CHPs'!F53</f>
        <v>8.6657783499550986E-3</v>
      </c>
      <c r="K157" s="1">
        <f>'[1]Electricity and CHPs'!G53</f>
        <v>6.856423487902133E-2</v>
      </c>
      <c r="L157" s="1">
        <f>'[1]Electricity and CHPs'!H53</f>
        <v>0.12039634273861592</v>
      </c>
      <c r="M157" s="1">
        <f>'[1]Electricity and CHPs'!I53</f>
        <v>0.20325686557549097</v>
      </c>
      <c r="N157" s="1">
        <f>'[1]Electricity and CHPs'!J53</f>
        <v>0.19231480698876452</v>
      </c>
      <c r="O157" s="1">
        <f>'[1]Electricity and CHPs'!K53</f>
        <v>0.1379455460253638</v>
      </c>
      <c r="P157" s="1">
        <f>'[1]Electricity and CHPs'!L53</f>
        <v>0.10617535356275278</v>
      </c>
      <c r="Q157" s="1">
        <f>'[1]Electricity and CHPs'!M53</f>
        <v>4.0745579584391622E-2</v>
      </c>
      <c r="S157" s="3"/>
    </row>
    <row r="158" spans="1:19" x14ac:dyDescent="0.5">
      <c r="A158" s="5" t="str">
        <f t="shared" si="150"/>
        <v>STEM</v>
      </c>
      <c r="B158" s="5" t="str">
        <f t="shared" si="151"/>
        <v>SPS1</v>
      </c>
      <c r="C158" s="5" t="str">
        <f t="shared" si="152"/>
        <v>CH</v>
      </c>
      <c r="D158" t="s">
        <v>295</v>
      </c>
      <c r="E158" t="str">
        <f>E96</f>
        <v>PJ/yr.</v>
      </c>
      <c r="F158" s="1">
        <f>'[1]Electricity and CHPs'!B56</f>
        <v>0</v>
      </c>
      <c r="G158" s="1">
        <f>'[1]Electricity and CHPs'!C56</f>
        <v>0</v>
      </c>
      <c r="H158" s="1">
        <f>'[1]Electricity and CHPs'!D56</f>
        <v>0</v>
      </c>
      <c r="I158" s="1">
        <f>'[1]Electricity and CHPs'!E56</f>
        <v>2.1990996642316089E-3</v>
      </c>
      <c r="J158" s="1">
        <f>'[1]Electricity and CHPs'!F56</f>
        <v>3.8274064363547338E-3</v>
      </c>
      <c r="K158" s="1">
        <f>'[1]Electricity and CHPs'!G56</f>
        <v>9.0742565981943041E-3</v>
      </c>
      <c r="L158" s="1">
        <f>'[1]Electricity and CHPs'!H56</f>
        <v>7.6853324652532929E-3</v>
      </c>
      <c r="M158" s="1">
        <f>'[1]Electricity and CHPs'!I56</f>
        <v>1.1096880168741769E-2</v>
      </c>
      <c r="N158" s="1">
        <f>'[1]Electricity and CHPs'!J56</f>
        <v>8.136402504409836E-3</v>
      </c>
      <c r="O158" s="1">
        <f>'[1]Electricity and CHPs'!K56</f>
        <v>5.5924162724526189E-3</v>
      </c>
      <c r="P158" s="1">
        <f>'[1]Electricity and CHPs'!L56</f>
        <v>1.1055358246034397E-2</v>
      </c>
      <c r="Q158" s="1">
        <f>'[1]Electricity and CHPs'!M56</f>
        <v>1.1123225591817103E-2</v>
      </c>
      <c r="S158" s="3"/>
    </row>
    <row r="159" spans="1:19" x14ac:dyDescent="0.5">
      <c r="A159" s="5" t="str">
        <f t="shared" si="150"/>
        <v>STEM</v>
      </c>
      <c r="B159" s="5" t="str">
        <f t="shared" si="151"/>
        <v>SPS1</v>
      </c>
      <c r="C159" s="5" t="str">
        <f t="shared" si="152"/>
        <v>CH</v>
      </c>
      <c r="D159" t="s">
        <v>802</v>
      </c>
      <c r="E159" t="str">
        <f>E97</f>
        <v>PJ/yr.</v>
      </c>
      <c r="F159" s="1">
        <f>F160</f>
        <v>0.52400000000000047</v>
      </c>
      <c r="G159" s="1">
        <f t="shared" ref="G159:O159" si="157">G160</f>
        <v>0.54529224792023867</v>
      </c>
      <c r="H159" s="1">
        <f t="shared" si="157"/>
        <v>0.5031648462537881</v>
      </c>
      <c r="I159" s="1">
        <f t="shared" si="157"/>
        <v>2.0502655520161239</v>
      </c>
      <c r="J159" s="1">
        <f t="shared" si="157"/>
        <v>3.6358377699965962</v>
      </c>
      <c r="K159" s="1">
        <f t="shared" si="157"/>
        <v>4.6752286052272352</v>
      </c>
      <c r="L159" s="1">
        <f t="shared" si="157"/>
        <v>10.311576017769067</v>
      </c>
      <c r="M159" s="1">
        <f t="shared" si="157"/>
        <v>15.577633031308066</v>
      </c>
      <c r="N159" s="1">
        <f t="shared" si="157"/>
        <v>15.585586570253962</v>
      </c>
      <c r="O159" s="1">
        <f t="shared" si="157"/>
        <v>15.5963791999812</v>
      </c>
      <c r="P159" s="1">
        <f>P160</f>
        <v>15.596657591332681</v>
      </c>
      <c r="Q159" s="1">
        <f>Q160</f>
        <v>15.619074249162857</v>
      </c>
      <c r="S159" s="3"/>
    </row>
    <row r="160" spans="1:19" x14ac:dyDescent="0.5">
      <c r="A160" s="5" t="str">
        <f t="shared" si="150"/>
        <v>STEM</v>
      </c>
      <c r="B160" s="5" t="str">
        <f t="shared" si="151"/>
        <v>SPS1</v>
      </c>
      <c r="C160" s="5" t="str">
        <f t="shared" si="152"/>
        <v>CH</v>
      </c>
      <c r="D160" t="s">
        <v>72</v>
      </c>
      <c r="E160" t="str">
        <f>E167</f>
        <v>PJ/yr.</v>
      </c>
      <c r="F160" s="1">
        <f>'[1]Electricity and CHPs'!B33</f>
        <v>0.52400000000000047</v>
      </c>
      <c r="G160" s="1">
        <f>'[1]Electricity and CHPs'!C33</f>
        <v>0.54529224792023867</v>
      </c>
      <c r="H160" s="1">
        <f>'[1]Electricity and CHPs'!D33</f>
        <v>0.5031648462537881</v>
      </c>
      <c r="I160" s="1">
        <f>'[1]Electricity and CHPs'!E33</f>
        <v>2.0502655520161239</v>
      </c>
      <c r="J160" s="1">
        <f>'[1]Electricity and CHPs'!F33</f>
        <v>3.6358377699965962</v>
      </c>
      <c r="K160" s="1">
        <f>'[1]Electricity and CHPs'!G33</f>
        <v>4.6752286052272352</v>
      </c>
      <c r="L160" s="1">
        <f>'[1]Electricity and CHPs'!H33</f>
        <v>10.311576017769067</v>
      </c>
      <c r="M160" s="1">
        <f>'[1]Electricity and CHPs'!I33</f>
        <v>15.577633031308066</v>
      </c>
      <c r="N160" s="1">
        <f>'[1]Electricity and CHPs'!J33</f>
        <v>15.585586570253962</v>
      </c>
      <c r="O160" s="1">
        <f>'[1]Electricity and CHPs'!K33</f>
        <v>15.5963791999812</v>
      </c>
      <c r="P160" s="1">
        <f>'[1]Electricity and CHPs'!L33</f>
        <v>15.596657591332681</v>
      </c>
      <c r="Q160" s="1">
        <f>'[1]Electricity and CHPs'!M33</f>
        <v>15.619074249162857</v>
      </c>
      <c r="S160" s="3"/>
    </row>
    <row r="161" spans="1:19" x14ac:dyDescent="0.5">
      <c r="A161" s="5" t="str">
        <f t="shared" si="150"/>
        <v>STEM</v>
      </c>
      <c r="B161" s="5" t="str">
        <f t="shared" si="151"/>
        <v>SPS1</v>
      </c>
      <c r="C161" s="5" t="str">
        <f t="shared" si="152"/>
        <v>CH</v>
      </c>
      <c r="D161" t="s">
        <v>803</v>
      </c>
      <c r="E161" t="str">
        <f>E171</f>
        <v>PJ/yr.</v>
      </c>
      <c r="F161" s="1">
        <f>SUM(F162:F166)</f>
        <v>9.3550000000000111</v>
      </c>
      <c r="G161" s="1">
        <f t="shared" ref="G161:K161" si="158">SUM(G162:G166)</f>
        <v>12.821353185486561</v>
      </c>
      <c r="H161" s="1">
        <f t="shared" si="158"/>
        <v>28.800109851170447</v>
      </c>
      <c r="I161" s="1">
        <f t="shared" si="158"/>
        <v>47.056174280717975</v>
      </c>
      <c r="J161" s="1">
        <f t="shared" si="158"/>
        <v>75.960137603667647</v>
      </c>
      <c r="K161" s="1">
        <f t="shared" si="158"/>
        <v>122.97926756234634</v>
      </c>
      <c r="L161" s="1">
        <f t="shared" ref="L161:O161" si="159">SUM(L162:L166)</f>
        <v>149.49787248933049</v>
      </c>
      <c r="M161" s="1">
        <f t="shared" si="159"/>
        <v>164.1438242551454</v>
      </c>
      <c r="N161" s="1">
        <f t="shared" si="159"/>
        <v>169.82658585451031</v>
      </c>
      <c r="O161" s="1">
        <f t="shared" si="159"/>
        <v>175.13127631216156</v>
      </c>
      <c r="P161" s="1">
        <f>SUM(P162:P166)</f>
        <v>169.93816320705119</v>
      </c>
      <c r="Q161" s="1">
        <f>SUM(Q162:Q166)</f>
        <v>172.61026180072028</v>
      </c>
      <c r="S161" s="3"/>
    </row>
    <row r="162" spans="1:19" x14ac:dyDescent="0.5">
      <c r="A162" s="5" t="str">
        <f t="shared" si="150"/>
        <v>STEM</v>
      </c>
      <c r="B162" s="5" t="str">
        <f t="shared" si="151"/>
        <v>SPS1</v>
      </c>
      <c r="C162" s="5" t="str">
        <f t="shared" si="152"/>
        <v>CH</v>
      </c>
      <c r="D162" t="s">
        <v>73</v>
      </c>
      <c r="E162" t="str">
        <f>E160</f>
        <v>PJ/yr.</v>
      </c>
      <c r="F162" s="1">
        <f>'[1]Electricity and CHPs'!B34</f>
        <v>0</v>
      </c>
      <c r="G162" s="1">
        <f>'[1]Electricity and CHPs'!C34</f>
        <v>0</v>
      </c>
      <c r="H162" s="1">
        <f>'[1]Electricity and CHPs'!D34</f>
        <v>1.1887039527560194E-3</v>
      </c>
      <c r="I162" s="1">
        <f>'[1]Electricity and CHPs'!E34</f>
        <v>0.34281920182681569</v>
      </c>
      <c r="J162" s="1">
        <f>'[1]Electricity and CHPs'!F34</f>
        <v>2.3202254217184075</v>
      </c>
      <c r="K162" s="1">
        <f>'[1]Electricity and CHPs'!G34</f>
        <v>15.933989588280619</v>
      </c>
      <c r="L162" s="1">
        <f>'[1]Electricity and CHPs'!H34</f>
        <v>23.410807652465245</v>
      </c>
      <c r="M162" s="1">
        <f>'[1]Electricity and CHPs'!I34</f>
        <v>29.818992108983068</v>
      </c>
      <c r="N162" s="1">
        <f>'[1]Electricity and CHPs'!J34</f>
        <v>28.649833808400803</v>
      </c>
      <c r="O162" s="1">
        <f>'[1]Electricity and CHPs'!K34</f>
        <v>26.753084496625526</v>
      </c>
      <c r="P162" s="1">
        <f>'[1]Electricity and CHPs'!L34</f>
        <v>13.991171449712663</v>
      </c>
      <c r="Q162" s="1">
        <f>'[1]Electricity and CHPs'!M34</f>
        <v>8.7083339897528038</v>
      </c>
      <c r="S162" s="3"/>
    </row>
    <row r="163" spans="1:19" x14ac:dyDescent="0.5">
      <c r="A163" s="5" t="str">
        <f t="shared" si="150"/>
        <v>STEM</v>
      </c>
      <c r="B163" s="5" t="str">
        <f t="shared" si="151"/>
        <v>SPS1</v>
      </c>
      <c r="C163" s="5" t="str">
        <f t="shared" si="152"/>
        <v>CH</v>
      </c>
      <c r="D163" t="s">
        <v>74</v>
      </c>
      <c r="E163" t="str">
        <f>E162</f>
        <v>PJ/yr.</v>
      </c>
      <c r="F163" s="1">
        <f>'[1]Electricity and CHPs'!B35</f>
        <v>3.517953999707534</v>
      </c>
      <c r="G163" s="1">
        <f>'[1]Electricity and CHPs'!C35</f>
        <v>4.8486224180395263</v>
      </c>
      <c r="H163" s="1">
        <f>'[1]Electricity and CHPs'!D35</f>
        <v>8.4550825265422365</v>
      </c>
      <c r="I163" s="1">
        <f>'[1]Electricity and CHPs'!E35</f>
        <v>9.926144174025012</v>
      </c>
      <c r="J163" s="1">
        <f>'[1]Electricity and CHPs'!F35</f>
        <v>19.784617135491548</v>
      </c>
      <c r="K163" s="1">
        <f>'[1]Electricity and CHPs'!G35</f>
        <v>20.793900898128385</v>
      </c>
      <c r="L163" s="1">
        <f>'[1]Electricity and CHPs'!H35</f>
        <v>21.854605212615262</v>
      </c>
      <c r="M163" s="1">
        <f>'[1]Electricity and CHPs'!I35</f>
        <v>22.969412315912109</v>
      </c>
      <c r="N163" s="1">
        <f>'[1]Electricity and CHPs'!J35</f>
        <v>24.141083330105005</v>
      </c>
      <c r="O163" s="1">
        <f>'[1]Electricity and CHPs'!K35</f>
        <v>25.37252149187724</v>
      </c>
      <c r="P163" s="1">
        <f>'[1]Electricity and CHPs'!L35</f>
        <v>26.666775752836962</v>
      </c>
      <c r="Q163" s="1">
        <f>'[1]Electricity and CHPs'!M35</f>
        <v>28.027050278303932</v>
      </c>
      <c r="S163" s="3"/>
    </row>
    <row r="164" spans="1:19" x14ac:dyDescent="0.5">
      <c r="A164" s="5" t="str">
        <f t="shared" si="150"/>
        <v>STEM</v>
      </c>
      <c r="B164" s="5" t="str">
        <f t="shared" si="151"/>
        <v>SPS1</v>
      </c>
      <c r="C164" s="5" t="str">
        <f t="shared" si="152"/>
        <v>CH</v>
      </c>
      <c r="D164" t="s">
        <v>75</v>
      </c>
      <c r="E164" t="str">
        <f>E163</f>
        <v>PJ/yr.</v>
      </c>
      <c r="F164" s="1">
        <f>'[1]Electricity and CHPs'!B36</f>
        <v>2.1349390887346629</v>
      </c>
      <c r="G164" s="1">
        <f>'[1]Electricity and CHPs'!C36</f>
        <v>3.3906781286430983</v>
      </c>
      <c r="H164" s="1">
        <f>'[1]Electricity and CHPs'!D36</f>
        <v>10.596782014740967</v>
      </c>
      <c r="I164" s="1">
        <f>'[1]Electricity and CHPs'!E36</f>
        <v>18.916937780492358</v>
      </c>
      <c r="J164" s="1">
        <f>'[1]Electricity and CHPs'!F36</f>
        <v>19.88417330976128</v>
      </c>
      <c r="K164" s="1">
        <f>'[1]Electricity and CHPs'!G36</f>
        <v>20.898665828517974</v>
      </c>
      <c r="L164" s="1">
        <f>'[1]Electricity and CHPs'!H36</f>
        <v>34.749536309248008</v>
      </c>
      <c r="M164" s="1">
        <f>'[1]Electricity and CHPs'!I36</f>
        <v>38.328120836094136</v>
      </c>
      <c r="N164" s="1">
        <f>'[1]Electricity and CHPs'!J36</f>
        <v>40.28324174799026</v>
      </c>
      <c r="O164" s="1">
        <f>'[1]Electricity and CHPs'!K36</f>
        <v>42.338095039730725</v>
      </c>
      <c r="P164" s="1">
        <f>'[1]Electricity and CHPs'!L36</f>
        <v>44.497774485439379</v>
      </c>
      <c r="Q164" s="1">
        <f>'[1]Electricity and CHPs'!M36</f>
        <v>46.767660445932052</v>
      </c>
      <c r="S164" s="3"/>
    </row>
    <row r="165" spans="1:19" x14ac:dyDescent="0.5">
      <c r="A165" s="5" t="str">
        <f t="shared" si="150"/>
        <v>STEM</v>
      </c>
      <c r="B165" s="5" t="str">
        <f t="shared" si="151"/>
        <v>SPS1</v>
      </c>
      <c r="C165" s="5" t="str">
        <f t="shared" si="152"/>
        <v>CH</v>
      </c>
      <c r="D165" t="s">
        <v>76</v>
      </c>
      <c r="E165" t="str">
        <f>E164</f>
        <v>PJ/yr.</v>
      </c>
      <c r="F165" s="1">
        <f>'[1]Electricity and CHPs'!B37</f>
        <v>0.86248322578584768</v>
      </c>
      <c r="G165" s="1">
        <f>'[1]Electricity and CHPs'!C37</f>
        <v>1.2875974189862847</v>
      </c>
      <c r="H165" s="1">
        <f>'[1]Electricity and CHPs'!D37</f>
        <v>5.81077948848551</v>
      </c>
      <c r="I165" s="1">
        <f>'[1]Electricity and CHPs'!E37</f>
        <v>13.460689004447735</v>
      </c>
      <c r="J165" s="1">
        <f>'[1]Electricity and CHPs'!F37</f>
        <v>29.336018101734197</v>
      </c>
      <c r="K165" s="1">
        <f>'[1]Electricity and CHPs'!G37</f>
        <v>37.625853379218412</v>
      </c>
      <c r="L165" s="1">
        <f>'[1]Electricity and CHPs'!H37</f>
        <v>40.341691658274229</v>
      </c>
      <c r="M165" s="1">
        <f>'[1]Electricity and CHPs'!I37</f>
        <v>42.399565086803094</v>
      </c>
      <c r="N165" s="1">
        <f>'[1]Electricity and CHPs'!J37</f>
        <v>44.562370427942795</v>
      </c>
      <c r="O165" s="1">
        <f>'[1]Electricity and CHPs'!K37</f>
        <v>46.835501637375899</v>
      </c>
      <c r="P165" s="1">
        <f>'[1]Electricity and CHPs'!L37</f>
        <v>49.224590392896687</v>
      </c>
      <c r="Q165" s="1">
        <f>'[1]Electricity and CHPs'!M37</f>
        <v>51.735555388894653</v>
      </c>
      <c r="S165" s="3"/>
    </row>
    <row r="166" spans="1:19" x14ac:dyDescent="0.5">
      <c r="A166" s="5" t="str">
        <f t="shared" si="150"/>
        <v>STEM</v>
      </c>
      <c r="B166" s="5" t="str">
        <f t="shared" si="151"/>
        <v>SPS1</v>
      </c>
      <c r="C166" s="5" t="str">
        <f t="shared" si="152"/>
        <v>CH</v>
      </c>
      <c r="D166" t="s">
        <v>86</v>
      </c>
      <c r="E166" t="str">
        <f>E165</f>
        <v>PJ/yr.</v>
      </c>
      <c r="F166" s="1">
        <f>'[1]Electricity and CHPs'!B38</f>
        <v>2.8396236857719668</v>
      </c>
      <c r="G166" s="1">
        <f>'[1]Electricity and CHPs'!C38</f>
        <v>3.2944552198176535</v>
      </c>
      <c r="H166" s="1">
        <f>'[1]Electricity and CHPs'!D38</f>
        <v>3.9362771174489812</v>
      </c>
      <c r="I166" s="1">
        <f>'[1]Electricity and CHPs'!E38</f>
        <v>4.4095841199260528</v>
      </c>
      <c r="J166" s="1">
        <f>'[1]Electricity and CHPs'!F38</f>
        <v>4.635103634962209</v>
      </c>
      <c r="K166" s="1">
        <f>'[1]Electricity and CHPs'!G38</f>
        <v>27.726857868200945</v>
      </c>
      <c r="L166" s="1">
        <f>'[1]Electricity and CHPs'!H38</f>
        <v>29.141231656727765</v>
      </c>
      <c r="M166" s="1">
        <f>'[1]Electricity and CHPs'!I38</f>
        <v>30.627733907353029</v>
      </c>
      <c r="N166" s="1">
        <f>'[1]Electricity and CHPs'!J38</f>
        <v>32.190056540071453</v>
      </c>
      <c r="O166" s="1">
        <f>'[1]Electricity and CHPs'!K38</f>
        <v>33.832073646552168</v>
      </c>
      <c r="P166" s="1">
        <f>'[1]Electricity and CHPs'!L38</f>
        <v>35.557851126165495</v>
      </c>
      <c r="Q166" s="1">
        <f>'[1]Electricity and CHPs'!M38</f>
        <v>37.371661697836849</v>
      </c>
      <c r="S166" s="3"/>
    </row>
    <row r="167" spans="1:19" x14ac:dyDescent="0.5">
      <c r="A167" s="5" t="str">
        <f>A170</f>
        <v>STEM</v>
      </c>
      <c r="B167" s="5" t="str">
        <f>B170</f>
        <v>SPS1</v>
      </c>
      <c r="C167" s="5" t="str">
        <f>C170</f>
        <v>CH</v>
      </c>
      <c r="D167" t="s">
        <v>804</v>
      </c>
      <c r="E167" t="str">
        <f>E153</f>
        <v>PJ/yr.</v>
      </c>
      <c r="F167" s="1">
        <f>'[1]Electricity and CHPs'!B32</f>
        <v>0</v>
      </c>
      <c r="G167" s="1">
        <f>'[1]Electricity and CHPs'!C32</f>
        <v>0</v>
      </c>
      <c r="H167" s="1">
        <f>'[1]Electricity and CHPs'!D32</f>
        <v>0</v>
      </c>
      <c r="I167" s="1">
        <f>'[1]Electricity and CHPs'!E32</f>
        <v>0</v>
      </c>
      <c r="J167" s="1">
        <f>'[1]Electricity and CHPs'!F32</f>
        <v>0</v>
      </c>
      <c r="K167" s="1">
        <f>'[1]Electricity and CHPs'!G32</f>
        <v>0</v>
      </c>
      <c r="L167" s="1">
        <f>'[1]Electricity and CHPs'!H32</f>
        <v>7.3803712160078055E-2</v>
      </c>
      <c r="M167" s="1">
        <f>'[1]Electricity and CHPs'!I32</f>
        <v>0.1766332726082091</v>
      </c>
      <c r="N167" s="1">
        <f>'[1]Electricity and CHPs'!J32</f>
        <v>0.17651554023443072</v>
      </c>
      <c r="O167" s="1">
        <f>'[1]Electricity and CHPs'!K32</f>
        <v>0.17681539113253819</v>
      </c>
      <c r="P167" s="1">
        <f>'[1]Electricity and CHPs'!L32</f>
        <v>0.17882768757931677</v>
      </c>
      <c r="Q167" s="1">
        <f>'[1]Electricity and CHPs'!M32</f>
        <v>0.18659219490740672</v>
      </c>
      <c r="S167" s="3"/>
    </row>
    <row r="168" spans="1:19" x14ac:dyDescent="0.5">
      <c r="A168" s="5" t="str">
        <f t="shared" ref="A168" si="160">A167</f>
        <v>STEM</v>
      </c>
      <c r="B168" s="5" t="str">
        <f t="shared" ref="B168" si="161">B167</f>
        <v>SPS1</v>
      </c>
      <c r="C168" s="5" t="str">
        <f t="shared" ref="C168" si="162">C167</f>
        <v>CH</v>
      </c>
      <c r="D168" t="s">
        <v>90</v>
      </c>
      <c r="E168" t="str">
        <f>E154</f>
        <v>PJ/yr.</v>
      </c>
      <c r="F168" s="1">
        <f>F167</f>
        <v>0</v>
      </c>
      <c r="G168" s="1">
        <f t="shared" ref="G168:K168" si="163">G167</f>
        <v>0</v>
      </c>
      <c r="H168" s="1">
        <f t="shared" si="163"/>
        <v>0</v>
      </c>
      <c r="I168" s="1">
        <f t="shared" si="163"/>
        <v>0</v>
      </c>
      <c r="J168" s="1">
        <f t="shared" si="163"/>
        <v>0</v>
      </c>
      <c r="K168" s="1">
        <f t="shared" si="163"/>
        <v>0</v>
      </c>
      <c r="L168" s="1">
        <f t="shared" ref="L168:O168" si="164">L167</f>
        <v>7.3803712160078055E-2</v>
      </c>
      <c r="M168" s="1">
        <f t="shared" si="164"/>
        <v>0.1766332726082091</v>
      </c>
      <c r="N168" s="1">
        <f t="shared" si="164"/>
        <v>0.17651554023443072</v>
      </c>
      <c r="O168" s="1">
        <f t="shared" si="164"/>
        <v>0.17681539113253819</v>
      </c>
      <c r="P168" s="1">
        <f>P167</f>
        <v>0.17882768757931677</v>
      </c>
      <c r="Q168" s="1">
        <f>Q167</f>
        <v>0.18659219490740672</v>
      </c>
      <c r="S168" s="3"/>
    </row>
    <row r="169" spans="1:19" x14ac:dyDescent="0.5">
      <c r="A169" s="5" t="str">
        <f>A166</f>
        <v>STEM</v>
      </c>
      <c r="B169" s="5" t="str">
        <f>B166</f>
        <v>SPS1</v>
      </c>
      <c r="C169" s="5" t="str">
        <f>C166</f>
        <v>CH</v>
      </c>
      <c r="D169" t="s">
        <v>805</v>
      </c>
      <c r="E169" t="str">
        <f>E166</f>
        <v>PJ/yr.</v>
      </c>
      <c r="F169" s="1">
        <f t="shared" ref="F169:K169" si="165">SUM(F170:F172)</f>
        <v>0</v>
      </c>
      <c r="G169" s="1">
        <f t="shared" si="165"/>
        <v>0</v>
      </c>
      <c r="H169" s="1">
        <f t="shared" si="165"/>
        <v>0</v>
      </c>
      <c r="I169" s="1">
        <f t="shared" si="165"/>
        <v>5.6692784032239506E-3</v>
      </c>
      <c r="J169" s="1">
        <f t="shared" si="165"/>
        <v>0.67072724596745925</v>
      </c>
      <c r="K169" s="1">
        <f t="shared" si="165"/>
        <v>0.41538117651289808</v>
      </c>
      <c r="L169" s="1">
        <f t="shared" ref="L169:O169" si="166">SUM(L170:L172)</f>
        <v>0.41212658812564007</v>
      </c>
      <c r="M169" s="1">
        <f t="shared" si="166"/>
        <v>0.7828724593398132</v>
      </c>
      <c r="N169" s="1">
        <f t="shared" si="166"/>
        <v>2.6301509864374877</v>
      </c>
      <c r="O169" s="1">
        <f t="shared" si="166"/>
        <v>3.1093367044554316</v>
      </c>
      <c r="P169" s="1">
        <f>SUM(P170:P172)</f>
        <v>4.7334493912272162</v>
      </c>
      <c r="Q169" s="1">
        <f>SUM(Q170:Q172)</f>
        <v>5.6287936324855465</v>
      </c>
      <c r="S169" s="3"/>
    </row>
    <row r="170" spans="1:19" x14ac:dyDescent="0.5">
      <c r="A170" s="5" t="str">
        <f t="shared" si="150"/>
        <v>STEM</v>
      </c>
      <c r="B170" s="5" t="str">
        <f t="shared" si="151"/>
        <v>SPS1</v>
      </c>
      <c r="C170" s="5" t="str">
        <f t="shared" si="152"/>
        <v>CH</v>
      </c>
      <c r="D170" t="s">
        <v>77</v>
      </c>
      <c r="E170" t="str">
        <f>E87</f>
        <v>PJ/yr.</v>
      </c>
      <c r="F170" s="1">
        <f>'[1]Electricity and CHPs'!B30</f>
        <v>0</v>
      </c>
      <c r="G170" s="1">
        <f>'[1]Electricity and CHPs'!C30</f>
        <v>0</v>
      </c>
      <c r="H170" s="1">
        <f>'[1]Electricity and CHPs'!D30</f>
        <v>0</v>
      </c>
      <c r="I170" s="1">
        <f>'[1]Electricity and CHPs'!E30</f>
        <v>0</v>
      </c>
      <c r="J170" s="1">
        <f>'[1]Electricity and CHPs'!F30</f>
        <v>0</v>
      </c>
      <c r="K170" s="1">
        <f>'[1]Electricity and CHPs'!G30</f>
        <v>3.659695528774614E-2</v>
      </c>
      <c r="L170" s="1">
        <f>'[1]Electricity and CHPs'!H30</f>
        <v>3.7313924476233155E-2</v>
      </c>
      <c r="M170" s="1">
        <f>'[1]Electricity and CHPs'!I30</f>
        <v>5.0614902062027865E-2</v>
      </c>
      <c r="N170" s="1">
        <f>'[1]Electricity and CHPs'!J30</f>
        <v>0.86884630081509584</v>
      </c>
      <c r="O170" s="1">
        <f>'[1]Electricity and CHPs'!K30</f>
        <v>1.0873517624175999</v>
      </c>
      <c r="P170" s="1">
        <f>'[1]Electricity and CHPs'!L30</f>
        <v>1.0874342349510862</v>
      </c>
      <c r="Q170" s="1">
        <f>'[1]Electricity and CHPs'!M30</f>
        <v>1.1192074614303709</v>
      </c>
      <c r="S170" s="3"/>
    </row>
    <row r="171" spans="1:19" x14ac:dyDescent="0.5">
      <c r="A171" s="5" t="str">
        <f>A167</f>
        <v>STEM</v>
      </c>
      <c r="B171" s="5" t="str">
        <f>B167</f>
        <v>SPS1</v>
      </c>
      <c r="C171" s="5" t="str">
        <f>C167</f>
        <v>CH</v>
      </c>
      <c r="D171" t="s">
        <v>78</v>
      </c>
      <c r="E171" t="str">
        <f>E136</f>
        <v>PJ/yr.</v>
      </c>
      <c r="F171" s="1">
        <f>'[1]Electricity and CHPs'!B46</f>
        <v>0</v>
      </c>
      <c r="G171" s="1">
        <f>'[1]Electricity and CHPs'!C46</f>
        <v>0</v>
      </c>
      <c r="H171" s="1">
        <f>'[1]Electricity and CHPs'!D46</f>
        <v>0</v>
      </c>
      <c r="I171" s="1">
        <f>'[1]Electricity and CHPs'!E46</f>
        <v>0</v>
      </c>
      <c r="J171" s="1">
        <f>'[1]Electricity and CHPs'!F46</f>
        <v>0.65061765891588386</v>
      </c>
      <c r="K171" s="1">
        <f>'[1]Electricity and CHPs'!G46</f>
        <v>0.35970119959755226</v>
      </c>
      <c r="L171" s="1">
        <f>'[1]Electricity and CHPs'!H46</f>
        <v>0.35973605690891269</v>
      </c>
      <c r="M171" s="1">
        <f>'[1]Electricity and CHPs'!I46</f>
        <v>0.68631688447511918</v>
      </c>
      <c r="N171" s="1">
        <f>'[1]Electricity and CHPs'!J46</f>
        <v>1.7055878339183161</v>
      </c>
      <c r="O171" s="1">
        <f>'[1]Electricity and CHPs'!K46</f>
        <v>1.9671081819723344</v>
      </c>
      <c r="P171" s="1">
        <f>'[1]Electricity and CHPs'!L46</f>
        <v>3.4652906123534075</v>
      </c>
      <c r="Q171" s="1">
        <f>'[1]Electricity and CHPs'!M46</f>
        <v>4.1086942417916195</v>
      </c>
      <c r="S171" s="3"/>
    </row>
    <row r="172" spans="1:19" x14ac:dyDescent="0.5">
      <c r="A172" s="5" t="str">
        <f t="shared" si="150"/>
        <v>STEM</v>
      </c>
      <c r="B172" s="5" t="str">
        <f t="shared" si="151"/>
        <v>SPS1</v>
      </c>
      <c r="C172" s="5" t="str">
        <f t="shared" si="152"/>
        <v>CH</v>
      </c>
      <c r="D172" t="s">
        <v>234</v>
      </c>
      <c r="E172" t="str">
        <f t="shared" ref="E172:E180" si="167">E158</f>
        <v>PJ/yr.</v>
      </c>
      <c r="F172" s="1">
        <f>'[1]Electricity and CHPs'!B57</f>
        <v>0</v>
      </c>
      <c r="G172" s="1">
        <f>'[1]Electricity and CHPs'!C57</f>
        <v>0</v>
      </c>
      <c r="H172" s="1">
        <f>'[1]Electricity and CHPs'!D57</f>
        <v>0</v>
      </c>
      <c r="I172" s="1">
        <f>'[1]Electricity and CHPs'!E57</f>
        <v>5.6692784032239506E-3</v>
      </c>
      <c r="J172" s="1">
        <f>'[1]Electricity and CHPs'!F57</f>
        <v>2.0109587051575444E-2</v>
      </c>
      <c r="K172" s="1">
        <f>'[1]Electricity and CHPs'!G57</f>
        <v>1.9083021627599644E-2</v>
      </c>
      <c r="L172" s="1">
        <f>'[1]Electricity and CHPs'!H57</f>
        <v>1.507660674049424E-2</v>
      </c>
      <c r="M172" s="1">
        <f>'[1]Electricity and CHPs'!I57</f>
        <v>4.594067280266613E-2</v>
      </c>
      <c r="N172" s="1">
        <f>'[1]Electricity and CHPs'!J57</f>
        <v>5.5716851704075553E-2</v>
      </c>
      <c r="O172" s="1">
        <f>'[1]Electricity and CHPs'!K57</f>
        <v>5.4876760065497542E-2</v>
      </c>
      <c r="P172" s="1">
        <f>'[1]Electricity and CHPs'!L57</f>
        <v>0.18072454392272269</v>
      </c>
      <c r="Q172" s="1">
        <f>'[1]Electricity and CHPs'!M57</f>
        <v>0.40089192926355688</v>
      </c>
      <c r="S172" s="3"/>
    </row>
    <row r="173" spans="1:19" x14ac:dyDescent="0.5">
      <c r="A173" s="5" t="str">
        <f t="shared" si="150"/>
        <v>STEM</v>
      </c>
      <c r="B173" s="5" t="str">
        <f t="shared" si="151"/>
        <v>SPS1</v>
      </c>
      <c r="C173" s="5" t="str">
        <f t="shared" si="152"/>
        <v>CH</v>
      </c>
      <c r="D173" t="s">
        <v>806</v>
      </c>
      <c r="E173" t="str">
        <f t="shared" si="167"/>
        <v>PJ/yr.</v>
      </c>
      <c r="F173" s="1">
        <f>SUM(F174:F180)</f>
        <v>0.14898366263993762</v>
      </c>
      <c r="G173" s="1">
        <f t="shared" ref="G173:K173" si="168">SUM(G174:G180)</f>
        <v>6.3146342288047358E-2</v>
      </c>
      <c r="H173" s="1">
        <f t="shared" si="168"/>
        <v>8.0917185289249044E-2</v>
      </c>
      <c r="I173" s="1">
        <f t="shared" si="168"/>
        <v>0.42640131899335165</v>
      </c>
      <c r="J173" s="1">
        <f t="shared" si="168"/>
        <v>1.2369612083488835</v>
      </c>
      <c r="K173" s="1">
        <f t="shared" si="168"/>
        <v>4.3850979107458157</v>
      </c>
      <c r="L173" s="1">
        <f t="shared" ref="L173:O173" si="169">SUM(L174:L180)</f>
        <v>8.1067778594176563</v>
      </c>
      <c r="M173" s="1">
        <f t="shared" si="169"/>
        <v>9.5238017708134084</v>
      </c>
      <c r="N173" s="1">
        <f t="shared" si="169"/>
        <v>15.537218462757457</v>
      </c>
      <c r="O173" s="1">
        <f t="shared" si="169"/>
        <v>17.980009019132801</v>
      </c>
      <c r="P173" s="1">
        <f>SUM(P174:P180)</f>
        <v>16.925594304956416</v>
      </c>
      <c r="Q173" s="1">
        <f>SUM(Q174:Q180)</f>
        <v>17.822805968319106</v>
      </c>
      <c r="S173" s="3"/>
    </row>
    <row r="174" spans="1:19" x14ac:dyDescent="0.5">
      <c r="A174" s="5" t="str">
        <f t="shared" si="150"/>
        <v>STEM</v>
      </c>
      <c r="B174" s="5" t="str">
        <f t="shared" si="151"/>
        <v>SPS1</v>
      </c>
      <c r="C174" s="5" t="str">
        <f t="shared" si="152"/>
        <v>CH</v>
      </c>
      <c r="D174" t="s">
        <v>79</v>
      </c>
      <c r="E174" t="str">
        <f t="shared" si="167"/>
        <v>PJ/yr.</v>
      </c>
      <c r="F174" s="1">
        <f>'[1]Electricity and CHPs'!B70</f>
        <v>9.4709525270851039E-2</v>
      </c>
      <c r="G174" s="1">
        <f>'[1]Electricity and CHPs'!C70</f>
        <v>1.489688265439054E-2</v>
      </c>
      <c r="H174" s="1">
        <f>'[1]Electricity and CHPs'!D70</f>
        <v>3.1711859635974282E-2</v>
      </c>
      <c r="I174" s="1">
        <f>'[1]Electricity and CHPs'!E70</f>
        <v>9.4477232399656816E-2</v>
      </c>
      <c r="J174" s="1">
        <f>'[1]Electricity and CHPs'!F70</f>
        <v>8.6136731922430362E-2</v>
      </c>
      <c r="K174" s="1">
        <f>'[1]Electricity and CHPs'!G70</f>
        <v>6.9791663606863896E-2</v>
      </c>
      <c r="L174" s="1">
        <f>'[1]Electricity and CHPs'!H70</f>
        <v>9.4484402588599622E-2</v>
      </c>
      <c r="M174" s="1">
        <f>'[1]Electricity and CHPs'!I70</f>
        <v>7.6388743998097072E-2</v>
      </c>
      <c r="N174" s="1">
        <f>'[1]Electricity and CHPs'!J70</f>
        <v>9.4511444576772033E-2</v>
      </c>
      <c r="O174" s="1">
        <f>'[1]Electricity and CHPs'!K70</f>
        <v>9.4518785164775132E-2</v>
      </c>
      <c r="P174" s="1">
        <f>'[1]Electricity and CHPs'!L70</f>
        <v>9.4508808621834917E-2</v>
      </c>
      <c r="Q174" s="1">
        <f>'[1]Electricity and CHPs'!M70</f>
        <v>9.4557073704089667E-2</v>
      </c>
      <c r="S174" s="3"/>
    </row>
    <row r="175" spans="1:19" x14ac:dyDescent="0.5">
      <c r="A175" s="5" t="str">
        <f t="shared" si="150"/>
        <v>STEM</v>
      </c>
      <c r="B175" s="5" t="str">
        <f t="shared" si="151"/>
        <v>SPS1</v>
      </c>
      <c r="C175" s="5" t="str">
        <f t="shared" si="152"/>
        <v>CH</v>
      </c>
      <c r="D175" t="s">
        <v>80</v>
      </c>
      <c r="E175" t="str">
        <f t="shared" si="167"/>
        <v>PJ/yr.</v>
      </c>
      <c r="F175" s="1">
        <f>'[1]Electricity and CHPs'!B71</f>
        <v>1.4494457383616981E-2</v>
      </c>
      <c r="G175" s="1">
        <f>'[1]Electricity and CHPs'!C71</f>
        <v>1.1318464911724073E-2</v>
      </c>
      <c r="H175" s="1">
        <f>'[1]Electricity and CHPs'!D71</f>
        <v>1.162270833050604E-2</v>
      </c>
      <c r="I175" s="1">
        <f>'[1]Electricity and CHPs'!E71</f>
        <v>1.2833691797383301E-2</v>
      </c>
      <c r="J175" s="1">
        <f>'[1]Electricity and CHPs'!F71</f>
        <v>0.53573176616495521</v>
      </c>
      <c r="K175" s="1">
        <f>'[1]Electricity and CHPs'!G71</f>
        <v>0.57859399837107839</v>
      </c>
      <c r="L175" s="1">
        <f>'[1]Electricity and CHPs'!H71</f>
        <v>0.57947047737752366</v>
      </c>
      <c r="M175" s="1">
        <f>'[1]Electricity and CHPs'!I71</f>
        <v>0.58018453477038778</v>
      </c>
      <c r="N175" s="1">
        <f>'[1]Electricity and CHPs'!J71</f>
        <v>1.0604748574251268</v>
      </c>
      <c r="O175" s="1">
        <f>'[1]Electricity and CHPs'!K71</f>
        <v>1.0621509473654485</v>
      </c>
      <c r="P175" s="1">
        <f>'[1]Electricity and CHPs'!L71</f>
        <v>1.0626100597405805</v>
      </c>
      <c r="Q175" s="1">
        <f>'[1]Electricity and CHPs'!M71</f>
        <v>1.1913463674193498</v>
      </c>
      <c r="S175" s="3"/>
    </row>
    <row r="176" spans="1:19" x14ac:dyDescent="0.5">
      <c r="A176" s="5" t="str">
        <f t="shared" si="150"/>
        <v>STEM</v>
      </c>
      <c r="B176" s="5" t="str">
        <f t="shared" si="151"/>
        <v>SPS1</v>
      </c>
      <c r="C176" s="5" t="str">
        <f t="shared" si="152"/>
        <v>CH</v>
      </c>
      <c r="D176" t="s">
        <v>81</v>
      </c>
      <c r="E176" t="str">
        <f t="shared" si="167"/>
        <v>PJ/yr.</v>
      </c>
      <c r="F176" s="1">
        <f>'[1]Electricity and CHPs'!B72</f>
        <v>1.3320891291589407E-2</v>
      </c>
      <c r="G176" s="1">
        <f>'[1]Electricity and CHPs'!C72</f>
        <v>1.0414841106323231E-2</v>
      </c>
      <c r="H176" s="1">
        <f>'[1]Electricity and CHPs'!D72</f>
        <v>1.0727394611736807E-2</v>
      </c>
      <c r="I176" s="1">
        <f>'[1]Electricity and CHPs'!E72</f>
        <v>1.2079913349600626E-2</v>
      </c>
      <c r="J176" s="1">
        <f>'[1]Electricity and CHPs'!F72</f>
        <v>0.11980715728775058</v>
      </c>
      <c r="K176" s="1">
        <f>'[1]Electricity and CHPs'!G72</f>
        <v>3.0080915760519824</v>
      </c>
      <c r="L176" s="1">
        <f>'[1]Electricity and CHPs'!H72</f>
        <v>6.5477748966194484</v>
      </c>
      <c r="M176" s="1">
        <f>'[1]Electricity and CHPs'!I72</f>
        <v>7.9716802715371191</v>
      </c>
      <c r="N176" s="1">
        <f>'[1]Electricity and CHPs'!J72</f>
        <v>13.359255279595642</v>
      </c>
      <c r="O176" s="1">
        <f>'[1]Electricity and CHPs'!K72</f>
        <v>15.732200379448413</v>
      </c>
      <c r="P176" s="1">
        <f>'[1]Electricity and CHPs'!L72</f>
        <v>14.639986289352123</v>
      </c>
      <c r="Q176" s="1">
        <f>'[1]Electricity and CHPs'!M72</f>
        <v>15.323238671135654</v>
      </c>
      <c r="S176" s="3"/>
    </row>
    <row r="177" spans="1:19" x14ac:dyDescent="0.5">
      <c r="A177" s="5" t="str">
        <f t="shared" si="150"/>
        <v>STEM</v>
      </c>
      <c r="B177" s="5" t="str">
        <f t="shared" si="151"/>
        <v>SPS1</v>
      </c>
      <c r="C177" s="5" t="str">
        <f t="shared" si="152"/>
        <v>CH</v>
      </c>
      <c r="D177" t="s">
        <v>82</v>
      </c>
      <c r="E177" t="str">
        <f t="shared" si="167"/>
        <v>PJ/yr.</v>
      </c>
      <c r="F177" s="1">
        <f>'[1]Electricity and CHPs'!B73</f>
        <v>4.0839504578957164E-3</v>
      </c>
      <c r="G177" s="1">
        <f>'[1]Electricity and CHPs'!C73</f>
        <v>4.0906781668015643E-3</v>
      </c>
      <c r="H177" s="1">
        <f>'[1]Electricity and CHPs'!D73</f>
        <v>4.150688164969287E-3</v>
      </c>
      <c r="I177" s="1">
        <f>'[1]Electricity and CHPs'!E73</f>
        <v>5.716702621105612E-2</v>
      </c>
      <c r="J177" s="1">
        <f>'[1]Electricity and CHPs'!F73</f>
        <v>0.10709312501141476</v>
      </c>
      <c r="K177" s="1">
        <f>'[1]Electricity and CHPs'!G73</f>
        <v>0.16206354829272107</v>
      </c>
      <c r="L177" s="1">
        <f>'[1]Electricity and CHPs'!H73</f>
        <v>0.13745626036703879</v>
      </c>
      <c r="M177" s="1">
        <f>'[1]Electricity and CHPs'!I73</f>
        <v>0.20269194475935717</v>
      </c>
      <c r="N177" s="1">
        <f>'[1]Electricity and CHPs'!J73</f>
        <v>0.22333449224048271</v>
      </c>
      <c r="O177" s="1">
        <f>'[1]Electricity and CHPs'!K73</f>
        <v>0.26319859885045488</v>
      </c>
      <c r="P177" s="1">
        <f>'[1]Electricity and CHPs'!L73</f>
        <v>0.27323271309361391</v>
      </c>
      <c r="Q177" s="1">
        <f>'[1]Electricity and CHPs'!M73</f>
        <v>0.27682394902113255</v>
      </c>
      <c r="S177" s="3"/>
    </row>
    <row r="178" spans="1:19" x14ac:dyDescent="0.5">
      <c r="A178" s="5" t="str">
        <f t="shared" si="150"/>
        <v>STEM</v>
      </c>
      <c r="B178" s="5" t="str">
        <f t="shared" si="151"/>
        <v>SPS1</v>
      </c>
      <c r="C178" s="5" t="str">
        <f t="shared" si="152"/>
        <v>CH</v>
      </c>
      <c r="D178" t="s">
        <v>1852</v>
      </c>
      <c r="E178" t="str">
        <f t="shared" si="167"/>
        <v>PJ/yr.</v>
      </c>
      <c r="F178" s="1">
        <f>'[1]Electricity and CHPs'!B74</f>
        <v>9.2245231161461154E-3</v>
      </c>
      <c r="G178" s="1">
        <f>'[1]Electricity and CHPs'!C74</f>
        <v>9.2475337398074571E-3</v>
      </c>
      <c r="H178" s="1">
        <f>'[1]Electricity and CHPs'!D74</f>
        <v>9.3564156495677848E-3</v>
      </c>
      <c r="I178" s="1">
        <f>'[1]Electricity and CHPs'!E74</f>
        <v>8.7182704639252401E-2</v>
      </c>
      <c r="J178" s="1">
        <f>'[1]Electricity and CHPs'!F74</f>
        <v>0.12663844781846109</v>
      </c>
      <c r="K178" s="1">
        <f>'[1]Electricity and CHPs'!G74</f>
        <v>0.14924438360877074</v>
      </c>
      <c r="L178" s="1">
        <f>'[1]Electricity and CHPs'!H74</f>
        <v>0.22762314139921649</v>
      </c>
      <c r="M178" s="1">
        <f>'[1]Electricity and CHPs'!I74</f>
        <v>0.25699736216740321</v>
      </c>
      <c r="N178" s="1">
        <f>'[1]Electricity and CHPs'!J74</f>
        <v>0.29315067733853906</v>
      </c>
      <c r="O178" s="1">
        <f>'[1]Electricity and CHPs'!K74</f>
        <v>0.30745010691895114</v>
      </c>
      <c r="P178" s="1">
        <f>'[1]Electricity and CHPs'!L74</f>
        <v>0.31803485323332747</v>
      </c>
      <c r="Q178" s="1">
        <f>'[1]Electricity and CHPs'!M74</f>
        <v>0.34801659942302504</v>
      </c>
      <c r="S178" s="3"/>
    </row>
    <row r="179" spans="1:19" x14ac:dyDescent="0.5">
      <c r="A179" s="5" t="str">
        <f t="shared" si="150"/>
        <v>STEM</v>
      </c>
      <c r="B179" s="5" t="str">
        <f t="shared" si="151"/>
        <v>SPS1</v>
      </c>
      <c r="C179" s="5" t="str">
        <f t="shared" si="152"/>
        <v>CH</v>
      </c>
      <c r="D179" t="s">
        <v>83</v>
      </c>
      <c r="E179" t="str">
        <f t="shared" si="167"/>
        <v>PJ/yr.</v>
      </c>
      <c r="F179" s="1">
        <f>'[1]Electricity and CHPs'!B75</f>
        <v>9.220850578110576E-3</v>
      </c>
      <c r="G179" s="1">
        <f>'[1]Electricity and CHPs'!C75</f>
        <v>9.2435063122773518E-3</v>
      </c>
      <c r="H179" s="1">
        <f>'[1]Electricity and CHPs'!D75</f>
        <v>9.3568794693693579E-3</v>
      </c>
      <c r="I179" s="1">
        <f>'[1]Electricity and CHPs'!E75</f>
        <v>8.8828369812473579E-2</v>
      </c>
      <c r="J179" s="1">
        <f>'[1]Electricity and CHPs'!F75</f>
        <v>0.15449614865998093</v>
      </c>
      <c r="K179" s="1">
        <f>'[1]Electricity and CHPs'!G75</f>
        <v>0.2445719618958383</v>
      </c>
      <c r="L179" s="1">
        <f>'[1]Electricity and CHPs'!H75</f>
        <v>0.30922560306754809</v>
      </c>
      <c r="M179" s="1">
        <f>'[1]Electricity and CHPs'!I75</f>
        <v>0.26033278926370806</v>
      </c>
      <c r="N179" s="1">
        <f>'[1]Electricity and CHPs'!J75</f>
        <v>0.30348162262705181</v>
      </c>
      <c r="O179" s="1">
        <f>'[1]Electricity and CHPs'!K75</f>
        <v>0.31089917940155981</v>
      </c>
      <c r="P179" s="1">
        <f>'[1]Electricity and CHPs'!L75</f>
        <v>0.32156972928508148</v>
      </c>
      <c r="Q179" s="1">
        <f>'[1]Electricity and CHPs'!M75</f>
        <v>0.35194258184917177</v>
      </c>
      <c r="S179" s="3"/>
    </row>
    <row r="180" spans="1:19" x14ac:dyDescent="0.5">
      <c r="A180" s="5" t="str">
        <f t="shared" si="150"/>
        <v>STEM</v>
      </c>
      <c r="B180" s="5" t="str">
        <f t="shared" si="151"/>
        <v>SPS1</v>
      </c>
      <c r="C180" s="5" t="str">
        <f t="shared" si="152"/>
        <v>CH</v>
      </c>
      <c r="D180" t="s">
        <v>87</v>
      </c>
      <c r="E180" t="str">
        <f t="shared" si="167"/>
        <v>PJ/yr.</v>
      </c>
      <c r="F180" s="1">
        <f>'[1]Electricity and CHPs'!B76</f>
        <v>3.9294645417278203E-3</v>
      </c>
      <c r="G180" s="1">
        <f>'[1]Electricity and CHPs'!C76</f>
        <v>3.9344353967231353E-3</v>
      </c>
      <c r="H180" s="1">
        <f>'[1]Electricity and CHPs'!D76</f>
        <v>3.9912394271254805E-3</v>
      </c>
      <c r="I180" s="1">
        <f>'[1]Electricity and CHPs'!E76</f>
        <v>7.3832380783928828E-2</v>
      </c>
      <c r="J180" s="1">
        <f>'[1]Electricity and CHPs'!F76</f>
        <v>0.10705783148389054</v>
      </c>
      <c r="K180" s="1">
        <f>'[1]Electricity and CHPs'!G76</f>
        <v>0.17274077891856057</v>
      </c>
      <c r="L180" s="1">
        <f>'[1]Electricity and CHPs'!H76</f>
        <v>0.21074307799828138</v>
      </c>
      <c r="M180" s="1">
        <f>'[1]Electricity and CHPs'!I76</f>
        <v>0.17552612431733466</v>
      </c>
      <c r="N180" s="1">
        <f>'[1]Electricity and CHPs'!J76</f>
        <v>0.20301008895384282</v>
      </c>
      <c r="O180" s="1">
        <f>'[1]Electricity and CHPs'!K76</f>
        <v>0.20959102198320223</v>
      </c>
      <c r="P180" s="1">
        <f>'[1]Electricity and CHPs'!L76</f>
        <v>0.21565185162985537</v>
      </c>
      <c r="Q180" s="1">
        <f>'[1]Electricity and CHPs'!M76</f>
        <v>0.23688072576668134</v>
      </c>
      <c r="S180" s="3"/>
    </row>
    <row r="181" spans="1:19" x14ac:dyDescent="0.5">
      <c r="A181" s="9" t="str">
        <f t="shared" si="150"/>
        <v>STEM</v>
      </c>
      <c r="B181" s="9" t="str">
        <f t="shared" si="151"/>
        <v>SPS1</v>
      </c>
      <c r="C181" s="2" t="str">
        <f t="shared" si="152"/>
        <v>CH</v>
      </c>
      <c r="D181" s="2" t="s">
        <v>152</v>
      </c>
      <c r="E181" s="2" t="str">
        <f>E169</f>
        <v>PJ/yr.</v>
      </c>
      <c r="F181" s="3">
        <f>SUM(F182,F233)</f>
        <v>31.050895553155385</v>
      </c>
      <c r="G181" s="3">
        <f t="shared" ref="G181:K181" si="170">SUM(G182,G233)</f>
        <v>37.529461791951391</v>
      </c>
      <c r="H181" s="3">
        <f t="shared" si="170"/>
        <v>37.772359583868941</v>
      </c>
      <c r="I181" s="3">
        <f t="shared" si="170"/>
        <v>33.478685107865935</v>
      </c>
      <c r="J181" s="3">
        <f t="shared" si="170"/>
        <v>33.615420240100157</v>
      </c>
      <c r="K181" s="3">
        <f t="shared" si="170"/>
        <v>33.879427258457227</v>
      </c>
      <c r="L181" s="3">
        <f t="shared" ref="L181:O181" si="171">SUM(L182,L233)</f>
        <v>36.898006822450817</v>
      </c>
      <c r="M181" s="3">
        <f t="shared" si="171"/>
        <v>42.79216457399604</v>
      </c>
      <c r="N181" s="3">
        <f t="shared" si="171"/>
        <v>43.54279117523815</v>
      </c>
      <c r="O181" s="3">
        <f t="shared" si="171"/>
        <v>51.28395382104241</v>
      </c>
      <c r="P181" s="3">
        <f>SUM(P182,P233)</f>
        <v>53.299730397507666</v>
      </c>
      <c r="Q181" s="3">
        <f>SUM(Q182,Q233)</f>
        <v>56.612103634424457</v>
      </c>
      <c r="S181" s="3"/>
    </row>
    <row r="182" spans="1:19" x14ac:dyDescent="0.5">
      <c r="A182" s="5" t="s">
        <v>5</v>
      </c>
      <c r="B182" s="5" t="s">
        <v>6</v>
      </c>
      <c r="C182" s="5" t="s">
        <v>7</v>
      </c>
      <c r="D182" t="s">
        <v>807</v>
      </c>
      <c r="E182" t="str">
        <f>E170</f>
        <v>PJ/yr.</v>
      </c>
      <c r="F182" s="1">
        <f t="shared" ref="F182:K182" si="172">F183+F210</f>
        <v>24.508847384717878</v>
      </c>
      <c r="G182" s="1">
        <f t="shared" si="172"/>
        <v>29.224678673438063</v>
      </c>
      <c r="H182" s="1">
        <f t="shared" si="172"/>
        <v>28.837762394063716</v>
      </c>
      <c r="I182" s="1">
        <f t="shared" si="172"/>
        <v>24.124427625339877</v>
      </c>
      <c r="J182" s="1">
        <f t="shared" si="172"/>
        <v>24.257519349395835</v>
      </c>
      <c r="K182" s="1">
        <f t="shared" si="172"/>
        <v>24.300095949530338</v>
      </c>
      <c r="L182" s="1">
        <f t="shared" ref="L182:O182" si="173">L183+L210</f>
        <v>25.24891937169075</v>
      </c>
      <c r="M182" s="1">
        <f t="shared" si="173"/>
        <v>27.916704898544925</v>
      </c>
      <c r="N182" s="1">
        <f t="shared" si="173"/>
        <v>28.888591514876182</v>
      </c>
      <c r="O182" s="1">
        <f t="shared" si="173"/>
        <v>36.524234604410843</v>
      </c>
      <c r="P182" s="1">
        <f>P183+P210</f>
        <v>37.465318966831873</v>
      </c>
      <c r="Q182" s="1">
        <f>Q183+Q210</f>
        <v>39.821847615602834</v>
      </c>
      <c r="S182" s="3"/>
    </row>
    <row r="183" spans="1:19" x14ac:dyDescent="0.5">
      <c r="A183" s="5" t="s">
        <v>5</v>
      </c>
      <c r="B183" s="5" t="s">
        <v>6</v>
      </c>
      <c r="C183" s="5" t="s">
        <v>7</v>
      </c>
      <c r="D183" t="s">
        <v>822</v>
      </c>
      <c r="E183" t="str">
        <f>E167</f>
        <v>PJ/yr.</v>
      </c>
      <c r="F183" s="1">
        <f t="shared" ref="F183:K183" si="174">SUM(F185,F189,F190,F198,F199,F207,F209)</f>
        <v>17.584809575660902</v>
      </c>
      <c r="G183" s="1">
        <f t="shared" si="174"/>
        <v>13.597981936213385</v>
      </c>
      <c r="H183" s="1">
        <f t="shared" si="174"/>
        <v>13.345091863520048</v>
      </c>
      <c r="I183" s="1">
        <f t="shared" si="174"/>
        <v>12.793141188482549</v>
      </c>
      <c r="J183" s="1">
        <f t="shared" si="174"/>
        <v>12.35854507489271</v>
      </c>
      <c r="K183" s="1">
        <f t="shared" si="174"/>
        <v>14.358146628897543</v>
      </c>
      <c r="L183" s="1">
        <f t="shared" ref="L183:O183" si="175">SUM(L185,L189,L190,L198,L199,L207,L209)</f>
        <v>15.544725965200874</v>
      </c>
      <c r="M183" s="1">
        <f t="shared" si="175"/>
        <v>15.381811219669011</v>
      </c>
      <c r="N183" s="1">
        <f t="shared" si="175"/>
        <v>16.274877409480283</v>
      </c>
      <c r="O183" s="1">
        <f t="shared" si="175"/>
        <v>16.182852583367062</v>
      </c>
      <c r="P183" s="1">
        <f>SUM(P185,P189,P190,P198,P199,P207,P209)</f>
        <v>16.442611151019438</v>
      </c>
      <c r="Q183" s="1">
        <f>SUM(Q185,Q189,Q190,Q198,Q199,Q207,Q209)</f>
        <v>16.61299300341755</v>
      </c>
      <c r="S183" s="3"/>
    </row>
    <row r="184" spans="1:19" x14ac:dyDescent="0.5">
      <c r="A184" s="5" t="s">
        <v>5</v>
      </c>
      <c r="B184" s="5" t="s">
        <v>6</v>
      </c>
      <c r="C184" s="5" t="s">
        <v>7</v>
      </c>
      <c r="D184" t="s">
        <v>808</v>
      </c>
      <c r="E184" t="s">
        <v>8</v>
      </c>
      <c r="F184" s="1">
        <f>F185</f>
        <v>9.40331301033729E-3</v>
      </c>
      <c r="G184" s="1">
        <f t="shared" ref="G184:O184" si="176">G185</f>
        <v>5.6065255386715984E-4</v>
      </c>
      <c r="H184" s="1">
        <f t="shared" si="176"/>
        <v>1.3791524423683789E-2</v>
      </c>
      <c r="I184" s="1">
        <f t="shared" si="176"/>
        <v>3.5296792893158417E-3</v>
      </c>
      <c r="J184" s="1">
        <f t="shared" si="176"/>
        <v>1.9930358101258078E-3</v>
      </c>
      <c r="K184" s="1">
        <f t="shared" si="176"/>
        <v>8.5278377735844915E-3</v>
      </c>
      <c r="L184" s="1">
        <f t="shared" si="176"/>
        <v>7.9964615641100641E-3</v>
      </c>
      <c r="M184" s="1">
        <f t="shared" si="176"/>
        <v>6.0456345708078191E-5</v>
      </c>
      <c r="N184" s="1">
        <f t="shared" si="176"/>
        <v>2.4137113082027268E-4</v>
      </c>
      <c r="O184" s="1">
        <f t="shared" si="176"/>
        <v>3.1701897993999088E-4</v>
      </c>
      <c r="P184" s="1">
        <f>P185</f>
        <v>3.1340080373681785E-4</v>
      </c>
      <c r="Q184" s="1">
        <f>Q185</f>
        <v>3.5781517476426631E-4</v>
      </c>
      <c r="S184" s="3"/>
    </row>
    <row r="185" spans="1:19" x14ac:dyDescent="0.5">
      <c r="A185" s="5" t="s">
        <v>5</v>
      </c>
      <c r="B185" s="5" t="s">
        <v>6</v>
      </c>
      <c r="C185" s="5" t="s">
        <v>7</v>
      </c>
      <c r="D185" t="s">
        <v>229</v>
      </c>
      <c r="E185" t="s">
        <v>8</v>
      </c>
      <c r="F185" s="1">
        <f>'[1]Electricity and CHPs'!B$94</f>
        <v>9.40331301033729E-3</v>
      </c>
      <c r="G185" s="1">
        <f>'[1]Electricity and CHPs'!C$94</f>
        <v>5.6065255386715984E-4</v>
      </c>
      <c r="H185" s="1">
        <f>'[1]Electricity and CHPs'!D$94</f>
        <v>1.3791524423683789E-2</v>
      </c>
      <c r="I185" s="1">
        <f>'[1]Electricity and CHPs'!E$94</f>
        <v>3.5296792893158417E-3</v>
      </c>
      <c r="J185" s="1">
        <f>'[1]Electricity and CHPs'!F$94</f>
        <v>1.9930358101258078E-3</v>
      </c>
      <c r="K185" s="1">
        <f>'[1]Electricity and CHPs'!G$94</f>
        <v>8.5278377735844915E-3</v>
      </c>
      <c r="L185" s="1">
        <f>'[1]Electricity and CHPs'!H$94</f>
        <v>7.9964615641100641E-3</v>
      </c>
      <c r="M185" s="1">
        <f>'[1]Electricity and CHPs'!I$94</f>
        <v>6.0456345708078191E-5</v>
      </c>
      <c r="N185" s="1">
        <f>'[1]Electricity and CHPs'!J$94</f>
        <v>2.4137113082027268E-4</v>
      </c>
      <c r="O185" s="1">
        <f>'[1]Electricity and CHPs'!K$94</f>
        <v>3.1701897993999088E-4</v>
      </c>
      <c r="P185" s="1">
        <f>'[1]Electricity and CHPs'!L$94</f>
        <v>3.1340080373681785E-4</v>
      </c>
      <c r="Q185" s="1">
        <f>'[1]Electricity and CHPs'!M$94</f>
        <v>3.5781517476426631E-4</v>
      </c>
      <c r="S185" s="3"/>
    </row>
    <row r="186" spans="1:19" x14ac:dyDescent="0.5">
      <c r="A186" s="5" t="s">
        <v>5</v>
      </c>
      <c r="B186" s="5" t="s">
        <v>6</v>
      </c>
      <c r="C186" s="5" t="s">
        <v>7</v>
      </c>
      <c r="D186" t="s">
        <v>517</v>
      </c>
      <c r="E186" t="s">
        <v>8</v>
      </c>
      <c r="F186" s="1">
        <f>F185-F187</f>
        <v>9.40331301033729E-3</v>
      </c>
      <c r="G186" s="1">
        <f t="shared" ref="G186:K186" si="177">G185-G187</f>
        <v>5.6065255386715984E-4</v>
      </c>
      <c r="H186" s="1">
        <f t="shared" si="177"/>
        <v>1.3791524423683789E-2</v>
      </c>
      <c r="I186" s="1">
        <f t="shared" si="177"/>
        <v>3.5296792893158417E-3</v>
      </c>
      <c r="J186" s="1">
        <f t="shared" si="177"/>
        <v>1.9930358101258078E-3</v>
      </c>
      <c r="K186" s="1">
        <f t="shared" si="177"/>
        <v>8.5278377735844915E-3</v>
      </c>
      <c r="L186" s="1">
        <f t="shared" ref="L186:O186" si="178">L185-L187</f>
        <v>7.9964615641100641E-3</v>
      </c>
      <c r="M186" s="1">
        <f t="shared" si="178"/>
        <v>6.0456345708078191E-5</v>
      </c>
      <c r="N186" s="1">
        <f t="shared" si="178"/>
        <v>2.4137113082027268E-4</v>
      </c>
      <c r="O186" s="1">
        <f t="shared" si="178"/>
        <v>3.1701897993999088E-4</v>
      </c>
      <c r="P186" s="1">
        <f>P185-P187</f>
        <v>3.1340080373681785E-4</v>
      </c>
      <c r="Q186" s="1">
        <f>Q185-Q187</f>
        <v>3.5781517476426631E-4</v>
      </c>
      <c r="S186" s="3"/>
    </row>
    <row r="187" spans="1:19" x14ac:dyDescent="0.5">
      <c r="A187" s="5" t="s">
        <v>5</v>
      </c>
      <c r="B187" s="5" t="s">
        <v>6</v>
      </c>
      <c r="C187" s="5" t="s">
        <v>7</v>
      </c>
      <c r="D187" t="s">
        <v>541</v>
      </c>
      <c r="E187" t="s">
        <v>8</v>
      </c>
      <c r="F187" s="1">
        <f t="shared" ref="F187:K187" si="179">F185*IFERROR(F80/F76,0)</f>
        <v>0</v>
      </c>
      <c r="G187" s="1">
        <f t="shared" si="179"/>
        <v>0</v>
      </c>
      <c r="H187" s="1">
        <f t="shared" si="179"/>
        <v>0</v>
      </c>
      <c r="I187" s="1">
        <f t="shared" si="179"/>
        <v>0</v>
      </c>
      <c r="J187" s="1">
        <f t="shared" si="179"/>
        <v>0</v>
      </c>
      <c r="K187" s="1">
        <f t="shared" si="179"/>
        <v>0</v>
      </c>
      <c r="L187" s="1">
        <f t="shared" ref="L187:O187" si="180">L185*IFERROR(L80/L76,0)</f>
        <v>0</v>
      </c>
      <c r="M187" s="1">
        <f t="shared" si="180"/>
        <v>0</v>
      </c>
      <c r="N187" s="1">
        <f t="shared" si="180"/>
        <v>0</v>
      </c>
      <c r="O187" s="1">
        <f t="shared" si="180"/>
        <v>0</v>
      </c>
      <c r="P187" s="1">
        <f>P185*IFERROR(P80/P76,0)</f>
        <v>0</v>
      </c>
      <c r="Q187" s="1">
        <f>Q185*IFERROR(Q80/Q76,0)</f>
        <v>0</v>
      </c>
      <c r="S187" s="3"/>
    </row>
    <row r="188" spans="1:19" x14ac:dyDescent="0.5">
      <c r="A188" s="5" t="s">
        <v>5</v>
      </c>
      <c r="B188" s="5" t="s">
        <v>6</v>
      </c>
      <c r="C188" s="5" t="s">
        <v>7</v>
      </c>
      <c r="D188" t="s">
        <v>809</v>
      </c>
      <c r="E188" t="s">
        <v>8</v>
      </c>
      <c r="F188" s="1">
        <f>SUM(F189:F190)</f>
        <v>1.8036028876986328</v>
      </c>
      <c r="G188" s="1">
        <f t="shared" ref="G188:K188" si="181">SUM(G189:G190)</f>
        <v>1.9258026044091914E-3</v>
      </c>
      <c r="H188" s="1">
        <f t="shared" si="181"/>
        <v>1.492897959969177E-2</v>
      </c>
      <c r="I188" s="1">
        <f t="shared" si="181"/>
        <v>0</v>
      </c>
      <c r="J188" s="1">
        <f t="shared" si="181"/>
        <v>0</v>
      </c>
      <c r="K188" s="1">
        <f t="shared" si="181"/>
        <v>0</v>
      </c>
      <c r="L188" s="1">
        <f t="shared" ref="L188:O188" si="182">SUM(L189:L190)</f>
        <v>0</v>
      </c>
      <c r="M188" s="1">
        <f t="shared" si="182"/>
        <v>0</v>
      </c>
      <c r="N188" s="1">
        <f t="shared" si="182"/>
        <v>0</v>
      </c>
      <c r="O188" s="1">
        <f t="shared" si="182"/>
        <v>0</v>
      </c>
      <c r="P188" s="1">
        <f>SUM(P189:P190)</f>
        <v>0</v>
      </c>
      <c r="Q188" s="1">
        <f>SUM(Q189:Q190)</f>
        <v>0</v>
      </c>
      <c r="S188" s="3"/>
    </row>
    <row r="189" spans="1:19" x14ac:dyDescent="0.5">
      <c r="A189" s="5" t="s">
        <v>5</v>
      </c>
      <c r="B189" s="5" t="s">
        <v>6</v>
      </c>
      <c r="C189" s="5" t="s">
        <v>7</v>
      </c>
      <c r="D189" t="s">
        <v>153</v>
      </c>
      <c r="E189" t="s">
        <v>8</v>
      </c>
      <c r="F189" s="1">
        <f>'[1]Electricity and CHPs'!B$91</f>
        <v>1.8036028876986328</v>
      </c>
      <c r="G189" s="1">
        <f>'[1]Electricity and CHPs'!C$91</f>
        <v>1.9258026044091914E-3</v>
      </c>
      <c r="H189" s="1">
        <f>'[1]Electricity and CHPs'!D$91</f>
        <v>1.492897959969177E-2</v>
      </c>
      <c r="I189" s="1">
        <f>'[1]Electricity and CHPs'!E$91</f>
        <v>0</v>
      </c>
      <c r="J189" s="1">
        <f>'[1]Electricity and CHPs'!F$91</f>
        <v>0</v>
      </c>
      <c r="K189" s="1">
        <f>'[1]Electricity and CHPs'!G$91</f>
        <v>0</v>
      </c>
      <c r="L189" s="1">
        <f>'[1]Electricity and CHPs'!H$91</f>
        <v>0</v>
      </c>
      <c r="M189" s="1">
        <f>'[1]Electricity and CHPs'!I$91</f>
        <v>0</v>
      </c>
      <c r="N189" s="1">
        <f>'[1]Electricity and CHPs'!J$91</f>
        <v>0</v>
      </c>
      <c r="O189" s="1">
        <f>'[1]Electricity and CHPs'!K$91</f>
        <v>0</v>
      </c>
      <c r="P189" s="1">
        <f>'[1]Electricity and CHPs'!L$91</f>
        <v>0</v>
      </c>
      <c r="Q189" s="1">
        <f>'[1]Electricity and CHPs'!M$91</f>
        <v>0</v>
      </c>
      <c r="S189" s="3"/>
    </row>
    <row r="190" spans="1:19" x14ac:dyDescent="0.5">
      <c r="A190" s="5" t="s">
        <v>5</v>
      </c>
      <c r="B190" s="5" t="s">
        <v>6</v>
      </c>
      <c r="C190" s="5" t="s">
        <v>7</v>
      </c>
      <c r="D190" t="s">
        <v>154</v>
      </c>
      <c r="E190" t="s">
        <v>8</v>
      </c>
      <c r="F190" s="1">
        <f>'[1]Electricity and CHPs'!B$95</f>
        <v>0</v>
      </c>
      <c r="G190" s="1">
        <f>'[1]Electricity and CHPs'!C$95</f>
        <v>0</v>
      </c>
      <c r="H190" s="1">
        <f>'[1]Electricity and CHPs'!D$95</f>
        <v>0</v>
      </c>
      <c r="I190" s="1">
        <f>'[1]Electricity and CHPs'!E$95</f>
        <v>0</v>
      </c>
      <c r="J190" s="1">
        <f>'[1]Electricity and CHPs'!F$95</f>
        <v>0</v>
      </c>
      <c r="K190" s="1">
        <f>'[1]Electricity and CHPs'!G$95</f>
        <v>0</v>
      </c>
      <c r="L190" s="1">
        <f>'[1]Electricity and CHPs'!H$95</f>
        <v>0</v>
      </c>
      <c r="M190" s="1">
        <f>'[1]Electricity and CHPs'!I$95</f>
        <v>0</v>
      </c>
      <c r="N190" s="1">
        <f>'[1]Electricity and CHPs'!J$95</f>
        <v>0</v>
      </c>
      <c r="O190" s="1">
        <f>'[1]Electricity and CHPs'!K$95</f>
        <v>0</v>
      </c>
      <c r="P190" s="1">
        <f>'[1]Electricity and CHPs'!L$95</f>
        <v>0</v>
      </c>
      <c r="Q190" s="1">
        <f>'[1]Electricity and CHPs'!M$95</f>
        <v>0</v>
      </c>
      <c r="S190" s="3"/>
    </row>
    <row r="191" spans="1:19" x14ac:dyDescent="0.5">
      <c r="A191" s="5"/>
      <c r="B191" s="5" t="str">
        <f>B190</f>
        <v>SPS1</v>
      </c>
      <c r="C191" s="5" t="str">
        <f>C190</f>
        <v>CH</v>
      </c>
      <c r="D191" t="s">
        <v>810</v>
      </c>
      <c r="E191" t="s">
        <v>8</v>
      </c>
      <c r="F191" s="1">
        <f>SUM(F192:F193)</f>
        <v>1.7568762154043911</v>
      </c>
      <c r="G191" s="1">
        <f t="shared" ref="G191:K191" si="183">SUM(G192:G193)</f>
        <v>1.8499039760786315E-3</v>
      </c>
      <c r="H191" s="1">
        <f t="shared" si="183"/>
        <v>1.4474192218169766E-2</v>
      </c>
      <c r="I191" s="1">
        <f t="shared" si="183"/>
        <v>0</v>
      </c>
      <c r="J191" s="1">
        <f t="shared" si="183"/>
        <v>0</v>
      </c>
      <c r="K191" s="1">
        <f t="shared" si="183"/>
        <v>0</v>
      </c>
      <c r="L191" s="1">
        <f t="shared" ref="L191:O191" si="184">SUM(L192:L193)</f>
        <v>0</v>
      </c>
      <c r="M191" s="1">
        <f t="shared" si="184"/>
        <v>0</v>
      </c>
      <c r="N191" s="1">
        <f t="shared" si="184"/>
        <v>0</v>
      </c>
      <c r="O191" s="1">
        <f t="shared" si="184"/>
        <v>0</v>
      </c>
      <c r="P191" s="1">
        <f>SUM(P192:P193)</f>
        <v>0</v>
      </c>
      <c r="Q191" s="1">
        <f>SUM(Q192:Q193)</f>
        <v>0</v>
      </c>
      <c r="S191" s="3"/>
    </row>
    <row r="192" spans="1:19" x14ac:dyDescent="0.5">
      <c r="A192" s="5" t="s">
        <v>5</v>
      </c>
      <c r="B192" s="5" t="s">
        <v>6</v>
      </c>
      <c r="C192" s="5" t="s">
        <v>7</v>
      </c>
      <c r="D192" t="s">
        <v>567</v>
      </c>
      <c r="E192" t="s">
        <v>8</v>
      </c>
      <c r="F192" s="1">
        <f>F189-F195</f>
        <v>1.7568762154043911</v>
      </c>
      <c r="G192" s="1">
        <f t="shared" ref="G192:K192" si="185">G189-G195</f>
        <v>1.8499039760786315E-3</v>
      </c>
      <c r="H192" s="1">
        <f t="shared" si="185"/>
        <v>1.4474192218169766E-2</v>
      </c>
      <c r="I192" s="1">
        <f t="shared" si="185"/>
        <v>0</v>
      </c>
      <c r="J192" s="1">
        <f t="shared" si="185"/>
        <v>0</v>
      </c>
      <c r="K192" s="1">
        <f t="shared" si="185"/>
        <v>0</v>
      </c>
      <c r="L192" s="1">
        <f t="shared" ref="L192:O192" si="186">L189-L195</f>
        <v>0</v>
      </c>
      <c r="M192" s="1">
        <f t="shared" si="186"/>
        <v>0</v>
      </c>
      <c r="N192" s="1">
        <f t="shared" si="186"/>
        <v>0</v>
      </c>
      <c r="O192" s="1">
        <f t="shared" si="186"/>
        <v>0</v>
      </c>
      <c r="P192" s="1">
        <f>P189-P195</f>
        <v>0</v>
      </c>
      <c r="Q192" s="1">
        <f>Q189-Q195</f>
        <v>0</v>
      </c>
      <c r="S192" s="3"/>
    </row>
    <row r="193" spans="1:19" x14ac:dyDescent="0.5">
      <c r="A193" s="5" t="s">
        <v>5</v>
      </c>
      <c r="B193" s="5" t="s">
        <v>6</v>
      </c>
      <c r="C193" s="5" t="s">
        <v>7</v>
      </c>
      <c r="D193" t="s">
        <v>568</v>
      </c>
      <c r="E193" t="s">
        <v>8</v>
      </c>
      <c r="F193" s="1">
        <f t="shared" ref="F193:K193" si="187">F190-F196</f>
        <v>0</v>
      </c>
      <c r="G193" s="1">
        <f t="shared" si="187"/>
        <v>0</v>
      </c>
      <c r="H193" s="1">
        <f t="shared" si="187"/>
        <v>0</v>
      </c>
      <c r="I193" s="1">
        <f t="shared" si="187"/>
        <v>0</v>
      </c>
      <c r="J193" s="1">
        <f t="shared" si="187"/>
        <v>0</v>
      </c>
      <c r="K193" s="1">
        <f t="shared" si="187"/>
        <v>0</v>
      </c>
      <c r="L193" s="1">
        <f t="shared" ref="L193:O193" si="188">L190-L196</f>
        <v>0</v>
      </c>
      <c r="M193" s="1">
        <f t="shared" si="188"/>
        <v>0</v>
      </c>
      <c r="N193" s="1">
        <f t="shared" si="188"/>
        <v>0</v>
      </c>
      <c r="O193" s="1">
        <f t="shared" si="188"/>
        <v>0</v>
      </c>
      <c r="P193" s="1">
        <f>P190-P196</f>
        <v>0</v>
      </c>
      <c r="Q193" s="1">
        <f>Q190-Q196</f>
        <v>0</v>
      </c>
      <c r="S193" s="3"/>
    </row>
    <row r="194" spans="1:19" x14ac:dyDescent="0.5">
      <c r="A194" s="5"/>
      <c r="B194" s="5" t="s">
        <v>6</v>
      </c>
      <c r="C194" s="5" t="s">
        <v>7</v>
      </c>
      <c r="D194" t="s">
        <v>811</v>
      </c>
      <c r="E194" t="s">
        <v>8</v>
      </c>
      <c r="F194" s="1">
        <f>SUM(F195:F196)</f>
        <v>4.6726672294241732E-2</v>
      </c>
      <c r="G194" s="1">
        <f t="shared" ref="G194:K194" si="189">SUM(G195:G196)</f>
        <v>7.589862833055997E-5</v>
      </c>
      <c r="H194" s="1">
        <f t="shared" si="189"/>
        <v>4.5478738152200464E-4</v>
      </c>
      <c r="I194" s="1">
        <f t="shared" si="189"/>
        <v>0</v>
      </c>
      <c r="J194" s="1">
        <f t="shared" si="189"/>
        <v>0</v>
      </c>
      <c r="K194" s="1">
        <f t="shared" si="189"/>
        <v>0</v>
      </c>
      <c r="L194" s="1">
        <f t="shared" ref="L194:O194" si="190">SUM(L195:L196)</f>
        <v>0</v>
      </c>
      <c r="M194" s="1">
        <f t="shared" si="190"/>
        <v>0</v>
      </c>
      <c r="N194" s="1">
        <f t="shared" si="190"/>
        <v>0</v>
      </c>
      <c r="O194" s="1">
        <f t="shared" si="190"/>
        <v>0</v>
      </c>
      <c r="P194" s="1">
        <f>SUM(P195:P196)</f>
        <v>0</v>
      </c>
      <c r="Q194" s="1">
        <f>SUM(Q195:Q196)</f>
        <v>0</v>
      </c>
      <c r="S194" s="3"/>
    </row>
    <row r="195" spans="1:19" x14ac:dyDescent="0.5">
      <c r="A195" s="5" t="s">
        <v>5</v>
      </c>
      <c r="B195" s="5" t="s">
        <v>6</v>
      </c>
      <c r="C195" s="5" t="s">
        <v>7</v>
      </c>
      <c r="D195" t="s">
        <v>628</v>
      </c>
      <c r="E195" t="s">
        <v>8</v>
      </c>
      <c r="F195" s="1">
        <f t="shared" ref="F195:K196" si="191">F189*IFERROR(F118/F86,0)</f>
        <v>4.6726672294241732E-2</v>
      </c>
      <c r="G195" s="1">
        <f t="shared" si="191"/>
        <v>7.589862833055997E-5</v>
      </c>
      <c r="H195" s="1">
        <f t="shared" si="191"/>
        <v>4.5478738152200464E-4</v>
      </c>
      <c r="I195" s="1">
        <f t="shared" si="191"/>
        <v>0</v>
      </c>
      <c r="J195" s="1">
        <f t="shared" si="191"/>
        <v>0</v>
      </c>
      <c r="K195" s="1">
        <f t="shared" si="191"/>
        <v>0</v>
      </c>
      <c r="L195" s="1">
        <f t="shared" ref="L195:O195" si="192">L189*IFERROR(L118/L86,0)</f>
        <v>0</v>
      </c>
      <c r="M195" s="1">
        <f t="shared" si="192"/>
        <v>0</v>
      </c>
      <c r="N195" s="1">
        <f t="shared" si="192"/>
        <v>0</v>
      </c>
      <c r="O195" s="1">
        <f t="shared" si="192"/>
        <v>0</v>
      </c>
      <c r="P195" s="1">
        <f>P189*IFERROR(P118/P86,0)</f>
        <v>0</v>
      </c>
      <c r="Q195" s="1">
        <f>Q189*IFERROR(Q118/Q86,0)</f>
        <v>0</v>
      </c>
      <c r="S195" s="3"/>
    </row>
    <row r="196" spans="1:19" x14ac:dyDescent="0.5">
      <c r="A196" s="5" t="s">
        <v>5</v>
      </c>
      <c r="B196" s="5" t="s">
        <v>6</v>
      </c>
      <c r="C196" s="5" t="s">
        <v>7</v>
      </c>
      <c r="D196" t="s">
        <v>629</v>
      </c>
      <c r="E196" t="s">
        <v>8</v>
      </c>
      <c r="F196" s="1">
        <f t="shared" si="191"/>
        <v>0</v>
      </c>
      <c r="G196" s="1">
        <f t="shared" si="191"/>
        <v>0</v>
      </c>
      <c r="H196" s="1">
        <f t="shared" si="191"/>
        <v>0</v>
      </c>
      <c r="I196" s="1">
        <f t="shared" si="191"/>
        <v>0</v>
      </c>
      <c r="J196" s="1">
        <f t="shared" si="191"/>
        <v>0</v>
      </c>
      <c r="K196" s="1">
        <f t="shared" si="191"/>
        <v>0</v>
      </c>
      <c r="L196" s="1">
        <f t="shared" ref="L196:O196" si="193">L190*IFERROR(L119/L87,0)</f>
        <v>0</v>
      </c>
      <c r="M196" s="1">
        <f t="shared" si="193"/>
        <v>0</v>
      </c>
      <c r="N196" s="1">
        <f t="shared" si="193"/>
        <v>0</v>
      </c>
      <c r="O196" s="1">
        <f t="shared" si="193"/>
        <v>0</v>
      </c>
      <c r="P196" s="1">
        <f>P190*IFERROR(P119/P87,0)</f>
        <v>0</v>
      </c>
      <c r="Q196" s="1">
        <f>Q190*IFERROR(Q119/Q87,0)</f>
        <v>0</v>
      </c>
      <c r="S196" s="3"/>
    </row>
    <row r="197" spans="1:19" x14ac:dyDescent="0.5">
      <c r="A197" s="5" t="s">
        <v>5</v>
      </c>
      <c r="B197" s="5" t="s">
        <v>6</v>
      </c>
      <c r="C197" s="5" t="s">
        <v>7</v>
      </c>
      <c r="D197" t="s">
        <v>812</v>
      </c>
      <c r="E197" t="s">
        <v>8</v>
      </c>
      <c r="F197" s="1">
        <f>SUM(F198:F199)</f>
        <v>14.461545811681923</v>
      </c>
      <c r="G197" s="1">
        <f t="shared" ref="G197:K197" si="194">SUM(G198:G199)</f>
        <v>13.123977862527429</v>
      </c>
      <c r="H197" s="1">
        <f t="shared" si="194"/>
        <v>12.412892869059723</v>
      </c>
      <c r="I197" s="1">
        <f t="shared" si="194"/>
        <v>12.779913069542475</v>
      </c>
      <c r="J197" s="1">
        <f t="shared" si="194"/>
        <v>12.343210539571402</v>
      </c>
      <c r="K197" s="1">
        <f t="shared" si="194"/>
        <v>13.041958683155412</v>
      </c>
      <c r="L197" s="1">
        <f t="shared" ref="L197:O197" si="195">SUM(L198:L199)</f>
        <v>12.955831189315433</v>
      </c>
      <c r="M197" s="1">
        <f t="shared" si="195"/>
        <v>11.851536113770624</v>
      </c>
      <c r="N197" s="1">
        <f t="shared" si="195"/>
        <v>11.300885906541048</v>
      </c>
      <c r="O197" s="1">
        <f t="shared" si="195"/>
        <v>11.061907057008671</v>
      </c>
      <c r="P197" s="1">
        <f>SUM(P198:P199)</f>
        <v>11.048994833419066</v>
      </c>
      <c r="Q197" s="1">
        <f>SUM(Q198:Q199)</f>
        <v>11.060671583709512</v>
      </c>
      <c r="S197" s="3"/>
    </row>
    <row r="198" spans="1:19" x14ac:dyDescent="0.5">
      <c r="A198" s="5" t="s">
        <v>5</v>
      </c>
      <c r="B198" s="5" t="s">
        <v>6</v>
      </c>
      <c r="C198" s="5" t="s">
        <v>7</v>
      </c>
      <c r="D198" t="s">
        <v>155</v>
      </c>
      <c r="E198" t="s">
        <v>8</v>
      </c>
      <c r="F198" s="1">
        <f>'[1]Electricity and CHPs'!B$93-F199</f>
        <v>14.461545811681923</v>
      </c>
      <c r="G198" s="1">
        <f>'[1]Electricity and CHPs'!C$93-G199</f>
        <v>13.123977862527429</v>
      </c>
      <c r="H198" s="1">
        <f>'[1]Electricity and CHPs'!D$93-H199</f>
        <v>12.412892869059723</v>
      </c>
      <c r="I198" s="1">
        <f>'[1]Electricity and CHPs'!E$93-I199</f>
        <v>12.779913069542475</v>
      </c>
      <c r="J198" s="1">
        <f>'[1]Electricity and CHPs'!F$93-J199</f>
        <v>12.343210539571402</v>
      </c>
      <c r="K198" s="1">
        <f>'[1]Electricity and CHPs'!G$93-K199</f>
        <v>11.111875140204234</v>
      </c>
      <c r="L198" s="1">
        <f>'[1]Electricity and CHPs'!H$93-L199</f>
        <v>6.4778139223873099</v>
      </c>
      <c r="M198" s="1">
        <f>'[1]Electricity and CHPs'!I$93-M199</f>
        <v>4.9042377633538106</v>
      </c>
      <c r="N198" s="1">
        <f>'[1]Electricity and CHPs'!J$93-N199</f>
        <v>4.6763436451368552</v>
      </c>
      <c r="O198" s="1">
        <f>'[1]Electricity and CHPs'!K$93-O199</f>
        <v>4.5774753201778084</v>
      </c>
      <c r="P198" s="1">
        <f>'[1]Electricity and CHPs'!L$93-P199</f>
        <v>4.5720772434541619</v>
      </c>
      <c r="Q198" s="1">
        <f>'[1]Electricity and CHPs'!M$93-Q199</f>
        <v>4.5768890179742341</v>
      </c>
      <c r="S198" s="3"/>
    </row>
    <row r="199" spans="1:19" x14ac:dyDescent="0.5">
      <c r="A199" s="5" t="s">
        <v>5</v>
      </c>
      <c r="B199" s="5" t="s">
        <v>6</v>
      </c>
      <c r="C199" s="5" t="s">
        <v>7</v>
      </c>
      <c r="D199" t="s">
        <v>156</v>
      </c>
      <c r="E199" t="s">
        <v>8</v>
      </c>
      <c r="F199" s="1" cm="1">
        <f t="array" ref="F199">SUMPRODUCT(("CHPWSTCCS"=[1]OUT_Electricity_CHP!$B$1:$B$10000)*1,([1]OUT_Electricity_CHP!$C$1:$C$10000="Var_Fout")*1,([1]OUT_Electricity_CHP!$D$1:$D$10000="LTH")*1,[1]OUT_Electricity_CHP!E$1:E$10000)</f>
        <v>0</v>
      </c>
      <c r="G199" s="1" cm="1">
        <f t="array" ref="G199">SUMPRODUCT(("CHPWSTCCS"=[1]OUT_Electricity_CHP!$B$1:$B$10000)*1,([1]OUT_Electricity_CHP!$C$1:$C$10000="Var_Fout")*1,([1]OUT_Electricity_CHP!$D$1:$D$10000="LTH")*1,[1]OUT_Electricity_CHP!F$1:F$10000)</f>
        <v>0</v>
      </c>
      <c r="H199" s="1" cm="1">
        <f t="array" ref="H199">SUMPRODUCT(("CHPWSTCCS"=[1]OUT_Electricity_CHP!$B$1:$B$10000)*1,([1]OUT_Electricity_CHP!$C$1:$C$10000="Var_Fout")*1,([1]OUT_Electricity_CHP!$D$1:$D$10000="LTH")*1,[1]OUT_Electricity_CHP!G$1:G$10000)</f>
        <v>0</v>
      </c>
      <c r="I199" s="1" cm="1">
        <f t="array" ref="I199">SUMPRODUCT(("CHPWSTCCS"=[1]OUT_Electricity_CHP!$B$1:$B$10000)*1,([1]OUT_Electricity_CHP!$C$1:$C$10000="Var_Fout")*1,([1]OUT_Electricity_CHP!$D$1:$D$10000="LTH")*1,[1]OUT_Electricity_CHP!H$1:H$10000)</f>
        <v>0</v>
      </c>
      <c r="J199" s="1" cm="1">
        <f t="array" ref="J199">SUMPRODUCT(("CHPWSTCCS"=[1]OUT_Electricity_CHP!$B$1:$B$10000)*1,([1]OUT_Electricity_CHP!$C$1:$C$10000="Var_Fout")*1,([1]OUT_Electricity_CHP!$D$1:$D$10000="LTH")*1,[1]OUT_Electricity_CHP!I$1:I$10000)</f>
        <v>0</v>
      </c>
      <c r="K199" s="1" cm="1">
        <f t="array" ref="K199">SUMPRODUCT(("CHPWSTCCS"=[1]OUT_Electricity_CHP!$B$1:$B$10000)*1,([1]OUT_Electricity_CHP!$C$1:$C$10000="Var_Fout")*1,([1]OUT_Electricity_CHP!$D$1:$D$10000="LTH")*1,[1]OUT_Electricity_CHP!J$1:J$10000)</f>
        <v>1.9300835429511787</v>
      </c>
      <c r="L199" s="1" cm="1">
        <f t="array" ref="L199">SUMPRODUCT(("CHPWSTCCS"=[1]OUT_Electricity_CHP!$B$1:$B$10000)*1,([1]OUT_Electricity_CHP!$C$1:$C$10000="Var_Fout")*1,([1]OUT_Electricity_CHP!$D$1:$D$10000="LTH")*1,[1]OUT_Electricity_CHP!K$1:K$10000)</f>
        <v>6.4780172669281226</v>
      </c>
      <c r="M199" s="1" cm="1">
        <f t="array" ref="M199">SUMPRODUCT(("CHPWSTCCS"=[1]OUT_Electricity_CHP!$B$1:$B$10000)*1,([1]OUT_Electricity_CHP!$C$1:$C$10000="Var_Fout")*1,([1]OUT_Electricity_CHP!$D$1:$D$10000="LTH")*1,[1]OUT_Electricity_CHP!L$1:L$10000)</f>
        <v>6.9472983504168138</v>
      </c>
      <c r="N199" s="1" cm="1">
        <f t="array" ref="N199">SUMPRODUCT(("CHPWSTCCS"=[1]OUT_Electricity_CHP!$B$1:$B$10000)*1,([1]OUT_Electricity_CHP!$C$1:$C$10000="Var_Fout")*1,([1]OUT_Electricity_CHP!$D$1:$D$10000="LTH")*1,[1]OUT_Electricity_CHP!M$1:M$10000)</f>
        <v>6.6245422614041924</v>
      </c>
      <c r="O199" s="1" cm="1">
        <f t="array" ref="O199">SUMPRODUCT(("CHPWSTCCS"=[1]OUT_Electricity_CHP!$B$1:$B$10000)*1,([1]OUT_Electricity_CHP!$C$1:$C$10000="Var_Fout")*1,([1]OUT_Electricity_CHP!$D$1:$D$10000="LTH")*1,[1]OUT_Electricity_CHP!N$1:N$10000)</f>
        <v>6.4844317368308628</v>
      </c>
      <c r="P199" s="1" cm="1">
        <f t="array" ref="P199">SUMPRODUCT(("CHPWSTCCS"=[1]OUT_Electricity_CHP!$B$1:$B$10000)*1,([1]OUT_Electricity_CHP!$C$1:$C$10000="Var_Fout")*1,([1]OUT_Electricity_CHP!$D$1:$D$10000="LTH")*1,[1]OUT_Electricity_CHP!O$1:O$10000)</f>
        <v>6.4769175899649039</v>
      </c>
      <c r="Q199" s="1" cm="1">
        <f t="array" ref="Q199">SUMPRODUCT(("CHPWSTCCS"=[1]OUT_Electricity_CHP!$B$1:$B$10000)*1,([1]OUT_Electricity_CHP!$C$1:$C$10000="Var_Fout")*1,([1]OUT_Electricity_CHP!$D$1:$D$10000="LTH")*1,[1]OUT_Electricity_CHP!P$1:P$10000)</f>
        <v>6.4837825657352779</v>
      </c>
      <c r="S199" s="3"/>
    </row>
    <row r="200" spans="1:19" x14ac:dyDescent="0.5">
      <c r="A200" s="5" t="s">
        <v>5</v>
      </c>
      <c r="B200" s="5" t="s">
        <v>6</v>
      </c>
      <c r="C200" s="5" t="s">
        <v>7</v>
      </c>
      <c r="D200" t="s">
        <v>813</v>
      </c>
      <c r="E200" t="s">
        <v>8</v>
      </c>
      <c r="F200" s="1">
        <f>SUM(F201:F202)</f>
        <v>7.2307729058409613</v>
      </c>
      <c r="G200" s="1">
        <f t="shared" ref="G200:K200" si="196">SUM(G201:G202)</f>
        <v>6.5619889312637145</v>
      </c>
      <c r="H200" s="1">
        <f t="shared" si="196"/>
        <v>6.2064464345298616</v>
      </c>
      <c r="I200" s="1">
        <f t="shared" si="196"/>
        <v>6.3899565347712377</v>
      </c>
      <c r="J200" s="1">
        <f t="shared" si="196"/>
        <v>6.1716052697857009</v>
      </c>
      <c r="K200" s="1">
        <f t="shared" si="196"/>
        <v>6.5209793415777062</v>
      </c>
      <c r="L200" s="1">
        <f t="shared" ref="L200:O200" si="197">SUM(L201:L202)</f>
        <v>6.4779155946577163</v>
      </c>
      <c r="M200" s="1">
        <f t="shared" si="197"/>
        <v>5.9257680568853122</v>
      </c>
      <c r="N200" s="1">
        <f t="shared" si="197"/>
        <v>5.6504429532705238</v>
      </c>
      <c r="O200" s="1">
        <f t="shared" si="197"/>
        <v>5.5309535285043356</v>
      </c>
      <c r="P200" s="1">
        <f>SUM(P201:P202)</f>
        <v>5.5244974167095329</v>
      </c>
      <c r="Q200" s="1">
        <f>SUM(Q201:Q202)</f>
        <v>5.530335791854756</v>
      </c>
      <c r="S200" s="3"/>
    </row>
    <row r="201" spans="1:19" x14ac:dyDescent="0.5">
      <c r="A201" s="5" t="s">
        <v>5</v>
      </c>
      <c r="B201" s="5" t="s">
        <v>6</v>
      </c>
      <c r="C201" s="5" t="s">
        <v>7</v>
      </c>
      <c r="D201" t="s">
        <v>157</v>
      </c>
      <c r="E201" t="s">
        <v>8</v>
      </c>
      <c r="F201" s="1">
        <f t="shared" ref="F201:K201" si="198">F198*F140/F133</f>
        <v>7.2307729058409613</v>
      </c>
      <c r="G201" s="1">
        <f t="shared" si="198"/>
        <v>6.5619889312637145</v>
      </c>
      <c r="H201" s="1">
        <f t="shared" si="198"/>
        <v>6.2064464345298616</v>
      </c>
      <c r="I201" s="1">
        <f t="shared" si="198"/>
        <v>6.3899565347712377</v>
      </c>
      <c r="J201" s="1">
        <f t="shared" si="198"/>
        <v>6.1716052697857009</v>
      </c>
      <c r="K201" s="1">
        <f t="shared" si="198"/>
        <v>5.5559375701021168</v>
      </c>
      <c r="L201" s="1">
        <f t="shared" ref="L201:O201" si="199">L198*L140/L133</f>
        <v>3.238906961193655</v>
      </c>
      <c r="M201" s="1">
        <f t="shared" si="199"/>
        <v>2.4521188816769053</v>
      </c>
      <c r="N201" s="1">
        <f t="shared" si="199"/>
        <v>2.338171822568428</v>
      </c>
      <c r="O201" s="1">
        <f t="shared" si="199"/>
        <v>2.2887376600889042</v>
      </c>
      <c r="P201" s="1">
        <f>P198*P140/P133</f>
        <v>2.2860386217270814</v>
      </c>
      <c r="Q201" s="1">
        <f>Q198*Q140/Q133</f>
        <v>2.288444508987117</v>
      </c>
      <c r="S201" s="3"/>
    </row>
    <row r="202" spans="1:19" x14ac:dyDescent="0.5">
      <c r="A202" s="5" t="s">
        <v>5</v>
      </c>
      <c r="B202" s="5" t="s">
        <v>6</v>
      </c>
      <c r="C202" s="5" t="s">
        <v>7</v>
      </c>
      <c r="D202" t="s">
        <v>158</v>
      </c>
      <c r="E202" t="s">
        <v>8</v>
      </c>
      <c r="F202" s="1">
        <f t="shared" ref="F202:K202" si="200">F199*IFERROR(F141/F134,0)</f>
        <v>0</v>
      </c>
      <c r="G202" s="1">
        <f t="shared" si="200"/>
        <v>0</v>
      </c>
      <c r="H202" s="1">
        <f t="shared" si="200"/>
        <v>0</v>
      </c>
      <c r="I202" s="1">
        <f t="shared" si="200"/>
        <v>0</v>
      </c>
      <c r="J202" s="1">
        <f t="shared" si="200"/>
        <v>0</v>
      </c>
      <c r="K202" s="1">
        <f t="shared" si="200"/>
        <v>0.96504177147558934</v>
      </c>
      <c r="L202" s="1">
        <f t="shared" ref="L202:O202" si="201">L199*IFERROR(L141/L134,0)</f>
        <v>3.2390086334640613</v>
      </c>
      <c r="M202" s="1">
        <f t="shared" si="201"/>
        <v>3.4736491752084069</v>
      </c>
      <c r="N202" s="1">
        <f t="shared" si="201"/>
        <v>3.3122711307020962</v>
      </c>
      <c r="O202" s="1">
        <f t="shared" si="201"/>
        <v>3.2422158684154314</v>
      </c>
      <c r="P202" s="1">
        <f>P199*IFERROR(P141/P134,0)</f>
        <v>3.2384587949824519</v>
      </c>
      <c r="Q202" s="1">
        <f>Q199*IFERROR(Q141/Q134,0)</f>
        <v>3.2418912828676389</v>
      </c>
      <c r="S202" s="3"/>
    </row>
    <row r="203" spans="1:19" x14ac:dyDescent="0.5">
      <c r="A203" s="5" t="s">
        <v>5</v>
      </c>
      <c r="B203" s="5" t="s">
        <v>6</v>
      </c>
      <c r="C203" s="5" t="s">
        <v>7</v>
      </c>
      <c r="D203" t="s">
        <v>814</v>
      </c>
      <c r="E203" t="s">
        <v>8</v>
      </c>
      <c r="F203" s="1">
        <f>SUM(F204:F205)</f>
        <v>7.2307729058409613</v>
      </c>
      <c r="G203" s="1">
        <f t="shared" ref="G203:K203" si="202">SUM(G204:G205)</f>
        <v>6.5619889312637145</v>
      </c>
      <c r="H203" s="1">
        <f t="shared" si="202"/>
        <v>6.2064464345298616</v>
      </c>
      <c r="I203" s="1">
        <f t="shared" si="202"/>
        <v>6.3899565347712377</v>
      </c>
      <c r="J203" s="1">
        <f t="shared" si="202"/>
        <v>6.1716052697857009</v>
      </c>
      <c r="K203" s="1">
        <f t="shared" si="202"/>
        <v>6.5209793415777062</v>
      </c>
      <c r="L203" s="1">
        <f t="shared" ref="L203:O203" si="203">SUM(L204:L205)</f>
        <v>6.4779155946577163</v>
      </c>
      <c r="M203" s="1">
        <f t="shared" si="203"/>
        <v>5.9257680568853122</v>
      </c>
      <c r="N203" s="1">
        <f t="shared" si="203"/>
        <v>5.6504429532705238</v>
      </c>
      <c r="O203" s="1">
        <f t="shared" si="203"/>
        <v>5.5309535285043356</v>
      </c>
      <c r="P203" s="1">
        <f>SUM(P204:P205)</f>
        <v>5.5244974167095329</v>
      </c>
      <c r="Q203" s="1">
        <f>SUM(Q204:Q205)</f>
        <v>5.530335791854756</v>
      </c>
      <c r="S203" s="3"/>
    </row>
    <row r="204" spans="1:19" x14ac:dyDescent="0.5">
      <c r="A204" s="5" t="s">
        <v>5</v>
      </c>
      <c r="B204" s="5" t="s">
        <v>6</v>
      </c>
      <c r="C204" s="5" t="s">
        <v>7</v>
      </c>
      <c r="D204" t="s">
        <v>159</v>
      </c>
      <c r="E204" t="s">
        <v>8</v>
      </c>
      <c r="F204" s="1">
        <f t="shared" ref="F204:K205" si="204">F198-F201</f>
        <v>7.2307729058409613</v>
      </c>
      <c r="G204" s="1">
        <f t="shared" si="204"/>
        <v>6.5619889312637145</v>
      </c>
      <c r="H204" s="1">
        <f t="shared" si="204"/>
        <v>6.2064464345298616</v>
      </c>
      <c r="I204" s="1">
        <f t="shared" si="204"/>
        <v>6.3899565347712377</v>
      </c>
      <c r="J204" s="1">
        <f t="shared" si="204"/>
        <v>6.1716052697857009</v>
      </c>
      <c r="K204" s="1">
        <f t="shared" si="204"/>
        <v>5.5559375701021168</v>
      </c>
      <c r="L204" s="1">
        <f t="shared" ref="L204:O204" si="205">L198-L201</f>
        <v>3.238906961193655</v>
      </c>
      <c r="M204" s="1">
        <f t="shared" si="205"/>
        <v>2.4521188816769053</v>
      </c>
      <c r="N204" s="1">
        <f t="shared" si="205"/>
        <v>2.3381718225684271</v>
      </c>
      <c r="O204" s="1">
        <f t="shared" si="205"/>
        <v>2.2887376600889042</v>
      </c>
      <c r="P204" s="1">
        <f>P198-P201</f>
        <v>2.2860386217270805</v>
      </c>
      <c r="Q204" s="1">
        <f>Q198-Q201</f>
        <v>2.288444508987117</v>
      </c>
      <c r="S204" s="3"/>
    </row>
    <row r="205" spans="1:19" x14ac:dyDescent="0.5">
      <c r="A205" s="5" t="s">
        <v>5</v>
      </c>
      <c r="B205" s="5" t="s">
        <v>6</v>
      </c>
      <c r="C205" s="5" t="s">
        <v>7</v>
      </c>
      <c r="D205" t="s">
        <v>160</v>
      </c>
      <c r="E205" t="s">
        <v>8</v>
      </c>
      <c r="F205" s="1">
        <f t="shared" si="204"/>
        <v>0</v>
      </c>
      <c r="G205" s="1">
        <f t="shared" si="204"/>
        <v>0</v>
      </c>
      <c r="H205" s="1">
        <f t="shared" si="204"/>
        <v>0</v>
      </c>
      <c r="I205" s="1">
        <f t="shared" si="204"/>
        <v>0</v>
      </c>
      <c r="J205" s="1">
        <f t="shared" si="204"/>
        <v>0</v>
      </c>
      <c r="K205" s="1">
        <f t="shared" si="204"/>
        <v>0.96504177147558934</v>
      </c>
      <c r="L205" s="1">
        <f t="shared" ref="L205:O205" si="206">L199-L202</f>
        <v>3.2390086334640613</v>
      </c>
      <c r="M205" s="1">
        <f t="shared" si="206"/>
        <v>3.4736491752084069</v>
      </c>
      <c r="N205" s="1">
        <f t="shared" si="206"/>
        <v>3.3122711307020962</v>
      </c>
      <c r="O205" s="1">
        <f t="shared" si="206"/>
        <v>3.2422158684154314</v>
      </c>
      <c r="P205" s="1">
        <f>P199-P202</f>
        <v>3.2384587949824519</v>
      </c>
      <c r="Q205" s="1">
        <f>Q199-Q202</f>
        <v>3.2418912828676389</v>
      </c>
      <c r="S205" s="3"/>
    </row>
    <row r="206" spans="1:19" x14ac:dyDescent="0.5">
      <c r="A206" s="5" t="s">
        <v>5</v>
      </c>
      <c r="B206" s="5" t="s">
        <v>6</v>
      </c>
      <c r="C206" s="5" t="s">
        <v>7</v>
      </c>
      <c r="D206" t="s">
        <v>815</v>
      </c>
      <c r="E206" t="s">
        <v>8</v>
      </c>
      <c r="F206" s="1">
        <f>F207</f>
        <v>1.3102575632700095</v>
      </c>
      <c r="G206" s="1">
        <f t="shared" ref="G206:O206" si="207">G207</f>
        <v>0.47151761852767932</v>
      </c>
      <c r="H206" s="1">
        <f t="shared" si="207"/>
        <v>0.90347849043695028</v>
      </c>
      <c r="I206" s="1">
        <f t="shared" si="207"/>
        <v>9.6984396507571891E-3</v>
      </c>
      <c r="J206" s="1">
        <f t="shared" si="207"/>
        <v>1.3341499511183548E-2</v>
      </c>
      <c r="K206" s="1">
        <f t="shared" si="207"/>
        <v>1.2632209479762828</v>
      </c>
      <c r="L206" s="1">
        <f t="shared" si="207"/>
        <v>2.5347001221126613</v>
      </c>
      <c r="M206" s="1">
        <f t="shared" si="207"/>
        <v>3.4663434636172639</v>
      </c>
      <c r="N206" s="1">
        <f t="shared" si="207"/>
        <v>3.8773488474465081</v>
      </c>
      <c r="O206" s="1">
        <f t="shared" si="207"/>
        <v>3.7484941405181469</v>
      </c>
      <c r="P206" s="1">
        <f>P207</f>
        <v>4.0210644774535993</v>
      </c>
      <c r="Q206" s="1">
        <f>Q207</f>
        <v>4.1396303793949505</v>
      </c>
      <c r="S206" s="3"/>
    </row>
    <row r="207" spans="1:19" x14ac:dyDescent="0.5">
      <c r="A207" s="5" t="s">
        <v>5</v>
      </c>
      <c r="B207" s="5" t="s">
        <v>6</v>
      </c>
      <c r="C207" s="5" t="s">
        <v>7</v>
      </c>
      <c r="D207" t="s">
        <v>161</v>
      </c>
      <c r="E207" t="s">
        <v>8</v>
      </c>
      <c r="F207" s="1">
        <f>'[1]Electricity and CHPs'!B$92</f>
        <v>1.3102575632700095</v>
      </c>
      <c r="G207" s="1">
        <f>'[1]Electricity and CHPs'!C$92</f>
        <v>0.47151761852767932</v>
      </c>
      <c r="H207" s="1">
        <f>'[1]Electricity and CHPs'!D$92</f>
        <v>0.90347849043695028</v>
      </c>
      <c r="I207" s="1">
        <f>'[1]Electricity and CHPs'!E$92</f>
        <v>9.6984396507571891E-3</v>
      </c>
      <c r="J207" s="1">
        <f>'[1]Electricity and CHPs'!F$92</f>
        <v>1.3341499511183548E-2</v>
      </c>
      <c r="K207" s="1">
        <f>'[1]Electricity and CHPs'!G$92</f>
        <v>1.2632209479762828</v>
      </c>
      <c r="L207" s="1">
        <f>'[1]Electricity and CHPs'!H$92</f>
        <v>2.5347001221126613</v>
      </c>
      <c r="M207" s="1">
        <f>'[1]Electricity and CHPs'!I$92</f>
        <v>3.4663434636172639</v>
      </c>
      <c r="N207" s="1">
        <f>'[1]Electricity and CHPs'!J$92</f>
        <v>3.8773488474465081</v>
      </c>
      <c r="O207" s="1">
        <f>'[1]Electricity and CHPs'!K$92</f>
        <v>3.7484941405181469</v>
      </c>
      <c r="P207" s="1">
        <f>'[1]Electricity and CHPs'!L$92</f>
        <v>4.0210644774535993</v>
      </c>
      <c r="Q207" s="1">
        <f>'[1]Electricity and CHPs'!M$92</f>
        <v>4.1396303793949505</v>
      </c>
      <c r="S207" s="3"/>
    </row>
    <row r="208" spans="1:19" x14ac:dyDescent="0.5">
      <c r="A208" s="5" t="s">
        <v>5</v>
      </c>
      <c r="B208" s="5" t="s">
        <v>6</v>
      </c>
      <c r="C208" s="5" t="s">
        <v>7</v>
      </c>
      <c r="D208" t="s">
        <v>816</v>
      </c>
      <c r="E208" t="s">
        <v>8</v>
      </c>
      <c r="F208" s="1">
        <f>+F209</f>
        <v>0</v>
      </c>
      <c r="G208" s="1">
        <f t="shared" ref="G208:O208" si="208">+G209</f>
        <v>0</v>
      </c>
      <c r="H208" s="1">
        <f t="shared" si="208"/>
        <v>0</v>
      </c>
      <c r="I208" s="1">
        <f t="shared" si="208"/>
        <v>0</v>
      </c>
      <c r="J208" s="1">
        <f t="shared" si="208"/>
        <v>0</v>
      </c>
      <c r="K208" s="1">
        <f t="shared" si="208"/>
        <v>4.4439159992263041E-2</v>
      </c>
      <c r="L208" s="1">
        <f t="shared" si="208"/>
        <v>4.6198192208669511E-2</v>
      </c>
      <c r="M208" s="1">
        <f t="shared" si="208"/>
        <v>6.3871185935415978E-2</v>
      </c>
      <c r="N208" s="1">
        <f t="shared" si="208"/>
        <v>1.0964012843619049</v>
      </c>
      <c r="O208" s="1">
        <f t="shared" si="208"/>
        <v>1.3721343668603023</v>
      </c>
      <c r="P208" s="1">
        <f>+P209</f>
        <v>1.3722384393430356</v>
      </c>
      <c r="Q208" s="1">
        <f>+Q209</f>
        <v>1.4123332251383225</v>
      </c>
      <c r="S208" s="3"/>
    </row>
    <row r="209" spans="1:20" x14ac:dyDescent="0.5">
      <c r="A209" s="5" t="s">
        <v>5</v>
      </c>
      <c r="B209" s="5" t="s">
        <v>6</v>
      </c>
      <c r="C209" s="5" t="s">
        <v>7</v>
      </c>
      <c r="D209" t="s">
        <v>162</v>
      </c>
      <c r="E209" t="s">
        <v>8</v>
      </c>
      <c r="F209" s="1">
        <f>'[1]Electricity and CHPs'!B$96</f>
        <v>0</v>
      </c>
      <c r="G209" s="1">
        <f>'[1]Electricity and CHPs'!C$96</f>
        <v>0</v>
      </c>
      <c r="H209" s="1">
        <f>'[1]Electricity and CHPs'!D$96</f>
        <v>0</v>
      </c>
      <c r="I209" s="1">
        <f>'[1]Electricity and CHPs'!E$96</f>
        <v>0</v>
      </c>
      <c r="J209" s="1">
        <f>'[1]Electricity and CHPs'!F$96</f>
        <v>0</v>
      </c>
      <c r="K209" s="1">
        <f>'[1]Electricity and CHPs'!G$96</f>
        <v>4.4439159992263041E-2</v>
      </c>
      <c r="L209" s="1">
        <f>'[1]Electricity and CHPs'!H$96</f>
        <v>4.6198192208669511E-2</v>
      </c>
      <c r="M209" s="1">
        <f>'[1]Electricity and CHPs'!I$96</f>
        <v>6.3871185935415978E-2</v>
      </c>
      <c r="N209" s="1">
        <f>'[1]Electricity and CHPs'!J$96</f>
        <v>1.0964012843619049</v>
      </c>
      <c r="O209" s="1">
        <f>'[1]Electricity and CHPs'!K$96</f>
        <v>1.3721343668603023</v>
      </c>
      <c r="P209" s="1">
        <f>'[1]Electricity and CHPs'!L$96</f>
        <v>1.3722384393430356</v>
      </c>
      <c r="Q209" s="1">
        <f>'[1]Electricity and CHPs'!M$96</f>
        <v>1.4123332251383225</v>
      </c>
      <c r="S209" s="3"/>
    </row>
    <row r="210" spans="1:20" x14ac:dyDescent="0.5">
      <c r="A210" s="5" t="s">
        <v>5</v>
      </c>
      <c r="B210" s="5" t="s">
        <v>6</v>
      </c>
      <c r="C210" s="5" t="s">
        <v>7</v>
      </c>
      <c r="D210" t="s">
        <v>817</v>
      </c>
      <c r="E210" t="str">
        <f>E167</f>
        <v>PJ/yr.</v>
      </c>
      <c r="F210" s="1">
        <f>SUM(F211,F217,F219,F225,F227,F229,F231)</f>
        <v>6.9240378090569763</v>
      </c>
      <c r="G210" s="1">
        <f t="shared" ref="G210:K210" si="209">SUM(G211,G217,G219,G225,G227,G229,G231)</f>
        <v>15.626696737224679</v>
      </c>
      <c r="H210" s="1">
        <f t="shared" si="209"/>
        <v>15.492670530543666</v>
      </c>
      <c r="I210" s="1">
        <f t="shared" si="209"/>
        <v>11.331286436857329</v>
      </c>
      <c r="J210" s="1">
        <f t="shared" si="209"/>
        <v>11.898974274503125</v>
      </c>
      <c r="K210" s="1">
        <f t="shared" si="209"/>
        <v>9.9419493206327942</v>
      </c>
      <c r="L210" s="1">
        <f t="shared" ref="L210:O210" si="210">SUM(L211,L217,L219,L225,L227,L229,L231)</f>
        <v>9.7041934064898765</v>
      </c>
      <c r="M210" s="1">
        <f t="shared" si="210"/>
        <v>12.534893678875914</v>
      </c>
      <c r="N210" s="1">
        <f t="shared" si="210"/>
        <v>12.613714105395902</v>
      </c>
      <c r="O210" s="1">
        <f t="shared" si="210"/>
        <v>20.341382021043781</v>
      </c>
      <c r="P210" s="1">
        <f>SUM(P211,P217,P219,P225,P227,P229,P231)</f>
        <v>21.022707815812435</v>
      </c>
      <c r="Q210" s="1">
        <f>SUM(Q211,Q217,Q219,Q225,Q227,Q229,Q231)</f>
        <v>23.208854612185288</v>
      </c>
      <c r="S210" s="3"/>
    </row>
    <row r="211" spans="1:20" x14ac:dyDescent="0.5">
      <c r="A211" s="5" t="s">
        <v>5</v>
      </c>
      <c r="B211" s="5" t="s">
        <v>6</v>
      </c>
      <c r="C211" s="5" t="s">
        <v>7</v>
      </c>
      <c r="D211" t="s">
        <v>818</v>
      </c>
      <c r="E211" t="str">
        <f>E170</f>
        <v>PJ/yr.</v>
      </c>
      <c r="F211" s="1">
        <f>+F212</f>
        <v>2.6347279861373001</v>
      </c>
      <c r="G211" s="1">
        <f t="shared" ref="G211:O211" si="211">+G212</f>
        <v>3.0430940236761472</v>
      </c>
      <c r="H211" s="1">
        <f t="shared" si="211"/>
        <v>2.0244867754351814</v>
      </c>
      <c r="I211" s="1">
        <f t="shared" si="211"/>
        <v>0.90180694387022609</v>
      </c>
      <c r="J211" s="1">
        <f t="shared" si="211"/>
        <v>0.90181145281191066</v>
      </c>
      <c r="K211" s="1">
        <f t="shared" si="211"/>
        <v>0.9018154215439631</v>
      </c>
      <c r="L211" s="1">
        <f t="shared" si="211"/>
        <v>0.90181866373007757</v>
      </c>
      <c r="M211" s="1">
        <f t="shared" si="211"/>
        <v>0.90182423140490553</v>
      </c>
      <c r="N211" s="1">
        <f t="shared" si="211"/>
        <v>0.90183126634212418</v>
      </c>
      <c r="O211" s="1">
        <f t="shared" si="211"/>
        <v>0.90183457858870353</v>
      </c>
      <c r="P211" s="1">
        <f>+P212</f>
        <v>0.90185389288723616</v>
      </c>
      <c r="Q211" s="1">
        <f>+Q212</f>
        <v>1.0140929076188983</v>
      </c>
      <c r="S211" s="3"/>
    </row>
    <row r="212" spans="1:20" x14ac:dyDescent="0.5">
      <c r="A212" s="5" t="s">
        <v>5</v>
      </c>
      <c r="B212" s="5" t="s">
        <v>6</v>
      </c>
      <c r="C212" s="5" t="s">
        <v>7</v>
      </c>
      <c r="D212" t="s">
        <v>163</v>
      </c>
      <c r="E212" t="str">
        <f>E171</f>
        <v>PJ/yr.</v>
      </c>
      <c r="F212" s="1">
        <f>'[1]Electricity and CHPs'!B$97+F216</f>
        <v>2.6347279861373001</v>
      </c>
      <c r="G212" s="1">
        <f>'[1]Electricity and CHPs'!C$97+G216</f>
        <v>3.0430940236761472</v>
      </c>
      <c r="H212" s="1">
        <f>'[1]Electricity and CHPs'!D$97+H216</f>
        <v>2.0244867754351814</v>
      </c>
      <c r="I212" s="1">
        <f>'[1]Electricity and CHPs'!E$97+I216</f>
        <v>0.90180694387022609</v>
      </c>
      <c r="J212" s="1">
        <f>'[1]Electricity and CHPs'!F$97+J216</f>
        <v>0.90181145281191066</v>
      </c>
      <c r="K212" s="1">
        <f>'[1]Electricity and CHPs'!G$97+K216</f>
        <v>0.9018154215439631</v>
      </c>
      <c r="L212" s="1">
        <f>'[1]Electricity and CHPs'!H$97+L216</f>
        <v>0.90181866373007757</v>
      </c>
      <c r="M212" s="1">
        <f>'[1]Electricity and CHPs'!I$97+M216</f>
        <v>0.90182423140490553</v>
      </c>
      <c r="N212" s="1">
        <f>'[1]Electricity and CHPs'!J$97+N216</f>
        <v>0.90183126634212418</v>
      </c>
      <c r="O212" s="1">
        <f>'[1]Electricity and CHPs'!K$97+O216</f>
        <v>0.90183457858870353</v>
      </c>
      <c r="P212" s="1">
        <f>'[1]Electricity and CHPs'!L$97+P216</f>
        <v>0.90185389288723616</v>
      </c>
      <c r="Q212" s="1">
        <f>'[1]Electricity and CHPs'!M$97+Q216</f>
        <v>1.0140929076188983</v>
      </c>
      <c r="S212" s="3"/>
    </row>
    <row r="213" spans="1:20" x14ac:dyDescent="0.5">
      <c r="A213" s="5"/>
      <c r="B213" s="5" t="str">
        <f>B212</f>
        <v>SPS1</v>
      </c>
      <c r="C213" s="5" t="str">
        <f>C212</f>
        <v>CH</v>
      </c>
      <c r="D213" t="s">
        <v>821</v>
      </c>
      <c r="E213" t="str">
        <f>E172</f>
        <v>PJ/yr.</v>
      </c>
      <c r="F213" s="1">
        <f>F214</f>
        <v>1.7329259660505791</v>
      </c>
      <c r="G213" s="1">
        <f t="shared" ref="G213:O213" si="212">G214</f>
        <v>2.1412907834510397</v>
      </c>
      <c r="H213" s="1">
        <f t="shared" si="212"/>
        <v>1.122681982033449</v>
      </c>
      <c r="I213" s="1">
        <f t="shared" si="212"/>
        <v>0</v>
      </c>
      <c r="J213" s="1">
        <f t="shared" si="212"/>
        <v>0</v>
      </c>
      <c r="K213" s="1">
        <f t="shared" si="212"/>
        <v>0</v>
      </c>
      <c r="L213" s="1">
        <f t="shared" si="212"/>
        <v>0</v>
      </c>
      <c r="M213" s="1">
        <f t="shared" si="212"/>
        <v>0</v>
      </c>
      <c r="N213" s="1">
        <f t="shared" si="212"/>
        <v>0</v>
      </c>
      <c r="O213" s="1">
        <f t="shared" si="212"/>
        <v>0</v>
      </c>
      <c r="P213" s="1">
        <f>P214</f>
        <v>0</v>
      </c>
      <c r="Q213" s="1">
        <f>Q214</f>
        <v>0</v>
      </c>
      <c r="S213" s="3"/>
    </row>
    <row r="214" spans="1:20" x14ac:dyDescent="0.5">
      <c r="A214" s="5" t="s">
        <v>5</v>
      </c>
      <c r="B214" s="5" t="s">
        <v>6</v>
      </c>
      <c r="C214" s="5" t="s">
        <v>7</v>
      </c>
      <c r="D214" t="s">
        <v>819</v>
      </c>
      <c r="E214" t="str">
        <f>E171</f>
        <v>PJ/yr.</v>
      </c>
      <c r="F214" s="1">
        <f>F212-F216</f>
        <v>1.7329259660505791</v>
      </c>
      <c r="G214" s="1">
        <f t="shared" ref="G214:K214" si="213">G212-G216</f>
        <v>2.1412907834510397</v>
      </c>
      <c r="H214" s="1">
        <f t="shared" si="213"/>
        <v>1.122681982033449</v>
      </c>
      <c r="I214" s="1">
        <f t="shared" si="213"/>
        <v>0</v>
      </c>
      <c r="J214" s="1">
        <f t="shared" si="213"/>
        <v>0</v>
      </c>
      <c r="K214" s="1">
        <f t="shared" si="213"/>
        <v>0</v>
      </c>
      <c r="L214" s="1">
        <f t="shared" ref="L214:O214" si="214">L212-L216</f>
        <v>0</v>
      </c>
      <c r="M214" s="1">
        <f t="shared" si="214"/>
        <v>0</v>
      </c>
      <c r="N214" s="1">
        <f t="shared" si="214"/>
        <v>0</v>
      </c>
      <c r="O214" s="1">
        <f t="shared" si="214"/>
        <v>0</v>
      </c>
      <c r="P214" s="1">
        <f>P212-P216</f>
        <v>0</v>
      </c>
      <c r="Q214" s="1">
        <f>Q212-Q216</f>
        <v>0</v>
      </c>
      <c r="S214" s="3"/>
    </row>
    <row r="215" spans="1:20" x14ac:dyDescent="0.5">
      <c r="A215" s="5"/>
      <c r="B215" s="5" t="str">
        <f>B214</f>
        <v>SPS1</v>
      </c>
      <c r="C215" s="5" t="str">
        <f>C214</f>
        <v>CH</v>
      </c>
      <c r="D215" t="s">
        <v>823</v>
      </c>
      <c r="E215" t="str">
        <f>E172</f>
        <v>PJ/yr.</v>
      </c>
      <c r="F215" s="1">
        <f>F216</f>
        <v>0.90180202008672095</v>
      </c>
      <c r="G215" s="1">
        <f t="shared" ref="G215:O215" si="215">G216</f>
        <v>0.90180324022510761</v>
      </c>
      <c r="H215" s="1">
        <f t="shared" si="215"/>
        <v>0.90180479340173236</v>
      </c>
      <c r="I215" s="1">
        <f t="shared" si="215"/>
        <v>0.90180694387022609</v>
      </c>
      <c r="J215" s="1">
        <f t="shared" si="215"/>
        <v>0.90181145281191066</v>
      </c>
      <c r="K215" s="1">
        <f t="shared" si="215"/>
        <v>0.9018154215439631</v>
      </c>
      <c r="L215" s="1">
        <f t="shared" si="215"/>
        <v>0.90181866373007757</v>
      </c>
      <c r="M215" s="1">
        <f t="shared" si="215"/>
        <v>0.90182423140490553</v>
      </c>
      <c r="N215" s="1">
        <f t="shared" si="215"/>
        <v>0.90183126634212418</v>
      </c>
      <c r="O215" s="1">
        <f t="shared" si="215"/>
        <v>0.90183457858870353</v>
      </c>
      <c r="P215" s="1">
        <f>P216</f>
        <v>0.90185389288723616</v>
      </c>
      <c r="Q215" s="1">
        <f>Q216</f>
        <v>1.0140929076188983</v>
      </c>
      <c r="S215" s="3"/>
    </row>
    <row r="216" spans="1:20" x14ac:dyDescent="0.5">
      <c r="A216" s="5" t="s">
        <v>5</v>
      </c>
      <c r="B216" s="5" t="s">
        <v>6</v>
      </c>
      <c r="C216" s="5" t="s">
        <v>7</v>
      </c>
      <c r="D216" t="s">
        <v>820</v>
      </c>
      <c r="E216" t="str">
        <f>E172</f>
        <v>PJ/yr.</v>
      </c>
      <c r="F216" s="1">
        <f>'[1]Electricity and CHPs'!B$98</f>
        <v>0.90180202008672095</v>
      </c>
      <c r="G216" s="1">
        <f>'[1]Electricity and CHPs'!C$98</f>
        <v>0.90180324022510761</v>
      </c>
      <c r="H216" s="1">
        <f>'[1]Electricity and CHPs'!D$98</f>
        <v>0.90180479340173236</v>
      </c>
      <c r="I216" s="1">
        <f>'[1]Electricity and CHPs'!E$98</f>
        <v>0.90180694387022609</v>
      </c>
      <c r="J216" s="1">
        <f>'[1]Electricity and CHPs'!F$98</f>
        <v>0.90181145281191066</v>
      </c>
      <c r="K216" s="1">
        <f>'[1]Electricity and CHPs'!G$98</f>
        <v>0.9018154215439631</v>
      </c>
      <c r="L216" s="1">
        <f>'[1]Electricity and CHPs'!H$98</f>
        <v>0.90181866373007757</v>
      </c>
      <c r="M216" s="1">
        <f>'[1]Electricity and CHPs'!I$98</f>
        <v>0.90182423140490553</v>
      </c>
      <c r="N216" s="1">
        <f>'[1]Electricity and CHPs'!J$98</f>
        <v>0.90183126634212418</v>
      </c>
      <c r="O216" s="1">
        <f>'[1]Electricity and CHPs'!K$98</f>
        <v>0.90183457858870353</v>
      </c>
      <c r="P216" s="1">
        <f>'[1]Electricity and CHPs'!L$98</f>
        <v>0.90185389288723616</v>
      </c>
      <c r="Q216" s="1">
        <f>'[1]Electricity and CHPs'!M$98</f>
        <v>1.0140929076188983</v>
      </c>
      <c r="S216" s="3"/>
    </row>
    <row r="217" spans="1:20" x14ac:dyDescent="0.5">
      <c r="A217" s="5" t="s">
        <v>5</v>
      </c>
      <c r="B217" s="5" t="s">
        <v>6</v>
      </c>
      <c r="C217" s="5" t="s">
        <v>7</v>
      </c>
      <c r="D217" t="s">
        <v>824</v>
      </c>
      <c r="E217" t="str">
        <f>E172</f>
        <v>PJ/yr.</v>
      </c>
      <c r="F217" s="1">
        <f>+F218</f>
        <v>2.900056837873827</v>
      </c>
      <c r="G217" s="1">
        <f t="shared" ref="G217:O217" si="216">+G218</f>
        <v>7.6037275956283015</v>
      </c>
      <c r="H217" s="1">
        <f t="shared" si="216"/>
        <v>7.6001713096321906</v>
      </c>
      <c r="I217" s="1">
        <f t="shared" si="216"/>
        <v>2.2992562418728757</v>
      </c>
      <c r="J217" s="1">
        <f t="shared" si="216"/>
        <v>1.3320003768748603</v>
      </c>
      <c r="K217" s="1">
        <f t="shared" si="216"/>
        <v>0</v>
      </c>
      <c r="L217" s="1">
        <f t="shared" si="216"/>
        <v>0</v>
      </c>
      <c r="M217" s="1">
        <f t="shared" si="216"/>
        <v>0</v>
      </c>
      <c r="N217" s="1">
        <f t="shared" si="216"/>
        <v>0</v>
      </c>
      <c r="O217" s="1">
        <f t="shared" si="216"/>
        <v>0</v>
      </c>
      <c r="P217" s="1">
        <f>+P218</f>
        <v>0</v>
      </c>
      <c r="Q217" s="1">
        <f>+Q218</f>
        <v>0</v>
      </c>
      <c r="S217" s="3"/>
    </row>
    <row r="218" spans="1:20" x14ac:dyDescent="0.5">
      <c r="A218" s="5" t="s">
        <v>5</v>
      </c>
      <c r="B218" s="5" t="s">
        <v>6</v>
      </c>
      <c r="C218" s="5" t="s">
        <v>7</v>
      </c>
      <c r="D218" t="s">
        <v>164</v>
      </c>
      <c r="E218" t="str">
        <f>E173</f>
        <v>PJ/yr.</v>
      </c>
      <c r="F218" s="1">
        <f>'[1]Electricity and CHPs'!B$99</f>
        <v>2.900056837873827</v>
      </c>
      <c r="G218" s="1">
        <f>'[1]Electricity and CHPs'!C$99</f>
        <v>7.6037275956283015</v>
      </c>
      <c r="H218" s="1">
        <f>'[1]Electricity and CHPs'!D$99</f>
        <v>7.6001713096321906</v>
      </c>
      <c r="I218" s="1">
        <f>'[1]Electricity and CHPs'!E$99</f>
        <v>2.2992562418728757</v>
      </c>
      <c r="J218" s="1">
        <f>'[1]Electricity and CHPs'!F$99</f>
        <v>1.3320003768748603</v>
      </c>
      <c r="K218" s="1">
        <f>'[1]Electricity and CHPs'!G$99</f>
        <v>0</v>
      </c>
      <c r="L218" s="1">
        <f>'[1]Electricity and CHPs'!H$99</f>
        <v>0</v>
      </c>
      <c r="M218" s="1">
        <f>'[1]Electricity and CHPs'!I$99</f>
        <v>0</v>
      </c>
      <c r="N218" s="1">
        <f>'[1]Electricity and CHPs'!J$99</f>
        <v>0</v>
      </c>
      <c r="O218" s="1">
        <f>'[1]Electricity and CHPs'!K$99</f>
        <v>0</v>
      </c>
      <c r="P218" s="1">
        <f>'[1]Electricity and CHPs'!L$99</f>
        <v>0</v>
      </c>
      <c r="Q218" s="1">
        <f>'[1]Electricity and CHPs'!M$99</f>
        <v>0</v>
      </c>
      <c r="S218" s="3"/>
    </row>
    <row r="219" spans="1:20" x14ac:dyDescent="0.5">
      <c r="A219" s="5" t="s">
        <v>5</v>
      </c>
      <c r="B219" s="5" t="s">
        <v>6</v>
      </c>
      <c r="C219" s="5" t="s">
        <v>7</v>
      </c>
      <c r="D219" t="s">
        <v>825</v>
      </c>
      <c r="E219" t="str">
        <f>E173</f>
        <v>PJ/yr.</v>
      </c>
      <c r="F219" s="1">
        <f>+F220</f>
        <v>0.18409178243891483</v>
      </c>
      <c r="G219" s="1">
        <f t="shared" ref="G219:O219" si="217">+G220</f>
        <v>0.18581060766898236</v>
      </c>
      <c r="H219" s="1">
        <f t="shared" si="217"/>
        <v>5.1322176178188447E-2</v>
      </c>
      <c r="I219" s="1">
        <f t="shared" si="217"/>
        <v>5.3299150418887914E-2</v>
      </c>
      <c r="J219" s="1">
        <f t="shared" si="217"/>
        <v>1.7123303006778931E-3</v>
      </c>
      <c r="K219" s="1">
        <f t="shared" si="217"/>
        <v>4.9949977493405522E-4</v>
      </c>
      <c r="L219" s="1">
        <f t="shared" si="217"/>
        <v>5.7547207752482493E-4</v>
      </c>
      <c r="M219" s="1">
        <f t="shared" si="217"/>
        <v>8.5700114961330355E-5</v>
      </c>
      <c r="N219" s="1">
        <f t="shared" si="217"/>
        <v>4.7958283253445361E-5</v>
      </c>
      <c r="O219" s="1">
        <f t="shared" si="217"/>
        <v>3.3055506242223246E-5</v>
      </c>
      <c r="P219" s="1">
        <f>+P220</f>
        <v>3.4902887286525807E-5</v>
      </c>
      <c r="Q219" s="1">
        <f>+Q220</f>
        <v>2.8383377923708959E-5</v>
      </c>
      <c r="S219" s="3"/>
    </row>
    <row r="220" spans="1:20" x14ac:dyDescent="0.5">
      <c r="A220" s="5" t="s">
        <v>5</v>
      </c>
      <c r="B220" s="5" t="s">
        <v>6</v>
      </c>
      <c r="C220" s="5" t="s">
        <v>7</v>
      </c>
      <c r="D220" t="s">
        <v>165</v>
      </c>
      <c r="E220" t="str">
        <f>E174</f>
        <v>PJ/yr.</v>
      </c>
      <c r="F220" s="1">
        <f>'[1]Electricity and CHPs'!B$100</f>
        <v>0.18409178243891483</v>
      </c>
      <c r="G220" s="1">
        <f>'[1]Electricity and CHPs'!C$100</f>
        <v>0.18581060766898236</v>
      </c>
      <c r="H220" s="1">
        <f>'[1]Electricity and CHPs'!D$100</f>
        <v>5.1322176178188447E-2</v>
      </c>
      <c r="I220" s="1">
        <f>'[1]Electricity and CHPs'!E$100</f>
        <v>5.3299150418887914E-2</v>
      </c>
      <c r="J220" s="1">
        <f>'[1]Electricity and CHPs'!F$100</f>
        <v>1.7123303006778931E-3</v>
      </c>
      <c r="K220" s="1">
        <f>'[1]Electricity and CHPs'!G$100</f>
        <v>4.9949977493405522E-4</v>
      </c>
      <c r="L220" s="1">
        <f>'[1]Electricity and CHPs'!H$100</f>
        <v>5.7547207752482493E-4</v>
      </c>
      <c r="M220" s="1">
        <f>'[1]Electricity and CHPs'!I$100</f>
        <v>8.5700114961330355E-5</v>
      </c>
      <c r="N220" s="1">
        <f>'[1]Electricity and CHPs'!J$100</f>
        <v>4.7958283253445361E-5</v>
      </c>
      <c r="O220" s="1">
        <f>'[1]Electricity and CHPs'!K$100</f>
        <v>3.3055506242223246E-5</v>
      </c>
      <c r="P220" s="1">
        <f>'[1]Electricity and CHPs'!L$100</f>
        <v>3.4902887286525807E-5</v>
      </c>
      <c r="Q220" s="1">
        <f>'[1]Electricity and CHPs'!M$100</f>
        <v>2.8383377923708959E-5</v>
      </c>
      <c r="S220" s="3"/>
    </row>
    <row r="221" spans="1:20" x14ac:dyDescent="0.5">
      <c r="A221" s="5"/>
      <c r="B221" s="5" t="s">
        <v>6</v>
      </c>
      <c r="C221" s="5" t="s">
        <v>7</v>
      </c>
      <c r="D221" t="s">
        <v>826</v>
      </c>
      <c r="E221" t="str">
        <f>E173</f>
        <v>PJ/yr.</v>
      </c>
      <c r="F221" s="1">
        <f>F222</f>
        <v>0.18409178243891483</v>
      </c>
      <c r="G221" s="1">
        <f t="shared" ref="G221:O221" si="218">G222</f>
        <v>0.18581060766898236</v>
      </c>
      <c r="H221" s="1">
        <f t="shared" si="218"/>
        <v>5.1322176178188447E-2</v>
      </c>
      <c r="I221" s="1">
        <f t="shared" si="218"/>
        <v>5.3299150418887914E-2</v>
      </c>
      <c r="J221" s="1">
        <f t="shared" si="218"/>
        <v>1.7123303006778931E-3</v>
      </c>
      <c r="K221" s="1">
        <f t="shared" si="218"/>
        <v>4.9949977493405522E-4</v>
      </c>
      <c r="L221" s="1">
        <f>L222</f>
        <v>5.7547207752482493E-4</v>
      </c>
      <c r="M221" s="1">
        <f t="shared" si="218"/>
        <v>8.5700114961330355E-5</v>
      </c>
      <c r="N221" s="1">
        <f t="shared" si="218"/>
        <v>4.7958283253445361E-5</v>
      </c>
      <c r="O221" s="1">
        <f t="shared" si="218"/>
        <v>3.3055506242223246E-5</v>
      </c>
      <c r="P221" s="1">
        <f>P222</f>
        <v>3.4902887286525807E-5</v>
      </c>
      <c r="Q221" s="1">
        <f>Q222</f>
        <v>2.8383377923708959E-5</v>
      </c>
      <c r="S221" s="3"/>
    </row>
    <row r="222" spans="1:20" x14ac:dyDescent="0.5">
      <c r="A222" s="5" t="s">
        <v>5</v>
      </c>
      <c r="B222" s="5" t="s">
        <v>6</v>
      </c>
      <c r="C222" s="5" t="s">
        <v>7</v>
      </c>
      <c r="D222" t="s">
        <v>518</v>
      </c>
      <c r="E222" t="str">
        <f>E174</f>
        <v>PJ/yr.</v>
      </c>
      <c r="F222" s="1">
        <f>F220-F224</f>
        <v>0.18409178243891483</v>
      </c>
      <c r="G222" s="1">
        <f t="shared" ref="G222:K222" si="219">G220-G224</f>
        <v>0.18581060766898236</v>
      </c>
      <c r="H222" s="1">
        <f t="shared" si="219"/>
        <v>5.1322176178188447E-2</v>
      </c>
      <c r="I222" s="1">
        <f t="shared" si="219"/>
        <v>5.3299150418887914E-2</v>
      </c>
      <c r="J222" s="1">
        <f t="shared" si="219"/>
        <v>1.7123303006778931E-3</v>
      </c>
      <c r="K222" s="1">
        <f t="shared" si="219"/>
        <v>4.9949977493405522E-4</v>
      </c>
      <c r="L222" s="1">
        <f>L220-L224</f>
        <v>5.7547207752482493E-4</v>
      </c>
      <c r="M222" s="1">
        <f t="shared" ref="M222:O222" si="220">M220-M224</f>
        <v>8.5700114961330355E-5</v>
      </c>
      <c r="N222" s="1">
        <f t="shared" si="220"/>
        <v>4.7958283253445361E-5</v>
      </c>
      <c r="O222" s="1">
        <f t="shared" si="220"/>
        <v>3.3055506242223246E-5</v>
      </c>
      <c r="P222" s="1">
        <f>P220-P224</f>
        <v>3.4902887286525807E-5</v>
      </c>
      <c r="Q222" s="1">
        <f>Q220-Q224</f>
        <v>2.8383377923708959E-5</v>
      </c>
      <c r="S222" s="3"/>
    </row>
    <row r="223" spans="1:20" x14ac:dyDescent="0.5">
      <c r="A223" s="5"/>
      <c r="B223" s="5" t="s">
        <v>6</v>
      </c>
      <c r="C223" s="5" t="s">
        <v>7</v>
      </c>
      <c r="D223" t="s">
        <v>827</v>
      </c>
      <c r="E223" t="str">
        <f>E174</f>
        <v>PJ/yr.</v>
      </c>
      <c r="F223" s="1">
        <f>F224</f>
        <v>0</v>
      </c>
      <c r="G223" s="1">
        <f t="shared" ref="G223:O223" si="221">G224</f>
        <v>0</v>
      </c>
      <c r="H223" s="1">
        <f t="shared" si="221"/>
        <v>0</v>
      </c>
      <c r="I223" s="1">
        <f t="shared" si="221"/>
        <v>0</v>
      </c>
      <c r="J223" s="1">
        <f t="shared" si="221"/>
        <v>0</v>
      </c>
      <c r="K223" s="1">
        <f t="shared" si="221"/>
        <v>0</v>
      </c>
      <c r="L223" s="1">
        <f t="shared" si="221"/>
        <v>0</v>
      </c>
      <c r="M223" s="1">
        <f t="shared" si="221"/>
        <v>0</v>
      </c>
      <c r="N223" s="1">
        <f t="shared" si="221"/>
        <v>0</v>
      </c>
      <c r="O223" s="1">
        <f t="shared" si="221"/>
        <v>0</v>
      </c>
      <c r="P223" s="1">
        <f>P224</f>
        <v>0</v>
      </c>
      <c r="Q223" s="1">
        <f>Q224</f>
        <v>0</v>
      </c>
      <c r="S223" s="3"/>
    </row>
    <row r="224" spans="1:20" x14ac:dyDescent="0.5">
      <c r="A224" s="5" t="s">
        <v>5</v>
      </c>
      <c r="B224" s="5" t="s">
        <v>6</v>
      </c>
      <c r="C224" s="5" t="s">
        <v>7</v>
      </c>
      <c r="D224" t="s">
        <v>542</v>
      </c>
      <c r="E224" t="str">
        <f>E175</f>
        <v>PJ/yr.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/>
      <c r="S224" s="3"/>
      <c r="T224" s="1"/>
    </row>
    <row r="225" spans="1:19" x14ac:dyDescent="0.5">
      <c r="A225" s="5" t="s">
        <v>5</v>
      </c>
      <c r="B225" s="5" t="s">
        <v>6</v>
      </c>
      <c r="C225" s="5" t="s">
        <v>7</v>
      </c>
      <c r="D225" t="s">
        <v>828</v>
      </c>
      <c r="E225" t="str">
        <f>E174</f>
        <v>PJ/yr.</v>
      </c>
      <c r="F225" s="1">
        <f>+F226</f>
        <v>1.205161202606934</v>
      </c>
      <c r="G225" s="1">
        <f t="shared" ref="G225:O225" si="222">+G226</f>
        <v>1.0876620498618368</v>
      </c>
      <c r="H225" s="1">
        <f t="shared" si="222"/>
        <v>1.9979193691540227</v>
      </c>
      <c r="I225" s="1">
        <f t="shared" si="222"/>
        <v>3.5986247264650597</v>
      </c>
      <c r="J225" s="1">
        <f t="shared" si="222"/>
        <v>4.0402493757794566</v>
      </c>
      <c r="K225" s="1">
        <f t="shared" si="222"/>
        <v>3.1262835397181217</v>
      </c>
      <c r="L225" s="1">
        <f t="shared" si="222"/>
        <v>2.4190685388015316</v>
      </c>
      <c r="M225" s="1">
        <f t="shared" si="222"/>
        <v>1.8718426671294826</v>
      </c>
      <c r="N225" s="1">
        <f t="shared" si="222"/>
        <v>1.4484095726329185</v>
      </c>
      <c r="O225" s="1">
        <f t="shared" si="222"/>
        <v>1.1207614448730236</v>
      </c>
      <c r="P225" s="1">
        <f>+P226</f>
        <v>0.86723851663857943</v>
      </c>
      <c r="Q225" s="1">
        <f>+Q226</f>
        <v>0.67286285771833332</v>
      </c>
      <c r="S225" s="3"/>
    </row>
    <row r="226" spans="1:19" x14ac:dyDescent="0.5">
      <c r="A226" s="5" t="s">
        <v>5</v>
      </c>
      <c r="B226" s="5" t="s">
        <v>6</v>
      </c>
      <c r="C226" s="5" t="s">
        <v>7</v>
      </c>
      <c r="D226" t="s">
        <v>166</v>
      </c>
      <c r="E226" t="str">
        <f>E175</f>
        <v>PJ/yr.</v>
      </c>
      <c r="F226" s="1">
        <f>'[1]Electricity and CHPs'!B$101</f>
        <v>1.205161202606934</v>
      </c>
      <c r="G226" s="1">
        <f>'[1]Electricity and CHPs'!C$101</f>
        <v>1.0876620498618368</v>
      </c>
      <c r="H226" s="1">
        <f>'[1]Electricity and CHPs'!D$101</f>
        <v>1.9979193691540227</v>
      </c>
      <c r="I226" s="1">
        <f>'[1]Electricity and CHPs'!E$101</f>
        <v>3.5986247264650597</v>
      </c>
      <c r="J226" s="1">
        <f>'[1]Electricity and CHPs'!F$101</f>
        <v>4.0402493757794566</v>
      </c>
      <c r="K226" s="1">
        <f>'[1]Electricity and CHPs'!G$101</f>
        <v>3.1262835397181217</v>
      </c>
      <c r="L226" s="1">
        <f>'[1]Electricity and CHPs'!H$101</f>
        <v>2.4190685388015316</v>
      </c>
      <c r="M226" s="1">
        <f>'[1]Electricity and CHPs'!I$101</f>
        <v>1.8718426671294826</v>
      </c>
      <c r="N226" s="1">
        <f>'[1]Electricity and CHPs'!J$101</f>
        <v>1.4484095726329185</v>
      </c>
      <c r="O226" s="1">
        <f>'[1]Electricity and CHPs'!K$101</f>
        <v>1.1207614448730236</v>
      </c>
      <c r="P226" s="1">
        <f>'[1]Electricity and CHPs'!L$101</f>
        <v>0.86723851663857943</v>
      </c>
      <c r="Q226" s="1">
        <f>'[1]Electricity and CHPs'!M$101</f>
        <v>0.67286285771833332</v>
      </c>
      <c r="S226" s="3"/>
    </row>
    <row r="227" spans="1:19" x14ac:dyDescent="0.5">
      <c r="A227" s="5" t="s">
        <v>5</v>
      </c>
      <c r="B227" s="5" t="s">
        <v>6</v>
      </c>
      <c r="C227" s="5" t="s">
        <v>7</v>
      </c>
      <c r="D227" t="s">
        <v>829</v>
      </c>
      <c r="E227" t="str">
        <f>E175</f>
        <v>PJ/yr.</v>
      </c>
      <c r="F227" s="1">
        <f>+F228</f>
        <v>0</v>
      </c>
      <c r="G227" s="1">
        <f t="shared" ref="G227:O227" si="223">+G228</f>
        <v>0</v>
      </c>
      <c r="H227" s="1">
        <f t="shared" si="223"/>
        <v>0</v>
      </c>
      <c r="I227" s="1">
        <f t="shared" si="223"/>
        <v>1.4810563710989833E-4</v>
      </c>
      <c r="J227" s="1">
        <f t="shared" si="223"/>
        <v>2.4911596730367005E-4</v>
      </c>
      <c r="K227" s="1">
        <f t="shared" si="223"/>
        <v>2.7184178099977396E-4</v>
      </c>
      <c r="L227" s="1">
        <f t="shared" si="223"/>
        <v>2.8867491714550624E-4</v>
      </c>
      <c r="M227" s="1">
        <f t="shared" si="223"/>
        <v>4.4049589728140104E-4</v>
      </c>
      <c r="N227" s="1">
        <f t="shared" si="223"/>
        <v>4.489933768985335E-4</v>
      </c>
      <c r="O227" s="1">
        <f t="shared" si="223"/>
        <v>5.2769062867861496E-4</v>
      </c>
      <c r="P227" s="1">
        <f>+P228</f>
        <v>5.461505683061089E-4</v>
      </c>
      <c r="Q227" s="1">
        <f>+Q228</f>
        <v>1.5346031078278311E-3</v>
      </c>
      <c r="S227" s="3"/>
    </row>
    <row r="228" spans="1:19" x14ac:dyDescent="0.5">
      <c r="A228" s="5" t="s">
        <v>5</v>
      </c>
      <c r="B228" s="5" t="s">
        <v>6</v>
      </c>
      <c r="C228" s="5" t="s">
        <v>7</v>
      </c>
      <c r="D228" t="s">
        <v>167</v>
      </c>
      <c r="E228" t="str">
        <f>E176</f>
        <v>PJ/yr.</v>
      </c>
      <c r="F228" s="1">
        <f>'[1]Electricity and CHPs'!B$102</f>
        <v>0</v>
      </c>
      <c r="G228" s="1">
        <f>'[1]Electricity and CHPs'!C$102</f>
        <v>0</v>
      </c>
      <c r="H228" s="1">
        <f>'[1]Electricity and CHPs'!D$102</f>
        <v>0</v>
      </c>
      <c r="I228" s="1">
        <f>'[1]Electricity and CHPs'!E$102</f>
        <v>1.4810563710989833E-4</v>
      </c>
      <c r="J228" s="1">
        <f>'[1]Electricity and CHPs'!F$102</f>
        <v>2.4911596730367005E-4</v>
      </c>
      <c r="K228" s="1">
        <f>'[1]Electricity and CHPs'!G$102</f>
        <v>2.7184178099977396E-4</v>
      </c>
      <c r="L228" s="1">
        <f>'[1]Electricity and CHPs'!H$102</f>
        <v>2.8867491714550624E-4</v>
      </c>
      <c r="M228" s="1">
        <f>'[1]Electricity and CHPs'!I$102</f>
        <v>4.4049589728140104E-4</v>
      </c>
      <c r="N228" s="1">
        <f>'[1]Electricity and CHPs'!J$102</f>
        <v>4.489933768985335E-4</v>
      </c>
      <c r="O228" s="1">
        <f>'[1]Electricity and CHPs'!K$102</f>
        <v>5.2769062867861496E-4</v>
      </c>
      <c r="P228" s="1">
        <f>'[1]Electricity and CHPs'!L$102</f>
        <v>5.461505683061089E-4</v>
      </c>
      <c r="Q228" s="1">
        <f>'[1]Electricity and CHPs'!M$102</f>
        <v>1.5346031078278311E-3</v>
      </c>
      <c r="S228" s="3"/>
    </row>
    <row r="229" spans="1:19" x14ac:dyDescent="0.5">
      <c r="A229" s="5" t="s">
        <v>5</v>
      </c>
      <c r="B229" s="5" t="s">
        <v>6</v>
      </c>
      <c r="C229" s="5" t="s">
        <v>7</v>
      </c>
      <c r="D229" t="s">
        <v>830</v>
      </c>
      <c r="E229" t="str">
        <f>E176</f>
        <v>PJ/yr.</v>
      </c>
      <c r="F229" s="1">
        <f>+F230</f>
        <v>0</v>
      </c>
      <c r="G229" s="1">
        <f t="shared" ref="G229:O229" si="224">+G230</f>
        <v>0</v>
      </c>
      <c r="H229" s="1">
        <f t="shared" si="224"/>
        <v>0</v>
      </c>
      <c r="I229" s="1">
        <f t="shared" si="224"/>
        <v>0</v>
      </c>
      <c r="J229" s="1">
        <f t="shared" si="224"/>
        <v>0</v>
      </c>
      <c r="K229" s="1">
        <f t="shared" si="224"/>
        <v>2.0687314757246388E-3</v>
      </c>
      <c r="L229" s="1">
        <f t="shared" si="224"/>
        <v>2.0750959735464035E-3</v>
      </c>
      <c r="M229" s="1">
        <f t="shared" si="224"/>
        <v>2.1032238759752394E-3</v>
      </c>
      <c r="N229" s="1">
        <f t="shared" si="224"/>
        <v>2.1141690930305407E-3</v>
      </c>
      <c r="O229" s="1">
        <f t="shared" si="224"/>
        <v>3.2426822510482271E-3</v>
      </c>
      <c r="P229" s="1">
        <f>+P230</f>
        <v>3.2708621848487182E-3</v>
      </c>
      <c r="Q229" s="1">
        <f>+Q230</f>
        <v>6.6343781262286766E-3</v>
      </c>
      <c r="S229" s="3"/>
    </row>
    <row r="230" spans="1:19" x14ac:dyDescent="0.5">
      <c r="A230" s="5" t="s">
        <v>5</v>
      </c>
      <c r="B230" s="5" t="s">
        <v>6</v>
      </c>
      <c r="C230" s="5" t="s">
        <v>7</v>
      </c>
      <c r="D230" t="s">
        <v>233</v>
      </c>
      <c r="E230" t="str">
        <f>E177</f>
        <v>PJ/yr.</v>
      </c>
      <c r="F230" s="1">
        <f>'[1]Electricity and CHPs'!B$90</f>
        <v>0</v>
      </c>
      <c r="G230" s="1">
        <f>'[1]Electricity and CHPs'!C$90</f>
        <v>0</v>
      </c>
      <c r="H230" s="1">
        <f>'[1]Electricity and CHPs'!D$90</f>
        <v>0</v>
      </c>
      <c r="I230" s="1">
        <f>'[1]Electricity and CHPs'!E$90</f>
        <v>0</v>
      </c>
      <c r="J230" s="1">
        <f>'[1]Electricity and CHPs'!F$90</f>
        <v>0</v>
      </c>
      <c r="K230" s="1">
        <f>'[1]Electricity and CHPs'!G$90</f>
        <v>2.0687314757246388E-3</v>
      </c>
      <c r="L230" s="1">
        <f>'[1]Electricity and CHPs'!H$90</f>
        <v>2.0750959735464035E-3</v>
      </c>
      <c r="M230" s="1">
        <f>'[1]Electricity and CHPs'!I$90</f>
        <v>2.1032238759752394E-3</v>
      </c>
      <c r="N230" s="1">
        <f>'[1]Electricity and CHPs'!J$90</f>
        <v>2.1141690930305407E-3</v>
      </c>
      <c r="O230" s="1">
        <f>'[1]Electricity and CHPs'!K$90</f>
        <v>3.2426822510482271E-3</v>
      </c>
      <c r="P230" s="1">
        <f>'[1]Electricity and CHPs'!L$90</f>
        <v>3.2708621848487182E-3</v>
      </c>
      <c r="Q230" s="1">
        <f>'[1]Electricity and CHPs'!M$90</f>
        <v>6.6343781262286766E-3</v>
      </c>
      <c r="S230" s="3"/>
    </row>
    <row r="231" spans="1:19" x14ac:dyDescent="0.5">
      <c r="A231" s="5" t="s">
        <v>5</v>
      </c>
      <c r="B231" s="5" t="s">
        <v>6</v>
      </c>
      <c r="C231" s="5" t="s">
        <v>7</v>
      </c>
      <c r="D231" t="s">
        <v>831</v>
      </c>
      <c r="E231" t="str">
        <f>E176</f>
        <v>PJ/yr.</v>
      </c>
      <c r="F231" s="1">
        <f>+F232</f>
        <v>0</v>
      </c>
      <c r="G231" s="1">
        <f t="shared" ref="G231:O231" si="225">+G232</f>
        <v>3.7064024603894103</v>
      </c>
      <c r="H231" s="1">
        <f t="shared" si="225"/>
        <v>3.8187709001440817</v>
      </c>
      <c r="I231" s="1">
        <f t="shared" si="225"/>
        <v>4.4781512685931713</v>
      </c>
      <c r="J231" s="1">
        <f t="shared" si="225"/>
        <v>5.622951622768916</v>
      </c>
      <c r="K231" s="1">
        <f t="shared" si="225"/>
        <v>5.9110102863390512</v>
      </c>
      <c r="L231" s="1">
        <f t="shared" si="225"/>
        <v>6.3803669609900506</v>
      </c>
      <c r="M231" s="1">
        <f t="shared" si="225"/>
        <v>9.7585973604533081</v>
      </c>
      <c r="N231" s="1">
        <f t="shared" si="225"/>
        <v>10.260862145667677</v>
      </c>
      <c r="O231" s="1">
        <f t="shared" si="225"/>
        <v>18.314982569196086</v>
      </c>
      <c r="P231" s="1">
        <f>+P232</f>
        <v>19.249763490646178</v>
      </c>
      <c r="Q231" s="1">
        <f>+Q232</f>
        <v>21.513701482236076</v>
      </c>
      <c r="S231" s="3"/>
    </row>
    <row r="232" spans="1:19" x14ac:dyDescent="0.5">
      <c r="A232" s="5" t="s">
        <v>5</v>
      </c>
      <c r="B232" s="5" t="s">
        <v>6</v>
      </c>
      <c r="C232" s="5" t="s">
        <v>7</v>
      </c>
      <c r="D232" t="s">
        <v>832</v>
      </c>
      <c r="E232" t="str">
        <f>E177</f>
        <v>PJ/yr.</v>
      </c>
      <c r="F232" s="1">
        <f>'[1]Electricity and CHPs'!B$123</f>
        <v>0</v>
      </c>
      <c r="G232" s="1">
        <f>'[1]Electricity and CHPs'!C$123</f>
        <v>3.7064024603894103</v>
      </c>
      <c r="H232" s="1">
        <f>'[1]Electricity and CHPs'!D$123</f>
        <v>3.8187709001440817</v>
      </c>
      <c r="I232" s="1">
        <f>'[1]Electricity and CHPs'!E$123</f>
        <v>4.4781512685931713</v>
      </c>
      <c r="J232" s="1">
        <f>'[1]Electricity and CHPs'!F$123</f>
        <v>5.622951622768916</v>
      </c>
      <c r="K232" s="1">
        <f>'[1]Electricity and CHPs'!G$123</f>
        <v>5.9110102863390512</v>
      </c>
      <c r="L232" s="1">
        <f>'[1]Electricity and CHPs'!H$123</f>
        <v>6.3803669609900506</v>
      </c>
      <c r="M232" s="1">
        <f>'[1]Electricity and CHPs'!I$123</f>
        <v>9.7585973604533081</v>
      </c>
      <c r="N232" s="1">
        <f>'[1]Electricity and CHPs'!J$123</f>
        <v>10.260862145667677</v>
      </c>
      <c r="O232" s="1">
        <f>'[1]Electricity and CHPs'!K$123</f>
        <v>18.314982569196086</v>
      </c>
      <c r="P232" s="1">
        <f>'[1]Electricity and CHPs'!L$123</f>
        <v>19.249763490646178</v>
      </c>
      <c r="Q232" s="1">
        <f>'[1]Electricity and CHPs'!M$123</f>
        <v>21.513701482236076</v>
      </c>
      <c r="S232" s="3"/>
    </row>
    <row r="233" spans="1:19" x14ac:dyDescent="0.5">
      <c r="A233" s="5" t="s">
        <v>5</v>
      </c>
      <c r="B233" s="5" t="s">
        <v>6</v>
      </c>
      <c r="C233" s="5" t="s">
        <v>7</v>
      </c>
      <c r="D233" t="s">
        <v>833</v>
      </c>
      <c r="E233" t="str">
        <f>E171</f>
        <v>PJ/yr.</v>
      </c>
      <c r="F233" s="1">
        <f>SUM(F234,F240,F273,F282,F288)</f>
        <v>6.5420481684375078</v>
      </c>
      <c r="G233" s="1">
        <f t="shared" ref="G233:K233" si="226">SUM(G234,G240,G273,G282,G288)</f>
        <v>8.3047831185133241</v>
      </c>
      <c r="H233" s="1">
        <f t="shared" si="226"/>
        <v>8.9345971898052223</v>
      </c>
      <c r="I233" s="1">
        <f t="shared" si="226"/>
        <v>9.3542574825260605</v>
      </c>
      <c r="J233" s="1">
        <f t="shared" si="226"/>
        <v>9.3579008907043235</v>
      </c>
      <c r="K233" s="1">
        <f t="shared" si="226"/>
        <v>9.579331308926891</v>
      </c>
      <c r="L233" s="1">
        <f t="shared" ref="L233:O233" si="227">SUM(L234,L240,L273,L282,L288)</f>
        <v>11.649087450760069</v>
      </c>
      <c r="M233" s="1">
        <f t="shared" si="227"/>
        <v>14.875459675451115</v>
      </c>
      <c r="N233" s="1">
        <f t="shared" si="227"/>
        <v>14.654199660361964</v>
      </c>
      <c r="O233" s="1">
        <f t="shared" si="227"/>
        <v>14.759719216631568</v>
      </c>
      <c r="P233" s="1">
        <f>SUM(P234,P240,P273,P282,P288)</f>
        <v>15.834411430675795</v>
      </c>
      <c r="Q233" s="1">
        <f>SUM(Q234,Q240,Q273,Q282,Q288)</f>
        <v>16.790256018821626</v>
      </c>
      <c r="S233" s="3"/>
    </row>
    <row r="234" spans="1:19" x14ac:dyDescent="0.5">
      <c r="A234" s="5" t="s">
        <v>5</v>
      </c>
      <c r="B234" s="5" t="s">
        <v>6</v>
      </c>
      <c r="C234" s="5" t="s">
        <v>7</v>
      </c>
      <c r="D234" t="s">
        <v>834</v>
      </c>
      <c r="E234" t="str">
        <f>E171</f>
        <v>PJ/yr.</v>
      </c>
      <c r="F234" s="1">
        <f>+F235</f>
        <v>0.93006795162730349</v>
      </c>
      <c r="G234" s="1">
        <f t="shared" ref="G234:O234" si="228">+G235</f>
        <v>2.0711828864240585</v>
      </c>
      <c r="H234" s="1">
        <f t="shared" si="228"/>
        <v>9.0889216989872013E-2</v>
      </c>
      <c r="I234" s="1">
        <f t="shared" si="228"/>
        <v>1.3075520758979899</v>
      </c>
      <c r="J234" s="1">
        <f t="shared" si="228"/>
        <v>0.84199512602426008</v>
      </c>
      <c r="K234" s="1">
        <f t="shared" si="228"/>
        <v>0</v>
      </c>
      <c r="L234" s="1">
        <f t="shared" si="228"/>
        <v>0</v>
      </c>
      <c r="M234" s="1">
        <f t="shared" si="228"/>
        <v>0</v>
      </c>
      <c r="N234" s="1">
        <f t="shared" si="228"/>
        <v>5.2674542162728846E-3</v>
      </c>
      <c r="O234" s="1">
        <f t="shared" si="228"/>
        <v>7.4867959959330254E-3</v>
      </c>
      <c r="P234" s="1">
        <f>+P235</f>
        <v>1.2083464307072177E-2</v>
      </c>
      <c r="Q234" s="1">
        <f>+Q235</f>
        <v>1.7681794138878614E-2</v>
      </c>
      <c r="S234" s="3"/>
    </row>
    <row r="235" spans="1:19" x14ac:dyDescent="0.5">
      <c r="A235" s="5" t="s">
        <v>5</v>
      </c>
      <c r="B235" s="5" t="s">
        <v>6</v>
      </c>
      <c r="C235" s="5" t="s">
        <v>7</v>
      </c>
      <c r="D235" t="s">
        <v>168</v>
      </c>
      <c r="E235" t="str">
        <f>E172</f>
        <v>PJ/yr.</v>
      </c>
      <c r="F235" s="1">
        <f>'[1]Electricity and CHPs'!B$104</f>
        <v>0.93006795162730349</v>
      </c>
      <c r="G235" s="1">
        <f>'[1]Electricity and CHPs'!C$104</f>
        <v>2.0711828864240585</v>
      </c>
      <c r="H235" s="1">
        <f>'[1]Electricity and CHPs'!D$104</f>
        <v>9.0889216989872013E-2</v>
      </c>
      <c r="I235" s="1">
        <f>'[1]Electricity and CHPs'!E$104</f>
        <v>1.3075520758979899</v>
      </c>
      <c r="J235" s="1">
        <f>'[1]Electricity and CHPs'!F$104</f>
        <v>0.84199512602426008</v>
      </c>
      <c r="K235" s="1">
        <f>'[1]Electricity and CHPs'!G$104</f>
        <v>0</v>
      </c>
      <c r="L235" s="1">
        <f>'[1]Electricity and CHPs'!H$104</f>
        <v>0</v>
      </c>
      <c r="M235" s="1">
        <f>'[1]Electricity and CHPs'!I$104</f>
        <v>0</v>
      </c>
      <c r="N235" s="1">
        <f>'[1]Electricity and CHPs'!J$104</f>
        <v>5.2674542162728846E-3</v>
      </c>
      <c r="O235" s="1">
        <f>'[1]Electricity and CHPs'!K$104</f>
        <v>7.4867959959330254E-3</v>
      </c>
      <c r="P235" s="1">
        <f>'[1]Electricity and CHPs'!L$104</f>
        <v>1.2083464307072177E-2</v>
      </c>
      <c r="Q235" s="1">
        <f>'[1]Electricity and CHPs'!M$104</f>
        <v>1.7681794138878614E-2</v>
      </c>
      <c r="S235" s="3"/>
    </row>
    <row r="236" spans="1:19" x14ac:dyDescent="0.5">
      <c r="A236" s="5"/>
      <c r="B236" s="5" t="s">
        <v>6</v>
      </c>
      <c r="C236" s="5" t="s">
        <v>7</v>
      </c>
      <c r="D236" t="s">
        <v>835</v>
      </c>
      <c r="E236" t="str">
        <f>E171</f>
        <v>PJ/yr.</v>
      </c>
      <c r="F236" s="1">
        <f>F237</f>
        <v>0.93006795162730349</v>
      </c>
      <c r="G236" s="1">
        <f t="shared" ref="G236:O236" si="229">G237</f>
        <v>2.0711828864240585</v>
      </c>
      <c r="H236" s="1">
        <f t="shared" si="229"/>
        <v>9.0889216989872013E-2</v>
      </c>
      <c r="I236" s="1">
        <f t="shared" si="229"/>
        <v>1.3075520758979899</v>
      </c>
      <c r="J236" s="1">
        <f t="shared" si="229"/>
        <v>0.84199512602426008</v>
      </c>
      <c r="K236" s="1">
        <f t="shared" si="229"/>
        <v>0</v>
      </c>
      <c r="L236" s="1">
        <f t="shared" si="229"/>
        <v>0</v>
      </c>
      <c r="M236" s="1">
        <f t="shared" si="229"/>
        <v>0</v>
      </c>
      <c r="N236" s="1">
        <f t="shared" si="229"/>
        <v>5.2674542162728846E-3</v>
      </c>
      <c r="O236" s="1">
        <f t="shared" si="229"/>
        <v>7.4867959959330254E-3</v>
      </c>
      <c r="P236" s="1">
        <f>P237</f>
        <v>1.2083464307072177E-2</v>
      </c>
      <c r="Q236" s="1">
        <f>Q237</f>
        <v>1.7681794138878614E-2</v>
      </c>
      <c r="S236" s="3"/>
    </row>
    <row r="237" spans="1:19" x14ac:dyDescent="0.5">
      <c r="A237" s="5" t="s">
        <v>5</v>
      </c>
      <c r="B237" s="5" t="s">
        <v>6</v>
      </c>
      <c r="C237" s="5" t="s">
        <v>7</v>
      </c>
      <c r="D237" t="s">
        <v>519</v>
      </c>
      <c r="E237" t="str">
        <f>E172</f>
        <v>PJ/yr.</v>
      </c>
      <c r="F237" s="1">
        <f>F235-F239</f>
        <v>0.93006795162730349</v>
      </c>
      <c r="G237" s="1">
        <f t="shared" ref="G237:K237" si="230">G235-G239</f>
        <v>2.0711828864240585</v>
      </c>
      <c r="H237" s="1">
        <f t="shared" si="230"/>
        <v>9.0889216989872013E-2</v>
      </c>
      <c r="I237" s="1">
        <f t="shared" si="230"/>
        <v>1.3075520758979899</v>
      </c>
      <c r="J237" s="1">
        <f t="shared" si="230"/>
        <v>0.84199512602426008</v>
      </c>
      <c r="K237" s="1">
        <f t="shared" si="230"/>
        <v>0</v>
      </c>
      <c r="L237" s="1">
        <f t="shared" ref="L237:O237" si="231">L235-L239</f>
        <v>0</v>
      </c>
      <c r="M237" s="1">
        <f t="shared" si="231"/>
        <v>0</v>
      </c>
      <c r="N237" s="1">
        <f t="shared" si="231"/>
        <v>5.2674542162728846E-3</v>
      </c>
      <c r="O237" s="1">
        <f t="shared" si="231"/>
        <v>7.4867959959330254E-3</v>
      </c>
      <c r="P237" s="1">
        <f>P235-P239</f>
        <v>1.2083464307072177E-2</v>
      </c>
      <c r="Q237" s="1">
        <f>Q235-Q239</f>
        <v>1.7681794138878614E-2</v>
      </c>
      <c r="S237" s="3"/>
    </row>
    <row r="238" spans="1:19" x14ac:dyDescent="0.5">
      <c r="A238" s="5"/>
      <c r="B238" s="5" t="s">
        <v>6</v>
      </c>
      <c r="C238" s="5" t="s">
        <v>7</v>
      </c>
      <c r="D238" t="s">
        <v>836</v>
      </c>
      <c r="E238" t="str">
        <f>E172</f>
        <v>PJ/yr.</v>
      </c>
      <c r="F238" s="1">
        <f>F239</f>
        <v>0</v>
      </c>
      <c r="G238" s="1">
        <f t="shared" ref="G238:O238" si="232">G239</f>
        <v>0</v>
      </c>
      <c r="H238" s="1">
        <f t="shared" si="232"/>
        <v>0</v>
      </c>
      <c r="I238" s="1">
        <f t="shared" si="232"/>
        <v>0</v>
      </c>
      <c r="J238" s="1">
        <f t="shared" si="232"/>
        <v>0</v>
      </c>
      <c r="K238" s="1">
        <f t="shared" si="232"/>
        <v>0</v>
      </c>
      <c r="L238" s="1">
        <f t="shared" si="232"/>
        <v>0</v>
      </c>
      <c r="M238" s="1">
        <f t="shared" si="232"/>
        <v>0</v>
      </c>
      <c r="N238" s="1">
        <f t="shared" si="232"/>
        <v>0</v>
      </c>
      <c r="O238" s="1">
        <f t="shared" si="232"/>
        <v>0</v>
      </c>
      <c r="P238" s="1">
        <f>P239</f>
        <v>0</v>
      </c>
      <c r="Q238" s="1">
        <f>Q239</f>
        <v>0</v>
      </c>
      <c r="S238" s="3"/>
    </row>
    <row r="239" spans="1:19" x14ac:dyDescent="0.5">
      <c r="A239" s="5" t="s">
        <v>5</v>
      </c>
      <c r="B239" s="5" t="s">
        <v>6</v>
      </c>
      <c r="C239" s="5" t="s">
        <v>7</v>
      </c>
      <c r="D239" t="s">
        <v>543</v>
      </c>
      <c r="E239" t="str">
        <f>E173</f>
        <v>PJ/yr.</v>
      </c>
      <c r="F239" s="1">
        <f t="shared" ref="F239:K239" si="233">F235*IFERROR(F81/F77,0)</f>
        <v>0</v>
      </c>
      <c r="G239" s="1">
        <f t="shared" si="233"/>
        <v>0</v>
      </c>
      <c r="H239" s="1">
        <f t="shared" si="233"/>
        <v>0</v>
      </c>
      <c r="I239" s="1">
        <f t="shared" si="233"/>
        <v>0</v>
      </c>
      <c r="J239" s="1">
        <f t="shared" si="233"/>
        <v>0</v>
      </c>
      <c r="K239" s="1">
        <f t="shared" si="233"/>
        <v>0</v>
      </c>
      <c r="L239" s="1">
        <f t="shared" ref="L239:O239" si="234">L235*IFERROR(L81/L77,0)</f>
        <v>0</v>
      </c>
      <c r="M239" s="1">
        <f t="shared" si="234"/>
        <v>0</v>
      </c>
      <c r="N239" s="1">
        <f t="shared" si="234"/>
        <v>0</v>
      </c>
      <c r="O239" s="1">
        <f t="shared" si="234"/>
        <v>0</v>
      </c>
      <c r="P239" s="1">
        <f>P235*IFERROR(P81/P77,0)</f>
        <v>0</v>
      </c>
      <c r="Q239" s="1">
        <f>Q235*IFERROR(Q81/Q77,0)</f>
        <v>0</v>
      </c>
      <c r="S239" s="3"/>
    </row>
    <row r="240" spans="1:19" x14ac:dyDescent="0.5">
      <c r="A240" s="5" t="s">
        <v>5</v>
      </c>
      <c r="B240" s="5" t="s">
        <v>6</v>
      </c>
      <c r="C240" s="5" t="s">
        <v>7</v>
      </c>
      <c r="D240" t="s">
        <v>837</v>
      </c>
      <c r="E240" t="str">
        <f>E173</f>
        <v>PJ/yr.</v>
      </c>
      <c r="F240" s="1">
        <f>SUM(F241:F250)</f>
        <v>3.0165725663499861</v>
      </c>
      <c r="G240" s="1">
        <f t="shared" ref="G240:K240" si="235">SUM(G241:G250)</f>
        <v>2.5484484349405898</v>
      </c>
      <c r="H240" s="1">
        <f t="shared" si="235"/>
        <v>2.9196682142934147</v>
      </c>
      <c r="I240" s="1">
        <f t="shared" si="235"/>
        <v>2.66888946119309</v>
      </c>
      <c r="J240" s="1">
        <f t="shared" si="235"/>
        <v>2.9899441465416436</v>
      </c>
      <c r="K240" s="1">
        <f t="shared" si="235"/>
        <v>2.0510648624623702</v>
      </c>
      <c r="L240" s="1">
        <f t="shared" ref="L240:O240" si="236">SUM(L241:L250)</f>
        <v>1.1572405846281704</v>
      </c>
      <c r="M240" s="1">
        <f t="shared" si="236"/>
        <v>1.636661153688129</v>
      </c>
      <c r="N240" s="1">
        <f t="shared" si="236"/>
        <v>1.863540481364288</v>
      </c>
      <c r="O240" s="1">
        <f t="shared" si="236"/>
        <v>2.0021624960964477</v>
      </c>
      <c r="P240" s="1">
        <f>SUM(P241:P250)</f>
        <v>2.3203913979999347</v>
      </c>
      <c r="Q240" s="1">
        <f>SUM(Q241:Q250)</f>
        <v>2.9934833863000421</v>
      </c>
      <c r="S240" s="3"/>
    </row>
    <row r="241" spans="1:19" x14ac:dyDescent="0.5">
      <c r="A241" s="5" t="s">
        <v>5</v>
      </c>
      <c r="B241" s="5" t="s">
        <v>6</v>
      </c>
      <c r="C241" s="5" t="s">
        <v>7</v>
      </c>
      <c r="D241" t="s">
        <v>169</v>
      </c>
      <c r="E241" t="str">
        <f>E174</f>
        <v>PJ/yr.</v>
      </c>
      <c r="F241" s="1">
        <f>'[1]Electricity and CHPs_IN'!B$39*0.75-F88-F242</f>
        <v>0.78781211917116545</v>
      </c>
      <c r="G241" s="1">
        <f>'[1]Electricity and CHPs_IN'!C$39*0.75-G88-G242</f>
        <v>9.9620793624358675E-2</v>
      </c>
      <c r="H241" s="1">
        <f>'[1]Electricity and CHPs_IN'!D$39*0.75-H88-H242</f>
        <v>6.8170475242305031E-2</v>
      </c>
      <c r="I241" s="1">
        <f>'[1]Electricity and CHPs_IN'!E$39*0.75-I88-I242</f>
        <v>8.6626732033809509E-2</v>
      </c>
      <c r="J241" s="1">
        <f>'[1]Electricity and CHPs'!F$103-J242</f>
        <v>0.61600589471837353</v>
      </c>
      <c r="K241" s="1">
        <f>'[1]Electricity and CHPs'!G$103-K242</f>
        <v>0.39550823522249395</v>
      </c>
      <c r="L241" s="1">
        <f>'[1]Electricity and CHPs'!H$103-L242</f>
        <v>0.12401733949957189</v>
      </c>
      <c r="M241" s="1">
        <f>'[1]Electricity and CHPs'!I$103-M242</f>
        <v>0.37660356255082217</v>
      </c>
      <c r="N241" s="1">
        <f>'[1]Electricity and CHPs'!J$103-N242</f>
        <v>0.4640534121293397</v>
      </c>
      <c r="O241" s="1">
        <f>'[1]Electricity and CHPs'!K$103-O242</f>
        <v>0.44342009087444384</v>
      </c>
      <c r="P241" s="1">
        <f>'[1]Electricity and CHPs'!L$103-P242</f>
        <v>0.46626922611506011</v>
      </c>
      <c r="Q241" s="1">
        <f>'[1]Electricity and CHPs'!M$103-Q242</f>
        <v>0.46637316646977772</v>
      </c>
      <c r="S241" s="3"/>
    </row>
    <row r="242" spans="1:19" x14ac:dyDescent="0.5">
      <c r="A242" s="5" t="s">
        <v>5</v>
      </c>
      <c r="B242" s="5" t="s">
        <v>6</v>
      </c>
      <c r="C242" s="5" t="s">
        <v>7</v>
      </c>
      <c r="D242" t="s">
        <v>170</v>
      </c>
      <c r="E242" t="str">
        <f>E175</f>
        <v>PJ/yr.</v>
      </c>
      <c r="F242" s="1" cm="1">
        <f t="array" ref="F242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2" s="1" cm="1">
        <f t="array" ref="G242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2" s="1" cm="1">
        <f t="array" ref="H242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2" s="1" cm="1">
        <f t="array" ref="I242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2" s="1" cm="1">
        <f t="array" ref="J242">SUMPRODUCT((ISNUMBER(SEARCH("ITOT-CHPNGACCS",[1]OUT_Electricity_CHP!$B$1:$B$10000)))*1,([1]OUT_Electricity_CHP!$C$1:$C$10000="Var_Fout")*1,([1]OUT_Electricity_CHP!$D$1:$D$10000="ITOT_LTH_CHP")*1,[1]OUT_Electricity_CHP!I$1:I$10000)</f>
        <v>0</v>
      </c>
      <c r="K242" s="1" cm="1">
        <f t="array" ref="K242">SUMPRODUCT((ISNUMBER(SEARCH("ITOT-CHPNGACCS",[1]OUT_Electricity_CHP!$B$1:$B$10000)))*1,([1]OUT_Electricity_CHP!$C$1:$C$10000="Var_Fout")*1,([1]OUT_Electricity_CHP!$D$1:$D$10000="ITOT_LTH_CHP")*1,[1]OUT_Electricity_CHP!J$1:J$10000)</f>
        <v>4.4066449494733224E-3</v>
      </c>
      <c r="L242" s="1" cm="1">
        <f t="array" ref="L242">SUMPRODUCT((ISNUMBER(SEARCH("ITOT-CHPNGACCS",[1]OUT_Electricity_CHP!$B$1:$B$10000)))*1,([1]OUT_Electricity_CHP!$C$1:$C$10000="Var_Fout")*1,([1]OUT_Electricity_CHP!$D$1:$D$10000="ITOT_LTH_CHP")*1,[1]OUT_Electricity_CHP!K$1:K$10000)</f>
        <v>4.6586565032103108E-3</v>
      </c>
      <c r="M242" s="1" cm="1">
        <f t="array" ref="M242">SUMPRODUCT((ISNUMBER(SEARCH("ITOT-CHPNGACCS",[1]OUT_Electricity_CHP!$B$1:$B$10000)))*1,([1]OUT_Electricity_CHP!$C$1:$C$10000="Var_Fout")*1,([1]OUT_Electricity_CHP!$D$1:$D$10000="ITOT_LTH_CHP")*1,[1]OUT_Electricity_CHP!L$1:L$10000)</f>
        <v>0.21781866437086883</v>
      </c>
      <c r="N242" s="1" cm="1">
        <f t="array" ref="N242">SUMPRODUCT((ISNUMBER(SEARCH("ITOT-CHPNGACCS",[1]OUT_Electricity_CHP!$B$1:$B$10000)))*1,([1]OUT_Electricity_CHP!$C$1:$C$10000="Var_Fout")*1,([1]OUT_Electricity_CHP!$D$1:$D$10000="ITOT_LTH_CHP")*1,[1]OUT_Electricity_CHP!M$1:M$10000)</f>
        <v>0.26832157145061608</v>
      </c>
      <c r="O242" s="1" cm="1">
        <f t="array" ref="O242">SUMPRODUCT((ISNUMBER(SEARCH("ITOT-CHPNGACCS",[1]OUT_Electricity_CHP!$B$1:$B$10000)))*1,([1]OUT_Electricity_CHP!$C$1:$C$10000="Var_Fout")*1,([1]OUT_Electricity_CHP!$D$1:$D$10000="ITOT_LTH_CHP")*1,[1]OUT_Electricity_CHP!N$1:N$10000)</f>
        <v>0.25645589509422134</v>
      </c>
      <c r="P242" s="1" cm="1">
        <f t="array" ref="P242">SUMPRODUCT((ISNUMBER(SEARCH("ITOT-CHPNGACCS",[1]OUT_Electricity_CHP!$B$1:$B$10000)))*1,([1]OUT_Electricity_CHP!$C$1:$C$10000="Var_Fout")*1,([1]OUT_Electricity_CHP!$D$1:$D$10000="ITOT_LTH_CHP")*1,[1]OUT_Electricity_CHP!O$1:O$10000)</f>
        <v>0.26965996555023836</v>
      </c>
      <c r="Q242" s="1" cm="1">
        <f t="array" ref="Q242">SUMPRODUCT((ISNUMBER(SEARCH("ITOT-CHPNGACCS",[1]OUT_Electricity_CHP!$B$1:$B$10000)))*1,([1]OUT_Electricity_CHP!$C$1:$C$10000="Var_Fout")*1,([1]OUT_Electricity_CHP!$D$1:$D$10000="ITOT_LTH_CHP")*1,[1]OUT_Electricity_CHP!P$1:P$10000)</f>
        <v>0.26972352593501142</v>
      </c>
      <c r="S242" s="3"/>
    </row>
    <row r="243" spans="1:19" x14ac:dyDescent="0.5">
      <c r="A243" s="5" t="s">
        <v>5</v>
      </c>
      <c r="B243" s="5" t="s">
        <v>6</v>
      </c>
      <c r="C243" s="5" t="s">
        <v>7</v>
      </c>
      <c r="D243" t="s">
        <v>171</v>
      </c>
      <c r="E243" t="str">
        <f>E176</f>
        <v>PJ/yr.</v>
      </c>
      <c r="F243" s="1">
        <f>'[1]Electricity and CHPs'!B$107</f>
        <v>0</v>
      </c>
      <c r="G243" s="1">
        <f>'[1]Electricity and CHPs'!C$107</f>
        <v>0</v>
      </c>
      <c r="H243" s="1">
        <f>'[1]Electricity and CHPs'!D$107</f>
        <v>0</v>
      </c>
      <c r="I243" s="1">
        <f>'[1]Electricity and CHPs'!E$107</f>
        <v>0</v>
      </c>
      <c r="J243" s="1">
        <f>'[1]Electricity and CHPs'!F$107</f>
        <v>2.057197406273218E-3</v>
      </c>
      <c r="K243" s="1">
        <f>'[1]Electricity and CHPs'!G$107</f>
        <v>3.6698093893360625E-3</v>
      </c>
      <c r="L243" s="1">
        <f>'[1]Electricity and CHPs'!H$107</f>
        <v>2.5287594055869275E-3</v>
      </c>
      <c r="M243" s="1">
        <f>'[1]Electricity and CHPs'!I$107</f>
        <v>2.7099545594447554E-3</v>
      </c>
      <c r="N243" s="1">
        <f>'[1]Electricity and CHPs'!J$107</f>
        <v>3.0248677604215305E-3</v>
      </c>
      <c r="O243" s="1">
        <f>'[1]Electricity and CHPs'!K$107</f>
        <v>1.9205411282560295E-3</v>
      </c>
      <c r="P243" s="1">
        <f>'[1]Electricity and CHPs'!L$107</f>
        <v>1.7419246085512141E-3</v>
      </c>
      <c r="Q243" s="1">
        <f>'[1]Electricity and CHPs'!M$107</f>
        <v>1.697081606121448E-3</v>
      </c>
      <c r="S243" s="3"/>
    </row>
    <row r="244" spans="1:19" x14ac:dyDescent="0.5">
      <c r="A244" s="5" t="s">
        <v>5</v>
      </c>
      <c r="B244" s="5" t="s">
        <v>6</v>
      </c>
      <c r="C244" s="5" t="s">
        <v>7</v>
      </c>
      <c r="D244" t="s">
        <v>172</v>
      </c>
      <c r="E244" t="str">
        <f>E199</f>
        <v>PJ/yr.</v>
      </c>
      <c r="F244" s="1">
        <f>'[1]Electricity and CHPs'!B$109</f>
        <v>4.5454758170181492E-2</v>
      </c>
      <c r="G244" s="1">
        <f>'[1]Electricity and CHPs'!C$109</f>
        <v>3.9725833423152952E-2</v>
      </c>
      <c r="H244" s="1">
        <f>'[1]Electricity and CHPs'!D$109</f>
        <v>4.1964939508385694E-2</v>
      </c>
      <c r="I244" s="1">
        <f>'[1]Electricity and CHPs'!E$109</f>
        <v>2.7546481099395212E-2</v>
      </c>
      <c r="J244" s="1">
        <f>'[1]Electricity and CHPs'!F$109</f>
        <v>2.2164259805271501E-2</v>
      </c>
      <c r="K244" s="1">
        <f>'[1]Electricity and CHPs'!G$109</f>
        <v>1.1189528031510082E-2</v>
      </c>
      <c r="L244" s="1">
        <f>'[1]Electricity and CHPs'!H$109</f>
        <v>0</v>
      </c>
      <c r="M244" s="1">
        <f>'[1]Electricity and CHPs'!I$109</f>
        <v>0</v>
      </c>
      <c r="N244" s="1">
        <f>'[1]Electricity and CHPs'!J$109</f>
        <v>2.3891510115254366E-2</v>
      </c>
      <c r="O244" s="1">
        <f>'[1]Electricity and CHPs'!K$109</f>
        <v>3.6127615956013139E-2</v>
      </c>
      <c r="P244" s="1">
        <f>'[1]Electricity and CHPs'!L$109</f>
        <v>7.871303089969546E-2</v>
      </c>
      <c r="Q244" s="1">
        <f>'[1]Electricity and CHPs'!M$109</f>
        <v>0.10143743889645271</v>
      </c>
      <c r="S244" s="3"/>
    </row>
    <row r="245" spans="1:19" x14ac:dyDescent="0.5">
      <c r="A245" s="5" t="s">
        <v>5</v>
      </c>
      <c r="B245" s="5" t="s">
        <v>6</v>
      </c>
      <c r="C245" s="5" t="s">
        <v>7</v>
      </c>
      <c r="D245" t="s">
        <v>173</v>
      </c>
      <c r="E245" t="str">
        <f>E201</f>
        <v>PJ/yr.</v>
      </c>
      <c r="F245" s="1">
        <f>'[1]Electricity and CHPs'!B$111</f>
        <v>0</v>
      </c>
      <c r="G245" s="1">
        <f>'[1]Electricity and CHPs'!C$111</f>
        <v>0</v>
      </c>
      <c r="H245" s="1">
        <f>'[1]Electricity and CHPs'!D$111</f>
        <v>0</v>
      </c>
      <c r="I245" s="1">
        <f>'[1]Electricity and CHPs'!E$111</f>
        <v>0</v>
      </c>
      <c r="J245" s="1">
        <f>'[1]Electricity and CHPs'!F$111</f>
        <v>0</v>
      </c>
      <c r="K245" s="1">
        <f>'[1]Electricity and CHPs'!G$111</f>
        <v>0</v>
      </c>
      <c r="L245" s="1">
        <f>'[1]Electricity and CHPs'!H$111</f>
        <v>0</v>
      </c>
      <c r="M245" s="1">
        <f>'[1]Electricity and CHPs'!I$111</f>
        <v>0</v>
      </c>
      <c r="N245" s="1">
        <f>'[1]Electricity and CHPs'!J$111</f>
        <v>0</v>
      </c>
      <c r="O245" s="1">
        <f>'[1]Electricity and CHPs'!K$111</f>
        <v>0</v>
      </c>
      <c r="P245" s="1">
        <f>'[1]Electricity and CHPs'!L$111</f>
        <v>0</v>
      </c>
      <c r="Q245" s="1">
        <f>'[1]Electricity and CHPs'!M$111</f>
        <v>0</v>
      </c>
      <c r="S245" s="3"/>
    </row>
    <row r="246" spans="1:19" x14ac:dyDescent="0.5">
      <c r="A246" s="5" t="s">
        <v>5</v>
      </c>
      <c r="B246" s="5" t="s">
        <v>6</v>
      </c>
      <c r="C246" s="5" t="s">
        <v>7</v>
      </c>
      <c r="D246" t="s">
        <v>174</v>
      </c>
      <c r="E246" t="str">
        <f>E202</f>
        <v>PJ/yr.</v>
      </c>
      <c r="F246" s="1">
        <f>'[1]Electricity and CHPs'!B$112</f>
        <v>6.6273402628920022E-2</v>
      </c>
      <c r="G246" s="1">
        <f>'[1]Electricity and CHPs'!C$112</f>
        <v>7.9002522064883215E-2</v>
      </c>
      <c r="H246" s="1">
        <f>'[1]Electricity and CHPs'!D$112</f>
        <v>0.31608245928652456</v>
      </c>
      <c r="I246" s="1">
        <f>'[1]Electricity and CHPs'!E$112</f>
        <v>0.30400550417046274</v>
      </c>
      <c r="J246" s="1">
        <f>'[1]Electricity and CHPs'!F$112</f>
        <v>0.29901521005092241</v>
      </c>
      <c r="K246" s="1">
        <f>'[1]Electricity and CHPs'!G$112</f>
        <v>0.13515980720989051</v>
      </c>
      <c r="L246" s="1">
        <f>'[1]Electricity and CHPs'!H$112</f>
        <v>0</v>
      </c>
      <c r="M246" s="1">
        <f>'[1]Electricity and CHPs'!I$112</f>
        <v>0</v>
      </c>
      <c r="N246" s="1">
        <f>'[1]Electricity and CHPs'!J$112</f>
        <v>5.047366885781087E-2</v>
      </c>
      <c r="O246" s="1">
        <f>'[1]Electricity and CHPs'!K$112</f>
        <v>0.20817096959793246</v>
      </c>
      <c r="P246" s="1">
        <f>'[1]Electricity and CHPs'!L$112</f>
        <v>0.27976239918332796</v>
      </c>
      <c r="Q246" s="1">
        <f>'[1]Electricity and CHPs'!M$112</f>
        <v>0.49491025350419571</v>
      </c>
      <c r="S246" s="3"/>
    </row>
    <row r="247" spans="1:19" x14ac:dyDescent="0.5">
      <c r="A247" s="5" t="s">
        <v>5</v>
      </c>
      <c r="B247" s="5" t="s">
        <v>6</v>
      </c>
      <c r="C247" s="5" t="s">
        <v>7</v>
      </c>
      <c r="D247" t="s">
        <v>175</v>
      </c>
      <c r="E247" t="str">
        <f>E204</f>
        <v>PJ/yr.</v>
      </c>
      <c r="F247" s="1">
        <f>'[1]Electricity and CHPs'!B$114</f>
        <v>0</v>
      </c>
      <c r="G247" s="1">
        <f>'[1]Electricity and CHPs'!C$114</f>
        <v>0</v>
      </c>
      <c r="H247" s="1">
        <f>'[1]Electricity and CHPs'!D$114</f>
        <v>0</v>
      </c>
      <c r="I247" s="1">
        <f>'[1]Electricity and CHPs'!E$114</f>
        <v>0</v>
      </c>
      <c r="J247" s="1">
        <f>'[1]Electricity and CHPs'!F$114</f>
        <v>0</v>
      </c>
      <c r="K247" s="1">
        <f>'[1]Electricity and CHPs'!G$114</f>
        <v>0</v>
      </c>
      <c r="L247" s="1">
        <f>'[1]Electricity and CHPs'!H$114</f>
        <v>0</v>
      </c>
      <c r="M247" s="1">
        <f>'[1]Electricity and CHPs'!I$114</f>
        <v>0</v>
      </c>
      <c r="N247" s="1">
        <f>'[1]Electricity and CHPs'!J$114</f>
        <v>0</v>
      </c>
      <c r="O247" s="1">
        <f>'[1]Electricity and CHPs'!K$114</f>
        <v>0</v>
      </c>
      <c r="P247" s="1">
        <f>'[1]Electricity and CHPs'!L$114</f>
        <v>0</v>
      </c>
      <c r="Q247" s="1">
        <f>'[1]Electricity and CHPs'!M$114</f>
        <v>0</v>
      </c>
      <c r="S247" s="3"/>
    </row>
    <row r="248" spans="1:19" x14ac:dyDescent="0.5">
      <c r="A248" s="5" t="s">
        <v>5</v>
      </c>
      <c r="B248" s="5" t="s">
        <v>6</v>
      </c>
      <c r="C248" s="5" t="s">
        <v>7</v>
      </c>
      <c r="D248" t="s">
        <v>176</v>
      </c>
      <c r="E248" t="str">
        <f>E228</f>
        <v>PJ/yr.</v>
      </c>
      <c r="F248" s="1">
        <f>'[1]Electricity and CHPs'!B$115</f>
        <v>1.4243919803161298</v>
      </c>
      <c r="G248" s="1">
        <f>'[1]Electricity and CHPs'!C$115</f>
        <v>1.5797946271892793</v>
      </c>
      <c r="H248" s="1">
        <f>'[1]Electricity and CHPs'!D$115</f>
        <v>1.4937013010389746</v>
      </c>
      <c r="I248" s="1">
        <f>'[1]Electricity and CHPs'!E$115</f>
        <v>1.3345841796014093</v>
      </c>
      <c r="J248" s="1">
        <f>'[1]Electricity and CHPs'!F$115</f>
        <v>1.174340495054228</v>
      </c>
      <c r="K248" s="1">
        <f>'[1]Electricity and CHPs'!G$115</f>
        <v>1.0140628378988885</v>
      </c>
      <c r="L248" s="1">
        <f>'[1]Electricity and CHPs'!H$115</f>
        <v>1.0260358292198013</v>
      </c>
      <c r="M248" s="1">
        <f>'[1]Electricity and CHPs'!I$115</f>
        <v>1.0395289722069931</v>
      </c>
      <c r="N248" s="1">
        <f>'[1]Electricity and CHPs'!J$115</f>
        <v>1.0395314559728952</v>
      </c>
      <c r="O248" s="1">
        <f>'[1]Electricity and CHPs'!K$115</f>
        <v>1.0395484554670329</v>
      </c>
      <c r="P248" s="1">
        <f>'[1]Electricity and CHPs'!L$115</f>
        <v>1.1977435223086976</v>
      </c>
      <c r="Q248" s="1">
        <f>'[1]Electricity and CHPs'!M$115</f>
        <v>1.6142831692462103</v>
      </c>
      <c r="S248" s="3"/>
    </row>
    <row r="249" spans="1:19" x14ac:dyDescent="0.5">
      <c r="A249" s="5" t="s">
        <v>5</v>
      </c>
      <c r="B249" s="5" t="s">
        <v>6</v>
      </c>
      <c r="C249" s="5" t="s">
        <v>7</v>
      </c>
      <c r="D249" t="s">
        <v>177</v>
      </c>
      <c r="E249" t="str">
        <f>E230</f>
        <v>PJ/yr.</v>
      </c>
      <c r="F249" s="1">
        <f>'[1]Electricity and CHPs'!B$116</f>
        <v>0.69264030606358906</v>
      </c>
      <c r="G249" s="1">
        <f>'[1]Electricity and CHPs'!C$116</f>
        <v>0.75030465863891549</v>
      </c>
      <c r="H249" s="1">
        <f>'[1]Electricity and CHPs'!D$116</f>
        <v>0.9997490392172248</v>
      </c>
      <c r="I249" s="1">
        <f>'[1]Electricity and CHPs'!E$116</f>
        <v>0.91612656428801331</v>
      </c>
      <c r="J249" s="1">
        <f>'[1]Electricity and CHPs'!F$116</f>
        <v>0.87636108950657521</v>
      </c>
      <c r="K249" s="1">
        <f>'[1]Electricity and CHPs'!G$116</f>
        <v>0.48706799976077753</v>
      </c>
      <c r="L249" s="1">
        <f>'[1]Electricity and CHPs'!H$116</f>
        <v>0</v>
      </c>
      <c r="M249" s="1">
        <f>'[1]Electricity and CHPs'!I$116</f>
        <v>0</v>
      </c>
      <c r="N249" s="1">
        <f>'[1]Electricity and CHPs'!J$116</f>
        <v>1.2876454970304117E-2</v>
      </c>
      <c r="O249" s="1">
        <f>'[1]Electricity and CHPs'!K$116</f>
        <v>1.4783247210071421E-2</v>
      </c>
      <c r="P249" s="1">
        <f>'[1]Electricity and CHPs'!L$116</f>
        <v>2.351771502823638E-2</v>
      </c>
      <c r="Q249" s="1">
        <f>'[1]Electricity and CHPs'!M$116</f>
        <v>3.8634208249206263E-2</v>
      </c>
      <c r="S249" s="3"/>
    </row>
    <row r="250" spans="1:19" x14ac:dyDescent="0.5">
      <c r="A250" s="5" t="s">
        <v>5</v>
      </c>
      <c r="B250" s="5" t="s">
        <v>6</v>
      </c>
      <c r="C250" s="5" t="s">
        <v>7</v>
      </c>
      <c r="D250" t="s">
        <v>178</v>
      </c>
      <c r="E250" t="str">
        <f>E232</f>
        <v>PJ/yr.</v>
      </c>
      <c r="F250" s="1">
        <f>'[1]Electricity and CHPs'!B$118</f>
        <v>0</v>
      </c>
      <c r="G250" s="1">
        <f>'[1]Electricity and CHPs'!C$118</f>
        <v>0</v>
      </c>
      <c r="H250" s="1">
        <f>'[1]Electricity and CHPs'!D$118</f>
        <v>0</v>
      </c>
      <c r="I250" s="1">
        <f>'[1]Electricity and CHPs'!E$118</f>
        <v>0</v>
      </c>
      <c r="J250" s="1">
        <f>'[1]Electricity and CHPs'!F$118</f>
        <v>0</v>
      </c>
      <c r="K250" s="1">
        <f>'[1]Electricity and CHPs'!G$118</f>
        <v>0</v>
      </c>
      <c r="L250" s="1">
        <f>'[1]Electricity and CHPs'!H$118</f>
        <v>0</v>
      </c>
      <c r="M250" s="1">
        <f>'[1]Electricity and CHPs'!I$118</f>
        <v>0</v>
      </c>
      <c r="N250" s="1">
        <f>'[1]Electricity and CHPs'!J$118</f>
        <v>1.3675401076461539E-3</v>
      </c>
      <c r="O250" s="1">
        <f>'[1]Electricity and CHPs'!K$118</f>
        <v>1.7356807684767877E-3</v>
      </c>
      <c r="P250" s="1">
        <f>'[1]Electricity and CHPs'!L$118</f>
        <v>2.9836143061278361E-3</v>
      </c>
      <c r="Q250" s="1">
        <f>'[1]Electricity and CHPs'!M$118</f>
        <v>6.4245423930666002E-3</v>
      </c>
      <c r="S250" s="3"/>
    </row>
    <row r="251" spans="1:19" x14ac:dyDescent="0.5">
      <c r="A251" s="5" t="s">
        <v>5</v>
      </c>
      <c r="B251" s="5" t="s">
        <v>6</v>
      </c>
      <c r="C251" s="5" t="s">
        <v>7</v>
      </c>
      <c r="D251" t="s">
        <v>838</v>
      </c>
      <c r="E251" t="str">
        <f>E174</f>
        <v>PJ/yr.</v>
      </c>
      <c r="F251" s="1">
        <f>SUM(F252:F261)</f>
        <v>1.5509313171486263</v>
      </c>
      <c r="G251" s="1">
        <f t="shared" ref="G251:K251" si="237">SUM(G252:G261)</f>
        <v>0.93047777913489194</v>
      </c>
      <c r="H251" s="1">
        <f t="shared" si="237"/>
        <v>1.3825271219220578</v>
      </c>
      <c r="I251" s="1">
        <f t="shared" si="237"/>
        <v>1.3232608458023698</v>
      </c>
      <c r="J251" s="1">
        <f t="shared" si="237"/>
        <v>1.7095560160697454</v>
      </c>
      <c r="K251" s="1">
        <f t="shared" si="237"/>
        <v>0.887826740092726</v>
      </c>
      <c r="L251" s="1">
        <f t="shared" ref="L251:O251" si="238">SUM(L252:L261)</f>
        <v>5.9900842271656006E-2</v>
      </c>
      <c r="M251" s="1">
        <f t="shared" si="238"/>
        <v>5.5510614590336363E-2</v>
      </c>
      <c r="N251" s="1">
        <f t="shared" si="238"/>
        <v>2.5810624304257838E-2</v>
      </c>
      <c r="O251" s="1">
        <f t="shared" si="238"/>
        <v>4.2633018251646414E-2</v>
      </c>
      <c r="P251" s="1">
        <f>SUM(P252:P261)</f>
        <v>7.3056796685936773E-2</v>
      </c>
      <c r="Q251" s="1">
        <f>SUM(Q252:Q261)</f>
        <v>0.13305916761000267</v>
      </c>
      <c r="S251" s="3"/>
    </row>
    <row r="252" spans="1:19" x14ac:dyDescent="0.5">
      <c r="A252" s="5" t="s">
        <v>5</v>
      </c>
      <c r="B252" s="5" t="s">
        <v>6</v>
      </c>
      <c r="C252" s="5" t="s">
        <v>7</v>
      </c>
      <c r="D252" t="s">
        <v>569</v>
      </c>
      <c r="E252" t="str">
        <f>E174</f>
        <v>PJ/yr.</v>
      </c>
      <c r="F252" s="1">
        <f t="shared" ref="F252:K254" si="239">F241-F263</f>
        <v>0.76740195073940254</v>
      </c>
      <c r="G252" s="1">
        <f t="shared" si="239"/>
        <v>9.5694596010969191E-2</v>
      </c>
      <c r="H252" s="1">
        <f t="shared" si="239"/>
        <v>6.6093771223418252E-2</v>
      </c>
      <c r="I252" s="1">
        <f t="shared" si="239"/>
        <v>8.5909697189696488E-2</v>
      </c>
      <c r="J252" s="1">
        <f t="shared" si="239"/>
        <v>0.58002559225273775</v>
      </c>
      <c r="K252" s="1">
        <f t="shared" si="239"/>
        <v>0.33861340560566883</v>
      </c>
      <c r="L252" s="1">
        <f t="shared" ref="L252:O252" si="240">L241-L263</f>
        <v>5.6619465271610228E-2</v>
      </c>
      <c r="M252" s="1">
        <f t="shared" si="240"/>
        <v>3.5009828413956889E-2</v>
      </c>
      <c r="N252" s="1">
        <f t="shared" si="240"/>
        <v>1.4535651805379413E-2</v>
      </c>
      <c r="O252" s="1">
        <f t="shared" si="240"/>
        <v>1.9638542582483098E-2</v>
      </c>
      <c r="P252" s="1">
        <f t="shared" ref="P252:Q261" si="241">P241-P263</f>
        <v>3.0342671812586874E-2</v>
      </c>
      <c r="Q252" s="1">
        <f t="shared" si="241"/>
        <v>4.4993630771512416E-2</v>
      </c>
      <c r="S252" s="3"/>
    </row>
    <row r="253" spans="1:19" x14ac:dyDescent="0.5">
      <c r="A253" s="5" t="s">
        <v>5</v>
      </c>
      <c r="B253" s="5" t="s">
        <v>6</v>
      </c>
      <c r="C253" s="5" t="s">
        <v>7</v>
      </c>
      <c r="D253" t="s">
        <v>570</v>
      </c>
      <c r="E253" t="str">
        <f>E175</f>
        <v>PJ/yr.</v>
      </c>
      <c r="F253" s="1">
        <f t="shared" si="239"/>
        <v>0</v>
      </c>
      <c r="G253" s="1">
        <f t="shared" si="239"/>
        <v>0</v>
      </c>
      <c r="H253" s="1">
        <f t="shared" si="239"/>
        <v>0</v>
      </c>
      <c r="I253" s="1">
        <f t="shared" si="239"/>
        <v>0</v>
      </c>
      <c r="J253" s="1">
        <f t="shared" si="239"/>
        <v>0</v>
      </c>
      <c r="K253" s="1">
        <f t="shared" si="239"/>
        <v>3.7727382662380484E-3</v>
      </c>
      <c r="L253" s="1">
        <f t="shared" ref="L253:O253" si="242">L242-L264</f>
        <v>2.1268851691241763E-3</v>
      </c>
      <c r="M253" s="1">
        <f t="shared" si="242"/>
        <v>2.0248863322827132E-2</v>
      </c>
      <c r="N253" s="1">
        <f t="shared" si="242"/>
        <v>8.4046983225097294E-3</v>
      </c>
      <c r="O253" s="1">
        <f t="shared" si="242"/>
        <v>1.1358123188339619E-2</v>
      </c>
      <c r="P253" s="1">
        <f t="shared" si="241"/>
        <v>1.7548239037472435E-2</v>
      </c>
      <c r="Q253" s="1">
        <f t="shared" si="241"/>
        <v>2.6021738832387953E-2</v>
      </c>
      <c r="S253" s="3"/>
    </row>
    <row r="254" spans="1:19" x14ac:dyDescent="0.5">
      <c r="A254" s="5" t="s">
        <v>5</v>
      </c>
      <c r="B254" s="5" t="s">
        <v>6</v>
      </c>
      <c r="C254" s="5" t="s">
        <v>7</v>
      </c>
      <c r="D254" t="s">
        <v>571</v>
      </c>
      <c r="E254" t="str">
        <f>E176</f>
        <v>PJ/yr.</v>
      </c>
      <c r="F254" s="1">
        <f t="shared" si="239"/>
        <v>0</v>
      </c>
      <c r="G254" s="1">
        <f t="shared" si="239"/>
        <v>0</v>
      </c>
      <c r="H254" s="1">
        <f t="shared" si="239"/>
        <v>0</v>
      </c>
      <c r="I254" s="1">
        <f t="shared" si="239"/>
        <v>0</v>
      </c>
      <c r="J254" s="1">
        <f t="shared" si="239"/>
        <v>1.937038515678394E-3</v>
      </c>
      <c r="K254" s="1">
        <f t="shared" si="239"/>
        <v>3.141898308508521E-3</v>
      </c>
      <c r="L254" s="1">
        <f t="shared" ref="L254:O254" si="243">L243-L265</f>
        <v>1.1544918309216027E-3</v>
      </c>
      <c r="M254" s="1">
        <f t="shared" si="243"/>
        <v>2.51922853552342E-4</v>
      </c>
      <c r="N254" s="1">
        <f t="shared" si="243"/>
        <v>9.4748628872381654E-5</v>
      </c>
      <c r="O254" s="1">
        <f t="shared" si="243"/>
        <v>8.5058456991173471E-5</v>
      </c>
      <c r="P254" s="1">
        <f t="shared" si="241"/>
        <v>1.1335649826157632E-4</v>
      </c>
      <c r="Q254" s="1">
        <f t="shared" si="241"/>
        <v>1.6372696515313308E-4</v>
      </c>
      <c r="S254" s="3"/>
    </row>
    <row r="255" spans="1:19" x14ac:dyDescent="0.5">
      <c r="A255" s="5" t="s">
        <v>5</v>
      </c>
      <c r="B255" s="5" t="s">
        <v>6</v>
      </c>
      <c r="C255" s="5" t="s">
        <v>7</v>
      </c>
      <c r="D255" t="s">
        <v>572</v>
      </c>
      <c r="E255" t="str">
        <f>E199</f>
        <v>PJ/yr.</v>
      </c>
      <c r="F255" s="1">
        <f>F244-F266</f>
        <v>4.4277143295134248E-2</v>
      </c>
      <c r="G255" s="1">
        <f t="shared" ref="G255:K255" si="244">G244-G266</f>
        <v>3.8160181648042482E-2</v>
      </c>
      <c r="H255" s="1">
        <f t="shared" si="244"/>
        <v>4.0686545038937691E-2</v>
      </c>
      <c r="I255" s="1">
        <f t="shared" si="244"/>
        <v>2.7318470803759702E-2</v>
      </c>
      <c r="J255" s="1">
        <f t="shared" si="244"/>
        <v>2.0869667044783075E-2</v>
      </c>
      <c r="K255" s="1">
        <f t="shared" si="244"/>
        <v>9.5798869819695605E-3</v>
      </c>
      <c r="L255" s="1">
        <f t="shared" ref="L255:O255" si="245">L244-L266</f>
        <v>0</v>
      </c>
      <c r="M255" s="1">
        <f t="shared" si="245"/>
        <v>0</v>
      </c>
      <c r="N255" s="1">
        <f t="shared" si="245"/>
        <v>7.4835926870255379E-4</v>
      </c>
      <c r="O255" s="1">
        <f t="shared" si="245"/>
        <v>1.6000486648149043E-3</v>
      </c>
      <c r="P255" s="1">
        <f t="shared" si="241"/>
        <v>5.1222845733638334E-3</v>
      </c>
      <c r="Q255" s="1">
        <f t="shared" si="241"/>
        <v>9.7862377174536691E-3</v>
      </c>
      <c r="S255" s="3"/>
    </row>
    <row r="256" spans="1:19" x14ac:dyDescent="0.5">
      <c r="A256" s="5" t="s">
        <v>5</v>
      </c>
      <c r="B256" s="5" t="s">
        <v>6</v>
      </c>
      <c r="C256" s="5" t="s">
        <v>7</v>
      </c>
      <c r="D256" t="s">
        <v>573</v>
      </c>
      <c r="E256" t="str">
        <f>E201</f>
        <v>PJ/yr.</v>
      </c>
      <c r="F256" s="1">
        <f t="shared" ref="F256:K256" si="246">F245-F267</f>
        <v>0</v>
      </c>
      <c r="G256" s="1">
        <f t="shared" si="246"/>
        <v>0</v>
      </c>
      <c r="H256" s="1">
        <f t="shared" si="246"/>
        <v>0</v>
      </c>
      <c r="I256" s="1">
        <f t="shared" si="246"/>
        <v>0</v>
      </c>
      <c r="J256" s="1">
        <f t="shared" si="246"/>
        <v>0</v>
      </c>
      <c r="K256" s="1">
        <f t="shared" si="246"/>
        <v>0</v>
      </c>
      <c r="L256" s="1">
        <f t="shared" ref="L256:O256" si="247">L245-L267</f>
        <v>0</v>
      </c>
      <c r="M256" s="1">
        <f t="shared" si="247"/>
        <v>0</v>
      </c>
      <c r="N256" s="1">
        <f t="shared" si="247"/>
        <v>0</v>
      </c>
      <c r="O256" s="1">
        <f t="shared" si="247"/>
        <v>0</v>
      </c>
      <c r="P256" s="1">
        <f t="shared" si="241"/>
        <v>0</v>
      </c>
      <c r="Q256" s="1">
        <f t="shared" si="241"/>
        <v>0</v>
      </c>
      <c r="S256" s="3"/>
    </row>
    <row r="257" spans="1:19" x14ac:dyDescent="0.5">
      <c r="A257" s="5" t="s">
        <v>5</v>
      </c>
      <c r="B257" s="5" t="s">
        <v>6</v>
      </c>
      <c r="C257" s="5" t="s">
        <v>7</v>
      </c>
      <c r="D257" t="s">
        <v>574</v>
      </c>
      <c r="E257" t="str">
        <f>E203</f>
        <v>PJ/yr.</v>
      </c>
      <c r="F257" s="1">
        <f t="shared" ref="F257:K257" si="248">F246-F268</f>
        <v>6.4556430679281337E-2</v>
      </c>
      <c r="G257" s="1">
        <f t="shared" si="248"/>
        <v>7.5888919951327571E-2</v>
      </c>
      <c r="H257" s="1">
        <f t="shared" si="248"/>
        <v>0.3064535149207005</v>
      </c>
      <c r="I257" s="1">
        <f t="shared" si="248"/>
        <v>0.30148916153378919</v>
      </c>
      <c r="J257" s="1">
        <f t="shared" si="248"/>
        <v>0.28155002377315724</v>
      </c>
      <c r="K257" s="1">
        <f t="shared" si="248"/>
        <v>0.11571673746464567</v>
      </c>
      <c r="L257" s="1">
        <f t="shared" ref="L257:O257" si="249">L246-L268</f>
        <v>0</v>
      </c>
      <c r="M257" s="1">
        <f t="shared" si="249"/>
        <v>0</v>
      </c>
      <c r="N257" s="1">
        <f t="shared" si="249"/>
        <v>1.5809983434679972E-3</v>
      </c>
      <c r="O257" s="1">
        <f t="shared" si="249"/>
        <v>9.2196419039645428E-3</v>
      </c>
      <c r="P257" s="1">
        <f t="shared" si="241"/>
        <v>1.8205659281118614E-2</v>
      </c>
      <c r="Q257" s="1">
        <f t="shared" si="241"/>
        <v>4.7746763347814469E-2</v>
      </c>
      <c r="S257" s="3"/>
    </row>
    <row r="258" spans="1:19" x14ac:dyDescent="0.5">
      <c r="A258" s="5" t="s">
        <v>5</v>
      </c>
      <c r="B258" s="5" t="s">
        <v>6</v>
      </c>
      <c r="C258" s="5" t="s">
        <v>7</v>
      </c>
      <c r="D258" t="s">
        <v>575</v>
      </c>
      <c r="E258" t="str">
        <f>E204</f>
        <v>PJ/yr.</v>
      </c>
      <c r="F258" s="1">
        <f t="shared" ref="F258:K259" si="250">F247-F269</f>
        <v>0</v>
      </c>
      <c r="G258" s="1">
        <f t="shared" si="250"/>
        <v>0</v>
      </c>
      <c r="H258" s="1">
        <f t="shared" si="250"/>
        <v>0</v>
      </c>
      <c r="I258" s="1">
        <f t="shared" si="250"/>
        <v>0</v>
      </c>
      <c r="J258" s="1">
        <f t="shared" si="250"/>
        <v>0</v>
      </c>
      <c r="K258" s="1">
        <f t="shared" si="250"/>
        <v>0</v>
      </c>
      <c r="L258" s="1">
        <f t="shared" ref="L258:O258" si="251">L247-L269</f>
        <v>0</v>
      </c>
      <c r="M258" s="1">
        <f t="shared" si="251"/>
        <v>0</v>
      </c>
      <c r="N258" s="1">
        <f t="shared" si="251"/>
        <v>0</v>
      </c>
      <c r="O258" s="1">
        <f t="shared" si="251"/>
        <v>0</v>
      </c>
      <c r="P258" s="1">
        <f t="shared" si="241"/>
        <v>0</v>
      </c>
      <c r="Q258" s="1">
        <f t="shared" si="241"/>
        <v>0</v>
      </c>
      <c r="S258" s="3"/>
    </row>
    <row r="259" spans="1:19" x14ac:dyDescent="0.5">
      <c r="A259" s="5" t="s">
        <v>5</v>
      </c>
      <c r="B259" s="5" t="s">
        <v>6</v>
      </c>
      <c r="C259" s="5" t="s">
        <v>7</v>
      </c>
      <c r="D259" t="s">
        <v>576</v>
      </c>
      <c r="E259" t="str">
        <f>E241</f>
        <v>PJ/yr.</v>
      </c>
      <c r="F259" s="1">
        <f t="shared" si="250"/>
        <v>0</v>
      </c>
      <c r="G259" s="1">
        <f t="shared" ref="G259:K259" si="252">G248-G270</f>
        <v>0</v>
      </c>
      <c r="H259" s="1">
        <f t="shared" si="252"/>
        <v>0</v>
      </c>
      <c r="I259" s="1">
        <f t="shared" si="252"/>
        <v>0</v>
      </c>
      <c r="J259" s="1">
        <f t="shared" si="252"/>
        <v>0</v>
      </c>
      <c r="K259" s="1">
        <f t="shared" si="252"/>
        <v>0</v>
      </c>
      <c r="L259" s="1">
        <f t="shared" ref="L259:O259" si="253">L248-L270</f>
        <v>0</v>
      </c>
      <c r="M259" s="1">
        <f t="shared" si="253"/>
        <v>0</v>
      </c>
      <c r="N259" s="1">
        <f t="shared" si="253"/>
        <v>0</v>
      </c>
      <c r="O259" s="1">
        <f t="shared" si="253"/>
        <v>0</v>
      </c>
      <c r="P259" s="1">
        <f t="shared" si="241"/>
        <v>0</v>
      </c>
      <c r="Q259" s="1">
        <f t="shared" si="241"/>
        <v>0</v>
      </c>
      <c r="S259" s="3"/>
    </row>
    <row r="260" spans="1:19" x14ac:dyDescent="0.5">
      <c r="A260" s="5" t="s">
        <v>5</v>
      </c>
      <c r="B260" s="5" t="s">
        <v>6</v>
      </c>
      <c r="C260" s="5" t="s">
        <v>7</v>
      </c>
      <c r="D260" t="s">
        <v>577</v>
      </c>
      <c r="E260" t="str">
        <f>E243</f>
        <v>PJ/yr.</v>
      </c>
      <c r="F260" s="1">
        <f t="shared" ref="F260:K260" si="254">F249-F271</f>
        <v>0.67469579243480826</v>
      </c>
      <c r="G260" s="1">
        <f t="shared" si="254"/>
        <v>0.72073408152455265</v>
      </c>
      <c r="H260" s="1">
        <f t="shared" si="254"/>
        <v>0.96929329073900139</v>
      </c>
      <c r="I260" s="1">
        <f t="shared" si="254"/>
        <v>0.90854351627512431</v>
      </c>
      <c r="J260" s="1">
        <f t="shared" si="254"/>
        <v>0.82517369448338895</v>
      </c>
      <c r="K260" s="1">
        <f t="shared" si="254"/>
        <v>0.4170020734656954</v>
      </c>
      <c r="L260" s="1">
        <f t="shared" ref="L260:O260" si="255">L249-L271</f>
        <v>0</v>
      </c>
      <c r="M260" s="1">
        <f t="shared" si="255"/>
        <v>0</v>
      </c>
      <c r="N260" s="1">
        <f t="shared" si="255"/>
        <v>4.0333216186722032E-4</v>
      </c>
      <c r="O260" s="1">
        <f t="shared" si="255"/>
        <v>6.5473224108956139E-4</v>
      </c>
      <c r="P260" s="1">
        <f t="shared" si="241"/>
        <v>1.5304254900743303E-3</v>
      </c>
      <c r="Q260" s="1">
        <f t="shared" si="241"/>
        <v>3.727258397545799E-3</v>
      </c>
      <c r="S260" s="3"/>
    </row>
    <row r="261" spans="1:19" x14ac:dyDescent="0.5">
      <c r="A261" s="5" t="s">
        <v>5</v>
      </c>
      <c r="B261" s="5" t="s">
        <v>6</v>
      </c>
      <c r="C261" s="5" t="s">
        <v>7</v>
      </c>
      <c r="D261" t="s">
        <v>578</v>
      </c>
      <c r="E261" t="str">
        <f>E245</f>
        <v>PJ/yr.</v>
      </c>
      <c r="F261" s="1">
        <f t="shared" ref="F261:K261" si="256">F250-F272</f>
        <v>0</v>
      </c>
      <c r="G261" s="1">
        <f t="shared" si="256"/>
        <v>0</v>
      </c>
      <c r="H261" s="1">
        <f t="shared" si="256"/>
        <v>0</v>
      </c>
      <c r="I261" s="1">
        <f t="shared" si="256"/>
        <v>0</v>
      </c>
      <c r="J261" s="1">
        <f t="shared" si="256"/>
        <v>0</v>
      </c>
      <c r="K261" s="1">
        <f t="shared" si="256"/>
        <v>0</v>
      </c>
      <c r="L261" s="1">
        <f t="shared" ref="L261:O261" si="257">L250-L272</f>
        <v>0</v>
      </c>
      <c r="M261" s="1">
        <f t="shared" si="257"/>
        <v>0</v>
      </c>
      <c r="N261" s="1">
        <f t="shared" si="257"/>
        <v>4.283577345854132E-5</v>
      </c>
      <c r="O261" s="1">
        <f t="shared" si="257"/>
        <v>7.6871213963509728E-5</v>
      </c>
      <c r="P261" s="1">
        <f t="shared" si="241"/>
        <v>1.9415999305910864E-4</v>
      </c>
      <c r="Q261" s="1">
        <f t="shared" si="241"/>
        <v>6.198115781352511E-4</v>
      </c>
      <c r="S261" s="3"/>
    </row>
    <row r="262" spans="1:19" x14ac:dyDescent="0.5">
      <c r="A262" s="5" t="s">
        <v>5</v>
      </c>
      <c r="B262" s="5" t="s">
        <v>6</v>
      </c>
      <c r="C262" s="5" t="s">
        <v>7</v>
      </c>
      <c r="D262" t="s">
        <v>839</v>
      </c>
      <c r="E262" t="str">
        <f>E175</f>
        <v>PJ/yr.</v>
      </c>
      <c r="F262" s="1">
        <f>SUM(F263:F272)</f>
        <v>1.4656412492013595</v>
      </c>
      <c r="G262" s="1">
        <f t="shared" ref="G262:K262" si="258">SUM(G263:G272)</f>
        <v>1.6179706558056977</v>
      </c>
      <c r="H262" s="1">
        <f t="shared" si="258"/>
        <v>1.5371410923713569</v>
      </c>
      <c r="I262" s="1">
        <f t="shared" si="258"/>
        <v>1.3456286153907204</v>
      </c>
      <c r="J262" s="1">
        <f t="shared" si="258"/>
        <v>1.2803881304718985</v>
      </c>
      <c r="K262" s="1">
        <f t="shared" si="258"/>
        <v>1.163238122369644</v>
      </c>
      <c r="L262" s="1">
        <f t="shared" ref="L262:O262" si="259">SUM(L263:L272)</f>
        <v>1.0973397423565143</v>
      </c>
      <c r="M262" s="1">
        <f t="shared" si="259"/>
        <v>1.5811505390977927</v>
      </c>
      <c r="N262" s="1">
        <f t="shared" si="259"/>
        <v>1.8377298570600302</v>
      </c>
      <c r="O262" s="1">
        <f t="shared" si="259"/>
        <v>1.9595294778448016</v>
      </c>
      <c r="P262" s="1">
        <f>SUM(P263:P272)</f>
        <v>2.2473346013139985</v>
      </c>
      <c r="Q262" s="1">
        <f>SUM(Q263:Q272)</f>
        <v>2.860424218690039</v>
      </c>
      <c r="R262" s="1"/>
      <c r="S262" s="3"/>
    </row>
    <row r="263" spans="1:19" x14ac:dyDescent="0.5">
      <c r="A263" s="5" t="s">
        <v>5</v>
      </c>
      <c r="B263" s="5" t="s">
        <v>6</v>
      </c>
      <c r="C263" s="5" t="s">
        <v>7</v>
      </c>
      <c r="D263" t="s">
        <v>630</v>
      </c>
      <c r="E263" t="str">
        <f>E177</f>
        <v>PJ/yr.</v>
      </c>
      <c r="F263" s="1">
        <f t="shared" ref="F263:K272" si="260">F241*IFERROR(F120/F88,0)</f>
        <v>2.0410168431762965E-2</v>
      </c>
      <c r="G263" s="1">
        <f t="shared" si="260"/>
        <v>3.9261976133894826E-3</v>
      </c>
      <c r="H263" s="1">
        <f t="shared" si="260"/>
        <v>2.0767040188867732E-3</v>
      </c>
      <c r="I263" s="1">
        <f t="shared" si="260"/>
        <v>7.1703484411301947E-4</v>
      </c>
      <c r="J263" s="1">
        <f t="shared" si="260"/>
        <v>3.5980302465635737E-2</v>
      </c>
      <c r="K263" s="1">
        <f t="shared" si="260"/>
        <v>5.6894829616825134E-2</v>
      </c>
      <c r="L263" s="1">
        <f t="shared" ref="L263:O263" si="261">L241*IFERROR(L120/L88,0)</f>
        <v>6.739787422796166E-2</v>
      </c>
      <c r="M263" s="1">
        <f t="shared" si="261"/>
        <v>0.34159373413686528</v>
      </c>
      <c r="N263" s="1">
        <f t="shared" si="261"/>
        <v>0.44951776032396029</v>
      </c>
      <c r="O263" s="1">
        <f t="shared" si="261"/>
        <v>0.42378154829196074</v>
      </c>
      <c r="P263" s="1">
        <f t="shared" ref="P263:Q272" si="262">P241*IFERROR(P120/P88,0)</f>
        <v>0.43592655430247323</v>
      </c>
      <c r="Q263" s="1">
        <f t="shared" si="262"/>
        <v>0.42137953569826531</v>
      </c>
      <c r="S263" s="3"/>
    </row>
    <row r="264" spans="1:19" x14ac:dyDescent="0.5">
      <c r="A264" s="5" t="s">
        <v>5</v>
      </c>
      <c r="B264" s="5" t="s">
        <v>6</v>
      </c>
      <c r="C264" s="5" t="s">
        <v>7</v>
      </c>
      <c r="D264" t="s">
        <v>631</v>
      </c>
      <c r="E264" t="str">
        <f>E178</f>
        <v>PJ/yr.</v>
      </c>
      <c r="F264" s="1">
        <f t="shared" si="260"/>
        <v>0</v>
      </c>
      <c r="G264" s="1">
        <f t="shared" si="260"/>
        <v>0</v>
      </c>
      <c r="H264" s="1">
        <f t="shared" si="260"/>
        <v>0</v>
      </c>
      <c r="I264" s="1">
        <f t="shared" si="260"/>
        <v>0</v>
      </c>
      <c r="J264" s="1">
        <f t="shared" si="260"/>
        <v>0</v>
      </c>
      <c r="K264" s="1">
        <f t="shared" si="260"/>
        <v>6.3390668323527397E-4</v>
      </c>
      <c r="L264" s="1">
        <f t="shared" ref="L264:O264" si="263">L242*IFERROR(L121/L89,0)</f>
        <v>2.5317713340861346E-3</v>
      </c>
      <c r="M264" s="1">
        <f t="shared" si="263"/>
        <v>0.1975698010480417</v>
      </c>
      <c r="N264" s="1">
        <f t="shared" si="263"/>
        <v>0.25991687312810635</v>
      </c>
      <c r="O264" s="1">
        <f t="shared" si="263"/>
        <v>0.24509777190588172</v>
      </c>
      <c r="P264" s="1">
        <f t="shared" si="262"/>
        <v>0.25211172651276592</v>
      </c>
      <c r="Q264" s="1">
        <f t="shared" si="262"/>
        <v>0.24370178710262347</v>
      </c>
      <c r="S264" s="3"/>
    </row>
    <row r="265" spans="1:19" x14ac:dyDescent="0.5">
      <c r="A265" s="5" t="s">
        <v>5</v>
      </c>
      <c r="B265" s="5" t="s">
        <v>6</v>
      </c>
      <c r="C265" s="5" t="s">
        <v>7</v>
      </c>
      <c r="D265" t="s">
        <v>632</v>
      </c>
      <c r="E265" t="str">
        <f>E179</f>
        <v>PJ/yr.</v>
      </c>
      <c r="F265" s="1">
        <f t="shared" si="260"/>
        <v>0</v>
      </c>
      <c r="G265" s="1">
        <f t="shared" si="260"/>
        <v>0</v>
      </c>
      <c r="H265" s="1">
        <f t="shared" si="260"/>
        <v>0</v>
      </c>
      <c r="I265" s="1">
        <f t="shared" si="260"/>
        <v>0</v>
      </c>
      <c r="J265" s="1">
        <f t="shared" si="260"/>
        <v>1.2015889059482397E-4</v>
      </c>
      <c r="K265" s="1">
        <f t="shared" si="260"/>
        <v>5.2791108082754165E-4</v>
      </c>
      <c r="L265" s="1">
        <f t="shared" ref="L265:O265" si="264">L243*IFERROR(L122/L90,0)</f>
        <v>1.3742675746653249E-3</v>
      </c>
      <c r="M265" s="1">
        <f t="shared" si="264"/>
        <v>2.4580317058924134E-3</v>
      </c>
      <c r="N265" s="1">
        <f t="shared" si="264"/>
        <v>2.9301191315491489E-3</v>
      </c>
      <c r="O265" s="1">
        <f t="shared" si="264"/>
        <v>1.835482671264856E-3</v>
      </c>
      <c r="P265" s="1">
        <f t="shared" si="262"/>
        <v>1.6285681102896378E-3</v>
      </c>
      <c r="Q265" s="1">
        <f t="shared" si="262"/>
        <v>1.5333546409683149E-3</v>
      </c>
      <c r="S265" s="3"/>
    </row>
    <row r="266" spans="1:19" x14ac:dyDescent="0.5">
      <c r="A266" s="5" t="s">
        <v>5</v>
      </c>
      <c r="B266" s="5" t="s">
        <v>6</v>
      </c>
      <c r="C266" s="5" t="s">
        <v>7</v>
      </c>
      <c r="D266" t="s">
        <v>633</v>
      </c>
      <c r="E266" t="str">
        <f>E205</f>
        <v>PJ/yr.</v>
      </c>
      <c r="F266" s="1">
        <f t="shared" si="260"/>
        <v>1.1776148750472458E-3</v>
      </c>
      <c r="G266" s="1">
        <f t="shared" si="260"/>
        <v>1.5656517751104729E-3</v>
      </c>
      <c r="H266" s="1">
        <f t="shared" si="260"/>
        <v>1.2783944694480052E-3</v>
      </c>
      <c r="I266" s="1">
        <f t="shared" si="260"/>
        <v>2.2801029563551082E-4</v>
      </c>
      <c r="J266" s="1">
        <f t="shared" si="260"/>
        <v>1.2945927604884251E-3</v>
      </c>
      <c r="K266" s="1">
        <f t="shared" si="260"/>
        <v>1.6096410495405221E-3</v>
      </c>
      <c r="L266" s="1">
        <f t="shared" ref="L266:O266" si="265">L244*IFERROR(L123/L91,0)</f>
        <v>0</v>
      </c>
      <c r="M266" s="1">
        <f t="shared" si="265"/>
        <v>0</v>
      </c>
      <c r="N266" s="1">
        <f t="shared" si="265"/>
        <v>2.3143150846551813E-2</v>
      </c>
      <c r="O266" s="1">
        <f t="shared" si="265"/>
        <v>3.4527567291198234E-2</v>
      </c>
      <c r="P266" s="1">
        <f t="shared" si="262"/>
        <v>7.3590746326331627E-2</v>
      </c>
      <c r="Q266" s="1">
        <f t="shared" si="262"/>
        <v>9.1651201178999039E-2</v>
      </c>
      <c r="S266" s="3"/>
    </row>
    <row r="267" spans="1:19" x14ac:dyDescent="0.5">
      <c r="A267" s="5" t="s">
        <v>5</v>
      </c>
      <c r="B267" s="5" t="s">
        <v>6</v>
      </c>
      <c r="C267" s="5" t="s">
        <v>7</v>
      </c>
      <c r="D267" t="s">
        <v>634</v>
      </c>
      <c r="E267" t="str">
        <f>E207</f>
        <v>PJ/yr.</v>
      </c>
      <c r="F267" s="1">
        <f t="shared" si="260"/>
        <v>0</v>
      </c>
      <c r="G267" s="1">
        <f t="shared" si="260"/>
        <v>0</v>
      </c>
      <c r="H267" s="1">
        <f t="shared" si="260"/>
        <v>0</v>
      </c>
      <c r="I267" s="1">
        <f t="shared" si="260"/>
        <v>0</v>
      </c>
      <c r="J267" s="1">
        <f t="shared" si="260"/>
        <v>0</v>
      </c>
      <c r="K267" s="1">
        <f t="shared" si="260"/>
        <v>0</v>
      </c>
      <c r="L267" s="1">
        <f t="shared" ref="L267:O267" si="266">L245*IFERROR(L124/L92,0)</f>
        <v>0</v>
      </c>
      <c r="M267" s="1">
        <f t="shared" si="266"/>
        <v>0</v>
      </c>
      <c r="N267" s="1">
        <f t="shared" si="266"/>
        <v>0</v>
      </c>
      <c r="O267" s="1">
        <f t="shared" si="266"/>
        <v>0</v>
      </c>
      <c r="P267" s="1">
        <f t="shared" si="262"/>
        <v>0</v>
      </c>
      <c r="Q267" s="1">
        <f t="shared" si="262"/>
        <v>0</v>
      </c>
      <c r="S267" s="3"/>
    </row>
    <row r="268" spans="1:19" x14ac:dyDescent="0.5">
      <c r="A268" s="5" t="s">
        <v>5</v>
      </c>
      <c r="B268" s="5" t="s">
        <v>6</v>
      </c>
      <c r="C268" s="5" t="s">
        <v>7</v>
      </c>
      <c r="D268" t="s">
        <v>635</v>
      </c>
      <c r="E268" t="str">
        <f>E209</f>
        <v>PJ/yr.</v>
      </c>
      <c r="F268" s="1">
        <f t="shared" si="260"/>
        <v>1.7169719496386853E-3</v>
      </c>
      <c r="G268" s="1">
        <f t="shared" si="260"/>
        <v>3.1136021135556502E-3</v>
      </c>
      <c r="H268" s="1">
        <f t="shared" si="260"/>
        <v>9.6289443658240433E-3</v>
      </c>
      <c r="I268" s="1">
        <f t="shared" si="260"/>
        <v>2.5163426366735307E-3</v>
      </c>
      <c r="J268" s="1">
        <f t="shared" si="260"/>
        <v>1.7465186277765169E-2</v>
      </c>
      <c r="K268" s="1">
        <f t="shared" si="260"/>
        <v>1.9443069745244845E-2</v>
      </c>
      <c r="L268" s="1">
        <f t="shared" ref="L268:O268" si="267">L246*IFERROR(L125/L93,0)</f>
        <v>0</v>
      </c>
      <c r="M268" s="1">
        <f t="shared" si="267"/>
        <v>0</v>
      </c>
      <c r="N268" s="1">
        <f t="shared" si="267"/>
        <v>4.8892670514342873E-2</v>
      </c>
      <c r="O268" s="1">
        <f t="shared" si="267"/>
        <v>0.19895132769396792</v>
      </c>
      <c r="P268" s="1">
        <f t="shared" si="262"/>
        <v>0.26155673990220935</v>
      </c>
      <c r="Q268" s="1">
        <f t="shared" si="262"/>
        <v>0.44716349015638124</v>
      </c>
      <c r="S268" s="3"/>
    </row>
    <row r="269" spans="1:19" x14ac:dyDescent="0.5">
      <c r="A269" s="5" t="s">
        <v>5</v>
      </c>
      <c r="B269" s="5" t="s">
        <v>6</v>
      </c>
      <c r="C269" s="5" t="s">
        <v>7</v>
      </c>
      <c r="D269" t="s">
        <v>636</v>
      </c>
      <c r="E269" t="str">
        <f>E210</f>
        <v>PJ/yr.</v>
      </c>
      <c r="F269" s="1">
        <f t="shared" si="260"/>
        <v>0</v>
      </c>
      <c r="G269" s="1">
        <f t="shared" si="260"/>
        <v>0</v>
      </c>
      <c r="H269" s="1">
        <f t="shared" si="260"/>
        <v>0</v>
      </c>
      <c r="I269" s="1">
        <f t="shared" si="260"/>
        <v>0</v>
      </c>
      <c r="J269" s="1">
        <f t="shared" si="260"/>
        <v>0</v>
      </c>
      <c r="K269" s="1">
        <f t="shared" si="260"/>
        <v>0</v>
      </c>
      <c r="L269" s="1">
        <f t="shared" ref="L269:O269" si="268">L247*IFERROR(L126/L94,0)</f>
        <v>0</v>
      </c>
      <c r="M269" s="1">
        <f t="shared" si="268"/>
        <v>0</v>
      </c>
      <c r="N269" s="1">
        <f t="shared" si="268"/>
        <v>0</v>
      </c>
      <c r="O269" s="1">
        <f t="shared" si="268"/>
        <v>0</v>
      </c>
      <c r="P269" s="1">
        <f t="shared" si="262"/>
        <v>0</v>
      </c>
      <c r="Q269" s="1">
        <f t="shared" si="262"/>
        <v>0</v>
      </c>
      <c r="S269" s="3"/>
    </row>
    <row r="270" spans="1:19" x14ac:dyDescent="0.5">
      <c r="A270" s="5" t="s">
        <v>5</v>
      </c>
      <c r="B270" s="5" t="s">
        <v>6</v>
      </c>
      <c r="C270" s="5" t="s">
        <v>7</v>
      </c>
      <c r="D270" t="s">
        <v>637</v>
      </c>
      <c r="E270" t="str">
        <f>E233</f>
        <v>PJ/yr.</v>
      </c>
      <c r="F270" s="1">
        <f t="shared" si="260"/>
        <v>1.4243919803161298</v>
      </c>
      <c r="G270" s="1">
        <f t="shared" si="260"/>
        <v>1.5797946271892793</v>
      </c>
      <c r="H270" s="1">
        <f t="shared" si="260"/>
        <v>1.4937013010389746</v>
      </c>
      <c r="I270" s="1">
        <f t="shared" si="260"/>
        <v>1.3345841796014093</v>
      </c>
      <c r="J270" s="1">
        <f t="shared" si="260"/>
        <v>1.174340495054228</v>
      </c>
      <c r="K270" s="1">
        <f t="shared" si="260"/>
        <v>1.0140628378988885</v>
      </c>
      <c r="L270" s="1">
        <f t="shared" ref="L270:O270" si="269">L248*IFERROR(L127/L95,0)</f>
        <v>1.0260358292198013</v>
      </c>
      <c r="M270" s="1">
        <f t="shared" si="269"/>
        <v>1.0395289722069931</v>
      </c>
      <c r="N270" s="1">
        <f t="shared" si="269"/>
        <v>1.0395314559728952</v>
      </c>
      <c r="O270" s="1">
        <f t="shared" si="269"/>
        <v>1.0395484554670329</v>
      </c>
      <c r="P270" s="1">
        <f t="shared" si="262"/>
        <v>1.1977435223086976</v>
      </c>
      <c r="Q270" s="1">
        <f t="shared" si="262"/>
        <v>1.6142831692462103</v>
      </c>
      <c r="S270" s="3"/>
    </row>
    <row r="271" spans="1:19" x14ac:dyDescent="0.5">
      <c r="A271" s="5" t="s">
        <v>5</v>
      </c>
      <c r="B271" s="5" t="s">
        <v>6</v>
      </c>
      <c r="C271" s="5" t="s">
        <v>7</v>
      </c>
      <c r="D271" t="s">
        <v>638</v>
      </c>
      <c r="E271" t="str">
        <f>E235</f>
        <v>PJ/yr.</v>
      </c>
      <c r="F271" s="1">
        <f t="shared" si="260"/>
        <v>1.7944513628780853E-2</v>
      </c>
      <c r="G271" s="1">
        <f t="shared" si="260"/>
        <v>2.9570577114362801E-2</v>
      </c>
      <c r="H271" s="1">
        <f t="shared" si="260"/>
        <v>3.0455748478223455E-2</v>
      </c>
      <c r="I271" s="1">
        <f t="shared" si="260"/>
        <v>7.5830480128890538E-3</v>
      </c>
      <c r="J271" s="1">
        <f t="shared" si="260"/>
        <v>5.1187395023186227E-2</v>
      </c>
      <c r="K271" s="1">
        <f t="shared" si="260"/>
        <v>7.0065926295082126E-2</v>
      </c>
      <c r="L271" s="1">
        <f t="shared" ref="L271:O271" si="270">L249*IFERROR(L128/L96,0)</f>
        <v>0</v>
      </c>
      <c r="M271" s="1">
        <f t="shared" si="270"/>
        <v>0</v>
      </c>
      <c r="N271" s="1">
        <f t="shared" si="270"/>
        <v>1.2473122808436897E-2</v>
      </c>
      <c r="O271" s="1">
        <f t="shared" si="270"/>
        <v>1.412851496898186E-2</v>
      </c>
      <c r="P271" s="1">
        <f t="shared" si="262"/>
        <v>2.198728953816205E-2</v>
      </c>
      <c r="Q271" s="1">
        <f t="shared" si="262"/>
        <v>3.4906949851660464E-2</v>
      </c>
      <c r="S271" s="3"/>
    </row>
    <row r="272" spans="1:19" x14ac:dyDescent="0.5">
      <c r="A272" s="5" t="s">
        <v>5</v>
      </c>
      <c r="B272" s="5" t="s">
        <v>6</v>
      </c>
      <c r="C272" s="5" t="s">
        <v>7</v>
      </c>
      <c r="D272" t="s">
        <v>639</v>
      </c>
      <c r="E272" t="str">
        <f>E239</f>
        <v>PJ/yr.</v>
      </c>
      <c r="F272" s="1">
        <f t="shared" si="260"/>
        <v>0</v>
      </c>
      <c r="G272" s="1">
        <f t="shared" si="260"/>
        <v>0</v>
      </c>
      <c r="H272" s="1">
        <f t="shared" si="260"/>
        <v>0</v>
      </c>
      <c r="I272" s="1">
        <f t="shared" si="260"/>
        <v>0</v>
      </c>
      <c r="J272" s="1">
        <f t="shared" si="260"/>
        <v>0</v>
      </c>
      <c r="K272" s="1">
        <f t="shared" si="260"/>
        <v>0</v>
      </c>
      <c r="L272" s="1">
        <f t="shared" ref="L272:O272" si="271">L250*IFERROR(L129/L97,0)</f>
        <v>0</v>
      </c>
      <c r="M272" s="1">
        <f t="shared" si="271"/>
        <v>0</v>
      </c>
      <c r="N272" s="1">
        <f t="shared" si="271"/>
        <v>1.3247043341876126E-3</v>
      </c>
      <c r="O272" s="1">
        <f t="shared" si="271"/>
        <v>1.658809554513278E-3</v>
      </c>
      <c r="P272" s="1">
        <f t="shared" si="262"/>
        <v>2.7894543130687274E-3</v>
      </c>
      <c r="Q272" s="1">
        <f t="shared" si="262"/>
        <v>5.8047308149313491E-3</v>
      </c>
      <c r="S272" s="3"/>
    </row>
    <row r="273" spans="1:19" x14ac:dyDescent="0.5">
      <c r="A273" s="5" t="s">
        <v>5</v>
      </c>
      <c r="B273" s="5" t="s">
        <v>6</v>
      </c>
      <c r="C273" s="5" t="s">
        <v>7</v>
      </c>
      <c r="D273" t="s">
        <v>840</v>
      </c>
      <c r="E273" t="str">
        <f>E179</f>
        <v>PJ/yr.</v>
      </c>
      <c r="F273" s="1">
        <f>SUM(F274:F275)</f>
        <v>1.935257622212696</v>
      </c>
      <c r="G273" s="1">
        <f t="shared" ref="G273:K273" si="272">SUM(G274:G275)</f>
        <v>1.9673347770153415</v>
      </c>
      <c r="H273" s="1">
        <f t="shared" si="272"/>
        <v>2.5505036369789567</v>
      </c>
      <c r="I273" s="1">
        <f t="shared" si="272"/>
        <v>2.2435319650864538</v>
      </c>
      <c r="J273" s="1">
        <f t="shared" si="272"/>
        <v>1.9428551013173674</v>
      </c>
      <c r="K273" s="1">
        <f t="shared" si="272"/>
        <v>1.6356427560247073</v>
      </c>
      <c r="L273" s="1">
        <f t="shared" ref="L273:O273" si="273">SUM(L274:L275)</f>
        <v>1.2414148388912871</v>
      </c>
      <c r="M273" s="1">
        <f t="shared" si="273"/>
        <v>2.2135459009997924</v>
      </c>
      <c r="N273" s="1">
        <f t="shared" si="273"/>
        <v>2.0107117255039331</v>
      </c>
      <c r="O273" s="1">
        <f t="shared" si="273"/>
        <v>2.0112165670221871</v>
      </c>
      <c r="P273" s="1">
        <f>SUM(P274:P275)</f>
        <v>2.0113732021296857</v>
      </c>
      <c r="Q273" s="1">
        <f>SUM(Q274:Q275)</f>
        <v>2.0116697604305838</v>
      </c>
      <c r="S273" s="3"/>
    </row>
    <row r="274" spans="1:19" x14ac:dyDescent="0.5">
      <c r="A274" s="5" t="s">
        <v>5</v>
      </c>
      <c r="B274" s="5" t="s">
        <v>6</v>
      </c>
      <c r="C274" s="5" t="s">
        <v>7</v>
      </c>
      <c r="D274" t="s">
        <v>179</v>
      </c>
      <c r="E274" t="str">
        <f>E180</f>
        <v>PJ/yr.</v>
      </c>
      <c r="F274" s="1">
        <f>'[1]Electricity and CHPs'!B$106-F275</f>
        <v>1.935257622212696</v>
      </c>
      <c r="G274" s="1">
        <f>'[1]Electricity and CHPs'!C$106-G275</f>
        <v>1.9673347770153415</v>
      </c>
      <c r="H274" s="1">
        <f>'[1]Electricity and CHPs'!D$106-H275</f>
        <v>2.5505036369789567</v>
      </c>
      <c r="I274" s="1">
        <f>'[1]Electricity and CHPs'!E$106-I275</f>
        <v>2.2435319650864538</v>
      </c>
      <c r="J274" s="1">
        <f>'[1]Electricity and CHPs'!F$106-J275</f>
        <v>1.9428551013173674</v>
      </c>
      <c r="K274" s="1">
        <f>'[1]Electricity and CHPs'!G$106-K275</f>
        <v>1.4189873982460031</v>
      </c>
      <c r="L274" s="1">
        <f>'[1]Electricity and CHPs'!H$106-L275</f>
        <v>5.5317459910642075E-3</v>
      </c>
      <c r="M274" s="1">
        <f>'[1]Electricity and CHPs'!I$106-M275</f>
        <v>2.3296893299344923E-3</v>
      </c>
      <c r="N274" s="1">
        <f>'[1]Electricity and CHPs'!J$106-N275</f>
        <v>2.1901884585542319E-3</v>
      </c>
      <c r="O274" s="1">
        <f>'[1]Electricity and CHPs'!K$106-O275</f>
        <v>1.1902415513738163E-3</v>
      </c>
      <c r="P274" s="1">
        <f>'[1]Electricity and CHPs'!L$106-P275</f>
        <v>1.1157500212441995E-3</v>
      </c>
      <c r="Q274" s="1">
        <f>'[1]Electricity and CHPs'!M$106-Q275</f>
        <v>7.1079428756126717E-4</v>
      </c>
      <c r="S274" s="3"/>
    </row>
    <row r="275" spans="1:19" x14ac:dyDescent="0.5">
      <c r="A275" s="5" t="s">
        <v>5</v>
      </c>
      <c r="B275" s="5" t="s">
        <v>6</v>
      </c>
      <c r="C275" s="5" t="s">
        <v>7</v>
      </c>
      <c r="D275" t="s">
        <v>180</v>
      </c>
      <c r="E275" t="str">
        <f>E181</f>
        <v>PJ/yr.</v>
      </c>
      <c r="F275" s="10" cm="1">
        <f t="array" ref="F275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5" s="10" cm="1">
        <f t="array" ref="G275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5" s="10" cm="1">
        <f t="array" ref="H275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5" s="10" cm="1">
        <f t="array" ref="I275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5" s="10" cm="1">
        <f t="array" ref="J275">SUMPRODUCT((ISNUMBER(SEARCH("itot*CHPWST*ccs*",[1]OUT_Electricity_CHP!$B$1:$B$10000)))*1,([1]OUT_Electricity_CHP!$C$1:$C$10000="Var_Fout")*1,+([1]OUT_Electricity_CHP!$D$1:$D$10000="ITOT_LTH_CHP")*1,[1]OUT_Electricity_CHP!I$1:I$10000)</f>
        <v>0</v>
      </c>
      <c r="K275" s="10" cm="1">
        <f t="array" ref="K275">SUMPRODUCT((ISNUMBER(SEARCH("itot*CHPWST*ccs*",[1]OUT_Electricity_CHP!$B$1:$B$10000)))*1,([1]OUT_Electricity_CHP!$C$1:$C$10000="Var_Fout")*1,+([1]OUT_Electricity_CHP!$D$1:$D$10000="ITOT_LTH_CHP")*1,[1]OUT_Electricity_CHP!J$1:J$10000)</f>
        <v>0.21665535777870429</v>
      </c>
      <c r="L275" s="10" cm="1">
        <f t="array" ref="L275">SUMPRODUCT((ISNUMBER(SEARCH("itot*CHPWST*ccs*",[1]OUT_Electricity_CHP!$B$1:$B$10000)))*1,([1]OUT_Electricity_CHP!$C$1:$C$10000="Var_Fout")*1,+([1]OUT_Electricity_CHP!$D$1:$D$10000="ITOT_LTH_CHP")*1,[1]OUT_Electricity_CHP!K$1:K$10000)</f>
        <v>1.2358830929002229</v>
      </c>
      <c r="M275" s="10" cm="1">
        <f t="array" ref="M275">SUMPRODUCT((ISNUMBER(SEARCH("itot*CHPWST*ccs*",[1]OUT_Electricity_CHP!$B$1:$B$10000)))*1,([1]OUT_Electricity_CHP!$C$1:$C$10000="Var_Fout")*1,+([1]OUT_Electricity_CHP!$D$1:$D$10000="ITOT_LTH_CHP")*1,[1]OUT_Electricity_CHP!L$1:L$10000)</f>
        <v>2.2112162116698579</v>
      </c>
      <c r="N275" s="10" cm="1">
        <f t="array" ref="N275">SUMPRODUCT((ISNUMBER(SEARCH("itot*CHPWST*ccs*",[1]OUT_Electricity_CHP!$B$1:$B$10000)))*1,([1]OUT_Electricity_CHP!$C$1:$C$10000="Var_Fout")*1,+([1]OUT_Electricity_CHP!$D$1:$D$10000="ITOT_LTH_CHP")*1,[1]OUT_Electricity_CHP!M$1:M$10000)</f>
        <v>2.0085215370453788</v>
      </c>
      <c r="O275" s="10" cm="1">
        <f t="array" ref="O275">SUMPRODUCT((ISNUMBER(SEARCH("itot*CHPWST*ccs*",[1]OUT_Electricity_CHP!$B$1:$B$10000)))*1,([1]OUT_Electricity_CHP!$C$1:$C$10000="Var_Fout")*1,+([1]OUT_Electricity_CHP!$D$1:$D$10000="ITOT_LTH_CHP")*1,[1]OUT_Electricity_CHP!N$1:N$10000)</f>
        <v>2.0100263254708133</v>
      </c>
      <c r="P275" s="10" cm="1">
        <f t="array" ref="P275">SUMPRODUCT((ISNUMBER(SEARCH("itot*CHPWST*ccs*",[1]OUT_Electricity_CHP!$B$1:$B$10000)))*1,([1]OUT_Electricity_CHP!$C$1:$C$10000="Var_Fout")*1,+([1]OUT_Electricity_CHP!$D$1:$D$10000="ITOT_LTH_CHP")*1,[1]OUT_Electricity_CHP!O$1:O$10000)</f>
        <v>2.0102574521084415</v>
      </c>
      <c r="Q275" s="10" cm="1">
        <f t="array" ref="Q275">SUMPRODUCT((ISNUMBER(SEARCH("itot*CHPWST*ccs*",[1]OUT_Electricity_CHP!$B$1:$B$10000)))*1,([1]OUT_Electricity_CHP!$C$1:$C$10000="Var_Fout")*1,+([1]OUT_Electricity_CHP!$D$1:$D$10000="ITOT_LTH_CHP")*1,[1]OUT_Electricity_CHP!P$1:P$10000)</f>
        <v>2.0109589661430225</v>
      </c>
      <c r="S275" s="3"/>
    </row>
    <row r="276" spans="1:19" x14ac:dyDescent="0.5">
      <c r="A276" s="5" t="s">
        <v>5</v>
      </c>
      <c r="B276" s="5" t="s">
        <v>6</v>
      </c>
      <c r="C276" s="5" t="s">
        <v>7</v>
      </c>
      <c r="D276" t="s">
        <v>841</v>
      </c>
      <c r="E276" t="str">
        <f>E181</f>
        <v>PJ/yr.</v>
      </c>
      <c r="F276" s="10">
        <f>SUM(F277:F278)</f>
        <v>0</v>
      </c>
      <c r="G276" s="10">
        <f t="shared" ref="G276:K276" si="274">SUM(G277:G278)</f>
        <v>0</v>
      </c>
      <c r="H276" s="10">
        <f t="shared" si="274"/>
        <v>0</v>
      </c>
      <c r="I276" s="10">
        <f t="shared" si="274"/>
        <v>0</v>
      </c>
      <c r="J276" s="10">
        <f t="shared" si="274"/>
        <v>0</v>
      </c>
      <c r="K276" s="10">
        <f t="shared" si="274"/>
        <v>0</v>
      </c>
      <c r="L276" s="10">
        <f t="shared" ref="L276:O276" si="275">SUM(L277:L278)</f>
        <v>0</v>
      </c>
      <c r="M276" s="10">
        <f t="shared" si="275"/>
        <v>0</v>
      </c>
      <c r="N276" s="10">
        <f t="shared" si="275"/>
        <v>0</v>
      </c>
      <c r="O276" s="10">
        <f t="shared" si="275"/>
        <v>0</v>
      </c>
      <c r="P276" s="10">
        <f>SUM(P277:P278)</f>
        <v>0</v>
      </c>
      <c r="Q276" s="10">
        <f>SUM(Q277:Q278)</f>
        <v>0</v>
      </c>
      <c r="S276" s="3"/>
    </row>
    <row r="277" spans="1:19" x14ac:dyDescent="0.5">
      <c r="A277" s="5" t="s">
        <v>5</v>
      </c>
      <c r="B277" s="5" t="s">
        <v>6</v>
      </c>
      <c r="C277" s="5" t="s">
        <v>7</v>
      </c>
      <c r="D277" t="s">
        <v>181</v>
      </c>
      <c r="E277" t="str">
        <f>E182</f>
        <v>PJ/yr.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S277" s="3"/>
    </row>
    <row r="278" spans="1:19" x14ac:dyDescent="0.5">
      <c r="A278" s="5" t="s">
        <v>5</v>
      </c>
      <c r="B278" s="5" t="s">
        <v>6</v>
      </c>
      <c r="C278" s="5" t="s">
        <v>7</v>
      </c>
      <c r="D278" t="s">
        <v>182</v>
      </c>
      <c r="E278" t="str">
        <f>E183</f>
        <v>PJ/yr.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S278" s="3"/>
    </row>
    <row r="279" spans="1:19" x14ac:dyDescent="0.5">
      <c r="A279" s="5" t="s">
        <v>5</v>
      </c>
      <c r="B279" s="5" t="s">
        <v>6</v>
      </c>
      <c r="C279" s="5" t="s">
        <v>7</v>
      </c>
      <c r="D279" t="s">
        <v>842</v>
      </c>
      <c r="E279" t="str">
        <f>E184</f>
        <v>PJ/yr.</v>
      </c>
      <c r="F279" s="1">
        <f>SUM(F280:F281)</f>
        <v>1.935257622212696</v>
      </c>
      <c r="G279" s="1">
        <f t="shared" ref="G279:K279" si="276">SUM(G280:G281)</f>
        <v>1.9673347770153415</v>
      </c>
      <c r="H279" s="1">
        <f t="shared" si="276"/>
        <v>2.5505036369789567</v>
      </c>
      <c r="I279" s="1">
        <f t="shared" si="276"/>
        <v>2.2435319650864538</v>
      </c>
      <c r="J279" s="1">
        <f t="shared" si="276"/>
        <v>1.9428551013173674</v>
      </c>
      <c r="K279" s="1">
        <f t="shared" si="276"/>
        <v>1.6356427560247073</v>
      </c>
      <c r="L279" s="1">
        <f t="shared" ref="L279:O279" si="277">SUM(L280:L281)</f>
        <v>1.2414148388912871</v>
      </c>
      <c r="M279" s="1">
        <f t="shared" si="277"/>
        <v>2.2135459009997924</v>
      </c>
      <c r="N279" s="1">
        <f t="shared" si="277"/>
        <v>2.0107117255039331</v>
      </c>
      <c r="O279" s="1">
        <f t="shared" si="277"/>
        <v>2.0112165670221871</v>
      </c>
      <c r="P279" s="1">
        <f>SUM(P280:P281)</f>
        <v>2.0113732021296857</v>
      </c>
      <c r="Q279" s="1">
        <f>SUM(Q280:Q281)</f>
        <v>2.0116697604305838</v>
      </c>
      <c r="S279" s="3"/>
    </row>
    <row r="280" spans="1:19" x14ac:dyDescent="0.5">
      <c r="A280" s="5" t="s">
        <v>5</v>
      </c>
      <c r="B280" s="5" t="s">
        <v>6</v>
      </c>
      <c r="C280" s="5" t="s">
        <v>7</v>
      </c>
      <c r="D280" t="s">
        <v>183</v>
      </c>
      <c r="E280" t="str">
        <f>E185</f>
        <v>PJ/yr.</v>
      </c>
      <c r="F280" s="1">
        <f>F274</f>
        <v>1.935257622212696</v>
      </c>
      <c r="G280" s="1">
        <f t="shared" ref="G280:K280" si="278">G274</f>
        <v>1.9673347770153415</v>
      </c>
      <c r="H280" s="1">
        <f t="shared" si="278"/>
        <v>2.5505036369789567</v>
      </c>
      <c r="I280" s="1">
        <f t="shared" si="278"/>
        <v>2.2435319650864538</v>
      </c>
      <c r="J280" s="1">
        <f t="shared" si="278"/>
        <v>1.9428551013173674</v>
      </c>
      <c r="K280" s="1">
        <f t="shared" si="278"/>
        <v>1.4189873982460031</v>
      </c>
      <c r="L280" s="1">
        <f t="shared" ref="L280:O280" si="279">L274</f>
        <v>5.5317459910642075E-3</v>
      </c>
      <c r="M280" s="1">
        <f t="shared" si="279"/>
        <v>2.3296893299344923E-3</v>
      </c>
      <c r="N280" s="1">
        <f t="shared" si="279"/>
        <v>2.1901884585542319E-3</v>
      </c>
      <c r="O280" s="1">
        <f t="shared" si="279"/>
        <v>1.1902415513738163E-3</v>
      </c>
      <c r="P280" s="1">
        <f>P274</f>
        <v>1.1157500212441995E-3</v>
      </c>
      <c r="Q280" s="1">
        <f>Q274</f>
        <v>7.1079428756126717E-4</v>
      </c>
      <c r="S280" s="3"/>
    </row>
    <row r="281" spans="1:19" x14ac:dyDescent="0.5">
      <c r="A281" s="5" t="s">
        <v>5</v>
      </c>
      <c r="B281" s="5" t="s">
        <v>6</v>
      </c>
      <c r="C281" s="5" t="s">
        <v>7</v>
      </c>
      <c r="D281" t="s">
        <v>184</v>
      </c>
      <c r="E281" t="str">
        <f>E187</f>
        <v>PJ/yr.</v>
      </c>
      <c r="F281" s="1">
        <f t="shared" ref="F281:K281" si="280">F275</f>
        <v>0</v>
      </c>
      <c r="G281" s="1">
        <f t="shared" si="280"/>
        <v>0</v>
      </c>
      <c r="H281" s="1">
        <f t="shared" si="280"/>
        <v>0</v>
      </c>
      <c r="I281" s="1">
        <f t="shared" si="280"/>
        <v>0</v>
      </c>
      <c r="J281" s="1">
        <f t="shared" si="280"/>
        <v>0</v>
      </c>
      <c r="K281" s="1">
        <f t="shared" si="280"/>
        <v>0.21665535777870429</v>
      </c>
      <c r="L281" s="1">
        <f t="shared" ref="L281:O281" si="281">L275</f>
        <v>1.2358830929002229</v>
      </c>
      <c r="M281" s="1">
        <f t="shared" si="281"/>
        <v>2.2112162116698579</v>
      </c>
      <c r="N281" s="1">
        <f t="shared" si="281"/>
        <v>2.0085215370453788</v>
      </c>
      <c r="O281" s="1">
        <f t="shared" si="281"/>
        <v>2.0100263254708133</v>
      </c>
      <c r="P281" s="1">
        <f>P275</f>
        <v>2.0102574521084415</v>
      </c>
      <c r="Q281" s="1">
        <f>Q275</f>
        <v>2.0109589661430225</v>
      </c>
      <c r="S281" s="3"/>
    </row>
    <row r="282" spans="1:19" x14ac:dyDescent="0.5">
      <c r="A282" s="5" t="s">
        <v>5</v>
      </c>
      <c r="B282" s="5" t="s">
        <v>6</v>
      </c>
      <c r="C282" s="5" t="s">
        <v>7</v>
      </c>
      <c r="D282" t="s">
        <v>843</v>
      </c>
      <c r="E282" t="str">
        <f>E188</f>
        <v>PJ/yr.</v>
      </c>
      <c r="F282" s="1">
        <f>SUM(F283:F287)</f>
        <v>0.66015002824752234</v>
      </c>
      <c r="G282" s="1">
        <f t="shared" ref="G282:K282" si="282">SUM(G283:G287)</f>
        <v>1.7178170201333334</v>
      </c>
      <c r="H282" s="1">
        <f t="shared" si="282"/>
        <v>3.3735361215429793</v>
      </c>
      <c r="I282" s="1">
        <f t="shared" si="282"/>
        <v>3.1300171023924155</v>
      </c>
      <c r="J282" s="1">
        <f t="shared" si="282"/>
        <v>3.1308627329449585</v>
      </c>
      <c r="K282" s="1">
        <f t="shared" si="282"/>
        <v>5.6647877348416822</v>
      </c>
      <c r="L282" s="1">
        <f t="shared" ref="L282:O282" si="283">SUM(L283:L287)</f>
        <v>9.0435700766158735</v>
      </c>
      <c r="M282" s="1">
        <f t="shared" si="283"/>
        <v>10.656127711289345</v>
      </c>
      <c r="N282" s="1">
        <f t="shared" si="283"/>
        <v>9.8903939487464445</v>
      </c>
      <c r="O282" s="1">
        <f t="shared" si="283"/>
        <v>9.72428196736338</v>
      </c>
      <c r="P282" s="1">
        <f>SUM(P283:P287)</f>
        <v>9.6557694048017293</v>
      </c>
      <c r="Q282" s="1">
        <f>SUM(Q283:Q287)</f>
        <v>9.4864828666029961</v>
      </c>
      <c r="S282" s="3"/>
    </row>
    <row r="283" spans="1:19" x14ac:dyDescent="0.5">
      <c r="A283" s="5" t="s">
        <v>5</v>
      </c>
      <c r="B283" s="5" t="s">
        <v>6</v>
      </c>
      <c r="C283" s="5" t="s">
        <v>7</v>
      </c>
      <c r="D283" t="s">
        <v>185</v>
      </c>
      <c r="E283" t="str">
        <f>E189</f>
        <v>PJ/yr.</v>
      </c>
      <c r="F283" s="1">
        <f>'[1]Electricity and CHPs'!B$105-F284</f>
        <v>0.66015002824752234</v>
      </c>
      <c r="G283" s="1">
        <f>'[1]Electricity and CHPs'!C$105-G284</f>
        <v>1.7178170201333334</v>
      </c>
      <c r="H283" s="1">
        <f>'[1]Electricity and CHPs'!D$105-H284</f>
        <v>3.3735361215429793</v>
      </c>
      <c r="I283" s="1">
        <f>'[1]Electricity and CHPs'!E$105-I284</f>
        <v>3.1107935691082202</v>
      </c>
      <c r="J283" s="1">
        <f>'[1]Electricity and CHPs'!F$105-J284</f>
        <v>3.0893541834833025</v>
      </c>
      <c r="K283" s="1">
        <f>'[1]Electricity and CHPs'!G$105-K284</f>
        <v>1.9263507522140051</v>
      </c>
      <c r="L283" s="1">
        <f>'[1]Electricity and CHPs'!H$105-L284</f>
        <v>0.78623631817442785</v>
      </c>
      <c r="M283" s="1">
        <f>'[1]Electricity and CHPs'!I$105-M284</f>
        <v>0.73106917025826945</v>
      </c>
      <c r="N283" s="1">
        <f>'[1]Electricity and CHPs'!J$105-N284</f>
        <v>1.5675532571300721E-2</v>
      </c>
      <c r="O283" s="1">
        <f>'[1]Electricity and CHPs'!K$105-O284</f>
        <v>8.0502881304536089E-3</v>
      </c>
      <c r="P283" s="1">
        <f>'[1]Electricity and CHPs'!L$105-P284</f>
        <v>9.0203422642449738E-3</v>
      </c>
      <c r="Q283" s="1">
        <f>'[1]Electricity and CHPs'!M$105-Q284</f>
        <v>1.0342937297341592E-2</v>
      </c>
      <c r="S283" s="3"/>
    </row>
    <row r="284" spans="1:19" x14ac:dyDescent="0.5">
      <c r="A284" s="5" t="s">
        <v>5</v>
      </c>
      <c r="B284" s="5" t="s">
        <v>6</v>
      </c>
      <c r="C284" s="5" t="s">
        <v>7</v>
      </c>
      <c r="D284" t="s">
        <v>186</v>
      </c>
      <c r="E284" t="str">
        <f>E190</f>
        <v>PJ/yr.</v>
      </c>
      <c r="F284" s="1" cm="1">
        <f t="array" ref="F284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4" s="1" cm="1">
        <f t="array" ref="G284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4" s="1" cm="1">
        <f t="array" ref="H284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4" s="1" cm="1">
        <f t="array" ref="I284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4" s="1" cm="1">
        <f t="array" ref="J284">SUMPRODUCT((ISNUMBER(SEARCH("itot*CHPWOD*ccs",[1]OUT_Electricity_CHP!$B$1:$B$10000)))*1,([1]OUT_Electricity_CHP!$C$1:$C$10000="Var_Fout")*1,([1]OUT_Electricity_CHP!$D$1:$D$10000="ITOT_LTH_CHP")*1,[1]OUT_Electricity_CHP!I$1:I$10000)</f>
        <v>0</v>
      </c>
      <c r="K284" s="1" cm="1">
        <f t="array" ref="K284">SUMPRODUCT((ISNUMBER(SEARCH("itot*CHPWOD*ccs",[1]OUT_Electricity_CHP!$B$1:$B$10000)))*1,([1]OUT_Electricity_CHP!$C$1:$C$10000="Var_Fout")*1,([1]OUT_Electricity_CHP!$D$1:$D$10000="ITOT_LTH_CHP")*1,[1]OUT_Electricity_CHP!J$1:J$10000)</f>
        <v>3.5126562603055342</v>
      </c>
      <c r="L284" s="1" cm="1">
        <f t="array" ref="L284">SUMPRODUCT((ISNUMBER(SEARCH("itot*CHPWOD*ccs",[1]OUT_Electricity_CHP!$B$1:$B$10000)))*1,([1]OUT_Electricity_CHP!$C$1:$C$10000="Var_Fout")*1,([1]OUT_Electricity_CHP!$D$1:$D$10000="ITOT_LTH_CHP")*1,[1]OUT_Electricity_CHP!K$1:K$10000)</f>
        <v>7.8958155536248302</v>
      </c>
      <c r="M284" s="1" cm="1">
        <f t="array" ref="M284">SUMPRODUCT((ISNUMBER(SEARCH("itot*CHPWOD*ccs",[1]OUT_Electricity_CHP!$B$1:$B$10000)))*1,([1]OUT_Electricity_CHP!$C$1:$C$10000="Var_Fout")*1,([1]OUT_Electricity_CHP!$D$1:$D$10000="ITOT_LTH_CHP")*1,[1]OUT_Electricity_CHP!L$1:L$10000)</f>
        <v>9.3177698324937257</v>
      </c>
      <c r="N284" s="1" cm="1">
        <f t="array" ref="N284">SUMPRODUCT((ISNUMBER(SEARCH("itot*CHPWOD*ccs",[1]OUT_Electricity_CHP!$B$1:$B$10000)))*1,([1]OUT_Electricity_CHP!$C$1:$C$10000="Var_Fout")*1,([1]OUT_Electricity_CHP!$D$1:$D$10000="ITOT_LTH_CHP")*1,[1]OUT_Electricity_CHP!M$1:M$10000)</f>
        <v>9.318092771571882</v>
      </c>
      <c r="O284" s="1" cm="1">
        <f t="array" ref="O284">SUMPRODUCT((ISNUMBER(SEARCH("itot*CHPWOD*ccs",[1]OUT_Electricity_CHP!$B$1:$B$10000)))*1,([1]OUT_Electricity_CHP!$C$1:$C$10000="Var_Fout")*1,([1]OUT_Electricity_CHP!$D$1:$D$10000="ITOT_LTH_CHP")*1,[1]OUT_Electricity_CHP!N$1:N$10000)</f>
        <v>9.3177755185779834</v>
      </c>
      <c r="P284" s="1" cm="1">
        <f t="array" ref="P284">SUMPRODUCT((ISNUMBER(SEARCH("itot*CHPWOD*ccs",[1]OUT_Electricity_CHP!$B$1:$B$10000)))*1,([1]OUT_Electricity_CHP!$C$1:$C$10000="Var_Fout")*1,([1]OUT_Electricity_CHP!$D$1:$D$10000="ITOT_LTH_CHP")*1,[1]OUT_Electricity_CHP!O$1:O$10000)</f>
        <v>9.3177464712452078</v>
      </c>
      <c r="Q284" s="1" cm="1">
        <f t="array" ref="Q284">SUMPRODUCT((ISNUMBER(SEARCH("itot*CHPWOD*ccs",[1]OUT_Electricity_CHP!$B$1:$B$10000)))*1,([1]OUT_Electricity_CHP!$C$1:$C$10000="Var_Fout")*1,([1]OUT_Electricity_CHP!$D$1:$D$10000="ITOT_LTH_CHP")*1,[1]OUT_Electricity_CHP!P$1:P$10000)</f>
        <v>9.3179633465662928</v>
      </c>
      <c r="S284" s="3"/>
    </row>
    <row r="285" spans="1:19" x14ac:dyDescent="0.5">
      <c r="A285" s="5" t="s">
        <v>5</v>
      </c>
      <c r="B285" s="5" t="s">
        <v>6</v>
      </c>
      <c r="C285" s="5" t="s">
        <v>7</v>
      </c>
      <c r="D285" t="s">
        <v>187</v>
      </c>
      <c r="E285" t="str">
        <f>E212</f>
        <v>PJ/yr.</v>
      </c>
      <c r="F285" s="1">
        <f>'[1]Electricity and CHPs'!B$110</f>
        <v>0</v>
      </c>
      <c r="G285" s="1">
        <f>'[1]Electricity and CHPs'!C$110</f>
        <v>0</v>
      </c>
      <c r="H285" s="1">
        <f>'[1]Electricity and CHPs'!D$110</f>
        <v>0</v>
      </c>
      <c r="I285" s="1">
        <f>'[1]Electricity and CHPs'!E$110</f>
        <v>6.4454108352133277E-3</v>
      </c>
      <c r="J285" s="1">
        <f>'[1]Electricity and CHPs'!F$110</f>
        <v>1.2471713646458969E-2</v>
      </c>
      <c r="K285" s="1">
        <f>'[1]Electricity and CHPs'!G$110</f>
        <v>2.9516006559179121E-2</v>
      </c>
      <c r="L285" s="1">
        <f>'[1]Electricity and CHPs'!H$110</f>
        <v>2.9732227225122886E-2</v>
      </c>
      <c r="M285" s="1">
        <f>'[1]Electricity and CHPs'!I$110</f>
        <v>5.0308586315321951E-2</v>
      </c>
      <c r="N285" s="1">
        <f>'[1]Electricity and CHPs'!J$110</f>
        <v>3.3100222088186873E-2</v>
      </c>
      <c r="O285" s="1">
        <f>'[1]Electricity and CHPs'!K$110</f>
        <v>2.329441703464185E-2</v>
      </c>
      <c r="P285" s="1">
        <f>'[1]Electricity and CHPs'!L$110</f>
        <v>3.0329834637175326E-2</v>
      </c>
      <c r="Q285" s="1">
        <f>'[1]Electricity and CHPs'!M$110</f>
        <v>3.3453801433291921E-2</v>
      </c>
      <c r="S285" s="3"/>
    </row>
    <row r="286" spans="1:19" x14ac:dyDescent="0.5">
      <c r="A286" s="5" t="s">
        <v>5</v>
      </c>
      <c r="B286" s="5" t="s">
        <v>6</v>
      </c>
      <c r="C286" s="5" t="s">
        <v>7</v>
      </c>
      <c r="D286" t="s">
        <v>188</v>
      </c>
      <c r="E286" t="str">
        <f>E216</f>
        <v>PJ/yr.</v>
      </c>
      <c r="F286" s="1">
        <f>'[1]Electricity and CHPs'!B$113</f>
        <v>0</v>
      </c>
      <c r="G286" s="1">
        <f>'[1]Electricity and CHPs'!C$113</f>
        <v>0</v>
      </c>
      <c r="H286" s="1">
        <f>'[1]Electricity and CHPs'!D$113</f>
        <v>0</v>
      </c>
      <c r="I286" s="1">
        <f>'[1]Electricity and CHPs'!E$113</f>
        <v>9.2635908212006738E-3</v>
      </c>
      <c r="J286" s="1">
        <f>'[1]Electricity and CHPs'!F$113</f>
        <v>2.3051824182146602E-2</v>
      </c>
      <c r="K286" s="1">
        <f>'[1]Electricity and CHPs'!G$113</f>
        <v>0.18238761987522945</v>
      </c>
      <c r="L286" s="1">
        <f>'[1]Electricity and CHPs'!H$113</f>
        <v>0.3202661333933628</v>
      </c>
      <c r="M286" s="1">
        <f>'[1]Electricity and CHPs'!I$113</f>
        <v>0.54068328773775942</v>
      </c>
      <c r="N286" s="1">
        <f>'[1]Electricity and CHPs'!J$113</f>
        <v>0.51157633386173818</v>
      </c>
      <c r="O286" s="1">
        <f>'[1]Electricity and CHPs'!K$113</f>
        <v>0.36694874312165787</v>
      </c>
      <c r="P286" s="1">
        <f>'[1]Electricity and CHPs'!L$113</f>
        <v>0.28243690110288944</v>
      </c>
      <c r="Q286" s="1">
        <f>'[1]Electricity and CHPs'!M$113</f>
        <v>0.10838725603729792</v>
      </c>
      <c r="S286" s="3"/>
    </row>
    <row r="287" spans="1:19" x14ac:dyDescent="0.5">
      <c r="A287" s="5" t="s">
        <v>5</v>
      </c>
      <c r="B287" s="5" t="s">
        <v>6</v>
      </c>
      <c r="C287" s="5" t="s">
        <v>7</v>
      </c>
      <c r="D287" t="s">
        <v>235</v>
      </c>
      <c r="E287" t="str">
        <f>E241</f>
        <v>PJ/yr.</v>
      </c>
      <c r="F287" s="1">
        <f>'[1]Electricity and CHPs'!B$117</f>
        <v>0</v>
      </c>
      <c r="G287" s="1">
        <f>'[1]Electricity and CHPs'!C$117</f>
        <v>0</v>
      </c>
      <c r="H287" s="1">
        <f>'[1]Electricity and CHPs'!D$117</f>
        <v>0</v>
      </c>
      <c r="I287" s="1">
        <f>'[1]Electricity and CHPs'!E$117</f>
        <v>3.5145316277813568E-3</v>
      </c>
      <c r="J287" s="1">
        <f>'[1]Electricity and CHPs'!F$117</f>
        <v>5.9850116330505479E-3</v>
      </c>
      <c r="K287" s="1">
        <f>'[1]Electricity and CHPs'!G$117</f>
        <v>1.3877095887734482E-2</v>
      </c>
      <c r="L287" s="1">
        <f>'[1]Electricity and CHPs'!H$117</f>
        <v>1.151984419812929E-2</v>
      </c>
      <c r="M287" s="1">
        <f>'[1]Electricity and CHPs'!I$117</f>
        <v>1.6296834484266692E-2</v>
      </c>
      <c r="N287" s="1">
        <f>'[1]Electricity and CHPs'!J$117</f>
        <v>1.1949088653335875E-2</v>
      </c>
      <c r="O287" s="1">
        <f>'[1]Electricity and CHPs'!K$117</f>
        <v>8.2130004986450018E-3</v>
      </c>
      <c r="P287" s="1">
        <f>'[1]Electricity and CHPs'!L$117</f>
        <v>1.6235855552211822E-2</v>
      </c>
      <c r="Q287" s="1">
        <f>'[1]Electricity and CHPs'!M$117</f>
        <v>1.6335525268770811E-2</v>
      </c>
      <c r="S287" s="3"/>
    </row>
    <row r="288" spans="1:19" x14ac:dyDescent="0.5">
      <c r="A288" s="5" t="s">
        <v>5</v>
      </c>
      <c r="B288" s="5" t="s">
        <v>6</v>
      </c>
      <c r="C288" s="5" t="s">
        <v>7</v>
      </c>
      <c r="D288" t="s">
        <v>844</v>
      </c>
      <c r="E288" t="str">
        <f>E195</f>
        <v>PJ/yr.</v>
      </c>
      <c r="F288" s="1">
        <f>SUM(F289:F290)</f>
        <v>0</v>
      </c>
      <c r="G288" s="1">
        <f t="shared" ref="G288:K288" si="284">SUM(G289:G290)</f>
        <v>0</v>
      </c>
      <c r="H288" s="1">
        <f t="shared" si="284"/>
        <v>0</v>
      </c>
      <c r="I288" s="1">
        <f t="shared" si="284"/>
        <v>4.2668779561106538E-3</v>
      </c>
      <c r="J288" s="1">
        <f t="shared" si="284"/>
        <v>0.4522437838760941</v>
      </c>
      <c r="K288" s="1">
        <f t="shared" si="284"/>
        <v>0.22783595559813116</v>
      </c>
      <c r="L288" s="1">
        <f t="shared" ref="L288:O288" si="285">SUM(L289:L290)</f>
        <v>0.20686195062473833</v>
      </c>
      <c r="M288" s="1">
        <f t="shared" si="285"/>
        <v>0.36912490947384929</v>
      </c>
      <c r="N288" s="1">
        <f t="shared" si="285"/>
        <v>0.88428605053102682</v>
      </c>
      <c r="O288" s="1">
        <f t="shared" si="285"/>
        <v>1.014571390153622</v>
      </c>
      <c r="P288" s="1">
        <f>SUM(P289:P290)</f>
        <v>1.8347939614373732</v>
      </c>
      <c r="Q288" s="1">
        <f>SUM(Q289:Q290)</f>
        <v>2.2809382113491257</v>
      </c>
      <c r="S288" s="3"/>
    </row>
    <row r="289" spans="1:19" x14ac:dyDescent="0.5">
      <c r="A289" s="5" t="s">
        <v>5</v>
      </c>
      <c r="B289" s="5" t="s">
        <v>6</v>
      </c>
      <c r="C289" s="5" t="s">
        <v>7</v>
      </c>
      <c r="D289" t="s">
        <v>189</v>
      </c>
      <c r="E289" t="str">
        <f>E196</f>
        <v>PJ/yr.</v>
      </c>
      <c r="F289" s="1">
        <f>'[1]Electricity and CHPs'!B$108</f>
        <v>0</v>
      </c>
      <c r="G289" s="1">
        <f>'[1]Electricity and CHPs'!C$108</f>
        <v>0</v>
      </c>
      <c r="H289" s="1">
        <f>'[1]Electricity and CHPs'!D$108</f>
        <v>0</v>
      </c>
      <c r="I289" s="1">
        <f>'[1]Electricity and CHPs'!E$108</f>
        <v>0</v>
      </c>
      <c r="J289" s="1">
        <f>'[1]Electricity and CHPs'!F$108</f>
        <v>0.4383454328251466</v>
      </c>
      <c r="K289" s="1">
        <f>'[1]Electricity and CHPs'!G$108</f>
        <v>0.21582071975853137</v>
      </c>
      <c r="L289" s="1">
        <f>'[1]Electricity and CHPs'!H$108</f>
        <v>0.197854831299902</v>
      </c>
      <c r="M289" s="1">
        <f>'[1]Electricity and CHPs'!I$108</f>
        <v>0.34315844223755976</v>
      </c>
      <c r="N289" s="1">
        <f>'[1]Electricity and CHPs'!J$108</f>
        <v>0.85279391695915807</v>
      </c>
      <c r="O289" s="1">
        <f>'[1]Electricity and CHPs'!K$108</f>
        <v>0.98355409098616675</v>
      </c>
      <c r="P289" s="1">
        <f>'[1]Electricity and CHPs'!L$108</f>
        <v>1.7326453061767038</v>
      </c>
      <c r="Q289" s="1">
        <f>'[1]Electricity and CHPs'!M$108</f>
        <v>2.0543471208958111</v>
      </c>
      <c r="S289" s="3"/>
    </row>
    <row r="290" spans="1:19" x14ac:dyDescent="0.5">
      <c r="A290" s="5" t="s">
        <v>5</v>
      </c>
      <c r="B290" s="5" t="s">
        <v>6</v>
      </c>
      <c r="C290" s="5" t="s">
        <v>7</v>
      </c>
      <c r="D290" t="s">
        <v>236</v>
      </c>
      <c r="E290" t="str">
        <f>E243</f>
        <v>PJ/yr.</v>
      </c>
      <c r="F290" s="1">
        <f>'[1]Electricity and CHPs'!B$119</f>
        <v>0</v>
      </c>
      <c r="G290" s="1">
        <f>'[1]Electricity and CHPs'!C$119</f>
        <v>0</v>
      </c>
      <c r="H290" s="1">
        <f>'[1]Electricity and CHPs'!D$119</f>
        <v>0</v>
      </c>
      <c r="I290" s="1">
        <f>'[1]Electricity and CHPs'!E$119</f>
        <v>4.2668779561106538E-3</v>
      </c>
      <c r="J290" s="1">
        <f>'[1]Electricity and CHPs'!F$119</f>
        <v>1.3898351050947527E-2</v>
      </c>
      <c r="K290" s="1">
        <f>'[1]Electricity and CHPs'!G$119</f>
        <v>1.2015235839599786E-2</v>
      </c>
      <c r="L290" s="1">
        <f>'[1]Electricity and CHPs'!H$119</f>
        <v>9.0071193248363341E-3</v>
      </c>
      <c r="M290" s="1">
        <f>'[1]Electricity and CHPs'!I$119</f>
        <v>2.596646723628954E-2</v>
      </c>
      <c r="N290" s="1">
        <f>'[1]Electricity and CHPs'!J$119</f>
        <v>3.1492133571868801E-2</v>
      </c>
      <c r="O290" s="1">
        <f>'[1]Electricity and CHPs'!K$119</f>
        <v>3.1017299167455124E-2</v>
      </c>
      <c r="P290" s="1">
        <f>'[1]Electricity and CHPs'!L$119</f>
        <v>0.10214865526066945</v>
      </c>
      <c r="Q290" s="1">
        <f>'[1]Electricity and CHPs'!M$119</f>
        <v>0.22659109045331471</v>
      </c>
      <c r="S290" s="3"/>
    </row>
    <row r="291" spans="1:19" x14ac:dyDescent="0.5">
      <c r="A291" s="5" t="s">
        <v>5</v>
      </c>
      <c r="B291" s="9" t="s">
        <v>6</v>
      </c>
      <c r="C291" s="9" t="s">
        <v>7</v>
      </c>
      <c r="D291" s="2" t="s">
        <v>91</v>
      </c>
      <c r="E291" s="2" t="str">
        <f>E289</f>
        <v>PJ/yr.</v>
      </c>
      <c r="F291" s="3">
        <f>SUM(F292,F294,F298,F310,F358,F379,F387,F389,F397,F401,F395)</f>
        <v>437.6912088603836</v>
      </c>
      <c r="G291" s="3">
        <f t="shared" ref="G291" si="286">SUM(G292,G294,G302,G310,G358,G379,G387,G389,G397,G401,G395)</f>
        <v>421.36044132328385</v>
      </c>
      <c r="H291" s="3">
        <f t="shared" ref="H291" si="287">SUM(H292,H294,H302,H310,H358,H379,H387,H389,H397,H401,H395)</f>
        <v>422.00773742410416</v>
      </c>
      <c r="I291" s="3">
        <f t="shared" ref="I291" si="288">SUM(I292,I294,I302,I310,I358,I379,I387,I389,I397,I401,I395)</f>
        <v>452.33981144501183</v>
      </c>
      <c r="J291" s="3">
        <f t="shared" ref="J291" si="289">SUM(J292,J294,J302,J310,J358,J379,J387,J389,J397,J401,J395)</f>
        <v>435.05570422628386</v>
      </c>
      <c r="K291" s="3">
        <f t="shared" ref="K291" si="290">SUM(K292,K294,K302,K310,K358,K379,K387,K389,K397,K401,K395)</f>
        <v>423.31213100688569</v>
      </c>
      <c r="L291" s="3">
        <f t="shared" ref="L291:O291" si="291">SUM(L292,L294,L302,L310,L358,L379,L387,L389,L397,L401,L395)</f>
        <v>364.48485009247867</v>
      </c>
      <c r="M291" s="3">
        <f t="shared" si="291"/>
        <v>395.43836972894394</v>
      </c>
      <c r="N291" s="3">
        <f t="shared" si="291"/>
        <v>412.4782447143786</v>
      </c>
      <c r="O291" s="3">
        <f t="shared" si="291"/>
        <v>422.44691682238062</v>
      </c>
      <c r="P291" s="3">
        <f>SUM(P292,P294,P302,P310,P358,P379,P387,P389,P397,P401,P395)</f>
        <v>418.17861421206504</v>
      </c>
      <c r="Q291" s="3">
        <f>SUM(Q292,Q294,Q302,Q310,Q358,Q379,Q387,Q389,Q397,Q401,Q395)</f>
        <v>423.82304809572975</v>
      </c>
      <c r="S291" s="3"/>
    </row>
    <row r="292" spans="1:19" x14ac:dyDescent="0.5">
      <c r="A292" s="5" t="s">
        <v>5</v>
      </c>
      <c r="B292" s="5" t="s">
        <v>6</v>
      </c>
      <c r="C292" s="5" t="s">
        <v>7</v>
      </c>
      <c r="D292" t="s">
        <v>845</v>
      </c>
      <c r="E292" t="str">
        <f>E290</f>
        <v>PJ/yr.</v>
      </c>
      <c r="F292" s="1">
        <f>F293</f>
        <v>250.94845473400628</v>
      </c>
      <c r="G292" s="1">
        <f t="shared" ref="G292:O292" si="292">G293</f>
        <v>254.39266173624492</v>
      </c>
      <c r="H292" s="1">
        <f t="shared" si="292"/>
        <v>224.17755079030468</v>
      </c>
      <c r="I292" s="1">
        <f t="shared" si="292"/>
        <v>221.47213765894628</v>
      </c>
      <c r="J292" s="1">
        <f t="shared" si="292"/>
        <v>170.42306390361691</v>
      </c>
      <c r="K292" s="1">
        <f t="shared" si="292"/>
        <v>100.00506324824322</v>
      </c>
      <c r="L292" s="1">
        <f t="shared" si="292"/>
        <v>0</v>
      </c>
      <c r="M292" s="1">
        <f t="shared" si="292"/>
        <v>0</v>
      </c>
      <c r="N292" s="1">
        <f t="shared" si="292"/>
        <v>0</v>
      </c>
      <c r="O292" s="1">
        <f t="shared" si="292"/>
        <v>0</v>
      </c>
      <c r="P292" s="1">
        <f>P293</f>
        <v>0</v>
      </c>
      <c r="Q292" s="1">
        <f>Q293</f>
        <v>0</v>
      </c>
      <c r="S292" s="3"/>
    </row>
    <row r="293" spans="1:19" x14ac:dyDescent="0.5">
      <c r="A293" s="5" t="s">
        <v>5</v>
      </c>
      <c r="B293" s="5" t="s">
        <v>6</v>
      </c>
      <c r="C293" s="5" t="s">
        <v>7</v>
      </c>
      <c r="D293" t="s">
        <v>92</v>
      </c>
      <c r="E293" t="str">
        <f>E292</f>
        <v>PJ/yr.</v>
      </c>
      <c r="F293" s="1">
        <f>'[1]Electricity and CHPs_IN'!B$14</f>
        <v>250.94845473400628</v>
      </c>
      <c r="G293" s="1">
        <f>'[1]Electricity and CHPs_IN'!C$14</f>
        <v>254.39266173624492</v>
      </c>
      <c r="H293" s="1">
        <f>'[1]Electricity and CHPs_IN'!D$14</f>
        <v>224.17755079030468</v>
      </c>
      <c r="I293" s="1">
        <f>'[1]Electricity and CHPs_IN'!E$14</f>
        <v>221.47213765894628</v>
      </c>
      <c r="J293" s="1">
        <f>'[1]Electricity and CHPs_IN'!F$14</f>
        <v>170.42306390361691</v>
      </c>
      <c r="K293" s="1">
        <f>'[1]Electricity and CHPs_IN'!G$14</f>
        <v>100.00506324824322</v>
      </c>
      <c r="L293" s="1">
        <f>'[1]Electricity and CHPs_IN'!H$14</f>
        <v>0</v>
      </c>
      <c r="M293" s="1">
        <f>'[1]Electricity and CHPs_IN'!I$14</f>
        <v>0</v>
      </c>
      <c r="N293" s="1">
        <f>'[1]Electricity and CHPs_IN'!J$14</f>
        <v>0</v>
      </c>
      <c r="O293" s="1">
        <f>'[1]Electricity and CHPs_IN'!K$14</f>
        <v>0</v>
      </c>
      <c r="P293" s="1">
        <f>'[1]Electricity and CHPs_IN'!L$14</f>
        <v>0</v>
      </c>
      <c r="Q293" s="1">
        <f>'[1]Electricity and CHPs_IN'!M$14</f>
        <v>0</v>
      </c>
      <c r="S293" s="3"/>
    </row>
    <row r="294" spans="1:19" x14ac:dyDescent="0.5">
      <c r="A294" s="5" t="s">
        <v>5</v>
      </c>
      <c r="B294" s="5" t="s">
        <v>6</v>
      </c>
      <c r="C294" s="5" t="s">
        <v>7</v>
      </c>
      <c r="D294" t="s">
        <v>846</v>
      </c>
      <c r="E294" t="str">
        <f t="shared" ref="E294:E357" si="293">E293</f>
        <v>PJ/yr.</v>
      </c>
      <c r="F294" s="1">
        <f>SUM(F295:F297)</f>
        <v>149.43059337480662</v>
      </c>
      <c r="G294" s="1">
        <f t="shared" ref="G294:K294" si="294">SUM(G295:G297)</f>
        <v>125.6135373350977</v>
      </c>
      <c r="H294" s="1">
        <f t="shared" si="294"/>
        <v>136.72851371781385</v>
      </c>
      <c r="I294" s="1">
        <f t="shared" si="294"/>
        <v>151.8587986691914</v>
      </c>
      <c r="J294" s="1">
        <f t="shared" si="294"/>
        <v>152.7984553986376</v>
      </c>
      <c r="K294" s="1">
        <f t="shared" si="294"/>
        <v>155.24931358623027</v>
      </c>
      <c r="L294" s="1">
        <f t="shared" ref="L294:O294" si="295">SUM(L295:L297)</f>
        <v>157.35810234559594</v>
      </c>
      <c r="M294" s="1">
        <f t="shared" si="295"/>
        <v>159.61656544504115</v>
      </c>
      <c r="N294" s="1">
        <f t="shared" si="295"/>
        <v>160.22837810981682</v>
      </c>
      <c r="O294" s="1">
        <f t="shared" si="295"/>
        <v>159.77001382162845</v>
      </c>
      <c r="P294" s="1">
        <f>SUM(P295:P297)</f>
        <v>159.69766320955407</v>
      </c>
      <c r="Q294" s="1">
        <f>SUM(Q295:Q297)</f>
        <v>159.73738471343759</v>
      </c>
      <c r="S294" s="3"/>
    </row>
    <row r="295" spans="1:19" x14ac:dyDescent="0.5">
      <c r="A295" s="5" t="s">
        <v>5</v>
      </c>
      <c r="B295" s="5" t="s">
        <v>6</v>
      </c>
      <c r="C295" s="5" t="s">
        <v>7</v>
      </c>
      <c r="D295" t="s">
        <v>93</v>
      </c>
      <c r="E295" t="str">
        <f t="shared" si="293"/>
        <v>PJ/yr.</v>
      </c>
      <c r="F295" s="1">
        <f>'[1]Electricity and CHPs_IN'!B$15</f>
        <v>66.745708281990133</v>
      </c>
      <c r="G295" s="1">
        <f>'[1]Electricity and CHPs_IN'!C$15</f>
        <v>49.79887989838307</v>
      </c>
      <c r="H295" s="1">
        <f>'[1]Electricity and CHPs_IN'!D$15</f>
        <v>68.897628517817694</v>
      </c>
      <c r="I295" s="1">
        <f>'[1]Electricity and CHPs_IN'!E$15</f>
        <v>67.436176323598133</v>
      </c>
      <c r="J295" s="1">
        <f>'[1]Electricity and CHPs_IN'!F$15</f>
        <v>69.602693607232482</v>
      </c>
      <c r="K295" s="1">
        <f>'[1]Electricity and CHPs_IN'!G$15</f>
        <v>72.110610586777625</v>
      </c>
      <c r="L295" s="1">
        <f>'[1]Electricity and CHPs_IN'!H$15</f>
        <v>74.384203130425917</v>
      </c>
      <c r="M295" s="1">
        <f>'[1]Electricity and CHPs_IN'!I$15</f>
        <v>74.836122087372644</v>
      </c>
      <c r="N295" s="1">
        <f>'[1]Electricity and CHPs_IN'!J$15</f>
        <v>74.836120767225623</v>
      </c>
      <c r="O295" s="1">
        <f>'[1]Electricity and CHPs_IN'!K$15</f>
        <v>74.836121311270801</v>
      </c>
      <c r="P295" s="1">
        <f>'[1]Electricity and CHPs_IN'!L$15</f>
        <v>74.836121465747624</v>
      </c>
      <c r="Q295" s="1">
        <f>'[1]Electricity and CHPs_IN'!M$15</f>
        <v>74.836110192055827</v>
      </c>
      <c r="S295" s="3"/>
    </row>
    <row r="296" spans="1:19" x14ac:dyDescent="0.5">
      <c r="A296" s="5" t="s">
        <v>5</v>
      </c>
      <c r="B296" s="5" t="s">
        <v>6</v>
      </c>
      <c r="C296" s="5" t="s">
        <v>7</v>
      </c>
      <c r="D296" t="s">
        <v>94</v>
      </c>
      <c r="E296" t="str">
        <f t="shared" si="293"/>
        <v>PJ/yr.</v>
      </c>
      <c r="F296" s="1">
        <f>'[1]Electricity and CHPs_IN'!B$16</f>
        <v>66.632456704505273</v>
      </c>
      <c r="G296" s="1">
        <f>'[1]Electricity and CHPs_IN'!C$16</f>
        <v>55.764165713605053</v>
      </c>
      <c r="H296" s="1">
        <f>'[1]Electricity and CHPs_IN'!D$16</f>
        <v>65.579025810201756</v>
      </c>
      <c r="I296" s="1">
        <f>'[1]Electricity and CHPs_IN'!E$16</f>
        <v>67.20614308569202</v>
      </c>
      <c r="J296" s="1">
        <f>'[1]Electricity and CHPs_IN'!F$16</f>
        <v>66.883813285455119</v>
      </c>
      <c r="K296" s="1">
        <f>'[1]Electricity and CHPs_IN'!G$16</f>
        <v>66.204245097786654</v>
      </c>
      <c r="L296" s="1">
        <f>'[1]Electricity and CHPs_IN'!H$16</f>
        <v>65.605812293477044</v>
      </c>
      <c r="M296" s="1">
        <f>'[1]Electricity and CHPs_IN'!I$16</f>
        <v>67.134916696870022</v>
      </c>
      <c r="N296" s="1">
        <f>'[1]Electricity and CHPs_IN'!J$16</f>
        <v>67.134923157520916</v>
      </c>
      <c r="O296" s="1">
        <f>'[1]Electricity and CHPs_IN'!K$16</f>
        <v>67.13494239530003</v>
      </c>
      <c r="P296" s="1">
        <f>'[1]Electricity and CHPs_IN'!L$16</f>
        <v>67.1349506734133</v>
      </c>
      <c r="Q296" s="1">
        <f>'[1]Electricity and CHPs_IN'!M$16</f>
        <v>67.134986787595707</v>
      </c>
      <c r="S296" s="3"/>
    </row>
    <row r="297" spans="1:19" x14ac:dyDescent="0.5">
      <c r="A297" s="5" t="s">
        <v>5</v>
      </c>
      <c r="B297" s="5" t="s">
        <v>6</v>
      </c>
      <c r="C297" s="5" t="s">
        <v>7</v>
      </c>
      <c r="D297" t="s">
        <v>95</v>
      </c>
      <c r="E297" t="str">
        <f t="shared" si="293"/>
        <v>PJ/yr.</v>
      </c>
      <c r="F297" s="1">
        <f>'[1]Electricity and CHPs_IN'!B$13</f>
        <v>16.052428388311217</v>
      </c>
      <c r="G297" s="1">
        <f>'[1]Electricity and CHPs_IN'!C$13</f>
        <v>20.05049172310958</v>
      </c>
      <c r="H297" s="1">
        <f>'[1]Electricity and CHPs_IN'!D$13</f>
        <v>2.2518593897944266</v>
      </c>
      <c r="I297" s="1">
        <f>'[1]Electricity and CHPs_IN'!E$13</f>
        <v>17.21647925990122</v>
      </c>
      <c r="J297" s="1">
        <f>'[1]Electricity and CHPs_IN'!F$13</f>
        <v>16.311948505949989</v>
      </c>
      <c r="K297" s="1">
        <f>'[1]Electricity and CHPs_IN'!G$13</f>
        <v>16.934457901665986</v>
      </c>
      <c r="L297" s="1">
        <f>'[1]Electricity and CHPs_IN'!H$13</f>
        <v>17.368086921693003</v>
      </c>
      <c r="M297" s="1">
        <f>'[1]Electricity and CHPs_IN'!I$13</f>
        <v>17.645526660798485</v>
      </c>
      <c r="N297" s="1">
        <f>'[1]Electricity and CHPs_IN'!J$13</f>
        <v>18.257334185070285</v>
      </c>
      <c r="O297" s="1">
        <f>'[1]Electricity and CHPs_IN'!K$13</f>
        <v>17.798950115057636</v>
      </c>
      <c r="P297" s="1">
        <f>'[1]Electricity and CHPs_IN'!L$13</f>
        <v>17.726591070393145</v>
      </c>
      <c r="Q297" s="1">
        <f>'[1]Electricity and CHPs_IN'!M$13</f>
        <v>17.766287733786076</v>
      </c>
      <c r="S297" s="3"/>
    </row>
    <row r="298" spans="1:19" x14ac:dyDescent="0.5">
      <c r="A298" s="5" t="s">
        <v>5</v>
      </c>
      <c r="B298" s="5" t="s">
        <v>6</v>
      </c>
      <c r="C298" s="5" t="s">
        <v>7</v>
      </c>
      <c r="D298" t="s">
        <v>847</v>
      </c>
      <c r="E298" t="str">
        <f t="shared" si="293"/>
        <v>PJ/yr.</v>
      </c>
      <c r="F298" s="1">
        <f>SUM(F299:F301)</f>
        <v>0.17239013087144184</v>
      </c>
      <c r="G298" s="1">
        <f t="shared" ref="G298:K298" si="296">SUM(G299:G301)</f>
        <v>0.53251325179544995</v>
      </c>
      <c r="H298" s="1">
        <f t="shared" si="296"/>
        <v>3.9907720404844346E-2</v>
      </c>
      <c r="I298" s="1">
        <f t="shared" si="296"/>
        <v>7.9818575421638185E-2</v>
      </c>
      <c r="J298" s="1">
        <f t="shared" si="296"/>
        <v>0.11386101303417673</v>
      </c>
      <c r="K298" s="1">
        <f t="shared" si="296"/>
        <v>0.49453348078429854</v>
      </c>
      <c r="L298" s="1">
        <f t="shared" ref="L298:O298" si="297">SUM(L299:L301)</f>
        <v>5.7392757007403927E-2</v>
      </c>
      <c r="M298" s="1">
        <f t="shared" si="297"/>
        <v>2.6786080674022202E-4</v>
      </c>
      <c r="N298" s="1">
        <f t="shared" si="297"/>
        <v>4.2977728239316426E-3</v>
      </c>
      <c r="O298" s="1">
        <f t="shared" si="297"/>
        <v>6.0493258679635235E-3</v>
      </c>
      <c r="P298" s="1">
        <f>SUM(P299:P301)</f>
        <v>8.8144335701131026E-3</v>
      </c>
      <c r="Q298" s="1">
        <f>SUM(Q299:Q301)</f>
        <v>1.2993593371199754E-2</v>
      </c>
      <c r="S298" s="3"/>
    </row>
    <row r="299" spans="1:19" x14ac:dyDescent="0.5">
      <c r="A299" s="5" t="s">
        <v>5</v>
      </c>
      <c r="B299" s="5" t="s">
        <v>6</v>
      </c>
      <c r="C299" s="5" t="s">
        <v>7</v>
      </c>
      <c r="D299" t="s">
        <v>96</v>
      </c>
      <c r="E299" t="str">
        <f t="shared" si="293"/>
        <v>PJ/yr.</v>
      </c>
      <c r="F299" s="1">
        <f>'[1]Electricity and CHPs_IN'!B$18</f>
        <v>0.14382678351987921</v>
      </c>
      <c r="G299" s="1">
        <f>'[1]Electricity and CHPs_IN'!C$18</f>
        <v>0.41214164177295592</v>
      </c>
      <c r="H299" s="1">
        <f>'[1]Electricity and CHPs_IN'!D$18</f>
        <v>3.2119379499961943E-2</v>
      </c>
      <c r="I299" s="1">
        <f>'[1]Electricity and CHPs_IN'!E$18</f>
        <v>4.4355038224702485E-3</v>
      </c>
      <c r="J299" s="1">
        <f>'[1]Electricity and CHPs_IN'!F$18</f>
        <v>4.8495559912557669E-3</v>
      </c>
      <c r="K299" s="1">
        <f>'[1]Electricity and CHPs_IN'!G$18</f>
        <v>0.4918456861158117</v>
      </c>
      <c r="L299" s="1">
        <f>'[1]Electricity and CHPs_IN'!H$18</f>
        <v>5.4960193888036218E-2</v>
      </c>
      <c r="M299" s="1">
        <f>'[1]Electricity and CHPs_IN'!I$18</f>
        <v>2.4126514017729686E-4</v>
      </c>
      <c r="N299" s="1">
        <f>'[1]Electricity and CHPs_IN'!J$18</f>
        <v>1.006957128768905E-3</v>
      </c>
      <c r="O299" s="1">
        <f>'[1]Electricity and CHPs_IN'!K$18</f>
        <v>1.5018834856240189E-3</v>
      </c>
      <c r="P299" s="1">
        <f>'[1]Electricity and CHPs_IN'!L$18</f>
        <v>1.5240827312927587E-3</v>
      </c>
      <c r="Q299" s="1">
        <f>'[1]Electricity and CHPs_IN'!M$18</f>
        <v>2.0956590023869142E-3</v>
      </c>
      <c r="S299" s="3"/>
    </row>
    <row r="300" spans="1:19" x14ac:dyDescent="0.5">
      <c r="A300" s="5" t="s">
        <v>5</v>
      </c>
      <c r="B300" s="5" t="s">
        <v>6</v>
      </c>
      <c r="C300" s="5" t="s">
        <v>7</v>
      </c>
      <c r="D300" t="s">
        <v>230</v>
      </c>
      <c r="E300" t="str">
        <f t="shared" si="293"/>
        <v>PJ/yr.</v>
      </c>
      <c r="F300" s="1">
        <f>IFERROR(F72/SUM(F72,F185),0)*'[1]Electricity and CHPs_IN'!B$28</f>
        <v>6.51838239431739E-3</v>
      </c>
      <c r="G300" s="1">
        <f>IFERROR(G72/SUM(G72,G185),0)*'[1]Electricity and CHPs_IN'!C$28</f>
        <v>6.7198279645679065E-2</v>
      </c>
      <c r="H300" s="1">
        <f>IFERROR(H72/SUM(H72,H185),0)*'[1]Electricity and CHPs_IN'!D$28</f>
        <v>4.4782470926032379E-3</v>
      </c>
      <c r="I300" s="1">
        <f>IFERROR(I72/SUM(I72,I185),0)*'[1]Electricity and CHPs_IN'!E$28</f>
        <v>1.2135752361692987E-3</v>
      </c>
      <c r="J300" s="1">
        <f>IFERROR(J72/SUM(J72,J185),0)*'[1]Electricity and CHPs_IN'!F$28</f>
        <v>6.7381214396305359E-4</v>
      </c>
      <c r="K300" s="1">
        <f>IFERROR(K72/SUM(K72,K185),0)*'[1]Electricity and CHPs_IN'!G$28</f>
        <v>2.6877946684868491E-3</v>
      </c>
      <c r="L300" s="1">
        <f>IFERROR(L72/SUM(L72,L185),0)*'[1]Electricity and CHPs_IN'!H$28</f>
        <v>2.4325631193677067E-3</v>
      </c>
      <c r="M300" s="1">
        <f>IFERROR(M72/SUM(M72,M185),0)*'[1]Electricity and CHPs_IN'!I$28</f>
        <v>2.6595666562925144E-5</v>
      </c>
      <c r="N300" s="1">
        <f>IFERROR(N72/SUM(N72,N185),0)*'[1]Electricity and CHPs_IN'!J$28</f>
        <v>9.5104995647822329E-5</v>
      </c>
      <c r="O300" s="1">
        <f>IFERROR(O72/SUM(O72,O185),0)*'[1]Electricity and CHPs_IN'!K$28</f>
        <v>1.1990840725833939E-4</v>
      </c>
      <c r="P300" s="1">
        <f>IFERROR(P72/SUM(P72,P185),0)*'[1]Electricity and CHPs_IN'!L$28</f>
        <v>1.213466739733386E-4</v>
      </c>
      <c r="Q300" s="1">
        <f>IFERROR(Q72/SUM(Q72,Q185),0)*'[1]Electricity and CHPs_IN'!M$28</f>
        <v>1.4165168909731956E-4</v>
      </c>
      <c r="S300" s="3"/>
    </row>
    <row r="301" spans="1:19" x14ac:dyDescent="0.5">
      <c r="A301" s="5" t="s">
        <v>5</v>
      </c>
      <c r="B301" s="5" t="s">
        <v>6</v>
      </c>
      <c r="C301" s="5" t="s">
        <v>7</v>
      </c>
      <c r="D301" t="s">
        <v>97</v>
      </c>
      <c r="E301" t="str">
        <f t="shared" si="293"/>
        <v>PJ/yr.</v>
      </c>
      <c r="F301" s="1">
        <f>IFERROR(F73/SUM(F73,F235),0)*'[1]Electricity and CHPs_IN'!B$41</f>
        <v>2.2044964957245228E-2</v>
      </c>
      <c r="G301" s="1">
        <f>IFERROR(G73/SUM(G73,G235),0)*'[1]Electricity and CHPs_IN'!C$41</f>
        <v>5.3173330376814966E-2</v>
      </c>
      <c r="H301" s="1">
        <f>IFERROR(H73/SUM(H73,H235),0)*'[1]Electricity and CHPs_IN'!D$41</f>
        <v>3.3100938122791654E-3</v>
      </c>
      <c r="I301" s="1">
        <f>IFERROR(I73/SUM(I73,I235),0)*'[1]Electricity and CHPs_IN'!E$41</f>
        <v>7.4169496362998633E-2</v>
      </c>
      <c r="J301" s="1">
        <f>IFERROR(J73/SUM(J73,J235),0)*'[1]Electricity and CHPs_IN'!F$41</f>
        <v>0.1083376448989579</v>
      </c>
      <c r="K301" s="1">
        <f>IFERROR(K73/SUM(K73,K235),0)*'[1]Electricity and CHPs_IN'!G$41</f>
        <v>0</v>
      </c>
      <c r="L301" s="1">
        <f>IFERROR(L73/SUM(L73,L235),0)*'[1]Electricity and CHPs_IN'!H$41</f>
        <v>0</v>
      </c>
      <c r="M301" s="1">
        <f>IFERROR(M73/SUM(M73,M235),0)*'[1]Electricity and CHPs_IN'!I$41</f>
        <v>0</v>
      </c>
      <c r="N301" s="1">
        <f>IFERROR(N73/SUM(N73,N235),0)*'[1]Electricity and CHPs_IN'!J$41</f>
        <v>3.1957106995149152E-3</v>
      </c>
      <c r="O301" s="1">
        <f>IFERROR(O73/SUM(O73,O235),0)*'[1]Electricity and CHPs_IN'!K$41</f>
        <v>4.4275339750811651E-3</v>
      </c>
      <c r="P301" s="1">
        <f>IFERROR(P73/SUM(P73,P235),0)*'[1]Electricity and CHPs_IN'!L$41</f>
        <v>7.1690041648470046E-3</v>
      </c>
      <c r="Q301" s="1">
        <f>IFERROR(Q73/SUM(Q73,Q235),0)*'[1]Electricity and CHPs_IN'!M$41</f>
        <v>1.0756282679715521E-2</v>
      </c>
      <c r="S301" s="3"/>
    </row>
    <row r="302" spans="1:19" x14ac:dyDescent="0.5">
      <c r="A302" s="5" t="s">
        <v>5</v>
      </c>
      <c r="B302" s="5" t="s">
        <v>6</v>
      </c>
      <c r="C302" s="5" t="s">
        <v>7</v>
      </c>
      <c r="D302" t="s">
        <v>848</v>
      </c>
      <c r="E302" t="str">
        <f t="shared" si="293"/>
        <v>PJ/yr.</v>
      </c>
      <c r="F302" s="1">
        <f>F298</f>
        <v>0.17239013087144184</v>
      </c>
      <c r="G302" s="1">
        <f t="shared" ref="G302:K302" si="298">G298</f>
        <v>0.53251325179544995</v>
      </c>
      <c r="H302" s="1">
        <f t="shared" si="298"/>
        <v>3.9907720404844346E-2</v>
      </c>
      <c r="I302" s="1">
        <f t="shared" si="298"/>
        <v>7.9818575421638185E-2</v>
      </c>
      <c r="J302" s="1">
        <f t="shared" si="298"/>
        <v>0.11386101303417673</v>
      </c>
      <c r="K302" s="1">
        <f t="shared" si="298"/>
        <v>0.49453348078429854</v>
      </c>
      <c r="L302" s="1">
        <f t="shared" ref="L302:O302" si="299">L298</f>
        <v>5.7392757007403927E-2</v>
      </c>
      <c r="M302" s="1">
        <f t="shared" si="299"/>
        <v>2.6786080674022202E-4</v>
      </c>
      <c r="N302" s="1">
        <f t="shared" si="299"/>
        <v>4.2977728239316426E-3</v>
      </c>
      <c r="O302" s="1">
        <f t="shared" si="299"/>
        <v>6.0493258679635235E-3</v>
      </c>
      <c r="P302" s="1">
        <f t="shared" ref="P302:Q305" si="300">P298</f>
        <v>8.8144335701131026E-3</v>
      </c>
      <c r="Q302" s="1">
        <f t="shared" si="300"/>
        <v>1.2993593371199754E-2</v>
      </c>
      <c r="S302" s="3"/>
    </row>
    <row r="303" spans="1:19" x14ac:dyDescent="0.5">
      <c r="A303" s="5" t="s">
        <v>5</v>
      </c>
      <c r="B303" s="5" t="s">
        <v>6</v>
      </c>
      <c r="C303" s="5" t="s">
        <v>7</v>
      </c>
      <c r="D303" t="s">
        <v>520</v>
      </c>
      <c r="E303" t="str">
        <f t="shared" si="293"/>
        <v>PJ/yr.</v>
      </c>
      <c r="F303" s="1">
        <f t="shared" ref="F303:K303" si="301">F299</f>
        <v>0.14382678351987921</v>
      </c>
      <c r="G303" s="1">
        <f t="shared" si="301"/>
        <v>0.41214164177295592</v>
      </c>
      <c r="H303" s="1">
        <f t="shared" si="301"/>
        <v>3.2119379499961943E-2</v>
      </c>
      <c r="I303" s="1">
        <f t="shared" si="301"/>
        <v>4.4355038224702485E-3</v>
      </c>
      <c r="J303" s="1">
        <f t="shared" si="301"/>
        <v>4.8495559912557669E-3</v>
      </c>
      <c r="K303" s="1">
        <f t="shared" si="301"/>
        <v>0.4918456861158117</v>
      </c>
      <c r="L303" s="1">
        <f t="shared" ref="L303:O303" si="302">L299</f>
        <v>5.4960193888036218E-2</v>
      </c>
      <c r="M303" s="1">
        <f t="shared" si="302"/>
        <v>2.4126514017729686E-4</v>
      </c>
      <c r="N303" s="1">
        <f t="shared" si="302"/>
        <v>1.006957128768905E-3</v>
      </c>
      <c r="O303" s="1">
        <f t="shared" si="302"/>
        <v>1.5018834856240189E-3</v>
      </c>
      <c r="P303" s="1">
        <f t="shared" si="300"/>
        <v>1.5240827312927587E-3</v>
      </c>
      <c r="Q303" s="1">
        <f t="shared" si="300"/>
        <v>2.0956590023869142E-3</v>
      </c>
      <c r="S303" s="3"/>
    </row>
    <row r="304" spans="1:19" x14ac:dyDescent="0.5">
      <c r="A304" s="5" t="s">
        <v>5</v>
      </c>
      <c r="B304" s="5" t="s">
        <v>6</v>
      </c>
      <c r="C304" s="5" t="s">
        <v>7</v>
      </c>
      <c r="D304" t="s">
        <v>521</v>
      </c>
      <c r="E304" t="str">
        <f t="shared" si="293"/>
        <v>PJ/yr.</v>
      </c>
      <c r="F304" s="1">
        <f t="shared" ref="F304:K304" si="303">F300</f>
        <v>6.51838239431739E-3</v>
      </c>
      <c r="G304" s="1">
        <f t="shared" si="303"/>
        <v>6.7198279645679065E-2</v>
      </c>
      <c r="H304" s="1">
        <f t="shared" si="303"/>
        <v>4.4782470926032379E-3</v>
      </c>
      <c r="I304" s="1">
        <f t="shared" si="303"/>
        <v>1.2135752361692987E-3</v>
      </c>
      <c r="J304" s="1">
        <f t="shared" si="303"/>
        <v>6.7381214396305359E-4</v>
      </c>
      <c r="K304" s="1">
        <f t="shared" si="303"/>
        <v>2.6877946684868491E-3</v>
      </c>
      <c r="L304" s="1">
        <f t="shared" ref="L304:O304" si="304">L300</f>
        <v>2.4325631193677067E-3</v>
      </c>
      <c r="M304" s="1">
        <f t="shared" si="304"/>
        <v>2.6595666562925144E-5</v>
      </c>
      <c r="N304" s="1">
        <f t="shared" si="304"/>
        <v>9.5104995647822329E-5</v>
      </c>
      <c r="O304" s="1">
        <f t="shared" si="304"/>
        <v>1.1990840725833939E-4</v>
      </c>
      <c r="P304" s="1">
        <f t="shared" si="300"/>
        <v>1.213466739733386E-4</v>
      </c>
      <c r="Q304" s="1">
        <f t="shared" si="300"/>
        <v>1.4165168909731956E-4</v>
      </c>
      <c r="S304" s="3"/>
    </row>
    <row r="305" spans="1:19" x14ac:dyDescent="0.5">
      <c r="A305" s="5" t="s">
        <v>5</v>
      </c>
      <c r="B305" s="5" t="s">
        <v>6</v>
      </c>
      <c r="C305" s="5" t="s">
        <v>7</v>
      </c>
      <c r="D305" t="s">
        <v>522</v>
      </c>
      <c r="E305" t="str">
        <f t="shared" si="293"/>
        <v>PJ/yr.</v>
      </c>
      <c r="F305" s="1">
        <f t="shared" ref="F305:K305" si="305">F301</f>
        <v>2.2044964957245228E-2</v>
      </c>
      <c r="G305" s="1">
        <f t="shared" si="305"/>
        <v>5.3173330376814966E-2</v>
      </c>
      <c r="H305" s="1">
        <f t="shared" si="305"/>
        <v>3.3100938122791654E-3</v>
      </c>
      <c r="I305" s="1">
        <f t="shared" si="305"/>
        <v>7.4169496362998633E-2</v>
      </c>
      <c r="J305" s="1">
        <f t="shared" si="305"/>
        <v>0.1083376448989579</v>
      </c>
      <c r="K305" s="1">
        <f t="shared" si="305"/>
        <v>0</v>
      </c>
      <c r="L305" s="1">
        <f t="shared" ref="L305:O305" si="306">L301</f>
        <v>0</v>
      </c>
      <c r="M305" s="1">
        <f t="shared" si="306"/>
        <v>0</v>
      </c>
      <c r="N305" s="1">
        <f t="shared" si="306"/>
        <v>3.1957106995149152E-3</v>
      </c>
      <c r="O305" s="1">
        <f t="shared" si="306"/>
        <v>4.4275339750811651E-3</v>
      </c>
      <c r="P305" s="1">
        <f t="shared" si="300"/>
        <v>7.1690041648470046E-3</v>
      </c>
      <c r="Q305" s="1">
        <f t="shared" si="300"/>
        <v>1.0756282679715521E-2</v>
      </c>
      <c r="S305" s="3"/>
    </row>
    <row r="306" spans="1:19" x14ac:dyDescent="0.5">
      <c r="A306" s="5" t="s">
        <v>5</v>
      </c>
      <c r="B306" s="5" t="s">
        <v>6</v>
      </c>
      <c r="C306" s="5" t="s">
        <v>7</v>
      </c>
      <c r="D306" t="s">
        <v>849</v>
      </c>
      <c r="E306" t="str">
        <f t="shared" si="293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S306" s="3"/>
    </row>
    <row r="307" spans="1:19" x14ac:dyDescent="0.5">
      <c r="A307" s="5" t="s">
        <v>5</v>
      </c>
      <c r="B307" s="5" t="s">
        <v>6</v>
      </c>
      <c r="C307" s="5" t="s">
        <v>7</v>
      </c>
      <c r="D307" t="s">
        <v>544</v>
      </c>
      <c r="E307" t="str">
        <f t="shared" si="293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S307" s="3"/>
    </row>
    <row r="308" spans="1:19" x14ac:dyDescent="0.5">
      <c r="A308" s="5" t="s">
        <v>5</v>
      </c>
      <c r="B308" s="5" t="s">
        <v>6</v>
      </c>
      <c r="C308" s="5" t="s">
        <v>7</v>
      </c>
      <c r="D308" t="s">
        <v>545</v>
      </c>
      <c r="E308" t="str">
        <f t="shared" si="293"/>
        <v>PJ/yr.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S308" s="3"/>
    </row>
    <row r="309" spans="1:19" x14ac:dyDescent="0.5">
      <c r="A309" s="5" t="s">
        <v>5</v>
      </c>
      <c r="B309" s="5" t="s">
        <v>6</v>
      </c>
      <c r="C309" s="5" t="s">
        <v>7</v>
      </c>
      <c r="D309" t="s">
        <v>546</v>
      </c>
      <c r="E309" t="str">
        <f t="shared" si="293"/>
        <v>PJ/yr.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S309" s="3"/>
    </row>
    <row r="310" spans="1:19" x14ac:dyDescent="0.5">
      <c r="A310" s="5" t="s">
        <v>5</v>
      </c>
      <c r="B310" s="5" t="s">
        <v>6</v>
      </c>
      <c r="C310" s="5" t="s">
        <v>7</v>
      </c>
      <c r="D310" t="s">
        <v>850</v>
      </c>
      <c r="E310" t="str">
        <f t="shared" si="293"/>
        <v>PJ/yr.</v>
      </c>
      <c r="F310" s="1">
        <f>SUM(F311:F325)</f>
        <v>4.1278247666809262</v>
      </c>
      <c r="G310" s="1">
        <f t="shared" ref="G310:K310" si="307">SUM(G311:G325)</f>
        <v>2.2241723264793425</v>
      </c>
      <c r="H310" s="1">
        <f t="shared" si="307"/>
        <v>2.5824763166116478</v>
      </c>
      <c r="I310" s="1">
        <f t="shared" si="307"/>
        <v>2.495381943848872</v>
      </c>
      <c r="J310" s="1">
        <f t="shared" si="307"/>
        <v>2.7692126445023098</v>
      </c>
      <c r="K310" s="1">
        <f t="shared" si="307"/>
        <v>2.474525858226639</v>
      </c>
      <c r="L310" s="1">
        <f t="shared" ref="L310:O310" si="308">SUM(L311:L325)</f>
        <v>1.7227820826075149</v>
      </c>
      <c r="M310" s="1">
        <f t="shared" si="308"/>
        <v>2.6394207874086337</v>
      </c>
      <c r="N310" s="1">
        <f t="shared" si="308"/>
        <v>5.0862026402674116</v>
      </c>
      <c r="O310" s="1">
        <f t="shared" si="308"/>
        <v>7.2377982066727657</v>
      </c>
      <c r="P310" s="1">
        <f>SUM(P311:P325)</f>
        <v>7.622351190984479</v>
      </c>
      <c r="Q310" s="1">
        <f>SUM(Q311:Q325)</f>
        <v>8.4347663427643802</v>
      </c>
      <c r="S310" s="3"/>
    </row>
    <row r="311" spans="1:19" x14ac:dyDescent="0.5">
      <c r="A311" s="5" t="s">
        <v>5</v>
      </c>
      <c r="B311" s="5" t="s">
        <v>6</v>
      </c>
      <c r="C311" s="5" t="s">
        <v>7</v>
      </c>
      <c r="D311" t="s">
        <v>98</v>
      </c>
      <c r="E311" t="str">
        <f t="shared" si="293"/>
        <v>PJ/yr.</v>
      </c>
      <c r="F311" s="1">
        <f>'[1]Electricity and CHPs_IN'!B$21</f>
        <v>0</v>
      </c>
      <c r="G311" s="1">
        <f>'[1]Electricity and CHPs_IN'!C$21</f>
        <v>0</v>
      </c>
      <c r="H311" s="1">
        <f>'[1]Electricity and CHPs_IN'!D$21</f>
        <v>0</v>
      </c>
      <c r="I311" s="1">
        <f>'[1]Electricity and CHPs_IN'!E$21</f>
        <v>0</v>
      </c>
      <c r="J311" s="1">
        <f>'[1]Electricity and CHPs_IN'!F$21</f>
        <v>0</v>
      </c>
      <c r="K311" s="1">
        <f>'[1]Electricity and CHPs_IN'!G$21</f>
        <v>7.8938733116498151E-4</v>
      </c>
      <c r="L311" s="1">
        <f>'[1]Electricity and CHPs_IN'!H$21</f>
        <v>1.5652240685747247E-3</v>
      </c>
      <c r="M311" s="1">
        <f>'[1]Electricity and CHPs_IN'!I$21</f>
        <v>1.1159448777542835E-2</v>
      </c>
      <c r="N311" s="1">
        <f>'[1]Electricity and CHPs_IN'!J$21</f>
        <v>1.1915546498862273E-2</v>
      </c>
      <c r="O311" s="1">
        <f>'[1]Electricity and CHPs_IN'!K$21</f>
        <v>1.1469168551118705E-2</v>
      </c>
      <c r="P311" s="1">
        <f>'[1]Electricity and CHPs_IN'!L$21</f>
        <v>1.6171036320248969E-2</v>
      </c>
      <c r="Q311" s="1">
        <f>'[1]Electricity and CHPs_IN'!M$21</f>
        <v>2.347379759059285E-2</v>
      </c>
      <c r="S311" s="3"/>
    </row>
    <row r="312" spans="1:19" x14ac:dyDescent="0.5">
      <c r="A312" s="5" t="s">
        <v>5</v>
      </c>
      <c r="B312" s="5" t="s">
        <v>6</v>
      </c>
      <c r="C312" s="5" t="s">
        <v>7</v>
      </c>
      <c r="D312" t="s">
        <v>99</v>
      </c>
      <c r="E312" t="str">
        <f t="shared" si="293"/>
        <v>PJ/yr.</v>
      </c>
      <c r="F312" s="1">
        <f>'[1]Electricity and CHPs_IN'!B$22</f>
        <v>0</v>
      </c>
      <c r="G312" s="1">
        <f>'[1]Electricity and CHPs_IN'!C$22</f>
        <v>0</v>
      </c>
      <c r="H312" s="1">
        <f>'[1]Electricity and CHPs_IN'!D$22</f>
        <v>0</v>
      </c>
      <c r="I312" s="1">
        <f>'[1]Electricity and CHPs_IN'!E$22</f>
        <v>0</v>
      </c>
      <c r="J312" s="1">
        <f>'[1]Electricity and CHPs_IN'!F$22</f>
        <v>0</v>
      </c>
      <c r="K312" s="1">
        <f>'[1]Electricity and CHPs_IN'!G$22</f>
        <v>4.8533124055283636E-4</v>
      </c>
      <c r="L312" s="1">
        <f>'[1]Electricity and CHPs_IN'!H$22</f>
        <v>8.2935129216055604E-4</v>
      </c>
      <c r="M312" s="1">
        <f>'[1]Electricity and CHPs_IN'!I$22</f>
        <v>1.5180288599373449E-2</v>
      </c>
      <c r="N312" s="1">
        <f>'[1]Electricity and CHPs_IN'!J$22</f>
        <v>1.4286650948276695E-2</v>
      </c>
      <c r="O312" s="1">
        <f>'[1]Electricity and CHPs_IN'!K$22</f>
        <v>1.2047251806257707E-2</v>
      </c>
      <c r="P312" s="1">
        <f>'[1]Electricity and CHPs_IN'!L$22</f>
        <v>1.5344042363381155E-2</v>
      </c>
      <c r="Q312" s="1">
        <f>'[1]Electricity and CHPs_IN'!M$22</f>
        <v>2.6529761111311643E-2</v>
      </c>
      <c r="S312" s="3"/>
    </row>
    <row r="313" spans="1:19" x14ac:dyDescent="0.5">
      <c r="A313" s="5" t="s">
        <v>5</v>
      </c>
      <c r="B313" s="5" t="s">
        <v>6</v>
      </c>
      <c r="C313" s="5" t="s">
        <v>7</v>
      </c>
      <c r="D313" t="s">
        <v>100</v>
      </c>
      <c r="E313" t="str">
        <f t="shared" si="293"/>
        <v>PJ/yr.</v>
      </c>
      <c r="F313" s="1">
        <f>'[1]Electricity and CHPs_IN'!B$23</f>
        <v>0</v>
      </c>
      <c r="G313" s="1">
        <f>'[1]Electricity and CHPs_IN'!C$23</f>
        <v>0</v>
      </c>
      <c r="H313" s="1">
        <f>'[1]Electricity and CHPs_IN'!D$23</f>
        <v>0</v>
      </c>
      <c r="I313" s="1">
        <f>'[1]Electricity and CHPs_IN'!E$23</f>
        <v>0</v>
      </c>
      <c r="J313" s="1">
        <f>'[1]Electricity and CHPs_IN'!F$23</f>
        <v>0</v>
      </c>
      <c r="K313" s="1">
        <f>'[1]Electricity and CHPs_IN'!G$23</f>
        <v>0</v>
      </c>
      <c r="L313" s="1">
        <f>'[1]Electricity and CHPs_IN'!H$23</f>
        <v>1.6929119975521206E-3</v>
      </c>
      <c r="M313" s="1">
        <f>'[1]Electricity and CHPs_IN'!I$23</f>
        <v>2.5043036165899445E-2</v>
      </c>
      <c r="N313" s="1">
        <f>'[1]Electricity and CHPs_IN'!J$23</f>
        <v>2.162281253145792</v>
      </c>
      <c r="O313" s="1">
        <f>'[1]Electricity and CHPs_IN'!K$23</f>
        <v>4.2765596428732042</v>
      </c>
      <c r="P313" s="1">
        <f>'[1]Electricity and CHPs_IN'!L$23</f>
        <v>4.2707097339656199</v>
      </c>
      <c r="Q313" s="1">
        <f>'[1]Electricity and CHPs_IN'!M$23</f>
        <v>4.2515391273036478</v>
      </c>
      <c r="S313" s="3"/>
    </row>
    <row r="314" spans="1:19" x14ac:dyDescent="0.5">
      <c r="A314" s="5" t="s">
        <v>5</v>
      </c>
      <c r="B314" s="5" t="s">
        <v>6</v>
      </c>
      <c r="C314" s="5" t="s">
        <v>7</v>
      </c>
      <c r="D314" t="s">
        <v>101</v>
      </c>
      <c r="E314" t="str">
        <f t="shared" si="293"/>
        <v>PJ/yr.</v>
      </c>
      <c r="F314" s="1">
        <f>IFERROR(F86/SUM(F86+F189),0)*'[1]Electricity and CHPs_IN'!B$24</f>
        <v>1.2983662946224792</v>
      </c>
      <c r="G314" s="1">
        <f>IFERROR(G86/SUM(G86+G189),0)*'[1]Electricity and CHPs_IN'!C$24</f>
        <v>1.8219565877852122E-3</v>
      </c>
      <c r="H314" s="1">
        <f>IFERROR(H86/SUM(H86+H189),0)*'[1]Electricity and CHPs_IN'!D$24</f>
        <v>1.1007136694177756E-2</v>
      </c>
      <c r="I314" s="1">
        <f>IFERROR(I86/SUM(I86+I189),0)*'[1]Electricity and CHPs_IN'!E$24</f>
        <v>0</v>
      </c>
      <c r="J314" s="1">
        <f>IFERROR(J86/SUM(J86+J189),0)*'[1]Electricity and CHPs_IN'!F$24</f>
        <v>0</v>
      </c>
      <c r="K314" s="1">
        <f>IFERROR(K86/SUM(K86+K189),0)*'[1]Electricity and CHPs_IN'!G$24</f>
        <v>0</v>
      </c>
      <c r="L314" s="1">
        <f>IFERROR(L86/SUM(L86+L189),0)*'[1]Electricity and CHPs_IN'!H$24</f>
        <v>0</v>
      </c>
      <c r="M314" s="1">
        <f>IFERROR(M86/SUM(M86+M189),0)*'[1]Electricity and CHPs_IN'!I$24</f>
        <v>0</v>
      </c>
      <c r="N314" s="1">
        <f>IFERROR(N86/SUM(N86+N189),0)*'[1]Electricity and CHPs_IN'!J$24</f>
        <v>0</v>
      </c>
      <c r="O314" s="1">
        <f>IFERROR(O86/SUM(O86+O189),0)*'[1]Electricity and CHPs_IN'!K$24</f>
        <v>0</v>
      </c>
      <c r="P314" s="1">
        <f>IFERROR(P86/SUM(P86+P189),0)*'[1]Electricity and CHPs_IN'!L$24</f>
        <v>0</v>
      </c>
      <c r="Q314" s="1">
        <f>IFERROR(Q86/SUM(Q86+Q189),0)*'[1]Electricity and CHPs_IN'!M$24</f>
        <v>0</v>
      </c>
      <c r="S314" s="3"/>
    </row>
    <row r="315" spans="1:19" x14ac:dyDescent="0.5">
      <c r="A315" s="5" t="s">
        <v>5</v>
      </c>
      <c r="B315" s="5" t="s">
        <v>6</v>
      </c>
      <c r="C315" s="5" t="s">
        <v>7</v>
      </c>
      <c r="D315" t="s">
        <v>102</v>
      </c>
      <c r="E315" t="str">
        <f t="shared" si="293"/>
        <v>PJ/yr.</v>
      </c>
      <c r="F315" s="1">
        <f>IFERROR(F87/SUM(F87+F190),0)*'[1]Electricity and CHPs_IN'!B$29</f>
        <v>0</v>
      </c>
      <c r="G315" s="1">
        <f>IFERROR(G87/SUM(G87+G190),0)*'[1]Electricity and CHPs_IN'!C$29</f>
        <v>0</v>
      </c>
      <c r="H315" s="1">
        <f>IFERROR(H87/SUM(H87+H190),0)*'[1]Electricity and CHPs_IN'!D$29</f>
        <v>0</v>
      </c>
      <c r="I315" s="1">
        <f>IFERROR(I87/SUM(I87+I190),0)*'[1]Electricity and CHPs_IN'!E$29</f>
        <v>0</v>
      </c>
      <c r="J315" s="1">
        <f>IFERROR(J87/SUM(J87+J190),0)*'[1]Electricity and CHPs_IN'!F$29</f>
        <v>0</v>
      </c>
      <c r="K315" s="1">
        <f>IFERROR(K87/SUM(K87+K190),0)*'[1]Electricity and CHPs_IN'!G$29</f>
        <v>0</v>
      </c>
      <c r="L315" s="1">
        <f>IFERROR(L87/SUM(L87+L190),0)*'[1]Electricity and CHPs_IN'!H$29</f>
        <v>0</v>
      </c>
      <c r="M315" s="1">
        <f>IFERROR(M87/SUM(M87+M190),0)*'[1]Electricity and CHPs_IN'!I$29</f>
        <v>0</v>
      </c>
      <c r="N315" s="1">
        <f>IFERROR(N87/SUM(N87+N190),0)*'[1]Electricity and CHPs_IN'!J$29</f>
        <v>0</v>
      </c>
      <c r="O315" s="1">
        <f>IFERROR(O87/SUM(O87+O190),0)*'[1]Electricity and CHPs_IN'!K$29</f>
        <v>0</v>
      </c>
      <c r="P315" s="1">
        <f>IFERROR(P87/SUM(P87+P190),0)*'[1]Electricity and CHPs_IN'!L$29</f>
        <v>0</v>
      </c>
      <c r="Q315" s="1">
        <f>IFERROR(Q87/SUM(Q87+Q190),0)*'[1]Electricity and CHPs_IN'!M$29</f>
        <v>0</v>
      </c>
      <c r="S315" s="3"/>
    </row>
    <row r="316" spans="1:19" x14ac:dyDescent="0.5">
      <c r="A316" s="5" t="s">
        <v>5</v>
      </c>
      <c r="B316" s="5" t="s">
        <v>6</v>
      </c>
      <c r="C316" s="5" t="s">
        <v>7</v>
      </c>
      <c r="D316" t="s">
        <v>103</v>
      </c>
      <c r="E316" t="str">
        <f t="shared" si="293"/>
        <v>PJ/yr.</v>
      </c>
      <c r="F316" s="1">
        <f>F88/SUM(F88,F241)*'[1]Electricity and CHPs_IN'!B$39</f>
        <v>0.89335579006787835</v>
      </c>
      <c r="G316" s="1">
        <f>G88/SUM(G88,G241)*'[1]Electricity and CHPs_IN'!C$39</f>
        <v>0.1166606911210572</v>
      </c>
      <c r="H316" s="1">
        <f>H88/SUM(H88,H241)*'[1]Electricity and CHPs_IN'!D$39</f>
        <v>7.7324271363609656E-2</v>
      </c>
      <c r="I316" s="1">
        <f>I88/SUM(I88,I241)*'[1]Electricity and CHPs_IN'!E$39</f>
        <v>0.10600012080164735</v>
      </c>
      <c r="J316" s="1">
        <f>J88/SUM(J88,J241)*'[1]Electricity and CHPs_IN'!F$39</f>
        <v>0.4021831188438898</v>
      </c>
      <c r="K316" s="1">
        <f>K88/SUM(K88,K241)*'[1]Electricity and CHPs_IN'!G$39</f>
        <v>0.46492433081541329</v>
      </c>
      <c r="L316" s="1">
        <f>L88/SUM(L88,L241)*'[1]Electricity and CHPs_IN'!H$39</f>
        <v>0.15464676395706295</v>
      </c>
      <c r="M316" s="1">
        <f>M88/SUM(M88,M241)*'[1]Electricity and CHPs_IN'!I$39</f>
        <v>0.74111192451538321</v>
      </c>
      <c r="N316" s="1">
        <f>N88/SUM(N88,N241)*'[1]Electricity and CHPs_IN'!J$39</f>
        <v>0.91525552009642908</v>
      </c>
      <c r="O316" s="1">
        <f>O88/SUM(O88,O241)*'[1]Electricity and CHPs_IN'!K$39</f>
        <v>0.87226129366375316</v>
      </c>
      <c r="P316" s="1">
        <f>P88/SUM(P88,P241)*'[1]Electricity and CHPs_IN'!L$39</f>
        <v>0.92224472049883521</v>
      </c>
      <c r="Q316" s="1">
        <f>Q88/SUM(Q88,Q241)*'[1]Electricity and CHPs_IN'!M$39</f>
        <v>0.92933343395304491</v>
      </c>
      <c r="S316" s="3"/>
    </row>
    <row r="317" spans="1:19" x14ac:dyDescent="0.5">
      <c r="A317" s="5" t="s">
        <v>5</v>
      </c>
      <c r="B317" s="5" t="s">
        <v>6</v>
      </c>
      <c r="C317" s="5" t="s">
        <v>7</v>
      </c>
      <c r="D317" t="s">
        <v>104</v>
      </c>
      <c r="E317" t="str">
        <f t="shared" si="293"/>
        <v>PJ/yr.</v>
      </c>
      <c r="F317" s="1">
        <f>IFERROR(F89/SUM(F89,F242),0)*'[1]Electricity and CHPs_IN'!B$40</f>
        <v>0</v>
      </c>
      <c r="G317" s="1">
        <f>IFERROR(G89/SUM(G89,G242),0)*'[1]Electricity and CHPs_IN'!C$40</f>
        <v>0</v>
      </c>
      <c r="H317" s="1">
        <f>IFERROR(H89/SUM(H89,H242),0)*'[1]Electricity and CHPs_IN'!D$40</f>
        <v>0</v>
      </c>
      <c r="I317" s="1">
        <f>IFERROR(I89/SUM(I89,I242),0)*'[1]Electricity and CHPs_IN'!E$40</f>
        <v>0</v>
      </c>
      <c r="J317" s="1">
        <f>IFERROR(J89/SUM(J89,J242),0)*'[1]Electricity and CHPs_IN'!F$40</f>
        <v>0</v>
      </c>
      <c r="K317" s="1">
        <f>IFERROR(K89/SUM(K89,K242),0)*'[1]Electricity and CHPs_IN'!G$40</f>
        <v>6.4371706891041798E-3</v>
      </c>
      <c r="L317" s="1">
        <f>IFERROR(L89/SUM(L89,L242),0)*'[1]Electricity and CHPs_IN'!H$40</f>
        <v>6.7320397293543829E-3</v>
      </c>
      <c r="M317" s="1">
        <f>IFERROR(M89/SUM(M89,M242),0)*'[1]Electricity and CHPs_IN'!I$40</f>
        <v>0.28968021355917795</v>
      </c>
      <c r="N317" s="1">
        <f>IFERROR(N89/SUM(N89,N242),0)*'[1]Electricity and CHPs_IN'!J$40</f>
        <v>0.35710506396589681</v>
      </c>
      <c r="O317" s="1">
        <f>IFERROR(O89/SUM(O89,O242),0)*'[1]Electricity and CHPs_IN'!K$40</f>
        <v>0.34106436687918773</v>
      </c>
      <c r="P317" s="1">
        <f>IFERROR(P89/SUM(P89,P242),0)*'[1]Electricity and CHPs_IN'!L$40</f>
        <v>0.36044212658397823</v>
      </c>
      <c r="Q317" s="1">
        <f>IFERROR(Q89/SUM(Q89,Q242),0)*'[1]Electricity and CHPs_IN'!M$40</f>
        <v>0.36313142885543492</v>
      </c>
      <c r="S317" s="3"/>
    </row>
    <row r="318" spans="1:19" x14ac:dyDescent="0.5">
      <c r="A318" s="5" t="s">
        <v>5</v>
      </c>
      <c r="B318" s="5" t="s">
        <v>6</v>
      </c>
      <c r="C318" s="5" t="s">
        <v>7</v>
      </c>
      <c r="D318" t="s">
        <v>105</v>
      </c>
      <c r="E318" t="str">
        <f t="shared" si="293"/>
        <v>PJ/yr.</v>
      </c>
      <c r="F318" s="1">
        <f>IFERROR(F90/SUM(F90,F243),0)*'[1]Electricity and CHPs_IN'!$B$47</f>
        <v>0</v>
      </c>
      <c r="G318" s="1">
        <f>IFERROR(G90/SUM(G90,G243),0)*'[1]Electricity and CHPs_IN'!$B$47</f>
        <v>0</v>
      </c>
      <c r="H318" s="1">
        <f>IFERROR(H90/SUM(H90,H243),0)*'[1]Electricity and CHPs_IN'!$B$47</f>
        <v>0</v>
      </c>
      <c r="I318" s="1">
        <f>IFERROR(I90/SUM(I90,I243),0)*'[1]Electricity and CHPs_IN'!$B$47</f>
        <v>0</v>
      </c>
      <c r="J318" s="1">
        <f>IFERROR(J90/SUM(J90,J243),0)*'[1]Electricity and CHPs_IN'!$B$47</f>
        <v>0</v>
      </c>
      <c r="K318" s="1">
        <f>IFERROR(K90/SUM(K90,K243),0)*'[1]Electricity and CHPs_IN'!$B$47</f>
        <v>0</v>
      </c>
      <c r="L318" s="1">
        <f>IFERROR(L90/SUM(L90,L243),0)*'[1]Electricity and CHPs_IN'!$B$47</f>
        <v>0</v>
      </c>
      <c r="M318" s="1">
        <f>IFERROR(M90/SUM(M90,M243),0)*'[1]Electricity and CHPs_IN'!$B$47</f>
        <v>0</v>
      </c>
      <c r="N318" s="1">
        <f>IFERROR(N90/SUM(N90,N243),0)*'[1]Electricity and CHPs_IN'!$B$47</f>
        <v>0</v>
      </c>
      <c r="O318" s="1">
        <f>IFERROR(O90/SUM(O90,O243),0)*'[1]Electricity and CHPs_IN'!$B$47</f>
        <v>0</v>
      </c>
      <c r="P318" s="1">
        <f>IFERROR(P90/SUM(P90,P243),0)*'[1]Electricity and CHPs_IN'!$B$47</f>
        <v>0</v>
      </c>
      <c r="Q318" s="1">
        <f>IFERROR(Q90/SUM(Q90,Q243),0)*'[1]Electricity and CHPs_IN'!$B$47</f>
        <v>0</v>
      </c>
      <c r="S318" s="3"/>
    </row>
    <row r="319" spans="1:19" x14ac:dyDescent="0.5">
      <c r="A319" s="5" t="s">
        <v>5</v>
      </c>
      <c r="B319" s="5" t="s">
        <v>6</v>
      </c>
      <c r="C319" s="5" t="s">
        <v>7</v>
      </c>
      <c r="D319" t="s">
        <v>106</v>
      </c>
      <c r="E319" t="str">
        <f t="shared" si="293"/>
        <v>PJ/yr.</v>
      </c>
      <c r="F319" s="1">
        <f>F91/SUM(F91,F244)*'[1]Electricity and CHPs_IN'!B$48</f>
        <v>3.4058983329137357E-2</v>
      </c>
      <c r="G319" s="1">
        <f>G91/SUM(G91,G244)*'[1]Electricity and CHPs_IN'!C$48</f>
        <v>1.82402309698435E-2</v>
      </c>
      <c r="H319" s="1">
        <f>H91/SUM(H91,H244)*'[1]Electricity and CHPs_IN'!D$48</f>
        <v>2.4406352132253208E-2</v>
      </c>
      <c r="I319" s="1">
        <f>IFERROR(I91/SUM(I91,I244)*'[1]Electricity and CHPs_IN'!E$48,0)</f>
        <v>1.5207846030962185E-2</v>
      </c>
      <c r="J319" s="1">
        <f>IFERROR(J91/SUM(J91,J244)*'[1]Electricity and CHPs_IN'!F$48,0)</f>
        <v>1.3733158569488282E-2</v>
      </c>
      <c r="K319" s="1">
        <f>IFERROR(K91/SUM(K91,K244)*'[1]Electricity and CHPs_IN'!G$48,0)</f>
        <v>6.2440580863387081E-3</v>
      </c>
      <c r="L319" s="1">
        <f>IFERROR(L91/SUM(L91,L244)*'[1]Electricity and CHPs_IN'!H$48,0)</f>
        <v>0</v>
      </c>
      <c r="M319" s="1">
        <f>IFERROR(M91/SUM(M91,M244)*'[1]Electricity and CHPs_IN'!I$48,0)</f>
        <v>0</v>
      </c>
      <c r="N319" s="1">
        <f>IFERROR(N91/SUM(N91,N244)*'[1]Electricity and CHPs_IN'!J$48,0)</f>
        <v>5.8966158884616836E-3</v>
      </c>
      <c r="O319" s="1">
        <f>IFERROR(O91/SUM(O91,O244)*'[1]Electricity and CHPs_IN'!K$48,0)</f>
        <v>7.4623877442733062E-3</v>
      </c>
      <c r="P319" s="1">
        <f>IFERROR(P91/SUM(P91,P244)*'[1]Electricity and CHPs_IN'!L$48,0)</f>
        <v>2.7842979453646909E-2</v>
      </c>
      <c r="Q319" s="1">
        <f>IFERROR(Q91/SUM(Q91,Q244)*'[1]Electricity and CHPs_IN'!M$48,0)</f>
        <v>2.844080264066879E-2</v>
      </c>
      <c r="S319" s="3"/>
    </row>
    <row r="320" spans="1:19" x14ac:dyDescent="0.5">
      <c r="A320" s="5" t="s">
        <v>5</v>
      </c>
      <c r="B320" s="5" t="s">
        <v>6</v>
      </c>
      <c r="C320" s="5" t="s">
        <v>7</v>
      </c>
      <c r="D320" t="s">
        <v>107</v>
      </c>
      <c r="E320" t="str">
        <f t="shared" si="293"/>
        <v>PJ/yr.</v>
      </c>
      <c r="F320" s="1">
        <f>IFERROR(F92/SUM(F92,F245),0)*'[1]Electricity and CHPs_IN'!B$49</f>
        <v>0</v>
      </c>
      <c r="G320" s="1">
        <f>IFERROR(G92/SUM(G92,G245),0)*'[1]Electricity and CHPs_IN'!C$49</f>
        <v>0</v>
      </c>
      <c r="H320" s="1">
        <f>IFERROR(H92/SUM(H92,H245),0)*'[1]Electricity and CHPs_IN'!D$49</f>
        <v>0</v>
      </c>
      <c r="I320" s="1">
        <f>IFERROR(I92/SUM(I92,I245),0)*'[1]Electricity and CHPs_IN'!E$49</f>
        <v>0</v>
      </c>
      <c r="J320" s="1">
        <f>IFERROR(J92/SUM(J92,J245),0)*'[1]Electricity and CHPs_IN'!F$49</f>
        <v>0</v>
      </c>
      <c r="K320" s="1">
        <f>IFERROR(K92/SUM(K92,K245),0)*'[1]Electricity and CHPs_IN'!G$49</f>
        <v>0</v>
      </c>
      <c r="L320" s="1">
        <f>IFERROR(L92/SUM(L92,L245),0)*'[1]Electricity and CHPs_IN'!H$49</f>
        <v>0</v>
      </c>
      <c r="M320" s="1">
        <f>IFERROR(M92/SUM(M92,M245),0)*'[1]Electricity and CHPs_IN'!I$49</f>
        <v>0</v>
      </c>
      <c r="N320" s="1">
        <f>IFERROR(N92/SUM(N92,N245),0)*'[1]Electricity and CHPs_IN'!J$49</f>
        <v>9.756454530967712E-3</v>
      </c>
      <c r="O320" s="1">
        <f>IFERROR(O92/SUM(O92,O245),0)*'[1]Electricity and CHPs_IN'!K$49</f>
        <v>1.7002031183521685E-2</v>
      </c>
      <c r="P320" s="1">
        <f>IFERROR(P92/SUM(P92,P245),0)*'[1]Electricity and CHPs_IN'!L$49</f>
        <v>1.736358630040892E-2</v>
      </c>
      <c r="Q320" s="1">
        <f>IFERROR(Q92/SUM(Q92,Q245),0)*'[1]Electricity and CHPs_IN'!M$49</f>
        <v>3.4793938321627908E-2</v>
      </c>
      <c r="S320" s="3"/>
    </row>
    <row r="321" spans="1:19" x14ac:dyDescent="0.5">
      <c r="A321" s="5" t="s">
        <v>5</v>
      </c>
      <c r="B321" s="5" t="s">
        <v>6</v>
      </c>
      <c r="C321" s="5" t="s">
        <v>7</v>
      </c>
      <c r="D321" t="s">
        <v>108</v>
      </c>
      <c r="E321" t="str">
        <f t="shared" si="293"/>
        <v>PJ/yr.</v>
      </c>
      <c r="F321" s="1">
        <f>IFERROR(F93/SUM(F93,F246),0)*'[1]Electricity and CHPs_IN'!B$51</f>
        <v>4.8494783784182351E-2</v>
      </c>
      <c r="G321" s="1">
        <f>IFERROR(G93/SUM(G93,G246),0)*'[1]Electricity and CHPs_IN'!C$51</f>
        <v>4.0043843969316137E-2</v>
      </c>
      <c r="H321" s="1">
        <f>IFERROR(H93/SUM(H93,H246),0)*'[1]Electricity and CHPs_IN'!D$51</f>
        <v>0.16742833409386584</v>
      </c>
      <c r="I321" s="1">
        <f>IFERROR(I93/SUM(I93,I246),0)*'[1]Electricity and CHPs_IN'!E$51</f>
        <v>0.1622854070488515</v>
      </c>
      <c r="J321" s="1">
        <f>IFERROR(J93/SUM(J93,J246),0)*'[1]Electricity and CHPs_IN'!F$51</f>
        <v>0.16311634118889329</v>
      </c>
      <c r="K321" s="1">
        <f>IFERROR(K93/SUM(K93,K246),0)*'[1]Electricity and CHPs_IN'!G$51</f>
        <v>7.3914663563524052E-2</v>
      </c>
      <c r="L321" s="1">
        <f>IFERROR(L93/SUM(L93,L246),0)*'[1]Electricity and CHPs_IN'!H$51</f>
        <v>0</v>
      </c>
      <c r="M321" s="1">
        <f>IFERROR(M93/SUM(M93,M246),0)*'[1]Electricity and CHPs_IN'!I$51</f>
        <v>0</v>
      </c>
      <c r="N321" s="1">
        <f>IFERROR(N93/SUM(N93,N246),0)*'[1]Electricity and CHPs_IN'!J$51</f>
        <v>1.0508144643676474E-2</v>
      </c>
      <c r="O321" s="1">
        <f>IFERROR(O93/SUM(O93,O246),0)*'[1]Electricity and CHPs_IN'!K$51</f>
        <v>8.5884710609224674E-2</v>
      </c>
      <c r="P321" s="1">
        <f>IFERROR(P93/SUM(P93,P246),0)*'[1]Electricity and CHPs_IN'!L$51</f>
        <v>0.11865805119185445</v>
      </c>
      <c r="Q321" s="1">
        <f>IFERROR(Q93/SUM(Q93,Q246),0)*'[1]Electricity and CHPs_IN'!M$51</f>
        <v>0.19498781527149636</v>
      </c>
      <c r="S321" s="3"/>
    </row>
    <row r="322" spans="1:19" x14ac:dyDescent="0.5">
      <c r="A322" s="5" t="s">
        <v>5</v>
      </c>
      <c r="B322" s="5" t="s">
        <v>6</v>
      </c>
      <c r="C322" s="5" t="s">
        <v>7</v>
      </c>
      <c r="D322" t="s">
        <v>109</v>
      </c>
      <c r="E322" t="str">
        <f t="shared" si="293"/>
        <v>PJ/yr.</v>
      </c>
      <c r="F322" s="1">
        <f>IFERROR(F94/SUM(F94,F247),0)*'[1]Electricity and CHPs_IN'!B$52</f>
        <v>0</v>
      </c>
      <c r="G322" s="1">
        <f>IFERROR(G94/SUM(G94,G247),0)*'[1]Electricity and CHPs_IN'!C$52</f>
        <v>0</v>
      </c>
      <c r="H322" s="1">
        <f>IFERROR(H94/SUM(H94,H247),0)*'[1]Electricity and CHPs_IN'!D$52</f>
        <v>0</v>
      </c>
      <c r="I322" s="1">
        <f>IFERROR(I94/SUM(I94,I247),0)*'[1]Electricity and CHPs_IN'!E$52</f>
        <v>0</v>
      </c>
      <c r="J322" s="1">
        <f>IFERROR(J94/SUM(J94,J247),0)*'[1]Electricity and CHPs_IN'!F$52</f>
        <v>0</v>
      </c>
      <c r="K322" s="1">
        <f>IFERROR(K94/SUM(K94,K247),0)*'[1]Electricity and CHPs_IN'!G$52</f>
        <v>0</v>
      </c>
      <c r="L322" s="1">
        <f>IFERROR(L94/SUM(L94,L247),0)*'[1]Electricity and CHPs_IN'!H$52</f>
        <v>0</v>
      </c>
      <c r="M322" s="1">
        <f>IFERROR(M94/SUM(M94,M247),0)*'[1]Electricity and CHPs_IN'!I$52</f>
        <v>0</v>
      </c>
      <c r="N322" s="1">
        <f>IFERROR(N94/SUM(N94,N247),0)*'[1]Electricity and CHPs_IN'!J$52</f>
        <v>2.5164645501782844E-2</v>
      </c>
      <c r="O322" s="1">
        <f>IFERROR(O94/SUM(O94,O247),0)*'[1]Electricity and CHPs_IN'!K$52</f>
        <v>3.8018588721810215E-2</v>
      </c>
      <c r="P322" s="1">
        <f>IFERROR(P94/SUM(P94,P247),0)*'[1]Electricity and CHPs_IN'!L$52</f>
        <v>4.6879103410758474E-2</v>
      </c>
      <c r="Q322" s="1">
        <f>IFERROR(Q94/SUM(Q94,Q247),0)*'[1]Electricity and CHPs_IN'!M$52</f>
        <v>0.10332907995087237</v>
      </c>
      <c r="S322" s="3"/>
    </row>
    <row r="323" spans="1:19" x14ac:dyDescent="0.5">
      <c r="A323" s="5" t="s">
        <v>5</v>
      </c>
      <c r="B323" s="5" t="s">
        <v>6</v>
      </c>
      <c r="C323" s="5" t="s">
        <v>7</v>
      </c>
      <c r="D323" t="s">
        <v>110</v>
      </c>
      <c r="E323" t="str">
        <f t="shared" si="293"/>
        <v>PJ/yr.</v>
      </c>
      <c r="F323" s="1">
        <f>IFERROR(F95/SUM(F95,F248),0)*'[1]Electricity and CHPs_IN'!B$54</f>
        <v>1.0647375924190148</v>
      </c>
      <c r="G323" s="1">
        <f>IFERROR(G95/SUM(G95,G248),0)*'[1]Electricity and CHPs_IN'!C$54</f>
        <v>1.2564654244826536</v>
      </c>
      <c r="H323" s="1">
        <f>IFERROR(H95/SUM(H95,H248),0)*'[1]Electricity and CHPs_IN'!D$54</f>
        <v>1.309662992936941</v>
      </c>
      <c r="I323" s="1">
        <f>IFERROR(I95/SUM(I95,I248),0)*'[1]Electricity and CHPs_IN'!E$54</f>
        <v>1.3916475834615751</v>
      </c>
      <c r="J323" s="1">
        <f>IFERROR(J95/SUM(J95,J248),0)*'[1]Electricity and CHPs_IN'!F$54</f>
        <v>1.4742060758390922</v>
      </c>
      <c r="K323" s="1">
        <f>IFERROR(K95/SUM(K95,K248),0)*'[1]Electricity and CHPs_IN'!G$54</f>
        <v>1.5601751325483439</v>
      </c>
      <c r="L323" s="1">
        <f>IFERROR(L95/SUM(L95,L248),0)*'[1]Electricity and CHPs_IN'!H$54</f>
        <v>1.5573157915628102</v>
      </c>
      <c r="M323" s="1">
        <f>IFERROR(M95/SUM(M95,M248),0)*'[1]Electricity and CHPs_IN'!I$54</f>
        <v>1.5572458757912568</v>
      </c>
      <c r="N323" s="1">
        <f>IFERROR(N95/SUM(N95,N248),0)*'[1]Electricity and CHPs_IN'!J$54</f>
        <v>1.5580777356974789</v>
      </c>
      <c r="O323" s="1">
        <f>IFERROR(O95/SUM(O95,O248),0)*'[1]Electricity and CHPs_IN'!K$54</f>
        <v>1.5570337209390832</v>
      </c>
      <c r="P323" s="1">
        <f>IFERROR(P95/SUM(P95,P248),0)*'[1]Electricity and CHPs_IN'!L$54</f>
        <v>1.7957417594291782</v>
      </c>
      <c r="Q323" s="1">
        <f>IFERROR(Q95/SUM(Q95,Q248),0)*'[1]Electricity and CHPs_IN'!M$54</f>
        <v>2.4214623611295276</v>
      </c>
      <c r="S323" s="3"/>
    </row>
    <row r="324" spans="1:19" x14ac:dyDescent="0.5">
      <c r="A324" s="5" t="s">
        <v>5</v>
      </c>
      <c r="B324" s="5" t="s">
        <v>6</v>
      </c>
      <c r="C324" s="5" t="s">
        <v>7</v>
      </c>
      <c r="D324" t="s">
        <v>111</v>
      </c>
      <c r="E324" t="str">
        <f t="shared" si="293"/>
        <v>PJ/yr.</v>
      </c>
      <c r="F324" s="1">
        <f>IFERROR(F96/SUM(F96,F249),0)*'[1]Electricity and CHPs_IN'!B$55</f>
        <v>0.78881132245823493</v>
      </c>
      <c r="G324" s="1">
        <f>IFERROR(G96/SUM(G96,G249),0)*'[1]Electricity and CHPs_IN'!C$55</f>
        <v>0.79094017934868655</v>
      </c>
      <c r="H324" s="1">
        <f>IFERROR(H96/SUM(H96,H249),0)*'[1]Electricity and CHPs_IN'!D$55</f>
        <v>0.9926472293908003</v>
      </c>
      <c r="I324" s="1">
        <f>IFERROR(I96/SUM(I96,I249),0)*'[1]Electricity and CHPs_IN'!E$55</f>
        <v>0.82024098650583577</v>
      </c>
      <c r="J324" s="1">
        <f>IFERROR(J96/SUM(J96,J249),0)*'[1]Electricity and CHPs_IN'!F$55</f>
        <v>0.71597395006094611</v>
      </c>
      <c r="K324" s="1">
        <f>IFERROR(K96/SUM(K96,K249),0)*'[1]Electricity and CHPs_IN'!G$55</f>
        <v>0.3615557839521969</v>
      </c>
      <c r="L324" s="1">
        <f>IFERROR(L96/SUM(L96,L249),0)*'[1]Electricity and CHPs_IN'!H$55</f>
        <v>0</v>
      </c>
      <c r="M324" s="1">
        <f>IFERROR(M96/SUM(M96,M249),0)*'[1]Electricity and CHPs_IN'!I$55</f>
        <v>0</v>
      </c>
      <c r="N324" s="1">
        <f>IFERROR(N96/SUM(N96,N249),0)*'[1]Electricity and CHPs_IN'!J$55</f>
        <v>1.0066989441866599E-2</v>
      </c>
      <c r="O324" s="1">
        <f>IFERROR(O96/SUM(O96,O249),0)*'[1]Electricity and CHPs_IN'!K$55</f>
        <v>1.152197372594504E-2</v>
      </c>
      <c r="P324" s="1">
        <f>IFERROR(P96/SUM(P96,P249),0)*'[1]Electricity and CHPs_IN'!L$55</f>
        <v>1.8107934315186851E-2</v>
      </c>
      <c r="Q324" s="1">
        <f>IFERROR(Q96/SUM(Q96,Q249),0)*'[1]Electricity and CHPs_IN'!M$55</f>
        <v>3.0083572443786386E-2</v>
      </c>
      <c r="S324" s="3"/>
    </row>
    <row r="325" spans="1:19" x14ac:dyDescent="0.5">
      <c r="A325" s="5" t="s">
        <v>5</v>
      </c>
      <c r="B325" s="5" t="s">
        <v>6</v>
      </c>
      <c r="C325" s="5" t="s">
        <v>7</v>
      </c>
      <c r="D325" t="s">
        <v>112</v>
      </c>
      <c r="E325" t="str">
        <f t="shared" si="293"/>
        <v>PJ/yr.</v>
      </c>
      <c r="F325" s="1">
        <f>IFERROR(F97/SUM(F97,F250),0)*'[1]Electricity and CHPs_IN'!B$58</f>
        <v>0</v>
      </c>
      <c r="G325" s="1">
        <f>IFERROR(G97/SUM(G97,G250),0)*'[1]Electricity and CHPs_IN'!C$58</f>
        <v>0</v>
      </c>
      <c r="H325" s="1">
        <f>IFERROR(H97/SUM(H97,H250),0)*'[1]Electricity and CHPs_IN'!D$58</f>
        <v>0</v>
      </c>
      <c r="I325" s="1">
        <f>IFERROR(I97/SUM(I97,I250),0)*'[1]Electricity and CHPs_IN'!E$58</f>
        <v>0</v>
      </c>
      <c r="J325" s="1">
        <f>IFERROR(J97/SUM(J97,J250),0)*'[1]Electricity and CHPs_IN'!F$58</f>
        <v>0</v>
      </c>
      <c r="K325" s="1">
        <f>IFERROR(K97/SUM(K97,K250),0)*'[1]Electricity and CHPs_IN'!G$58</f>
        <v>0</v>
      </c>
      <c r="L325" s="1">
        <f>IFERROR(L97/SUM(L97,L250),0)*'[1]Electricity and CHPs_IN'!H$58</f>
        <v>0</v>
      </c>
      <c r="M325" s="1">
        <f>IFERROR(M97/SUM(M97,M250),0)*'[1]Electricity and CHPs_IN'!I$58</f>
        <v>0</v>
      </c>
      <c r="N325" s="1">
        <f>IFERROR(N97/SUM(N97,N250),0)*'[1]Electricity and CHPs_IN'!J$58</f>
        <v>5.888019907920948E-3</v>
      </c>
      <c r="O325" s="1">
        <f>IFERROR(O97/SUM(O97,O250),0)*'[1]Electricity and CHPs_IN'!K$58</f>
        <v>7.4730699753861795E-3</v>
      </c>
      <c r="P325" s="1">
        <f>IFERROR(P97/SUM(P97,P250),0)*'[1]Electricity and CHPs_IN'!L$58</f>
        <v>1.2846117151383759E-2</v>
      </c>
      <c r="Q325" s="1">
        <f>IFERROR(Q97/SUM(Q97,Q250),0)*'[1]Electricity and CHPs_IN'!M$58</f>
        <v>2.7661224192370111E-2</v>
      </c>
      <c r="S325" s="3"/>
    </row>
    <row r="326" spans="1:19" x14ac:dyDescent="0.5">
      <c r="A326" s="5" t="s">
        <v>5</v>
      </c>
      <c r="B326" s="5" t="s">
        <v>6</v>
      </c>
      <c r="C326" s="5" t="s">
        <v>7</v>
      </c>
      <c r="D326" t="s">
        <v>851</v>
      </c>
      <c r="E326" t="str">
        <f t="shared" si="293"/>
        <v>PJ/yr.</v>
      </c>
      <c r="F326" s="1">
        <f>F310-F342</f>
        <v>2.9837305311911857</v>
      </c>
      <c r="G326" s="1">
        <f t="shared" ref="G326:K326" si="309">G310-G342</f>
        <v>0.92956819228708332</v>
      </c>
      <c r="H326" s="1">
        <f t="shared" si="309"/>
        <v>1.2340391104222288</v>
      </c>
      <c r="I326" s="1">
        <f t="shared" si="309"/>
        <v>1.0945984276738985</v>
      </c>
      <c r="J326" s="1">
        <f t="shared" si="309"/>
        <v>1.2193665002239538</v>
      </c>
      <c r="K326" s="1">
        <f t="shared" si="309"/>
        <v>0.78281913135328174</v>
      </c>
      <c r="L326" s="1">
        <f t="shared" ref="L326:O326" si="310">L310-L342</f>
        <v>7.5542766497261882E-2</v>
      </c>
      <c r="M326" s="1">
        <f t="shared" si="310"/>
        <v>0.10060116721413248</v>
      </c>
      <c r="N326" s="1">
        <f t="shared" si="310"/>
        <v>0.11051226819645166</v>
      </c>
      <c r="O326" s="1">
        <f t="shared" si="310"/>
        <v>0.25159422757352612</v>
      </c>
      <c r="P326" s="1">
        <f>P310-P342</f>
        <v>0.37916913203741576</v>
      </c>
      <c r="Q326" s="1">
        <f>Q310-Q342</f>
        <v>0.58013710590288792</v>
      </c>
      <c r="S326" s="3"/>
    </row>
    <row r="327" spans="1:19" x14ac:dyDescent="0.5">
      <c r="A327" s="5" t="s">
        <v>5</v>
      </c>
      <c r="B327" s="5" t="s">
        <v>6</v>
      </c>
      <c r="C327" s="5" t="s">
        <v>7</v>
      </c>
      <c r="D327" t="s">
        <v>579</v>
      </c>
      <c r="E327" t="str">
        <f t="shared" si="293"/>
        <v>PJ/yr.</v>
      </c>
      <c r="F327" s="1">
        <f>IFERROR(F99/F83,0)*F311</f>
        <v>0</v>
      </c>
      <c r="G327" s="1">
        <f t="shared" ref="G327:K327" si="311">IFERROR(G99/G83,0)*G311</f>
        <v>0</v>
      </c>
      <c r="H327" s="1">
        <f t="shared" si="311"/>
        <v>0</v>
      </c>
      <c r="I327" s="1">
        <f t="shared" si="311"/>
        <v>0</v>
      </c>
      <c r="J327" s="1">
        <f t="shared" si="311"/>
        <v>0</v>
      </c>
      <c r="K327" s="1">
        <f t="shared" si="311"/>
        <v>6.7583202761220833E-4</v>
      </c>
      <c r="L327" s="1">
        <f t="shared" ref="L327:O327" si="312">IFERROR(L99/L83,0)*L311</f>
        <v>7.1459483125955157E-4</v>
      </c>
      <c r="M327" s="1">
        <f t="shared" si="312"/>
        <v>1.037404915263892E-3</v>
      </c>
      <c r="N327" s="1">
        <f t="shared" si="312"/>
        <v>3.7323340471418718E-4</v>
      </c>
      <c r="O327" s="1">
        <f t="shared" si="312"/>
        <v>5.0795568268600943E-4</v>
      </c>
      <c r="P327" s="1">
        <f t="shared" ref="P327:Q341" si="313">IFERROR(P99/P83,0)*P311</f>
        <v>1.0523371915899399E-3</v>
      </c>
      <c r="Q327" s="1">
        <f t="shared" si="313"/>
        <v>2.2646486923573778E-3</v>
      </c>
      <c r="S327" s="3"/>
    </row>
    <row r="328" spans="1:19" x14ac:dyDescent="0.5">
      <c r="A328" s="5" t="s">
        <v>5</v>
      </c>
      <c r="B328" s="5" t="s">
        <v>6</v>
      </c>
      <c r="C328" s="5" t="s">
        <v>7</v>
      </c>
      <c r="D328" t="s">
        <v>580</v>
      </c>
      <c r="E328" t="str">
        <f t="shared" si="293"/>
        <v>PJ/yr.</v>
      </c>
      <c r="F328" s="1">
        <f t="shared" ref="F328:K328" si="314">IFERROR(F100/F84,0)*F312</f>
        <v>0</v>
      </c>
      <c r="G328" s="1">
        <f t="shared" si="314"/>
        <v>0</v>
      </c>
      <c r="H328" s="1">
        <f t="shared" si="314"/>
        <v>0</v>
      </c>
      <c r="I328" s="1">
        <f t="shared" si="314"/>
        <v>0</v>
      </c>
      <c r="J328" s="1">
        <f t="shared" si="314"/>
        <v>0</v>
      </c>
      <c r="K328" s="1">
        <f t="shared" si="314"/>
        <v>4.1551515132920148E-4</v>
      </c>
      <c r="L328" s="1">
        <f t="shared" ref="L328:O328" si="315">IFERROR(L100/L84,0)*L312</f>
        <v>3.7863597843599742E-4</v>
      </c>
      <c r="M328" s="1">
        <f t="shared" si="315"/>
        <v>1.4111903125363832E-3</v>
      </c>
      <c r="N328" s="1">
        <f t="shared" si="315"/>
        <v>4.4750405496698088E-4</v>
      </c>
      <c r="O328" s="1">
        <f t="shared" si="315"/>
        <v>5.3355829487229884E-4</v>
      </c>
      <c r="P328" s="1">
        <f t="shared" si="313"/>
        <v>9.9852020170770341E-4</v>
      </c>
      <c r="Q328" s="1">
        <f t="shared" si="313"/>
        <v>2.5594746047125682E-3</v>
      </c>
      <c r="S328" s="3"/>
    </row>
    <row r="329" spans="1:19" x14ac:dyDescent="0.5">
      <c r="A329" s="5" t="s">
        <v>5</v>
      </c>
      <c r="B329" s="5" t="s">
        <v>6</v>
      </c>
      <c r="C329" s="5" t="s">
        <v>7</v>
      </c>
      <c r="D329" t="s">
        <v>581</v>
      </c>
      <c r="E329" t="str">
        <f t="shared" si="293"/>
        <v>PJ/yr.</v>
      </c>
      <c r="F329" s="1">
        <f t="shared" ref="F329:K329" si="316">IFERROR(F101/F85,0)*F313</f>
        <v>0</v>
      </c>
      <c r="G329" s="1">
        <f t="shared" si="316"/>
        <v>0</v>
      </c>
      <c r="H329" s="1">
        <f t="shared" si="316"/>
        <v>0</v>
      </c>
      <c r="I329" s="1">
        <f t="shared" si="316"/>
        <v>0</v>
      </c>
      <c r="J329" s="1">
        <f t="shared" si="316"/>
        <v>0</v>
      </c>
      <c r="K329" s="1">
        <f t="shared" si="316"/>
        <v>0</v>
      </c>
      <c r="L329" s="1">
        <f t="shared" ref="L329:O329" si="317">IFERROR(L101/L85,0)*L313</f>
        <v>7.7289008488708524E-4</v>
      </c>
      <c r="M329" s="1">
        <f t="shared" si="317"/>
        <v>2.3280512621660079E-3</v>
      </c>
      <c r="N329" s="1">
        <f t="shared" si="317"/>
        <v>6.7729633226501343E-2</v>
      </c>
      <c r="O329" s="1">
        <f t="shared" si="317"/>
        <v>0.18940368373357033</v>
      </c>
      <c r="P329" s="1">
        <f t="shared" si="313"/>
        <v>0.27791828541684982</v>
      </c>
      <c r="Q329" s="1">
        <f t="shared" si="313"/>
        <v>0.41016978560865447</v>
      </c>
      <c r="S329" s="3"/>
    </row>
    <row r="330" spans="1:19" x14ac:dyDescent="0.5">
      <c r="A330" s="5" t="s">
        <v>5</v>
      </c>
      <c r="B330" s="5" t="s">
        <v>6</v>
      </c>
      <c r="C330" s="5" t="s">
        <v>7</v>
      </c>
      <c r="D330" t="s">
        <v>582</v>
      </c>
      <c r="E330" t="str">
        <f t="shared" si="293"/>
        <v>PJ/yr.</v>
      </c>
      <c r="F330" s="1">
        <f t="shared" ref="F330:K330" si="318">IFERROR(F102/F86,0)*F314</f>
        <v>1.2647289918766818</v>
      </c>
      <c r="G330" s="1">
        <f t="shared" si="318"/>
        <v>1.7501506791349076E-3</v>
      </c>
      <c r="H330" s="1">
        <f t="shared" si="318"/>
        <v>1.0671821956705463E-2</v>
      </c>
      <c r="I330" s="1">
        <f t="shared" si="318"/>
        <v>0</v>
      </c>
      <c r="J330" s="1">
        <f t="shared" si="318"/>
        <v>0</v>
      </c>
      <c r="K330" s="1">
        <f t="shared" si="318"/>
        <v>0</v>
      </c>
      <c r="L330" s="1">
        <f t="shared" ref="L330:O330" si="319">IFERROR(L102/L86,0)*L314</f>
        <v>0</v>
      </c>
      <c r="M330" s="1">
        <f t="shared" si="319"/>
        <v>0</v>
      </c>
      <c r="N330" s="1">
        <f t="shared" si="319"/>
        <v>0</v>
      </c>
      <c r="O330" s="1">
        <f t="shared" si="319"/>
        <v>0</v>
      </c>
      <c r="P330" s="1">
        <f t="shared" si="313"/>
        <v>0</v>
      </c>
      <c r="Q330" s="1">
        <f t="shared" si="313"/>
        <v>0</v>
      </c>
      <c r="S330" s="3"/>
    </row>
    <row r="331" spans="1:19" x14ac:dyDescent="0.5">
      <c r="A331" s="5" t="s">
        <v>5</v>
      </c>
      <c r="B331" s="5" t="s">
        <v>6</v>
      </c>
      <c r="C331" s="5" t="s">
        <v>7</v>
      </c>
      <c r="D331" t="s">
        <v>583</v>
      </c>
      <c r="E331" t="str">
        <f t="shared" si="293"/>
        <v>PJ/yr.</v>
      </c>
      <c r="F331" s="1">
        <f t="shared" ref="F331:K331" si="320">IFERROR(F103/F87,0)*F315</f>
        <v>0</v>
      </c>
      <c r="G331" s="1">
        <f t="shared" si="320"/>
        <v>0</v>
      </c>
      <c r="H331" s="1">
        <f t="shared" si="320"/>
        <v>0</v>
      </c>
      <c r="I331" s="1">
        <f t="shared" si="320"/>
        <v>0</v>
      </c>
      <c r="J331" s="1">
        <f t="shared" si="320"/>
        <v>0</v>
      </c>
      <c r="K331" s="1">
        <f t="shared" si="320"/>
        <v>0</v>
      </c>
      <c r="L331" s="1">
        <f t="shared" ref="L331:O331" si="321">IFERROR(L103/L87,0)*L315</f>
        <v>0</v>
      </c>
      <c r="M331" s="1">
        <f t="shared" si="321"/>
        <v>0</v>
      </c>
      <c r="N331" s="1">
        <f t="shared" si="321"/>
        <v>0</v>
      </c>
      <c r="O331" s="1">
        <f t="shared" si="321"/>
        <v>0</v>
      </c>
      <c r="P331" s="1">
        <f t="shared" si="313"/>
        <v>0</v>
      </c>
      <c r="Q331" s="1">
        <f t="shared" si="313"/>
        <v>0</v>
      </c>
      <c r="S331" s="3"/>
    </row>
    <row r="332" spans="1:19" x14ac:dyDescent="0.5">
      <c r="A332" s="5" t="s">
        <v>5</v>
      </c>
      <c r="B332" s="5" t="s">
        <v>6</v>
      </c>
      <c r="C332" s="5" t="s">
        <v>7</v>
      </c>
      <c r="D332" t="s">
        <v>584</v>
      </c>
      <c r="E332" t="str">
        <f t="shared" si="293"/>
        <v>PJ/yr.</v>
      </c>
      <c r="F332" s="1">
        <f t="shared" ref="F332:K332" si="322">IFERROR(F104/F88,0)*F316</f>
        <v>0.87021125890230167</v>
      </c>
      <c r="G332" s="1">
        <f t="shared" si="322"/>
        <v>0.11206292683518961</v>
      </c>
      <c r="H332" s="1">
        <f t="shared" si="322"/>
        <v>7.4968711650588216E-2</v>
      </c>
      <c r="I332" s="1">
        <f t="shared" si="322"/>
        <v>0.10512272674197871</v>
      </c>
      <c r="J332" s="1">
        <f t="shared" si="322"/>
        <v>0.37869199580976431</v>
      </c>
      <c r="K332" s="1">
        <f t="shared" si="322"/>
        <v>0.39804382560525281</v>
      </c>
      <c r="L332" s="1">
        <f t="shared" ref="L332:O332" si="323">IFERROR(L104/L88,0)*L316</f>
        <v>7.0603168206684969E-2</v>
      </c>
      <c r="M332" s="1">
        <f t="shared" si="323"/>
        <v>6.8895262533050283E-2</v>
      </c>
      <c r="N332" s="1">
        <f t="shared" si="323"/>
        <v>2.8668759253439372E-2</v>
      </c>
      <c r="O332" s="1">
        <f t="shared" si="323"/>
        <v>3.8631403743764496E-2</v>
      </c>
      <c r="P332" s="1">
        <f t="shared" si="313"/>
        <v>6.001547457494371E-2</v>
      </c>
      <c r="Q332" s="1">
        <f t="shared" si="313"/>
        <v>8.9658000067666124E-2</v>
      </c>
      <c r="S332" s="3"/>
    </row>
    <row r="333" spans="1:19" x14ac:dyDescent="0.5">
      <c r="A333" s="5" t="s">
        <v>5</v>
      </c>
      <c r="B333" s="5" t="s">
        <v>6</v>
      </c>
      <c r="C333" s="5" t="s">
        <v>7</v>
      </c>
      <c r="D333" t="s">
        <v>585</v>
      </c>
      <c r="E333" t="str">
        <f t="shared" si="293"/>
        <v>PJ/yr.</v>
      </c>
      <c r="F333" s="1">
        <f t="shared" ref="F333:K333" si="324">IFERROR(F105/F89,0)*F317</f>
        <v>0</v>
      </c>
      <c r="G333" s="1">
        <f t="shared" si="324"/>
        <v>0</v>
      </c>
      <c r="H333" s="1">
        <f t="shared" si="324"/>
        <v>0</v>
      </c>
      <c r="I333" s="1">
        <f t="shared" si="324"/>
        <v>0</v>
      </c>
      <c r="J333" s="1">
        <f t="shared" si="324"/>
        <v>0</v>
      </c>
      <c r="K333" s="1">
        <f t="shared" si="324"/>
        <v>5.5111678983785373E-3</v>
      </c>
      <c r="L333" s="1">
        <f t="shared" ref="L333:O333" si="325">IFERROR(L105/L89,0)*L317</f>
        <v>3.0734773959942645E-3</v>
      </c>
      <c r="M333" s="1">
        <f t="shared" si="325"/>
        <v>2.6929258191116016E-2</v>
      </c>
      <c r="N333" s="1">
        <f t="shared" si="325"/>
        <v>1.1185684087372352E-2</v>
      </c>
      <c r="O333" s="1">
        <f t="shared" si="325"/>
        <v>1.5105330656343969E-2</v>
      </c>
      <c r="P333" s="1">
        <f t="shared" si="313"/>
        <v>2.3455927480982238E-2</v>
      </c>
      <c r="Q333" s="1">
        <f t="shared" si="313"/>
        <v>3.5033322253783528E-2</v>
      </c>
      <c r="S333" s="3"/>
    </row>
    <row r="334" spans="1:19" x14ac:dyDescent="0.5">
      <c r="A334" s="5" t="s">
        <v>5</v>
      </c>
      <c r="B334" s="5" t="s">
        <v>6</v>
      </c>
      <c r="C334" s="5" t="s">
        <v>7</v>
      </c>
      <c r="D334" t="s">
        <v>586</v>
      </c>
      <c r="E334" t="str">
        <f t="shared" si="293"/>
        <v>PJ/yr.</v>
      </c>
      <c r="F334" s="1">
        <f t="shared" ref="F334:K334" si="326">IFERROR(F106/F90,0)*F318</f>
        <v>0</v>
      </c>
      <c r="G334" s="1">
        <f t="shared" si="326"/>
        <v>0</v>
      </c>
      <c r="H334" s="1">
        <f t="shared" si="326"/>
        <v>0</v>
      </c>
      <c r="I334" s="1">
        <f t="shared" si="326"/>
        <v>0</v>
      </c>
      <c r="J334" s="1">
        <f t="shared" si="326"/>
        <v>0</v>
      </c>
      <c r="K334" s="1">
        <f t="shared" si="326"/>
        <v>0</v>
      </c>
      <c r="L334" s="1">
        <f t="shared" ref="L334:O334" si="327">IFERROR(L106/L90,0)*L318</f>
        <v>0</v>
      </c>
      <c r="M334" s="1">
        <f t="shared" si="327"/>
        <v>0</v>
      </c>
      <c r="N334" s="1">
        <f t="shared" si="327"/>
        <v>0</v>
      </c>
      <c r="O334" s="1">
        <f t="shared" si="327"/>
        <v>0</v>
      </c>
      <c r="P334" s="1">
        <f t="shared" si="313"/>
        <v>0</v>
      </c>
      <c r="Q334" s="1">
        <f t="shared" si="313"/>
        <v>0</v>
      </c>
      <c r="S334" s="3"/>
    </row>
    <row r="335" spans="1:19" x14ac:dyDescent="0.5">
      <c r="A335" s="5" t="s">
        <v>5</v>
      </c>
      <c r="B335" s="5" t="s">
        <v>6</v>
      </c>
      <c r="C335" s="5" t="s">
        <v>7</v>
      </c>
      <c r="D335" t="s">
        <v>587</v>
      </c>
      <c r="E335" t="str">
        <f t="shared" si="293"/>
        <v>PJ/yr.</v>
      </c>
      <c r="F335" s="1">
        <f t="shared" ref="F335:K335" si="328">IFERROR(F107/F91,0)*F319</f>
        <v>3.3176603419707115E-2</v>
      </c>
      <c r="G335" s="1">
        <f t="shared" si="328"/>
        <v>1.7521357442580598E-2</v>
      </c>
      <c r="H335" s="1">
        <f t="shared" si="328"/>
        <v>2.3662851821022249E-2</v>
      </c>
      <c r="I335" s="1">
        <f t="shared" si="328"/>
        <v>1.5081966233212805E-2</v>
      </c>
      <c r="J335" s="1">
        <f t="shared" si="328"/>
        <v>1.2931018194898801E-2</v>
      </c>
      <c r="K335" s="1">
        <f t="shared" si="328"/>
        <v>5.3458350171276441E-3</v>
      </c>
      <c r="L335" s="1">
        <f t="shared" ref="L335:O335" si="329">IFERROR(L107/L91,0)*L319</f>
        <v>0</v>
      </c>
      <c r="M335" s="1">
        <f t="shared" si="329"/>
        <v>0</v>
      </c>
      <c r="N335" s="1">
        <f t="shared" si="329"/>
        <v>1.8470105626732807E-4</v>
      </c>
      <c r="O335" s="1">
        <f t="shared" si="329"/>
        <v>3.3050017917299828E-4</v>
      </c>
      <c r="P335" s="1">
        <f t="shared" si="313"/>
        <v>1.8118939456624801E-3</v>
      </c>
      <c r="Q335" s="1">
        <f t="shared" si="313"/>
        <v>2.743843481703897E-3</v>
      </c>
      <c r="S335" s="3"/>
    </row>
    <row r="336" spans="1:19" x14ac:dyDescent="0.5">
      <c r="A336" s="5" t="s">
        <v>5</v>
      </c>
      <c r="B336" s="5" t="s">
        <v>6</v>
      </c>
      <c r="C336" s="5" t="s">
        <v>7</v>
      </c>
      <c r="D336" t="s">
        <v>588</v>
      </c>
      <c r="E336" t="str">
        <f t="shared" si="293"/>
        <v>PJ/yr.</v>
      </c>
      <c r="F336" s="1">
        <f t="shared" ref="F336:K336" si="330">IFERROR(F108/F92,0)*F320</f>
        <v>0</v>
      </c>
      <c r="G336" s="1">
        <f t="shared" si="330"/>
        <v>0</v>
      </c>
      <c r="H336" s="1">
        <f t="shared" si="330"/>
        <v>0</v>
      </c>
      <c r="I336" s="1">
        <f t="shared" si="330"/>
        <v>0</v>
      </c>
      <c r="J336" s="1">
        <f t="shared" si="330"/>
        <v>0</v>
      </c>
      <c r="K336" s="1">
        <f t="shared" si="330"/>
        <v>0</v>
      </c>
      <c r="L336" s="1">
        <f t="shared" ref="L336:O336" si="331">IFERROR(L108/L92,0)*L320</f>
        <v>0</v>
      </c>
      <c r="M336" s="1">
        <f t="shared" si="331"/>
        <v>0</v>
      </c>
      <c r="N336" s="1">
        <f t="shared" si="331"/>
        <v>3.0560367020345517E-4</v>
      </c>
      <c r="O336" s="1">
        <f t="shared" si="331"/>
        <v>7.5299951503739941E-4</v>
      </c>
      <c r="P336" s="1">
        <f t="shared" si="313"/>
        <v>1.1299428979960745E-3</v>
      </c>
      <c r="Q336" s="1">
        <f t="shared" si="313"/>
        <v>3.3567660544885792E-3</v>
      </c>
      <c r="S336" s="3"/>
    </row>
    <row r="337" spans="1:19" x14ac:dyDescent="0.5">
      <c r="A337" s="5" t="s">
        <v>5</v>
      </c>
      <c r="B337" s="5" t="s">
        <v>6</v>
      </c>
      <c r="C337" s="5" t="s">
        <v>7</v>
      </c>
      <c r="D337" t="s">
        <v>589</v>
      </c>
      <c r="E337" t="str">
        <f t="shared" si="293"/>
        <v>PJ/yr.</v>
      </c>
      <c r="F337" s="1">
        <f t="shared" ref="F337:K337" si="332">IFERROR(F109/F93,0)*F321</f>
        <v>4.7238409731269311E-2</v>
      </c>
      <c r="G337" s="1">
        <f t="shared" si="332"/>
        <v>3.8465658944851253E-2</v>
      </c>
      <c r="H337" s="1">
        <f t="shared" si="332"/>
        <v>0.16232789885335464</v>
      </c>
      <c r="I337" s="1">
        <f t="shared" si="332"/>
        <v>0.16094212318239243</v>
      </c>
      <c r="J337" s="1">
        <f t="shared" si="332"/>
        <v>0.15358887506659682</v>
      </c>
      <c r="K337" s="1">
        <f t="shared" si="332"/>
        <v>6.3281857934923372E-2</v>
      </c>
      <c r="L337" s="1">
        <f t="shared" ref="L337:O337" si="333">IFERROR(L109/L93,0)*L321</f>
        <v>0</v>
      </c>
      <c r="M337" s="1">
        <f t="shared" si="333"/>
        <v>0</v>
      </c>
      <c r="N337" s="1">
        <f t="shared" si="333"/>
        <v>3.2914903256539655E-4</v>
      </c>
      <c r="O337" s="1">
        <f t="shared" si="333"/>
        <v>3.8037305507681086E-3</v>
      </c>
      <c r="P337" s="1">
        <f t="shared" si="313"/>
        <v>7.7217240675178283E-3</v>
      </c>
      <c r="Q337" s="1">
        <f t="shared" si="313"/>
        <v>1.8811566350779945E-2</v>
      </c>
      <c r="S337" s="3"/>
    </row>
    <row r="338" spans="1:19" x14ac:dyDescent="0.5">
      <c r="A338" s="5" t="s">
        <v>5</v>
      </c>
      <c r="B338" s="5" t="s">
        <v>6</v>
      </c>
      <c r="C338" s="5" t="s">
        <v>7</v>
      </c>
      <c r="D338" t="s">
        <v>590</v>
      </c>
      <c r="E338" t="str">
        <f t="shared" si="293"/>
        <v>PJ/yr.</v>
      </c>
      <c r="F338" s="1">
        <f t="shared" ref="F338:K338" si="334">IFERROR(F110/F94,0)*F322</f>
        <v>0</v>
      </c>
      <c r="G338" s="1">
        <f t="shared" si="334"/>
        <v>0</v>
      </c>
      <c r="H338" s="1">
        <f t="shared" si="334"/>
        <v>0</v>
      </c>
      <c r="I338" s="1">
        <f t="shared" si="334"/>
        <v>0</v>
      </c>
      <c r="J338" s="1">
        <f t="shared" si="334"/>
        <v>0</v>
      </c>
      <c r="K338" s="1">
        <f t="shared" si="334"/>
        <v>0</v>
      </c>
      <c r="L338" s="1">
        <f t="shared" ref="L338:O338" si="335">IFERROR(L110/L94,0)*L322</f>
        <v>0</v>
      </c>
      <c r="M338" s="1">
        <f t="shared" si="335"/>
        <v>0</v>
      </c>
      <c r="N338" s="1">
        <f t="shared" si="335"/>
        <v>7.8823798135929212E-4</v>
      </c>
      <c r="O338" s="1">
        <f t="shared" si="335"/>
        <v>1.6837975745907087E-3</v>
      </c>
      <c r="P338" s="1">
        <f t="shared" si="313"/>
        <v>3.0506779559797861E-3</v>
      </c>
      <c r="Q338" s="1">
        <f t="shared" si="313"/>
        <v>9.968734921997081E-3</v>
      </c>
      <c r="S338" s="3"/>
    </row>
    <row r="339" spans="1:19" x14ac:dyDescent="0.5">
      <c r="A339" s="5" t="s">
        <v>5</v>
      </c>
      <c r="B339" s="5" t="s">
        <v>6</v>
      </c>
      <c r="C339" s="5" t="s">
        <v>7</v>
      </c>
      <c r="D339" t="s">
        <v>591</v>
      </c>
      <c r="E339" t="str">
        <f t="shared" si="293"/>
        <v>PJ/yr.</v>
      </c>
      <c r="F339" s="1">
        <f t="shared" ref="F339:K339" si="336">IFERROR(F111/F95,0)*F323</f>
        <v>0</v>
      </c>
      <c r="G339" s="1">
        <f t="shared" si="336"/>
        <v>0</v>
      </c>
      <c r="H339" s="1">
        <f t="shared" si="336"/>
        <v>0</v>
      </c>
      <c r="I339" s="1">
        <f t="shared" si="336"/>
        <v>0</v>
      </c>
      <c r="J339" s="1">
        <f t="shared" si="336"/>
        <v>0</v>
      </c>
      <c r="K339" s="1">
        <f t="shared" si="336"/>
        <v>0</v>
      </c>
      <c r="L339" s="1">
        <f t="shared" ref="L339:O339" si="337">IFERROR(L111/L95,0)*L323</f>
        <v>0</v>
      </c>
      <c r="M339" s="1">
        <f t="shared" si="337"/>
        <v>0</v>
      </c>
      <c r="N339" s="1">
        <f t="shared" si="337"/>
        <v>0</v>
      </c>
      <c r="O339" s="1">
        <f t="shared" si="337"/>
        <v>0</v>
      </c>
      <c r="P339" s="1">
        <f t="shared" si="313"/>
        <v>0</v>
      </c>
      <c r="Q339" s="1">
        <f t="shared" si="313"/>
        <v>0</v>
      </c>
      <c r="S339" s="3"/>
    </row>
    <row r="340" spans="1:19" x14ac:dyDescent="0.5">
      <c r="A340" s="5" t="s">
        <v>5</v>
      </c>
      <c r="B340" s="5" t="s">
        <v>6</v>
      </c>
      <c r="C340" s="5" t="s">
        <v>7</v>
      </c>
      <c r="D340" t="s">
        <v>592</v>
      </c>
      <c r="E340" t="str">
        <f t="shared" si="293"/>
        <v>PJ/yr.</v>
      </c>
      <c r="F340" s="1">
        <f t="shared" ref="F340:K340" si="338">IFERROR(F112/F96,0)*F324</f>
        <v>0.76837526726122629</v>
      </c>
      <c r="G340" s="1">
        <f t="shared" si="338"/>
        <v>0.75976809838532677</v>
      </c>
      <c r="H340" s="1">
        <f t="shared" si="338"/>
        <v>0.96240782614055842</v>
      </c>
      <c r="I340" s="1">
        <f t="shared" si="338"/>
        <v>0.81345161151631429</v>
      </c>
      <c r="J340" s="1">
        <f t="shared" si="338"/>
        <v>0.67415461115269382</v>
      </c>
      <c r="K340" s="1">
        <f t="shared" si="338"/>
        <v>0.3095450977186579</v>
      </c>
      <c r="L340" s="1">
        <f t="shared" ref="L340:O340" si="339">IFERROR(L112/L96,0)*L324</f>
        <v>0</v>
      </c>
      <c r="M340" s="1">
        <f t="shared" si="339"/>
        <v>0</v>
      </c>
      <c r="N340" s="1">
        <f t="shared" si="339"/>
        <v>3.1533062667066036E-4</v>
      </c>
      <c r="O340" s="1">
        <f t="shared" si="339"/>
        <v>5.1029436037731003E-4</v>
      </c>
      <c r="P340" s="1">
        <f t="shared" si="313"/>
        <v>1.1783816674060554E-3</v>
      </c>
      <c r="Q340" s="1">
        <f t="shared" si="313"/>
        <v>2.9023306831086376E-3</v>
      </c>
      <c r="S340" s="3"/>
    </row>
    <row r="341" spans="1:19" x14ac:dyDescent="0.5">
      <c r="A341" s="5" t="s">
        <v>5</v>
      </c>
      <c r="B341" s="5" t="s">
        <v>6</v>
      </c>
      <c r="C341" s="5" t="s">
        <v>7</v>
      </c>
      <c r="D341" t="s">
        <v>593</v>
      </c>
      <c r="E341" t="str">
        <f t="shared" si="293"/>
        <v>PJ/yr.</v>
      </c>
      <c r="F341" s="1">
        <f t="shared" ref="F341:K341" si="340">IFERROR(F113/F97,0)*F325</f>
        <v>0</v>
      </c>
      <c r="G341" s="1">
        <f t="shared" si="340"/>
        <v>0</v>
      </c>
      <c r="H341" s="1">
        <f t="shared" si="340"/>
        <v>0</v>
      </c>
      <c r="I341" s="1">
        <f t="shared" si="340"/>
        <v>0</v>
      </c>
      <c r="J341" s="1">
        <f t="shared" si="340"/>
        <v>0</v>
      </c>
      <c r="K341" s="1">
        <f t="shared" si="340"/>
        <v>0</v>
      </c>
      <c r="L341" s="1">
        <f t="shared" ref="L341:O341" si="341">IFERROR(L113/L97,0)*L325</f>
        <v>0</v>
      </c>
      <c r="M341" s="1">
        <f t="shared" si="341"/>
        <v>0</v>
      </c>
      <c r="N341" s="1">
        <f t="shared" si="341"/>
        <v>1.8443180239094192E-4</v>
      </c>
      <c r="O341" s="1">
        <f t="shared" si="341"/>
        <v>3.3097328234288988E-4</v>
      </c>
      <c r="P341" s="1">
        <f t="shared" si="313"/>
        <v>8.3596663678227464E-4</v>
      </c>
      <c r="Q341" s="1">
        <f t="shared" si="313"/>
        <v>2.6686331836378889E-3</v>
      </c>
      <c r="S341" s="3"/>
    </row>
    <row r="342" spans="1:19" x14ac:dyDescent="0.5">
      <c r="A342" s="5" t="s">
        <v>5</v>
      </c>
      <c r="B342" s="5" t="s">
        <v>6</v>
      </c>
      <c r="C342" s="5" t="s">
        <v>7</v>
      </c>
      <c r="D342" t="s">
        <v>852</v>
      </c>
      <c r="E342" t="str">
        <f t="shared" si="293"/>
        <v>PJ/yr.</v>
      </c>
      <c r="F342" s="1">
        <f>SUM(F343:F357)</f>
        <v>1.1440942354897408</v>
      </c>
      <c r="G342" s="1">
        <f t="shared" ref="G342:K342" si="342">SUM(G343:G357)</f>
        <v>1.2946041341922592</v>
      </c>
      <c r="H342" s="1">
        <f t="shared" si="342"/>
        <v>1.348437206189419</v>
      </c>
      <c r="I342" s="1">
        <f t="shared" si="342"/>
        <v>1.4007835161749735</v>
      </c>
      <c r="J342" s="1">
        <f t="shared" si="342"/>
        <v>1.549846144278356</v>
      </c>
      <c r="K342" s="1">
        <f t="shared" si="342"/>
        <v>1.6917067268733572</v>
      </c>
      <c r="L342" s="1">
        <f t="shared" ref="L342:O342" si="343">SUM(L343:L357)</f>
        <v>1.647239316110253</v>
      </c>
      <c r="M342" s="1">
        <f t="shared" si="343"/>
        <v>2.5388196201945012</v>
      </c>
      <c r="N342" s="1">
        <f t="shared" si="343"/>
        <v>4.97569037207096</v>
      </c>
      <c r="O342" s="1">
        <f t="shared" si="343"/>
        <v>6.9862039790992396</v>
      </c>
      <c r="P342" s="1">
        <f>SUM(P343:P357)</f>
        <v>7.2431820589470632</v>
      </c>
      <c r="Q342" s="1">
        <f>SUM(Q343:Q357)</f>
        <v>7.8546292368614923</v>
      </c>
      <c r="S342" s="3"/>
    </row>
    <row r="343" spans="1:19" x14ac:dyDescent="0.5">
      <c r="A343" s="5" t="s">
        <v>5</v>
      </c>
      <c r="B343" s="5" t="s">
        <v>6</v>
      </c>
      <c r="C343" s="5" t="s">
        <v>7</v>
      </c>
      <c r="D343" t="s">
        <v>640</v>
      </c>
      <c r="E343" t="str">
        <f t="shared" si="293"/>
        <v>PJ/yr.</v>
      </c>
      <c r="F343" s="1">
        <f>F311-F327</f>
        <v>0</v>
      </c>
      <c r="G343" s="1">
        <f t="shared" ref="G343:K343" si="344">G311-G327</f>
        <v>0</v>
      </c>
      <c r="H343" s="1">
        <f t="shared" si="344"/>
        <v>0</v>
      </c>
      <c r="I343" s="1">
        <f t="shared" si="344"/>
        <v>0</v>
      </c>
      <c r="J343" s="1">
        <f t="shared" si="344"/>
        <v>0</v>
      </c>
      <c r="K343" s="1">
        <f t="shared" si="344"/>
        <v>1.1355530355277319E-4</v>
      </c>
      <c r="L343" s="1">
        <f t="shared" ref="L343:O343" si="345">L311-L327</f>
        <v>8.5062923731517315E-4</v>
      </c>
      <c r="M343" s="1">
        <f t="shared" si="345"/>
        <v>1.0122043862278943E-2</v>
      </c>
      <c r="N343" s="1">
        <f t="shared" si="345"/>
        <v>1.1542313094148087E-2</v>
      </c>
      <c r="O343" s="1">
        <f t="shared" si="345"/>
        <v>1.0961212868432695E-2</v>
      </c>
      <c r="P343" s="1">
        <f t="shared" ref="P343:Q357" si="346">P311-P327</f>
        <v>1.5118699128659029E-2</v>
      </c>
      <c r="Q343" s="1">
        <f t="shared" si="346"/>
        <v>2.1209148898235473E-2</v>
      </c>
      <c r="S343" s="3"/>
    </row>
    <row r="344" spans="1:19" x14ac:dyDescent="0.5">
      <c r="A344" s="5" t="s">
        <v>5</v>
      </c>
      <c r="B344" s="5" t="s">
        <v>6</v>
      </c>
      <c r="C344" s="5" t="s">
        <v>7</v>
      </c>
      <c r="D344" t="s">
        <v>641</v>
      </c>
      <c r="E344" t="str">
        <f t="shared" si="293"/>
        <v>PJ/yr.</v>
      </c>
      <c r="F344" s="1">
        <f t="shared" ref="F344:K344" si="347">F312-F328</f>
        <v>0</v>
      </c>
      <c r="G344" s="1">
        <f t="shared" si="347"/>
        <v>0</v>
      </c>
      <c r="H344" s="1">
        <f t="shared" si="347"/>
        <v>0</v>
      </c>
      <c r="I344" s="1">
        <f t="shared" si="347"/>
        <v>0</v>
      </c>
      <c r="J344" s="1">
        <f t="shared" si="347"/>
        <v>0</v>
      </c>
      <c r="K344" s="1">
        <f t="shared" si="347"/>
        <v>6.9816089223634879E-5</v>
      </c>
      <c r="L344" s="1">
        <f t="shared" ref="L344:O344" si="348">L312-L328</f>
        <v>4.5071531372455862E-4</v>
      </c>
      <c r="M344" s="1">
        <f t="shared" si="348"/>
        <v>1.3769098286837065E-2</v>
      </c>
      <c r="N344" s="1">
        <f t="shared" si="348"/>
        <v>1.3839146893309714E-2</v>
      </c>
      <c r="O344" s="1">
        <f t="shared" si="348"/>
        <v>1.1513693511385408E-2</v>
      </c>
      <c r="P344" s="1">
        <f t="shared" si="346"/>
        <v>1.4345522161673452E-2</v>
      </c>
      <c r="Q344" s="1">
        <f t="shared" si="346"/>
        <v>2.3970286506599076E-2</v>
      </c>
      <c r="S344" s="3"/>
    </row>
    <row r="345" spans="1:19" x14ac:dyDescent="0.5">
      <c r="A345" s="5" t="s">
        <v>5</v>
      </c>
      <c r="B345" s="5" t="s">
        <v>6</v>
      </c>
      <c r="C345" s="5" t="s">
        <v>7</v>
      </c>
      <c r="D345" t="s">
        <v>642</v>
      </c>
      <c r="E345" t="str">
        <f t="shared" si="293"/>
        <v>PJ/yr.</v>
      </c>
      <c r="F345" s="1">
        <f t="shared" ref="F345:K345" si="349">F313-F329</f>
        <v>0</v>
      </c>
      <c r="G345" s="1">
        <f t="shared" si="349"/>
        <v>0</v>
      </c>
      <c r="H345" s="1">
        <f t="shared" si="349"/>
        <v>0</v>
      </c>
      <c r="I345" s="1">
        <f t="shared" si="349"/>
        <v>0</v>
      </c>
      <c r="J345" s="1">
        <f t="shared" si="349"/>
        <v>0</v>
      </c>
      <c r="K345" s="1">
        <f t="shared" si="349"/>
        <v>0</v>
      </c>
      <c r="L345" s="1">
        <f t="shared" ref="L345:O345" si="350">L313-L329</f>
        <v>9.2002191266503538E-4</v>
      </c>
      <c r="M345" s="1">
        <f t="shared" si="350"/>
        <v>2.2714984903733436E-2</v>
      </c>
      <c r="N345" s="1">
        <f t="shared" si="350"/>
        <v>2.0945516199192906</v>
      </c>
      <c r="O345" s="1">
        <f t="shared" si="350"/>
        <v>4.0871559591396336</v>
      </c>
      <c r="P345" s="1">
        <f t="shared" si="346"/>
        <v>3.9927914485487701</v>
      </c>
      <c r="Q345" s="1">
        <f t="shared" si="346"/>
        <v>3.8413693416949934</v>
      </c>
      <c r="S345" s="3"/>
    </row>
    <row r="346" spans="1:19" x14ac:dyDescent="0.5">
      <c r="A346" s="5" t="s">
        <v>5</v>
      </c>
      <c r="B346" s="5" t="s">
        <v>6</v>
      </c>
      <c r="C346" s="5" t="s">
        <v>7</v>
      </c>
      <c r="D346" t="s">
        <v>643</v>
      </c>
      <c r="E346" t="str">
        <f t="shared" si="293"/>
        <v>PJ/yr.</v>
      </c>
      <c r="F346" s="1">
        <f t="shared" ref="F346:K346" si="351">F314-F330</f>
        <v>3.3637302745797459E-2</v>
      </c>
      <c r="G346" s="1">
        <f t="shared" si="351"/>
        <v>7.180590865030461E-5</v>
      </c>
      <c r="H346" s="1">
        <f t="shared" si="351"/>
        <v>3.3531473747229305E-4</v>
      </c>
      <c r="I346" s="1">
        <f t="shared" si="351"/>
        <v>0</v>
      </c>
      <c r="J346" s="1">
        <f t="shared" si="351"/>
        <v>0</v>
      </c>
      <c r="K346" s="1">
        <f t="shared" si="351"/>
        <v>0</v>
      </c>
      <c r="L346" s="1">
        <f t="shared" ref="L346:O346" si="352">L314-L330</f>
        <v>0</v>
      </c>
      <c r="M346" s="1">
        <f t="shared" si="352"/>
        <v>0</v>
      </c>
      <c r="N346" s="1">
        <f t="shared" si="352"/>
        <v>0</v>
      </c>
      <c r="O346" s="1">
        <f t="shared" si="352"/>
        <v>0</v>
      </c>
      <c r="P346" s="1">
        <f t="shared" si="346"/>
        <v>0</v>
      </c>
      <c r="Q346" s="1">
        <f t="shared" si="346"/>
        <v>0</v>
      </c>
      <c r="S346" s="3"/>
    </row>
    <row r="347" spans="1:19" x14ac:dyDescent="0.5">
      <c r="A347" s="5" t="s">
        <v>5</v>
      </c>
      <c r="B347" s="5" t="s">
        <v>6</v>
      </c>
      <c r="C347" s="5" t="s">
        <v>7</v>
      </c>
      <c r="D347" t="s">
        <v>644</v>
      </c>
      <c r="E347" t="str">
        <f t="shared" si="293"/>
        <v>PJ/yr.</v>
      </c>
      <c r="F347" s="1">
        <f t="shared" ref="F347:K347" si="353">F315-F331</f>
        <v>0</v>
      </c>
      <c r="G347" s="1">
        <f t="shared" si="353"/>
        <v>0</v>
      </c>
      <c r="H347" s="1">
        <f t="shared" si="353"/>
        <v>0</v>
      </c>
      <c r="I347" s="1">
        <f t="shared" si="353"/>
        <v>0</v>
      </c>
      <c r="J347" s="1">
        <f t="shared" si="353"/>
        <v>0</v>
      </c>
      <c r="K347" s="1">
        <f t="shared" si="353"/>
        <v>0</v>
      </c>
      <c r="L347" s="1">
        <f t="shared" ref="L347:O347" si="354">L315-L331</f>
        <v>0</v>
      </c>
      <c r="M347" s="1">
        <f t="shared" si="354"/>
        <v>0</v>
      </c>
      <c r="N347" s="1">
        <f t="shared" si="354"/>
        <v>0</v>
      </c>
      <c r="O347" s="1">
        <f t="shared" si="354"/>
        <v>0</v>
      </c>
      <c r="P347" s="1">
        <f t="shared" si="346"/>
        <v>0</v>
      </c>
      <c r="Q347" s="1">
        <f t="shared" si="346"/>
        <v>0</v>
      </c>
      <c r="S347" s="3"/>
    </row>
    <row r="348" spans="1:19" x14ac:dyDescent="0.5">
      <c r="A348" s="5" t="s">
        <v>5</v>
      </c>
      <c r="B348" s="5" t="s">
        <v>6</v>
      </c>
      <c r="C348" s="5" t="s">
        <v>7</v>
      </c>
      <c r="D348" t="s">
        <v>645</v>
      </c>
      <c r="E348" t="str">
        <f t="shared" si="293"/>
        <v>PJ/yr.</v>
      </c>
      <c r="F348" s="1">
        <f t="shared" ref="F348:K348" si="355">F316-F332</f>
        <v>2.3144531165576687E-2</v>
      </c>
      <c r="G348" s="1">
        <f t="shared" si="355"/>
        <v>4.5977642858675977E-3</v>
      </c>
      <c r="H348" s="1">
        <f t="shared" si="355"/>
        <v>2.3555597130214406E-3</v>
      </c>
      <c r="I348" s="1">
        <f t="shared" si="355"/>
        <v>8.7739405966863471E-4</v>
      </c>
      <c r="J348" s="1">
        <f t="shared" si="355"/>
        <v>2.3491123034125483E-2</v>
      </c>
      <c r="K348" s="1">
        <f t="shared" si="355"/>
        <v>6.6880505210160479E-2</v>
      </c>
      <c r="L348" s="1">
        <f t="shared" ref="L348:O348" si="356">L316-L332</f>
        <v>8.4043595750377981E-2</v>
      </c>
      <c r="M348" s="1">
        <f t="shared" si="356"/>
        <v>0.67221666198233287</v>
      </c>
      <c r="N348" s="1">
        <f t="shared" si="356"/>
        <v>0.88658676084298971</v>
      </c>
      <c r="O348" s="1">
        <f t="shared" si="356"/>
        <v>0.83362988991998865</v>
      </c>
      <c r="P348" s="1">
        <f t="shared" si="346"/>
        <v>0.8622292459238915</v>
      </c>
      <c r="Q348" s="1">
        <f t="shared" si="346"/>
        <v>0.8396754338853788</v>
      </c>
      <c r="S348" s="3"/>
    </row>
    <row r="349" spans="1:19" x14ac:dyDescent="0.5">
      <c r="A349" s="5" t="s">
        <v>5</v>
      </c>
      <c r="B349" s="5" t="s">
        <v>6</v>
      </c>
      <c r="C349" s="5" t="s">
        <v>7</v>
      </c>
      <c r="D349" t="s">
        <v>646</v>
      </c>
      <c r="E349" t="str">
        <f t="shared" si="293"/>
        <v>PJ/yr.</v>
      </c>
      <c r="F349" s="1">
        <f t="shared" ref="F349:K349" si="357">F317-F333</f>
        <v>0</v>
      </c>
      <c r="G349" s="1">
        <f t="shared" si="357"/>
        <v>0</v>
      </c>
      <c r="H349" s="1">
        <f t="shared" si="357"/>
        <v>0</v>
      </c>
      <c r="I349" s="1">
        <f t="shared" si="357"/>
        <v>0</v>
      </c>
      <c r="J349" s="1">
        <f t="shared" si="357"/>
        <v>0</v>
      </c>
      <c r="K349" s="1">
        <f t="shared" si="357"/>
        <v>9.260027907256425E-4</v>
      </c>
      <c r="L349" s="1">
        <f t="shared" ref="L349:O349" si="358">L317-L333</f>
        <v>3.6585623333601183E-3</v>
      </c>
      <c r="M349" s="1">
        <f t="shared" si="358"/>
        <v>0.26275095536806192</v>
      </c>
      <c r="N349" s="1">
        <f t="shared" si="358"/>
        <v>0.34591937987852445</v>
      </c>
      <c r="O349" s="1">
        <f t="shared" si="358"/>
        <v>0.32595903622284378</v>
      </c>
      <c r="P349" s="1">
        <f t="shared" si="346"/>
        <v>0.33698619910299599</v>
      </c>
      <c r="Q349" s="1">
        <f t="shared" si="346"/>
        <v>0.3280981066016514</v>
      </c>
      <c r="S349" s="3"/>
    </row>
    <row r="350" spans="1:19" x14ac:dyDescent="0.5">
      <c r="A350" s="5" t="s">
        <v>5</v>
      </c>
      <c r="B350" s="5" t="s">
        <v>6</v>
      </c>
      <c r="C350" s="5" t="s">
        <v>7</v>
      </c>
      <c r="D350" t="s">
        <v>647</v>
      </c>
      <c r="E350" t="str">
        <f t="shared" si="293"/>
        <v>PJ/yr.</v>
      </c>
      <c r="F350" s="1">
        <f t="shared" ref="F350:K350" si="359">F318-F334</f>
        <v>0</v>
      </c>
      <c r="G350" s="1">
        <f t="shared" si="359"/>
        <v>0</v>
      </c>
      <c r="H350" s="1">
        <f t="shared" si="359"/>
        <v>0</v>
      </c>
      <c r="I350" s="1">
        <f t="shared" si="359"/>
        <v>0</v>
      </c>
      <c r="J350" s="1">
        <f t="shared" si="359"/>
        <v>0</v>
      </c>
      <c r="K350" s="1">
        <f t="shared" si="359"/>
        <v>0</v>
      </c>
      <c r="L350" s="1">
        <f t="shared" ref="L350:O350" si="360">L318-L334</f>
        <v>0</v>
      </c>
      <c r="M350" s="1">
        <f t="shared" si="360"/>
        <v>0</v>
      </c>
      <c r="N350" s="1">
        <f t="shared" si="360"/>
        <v>0</v>
      </c>
      <c r="O350" s="1">
        <f t="shared" si="360"/>
        <v>0</v>
      </c>
      <c r="P350" s="1">
        <f t="shared" si="346"/>
        <v>0</v>
      </c>
      <c r="Q350" s="1">
        <f t="shared" si="346"/>
        <v>0</v>
      </c>
      <c r="S350" s="3"/>
    </row>
    <row r="351" spans="1:19" x14ac:dyDescent="0.5">
      <c r="A351" s="5" t="s">
        <v>5</v>
      </c>
      <c r="B351" s="5" t="s">
        <v>6</v>
      </c>
      <c r="C351" s="5" t="s">
        <v>7</v>
      </c>
      <c r="D351" t="s">
        <v>648</v>
      </c>
      <c r="E351" t="str">
        <f t="shared" si="293"/>
        <v>PJ/yr.</v>
      </c>
      <c r="F351" s="1">
        <f t="shared" ref="F351:K351" si="361">F319-F335</f>
        <v>8.8237990943024203E-4</v>
      </c>
      <c r="G351" s="1">
        <f t="shared" si="361"/>
        <v>7.1887352726290182E-4</v>
      </c>
      <c r="H351" s="1">
        <f t="shared" si="361"/>
        <v>7.4350031123095878E-4</v>
      </c>
      <c r="I351" s="1">
        <f t="shared" si="361"/>
        <v>1.2587979774937932E-4</v>
      </c>
      <c r="J351" s="1">
        <f t="shared" si="361"/>
        <v>8.0214037458948076E-4</v>
      </c>
      <c r="K351" s="1">
        <f t="shared" si="361"/>
        <v>8.9822306921106404E-4</v>
      </c>
      <c r="L351" s="1">
        <f t="shared" ref="L351:O351" si="362">L319-L335</f>
        <v>0</v>
      </c>
      <c r="M351" s="1">
        <f t="shared" si="362"/>
        <v>0</v>
      </c>
      <c r="N351" s="1">
        <f t="shared" si="362"/>
        <v>5.7119148321943553E-3</v>
      </c>
      <c r="O351" s="1">
        <f t="shared" si="362"/>
        <v>7.1318875651003076E-3</v>
      </c>
      <c r="P351" s="1">
        <f t="shared" si="346"/>
        <v>2.6031085507984428E-2</v>
      </c>
      <c r="Q351" s="1">
        <f t="shared" si="346"/>
        <v>2.5696959158964892E-2</v>
      </c>
      <c r="S351" s="3"/>
    </row>
    <row r="352" spans="1:19" x14ac:dyDescent="0.5">
      <c r="A352" s="5" t="s">
        <v>5</v>
      </c>
      <c r="B352" s="5" t="s">
        <v>6</v>
      </c>
      <c r="C352" s="5" t="s">
        <v>7</v>
      </c>
      <c r="D352" t="s">
        <v>649</v>
      </c>
      <c r="E352" t="str">
        <f t="shared" si="293"/>
        <v>PJ/yr.</v>
      </c>
      <c r="F352" s="1">
        <f t="shared" ref="F352:K352" si="363">F320-F336</f>
        <v>0</v>
      </c>
      <c r="G352" s="1">
        <f t="shared" si="363"/>
        <v>0</v>
      </c>
      <c r="H352" s="1">
        <f t="shared" si="363"/>
        <v>0</v>
      </c>
      <c r="I352" s="1">
        <f t="shared" si="363"/>
        <v>0</v>
      </c>
      <c r="J352" s="1">
        <f t="shared" si="363"/>
        <v>0</v>
      </c>
      <c r="K352" s="1">
        <f t="shared" si="363"/>
        <v>0</v>
      </c>
      <c r="L352" s="1">
        <f t="shared" ref="L352:O352" si="364">L320-L336</f>
        <v>0</v>
      </c>
      <c r="M352" s="1">
        <f t="shared" si="364"/>
        <v>0</v>
      </c>
      <c r="N352" s="1">
        <f t="shared" si="364"/>
        <v>9.450850860764257E-3</v>
      </c>
      <c r="O352" s="1">
        <f t="shared" si="364"/>
        <v>1.6249031668484286E-2</v>
      </c>
      <c r="P352" s="1">
        <f t="shared" si="346"/>
        <v>1.6233643402412845E-2</v>
      </c>
      <c r="Q352" s="1">
        <f t="shared" si="346"/>
        <v>3.1437172267139331E-2</v>
      </c>
      <c r="S352" s="3"/>
    </row>
    <row r="353" spans="1:19" x14ac:dyDescent="0.5">
      <c r="A353" s="5" t="s">
        <v>5</v>
      </c>
      <c r="B353" s="5" t="s">
        <v>6</v>
      </c>
      <c r="C353" s="5" t="s">
        <v>7</v>
      </c>
      <c r="D353" t="s">
        <v>650</v>
      </c>
      <c r="E353" t="str">
        <f t="shared" si="293"/>
        <v>PJ/yr.</v>
      </c>
      <c r="F353" s="1">
        <f t="shared" ref="F353:K353" si="365">F321-F337</f>
        <v>1.2563740529130396E-3</v>
      </c>
      <c r="G353" s="1">
        <f t="shared" si="365"/>
        <v>1.5781850244648843E-3</v>
      </c>
      <c r="H353" s="1">
        <f t="shared" si="365"/>
        <v>5.1004352405112086E-3</v>
      </c>
      <c r="I353" s="1">
        <f t="shared" si="365"/>
        <v>1.3432838664590718E-3</v>
      </c>
      <c r="J353" s="1">
        <f t="shared" si="365"/>
        <v>9.5274661222964629E-3</v>
      </c>
      <c r="K353" s="1">
        <f t="shared" si="365"/>
        <v>1.0632805628600681E-2</v>
      </c>
      <c r="L353" s="1">
        <f t="shared" ref="L353:O353" si="366">L321-L337</f>
        <v>0</v>
      </c>
      <c r="M353" s="1">
        <f t="shared" si="366"/>
        <v>0</v>
      </c>
      <c r="N353" s="1">
        <f t="shared" si="366"/>
        <v>1.0178995611111076E-2</v>
      </c>
      <c r="O353" s="1">
        <f t="shared" si="366"/>
        <v>8.2080980058456571E-2</v>
      </c>
      <c r="P353" s="1">
        <f t="shared" si="346"/>
        <v>0.11093632712433663</v>
      </c>
      <c r="Q353" s="1">
        <f t="shared" si="346"/>
        <v>0.17617624892071643</v>
      </c>
      <c r="S353" s="3"/>
    </row>
    <row r="354" spans="1:19" x14ac:dyDescent="0.5">
      <c r="A354" s="5" t="s">
        <v>5</v>
      </c>
      <c r="B354" s="5" t="s">
        <v>6</v>
      </c>
      <c r="C354" s="5" t="s">
        <v>7</v>
      </c>
      <c r="D354" t="s">
        <v>651</v>
      </c>
      <c r="E354" t="str">
        <f t="shared" si="293"/>
        <v>PJ/yr.</v>
      </c>
      <c r="F354" s="1">
        <f t="shared" ref="F354:K354" si="367">F322-F338</f>
        <v>0</v>
      </c>
      <c r="G354" s="1">
        <f t="shared" si="367"/>
        <v>0</v>
      </c>
      <c r="H354" s="1">
        <f t="shared" si="367"/>
        <v>0</v>
      </c>
      <c r="I354" s="1">
        <f t="shared" si="367"/>
        <v>0</v>
      </c>
      <c r="J354" s="1">
        <f t="shared" si="367"/>
        <v>0</v>
      </c>
      <c r="K354" s="1">
        <f t="shared" si="367"/>
        <v>0</v>
      </c>
      <c r="L354" s="1">
        <f t="shared" ref="L354:O354" si="368">L322-L338</f>
        <v>0</v>
      </c>
      <c r="M354" s="1">
        <f t="shared" si="368"/>
        <v>0</v>
      </c>
      <c r="N354" s="1">
        <f t="shared" si="368"/>
        <v>2.4376407520423551E-2</v>
      </c>
      <c r="O354" s="1">
        <f t="shared" si="368"/>
        <v>3.6334791147219506E-2</v>
      </c>
      <c r="P354" s="1">
        <f t="shared" si="346"/>
        <v>4.3828425454778691E-2</v>
      </c>
      <c r="Q354" s="1">
        <f t="shared" si="346"/>
        <v>9.3360345028875288E-2</v>
      </c>
      <c r="S354" s="3"/>
    </row>
    <row r="355" spans="1:19" x14ac:dyDescent="0.5">
      <c r="A355" s="5" t="s">
        <v>5</v>
      </c>
      <c r="B355" s="5" t="s">
        <v>6</v>
      </c>
      <c r="C355" s="5" t="s">
        <v>7</v>
      </c>
      <c r="D355" t="s">
        <v>652</v>
      </c>
      <c r="E355" t="str">
        <f t="shared" si="293"/>
        <v>PJ/yr.</v>
      </c>
      <c r="F355" s="1">
        <f t="shared" ref="F355:K355" si="369">F323-F339</f>
        <v>1.0647375924190148</v>
      </c>
      <c r="G355" s="1">
        <f t="shared" si="369"/>
        <v>1.2564654244826536</v>
      </c>
      <c r="H355" s="1">
        <f t="shared" si="369"/>
        <v>1.309662992936941</v>
      </c>
      <c r="I355" s="1">
        <f t="shared" si="369"/>
        <v>1.3916475834615751</v>
      </c>
      <c r="J355" s="1">
        <f t="shared" si="369"/>
        <v>1.4742060758390922</v>
      </c>
      <c r="K355" s="1">
        <f t="shared" si="369"/>
        <v>1.5601751325483439</v>
      </c>
      <c r="L355" s="1">
        <f t="shared" ref="L355:O355" si="370">L323-L339</f>
        <v>1.5573157915628102</v>
      </c>
      <c r="M355" s="1">
        <f t="shared" si="370"/>
        <v>1.5572458757912568</v>
      </c>
      <c r="N355" s="1">
        <f t="shared" si="370"/>
        <v>1.5580777356974789</v>
      </c>
      <c r="O355" s="1">
        <f t="shared" si="370"/>
        <v>1.5570337209390832</v>
      </c>
      <c r="P355" s="1">
        <f t="shared" si="346"/>
        <v>1.7957417594291782</v>
      </c>
      <c r="Q355" s="1">
        <f t="shared" si="346"/>
        <v>2.4214623611295276</v>
      </c>
      <c r="S355" s="3"/>
    </row>
    <row r="356" spans="1:19" x14ac:dyDescent="0.5">
      <c r="A356" s="5" t="s">
        <v>5</v>
      </c>
      <c r="B356" s="5" t="s">
        <v>6</v>
      </c>
      <c r="C356" s="5" t="s">
        <v>7</v>
      </c>
      <c r="D356" t="s">
        <v>653</v>
      </c>
      <c r="E356" t="str">
        <f t="shared" si="293"/>
        <v>PJ/yr.</v>
      </c>
      <c r="F356" s="1">
        <f t="shared" ref="F356:K356" si="371">F324-F340</f>
        <v>2.043605519700864E-2</v>
      </c>
      <c r="G356" s="1">
        <f t="shared" si="371"/>
        <v>3.1172080963359772E-2</v>
      </c>
      <c r="H356" s="1">
        <f t="shared" si="371"/>
        <v>3.0239403250241881E-2</v>
      </c>
      <c r="I356" s="1">
        <f t="shared" si="371"/>
        <v>6.7893749895214794E-3</v>
      </c>
      <c r="J356" s="1">
        <f t="shared" si="371"/>
        <v>4.181933890825229E-2</v>
      </c>
      <c r="K356" s="1">
        <f t="shared" si="371"/>
        <v>5.2010686233538994E-2</v>
      </c>
      <c r="L356" s="1">
        <f t="shared" ref="L356:O356" si="372">L324-L340</f>
        <v>0</v>
      </c>
      <c r="M356" s="1">
        <f t="shared" si="372"/>
        <v>0</v>
      </c>
      <c r="N356" s="1">
        <f t="shared" si="372"/>
        <v>9.7516588151959384E-3</v>
      </c>
      <c r="O356" s="1">
        <f t="shared" si="372"/>
        <v>1.1011679365567731E-2</v>
      </c>
      <c r="P356" s="1">
        <f t="shared" si="346"/>
        <v>1.6929552647780795E-2</v>
      </c>
      <c r="Q356" s="1">
        <f t="shared" si="346"/>
        <v>2.7181241760677748E-2</v>
      </c>
      <c r="S356" s="3"/>
    </row>
    <row r="357" spans="1:19" x14ac:dyDescent="0.5">
      <c r="A357" s="5" t="s">
        <v>5</v>
      </c>
      <c r="B357" s="5" t="s">
        <v>6</v>
      </c>
      <c r="C357" s="5" t="s">
        <v>7</v>
      </c>
      <c r="D357" t="s">
        <v>654</v>
      </c>
      <c r="E357" t="str">
        <f t="shared" si="293"/>
        <v>PJ/yr.</v>
      </c>
      <c r="F357" s="1">
        <f t="shared" ref="F357:K357" si="373">F325-F341</f>
        <v>0</v>
      </c>
      <c r="G357" s="1">
        <f t="shared" si="373"/>
        <v>0</v>
      </c>
      <c r="H357" s="1">
        <f t="shared" si="373"/>
        <v>0</v>
      </c>
      <c r="I357" s="1">
        <f t="shared" si="373"/>
        <v>0</v>
      </c>
      <c r="J357" s="1">
        <f t="shared" si="373"/>
        <v>0</v>
      </c>
      <c r="K357" s="1">
        <f t="shared" si="373"/>
        <v>0</v>
      </c>
      <c r="L357" s="1">
        <f t="shared" ref="L357:O357" si="374">L325-L341</f>
        <v>0</v>
      </c>
      <c r="M357" s="1">
        <f t="shared" si="374"/>
        <v>0</v>
      </c>
      <c r="N357" s="1">
        <f t="shared" si="374"/>
        <v>5.7035881055300065E-3</v>
      </c>
      <c r="O357" s="1">
        <f t="shared" si="374"/>
        <v>7.14209669304329E-3</v>
      </c>
      <c r="P357" s="1">
        <f t="shared" si="346"/>
        <v>1.2010150514601484E-2</v>
      </c>
      <c r="Q357" s="1">
        <f t="shared" si="346"/>
        <v>2.4992591008732221E-2</v>
      </c>
      <c r="S357" s="3"/>
    </row>
    <row r="358" spans="1:19" x14ac:dyDescent="0.5">
      <c r="A358" s="5" t="s">
        <v>5</v>
      </c>
      <c r="B358" s="5" t="s">
        <v>6</v>
      </c>
      <c r="C358" s="5" t="s">
        <v>7</v>
      </c>
      <c r="D358" t="s">
        <v>853</v>
      </c>
      <c r="E358" t="str">
        <f t="shared" ref="E358:E408" si="375">E357</f>
        <v>PJ/yr.</v>
      </c>
      <c r="F358" s="1">
        <f>SUM(F359:F364)</f>
        <v>22.495694738132567</v>
      </c>
      <c r="G358" s="1">
        <f t="shared" ref="G358:K358" si="376">SUM(G359:G364)</f>
        <v>24.668185390229404</v>
      </c>
      <c r="H358" s="1">
        <f t="shared" si="376"/>
        <v>27.562730734425106</v>
      </c>
      <c r="I358" s="1">
        <f t="shared" si="376"/>
        <v>25.111338787436402</v>
      </c>
      <c r="J358" s="1">
        <f t="shared" si="376"/>
        <v>25.516659733648535</v>
      </c>
      <c r="K358" s="1">
        <f t="shared" si="376"/>
        <v>29.073474693075902</v>
      </c>
      <c r="L358" s="1">
        <f t="shared" ref="L358:O358" si="377">SUM(L359:L364)</f>
        <v>31.108378737801132</v>
      </c>
      <c r="M358" s="1">
        <f t="shared" si="377"/>
        <v>36.633034847994509</v>
      </c>
      <c r="N358" s="1">
        <f t="shared" si="377"/>
        <v>35.200069497968244</v>
      </c>
      <c r="O358" s="1">
        <f t="shared" si="377"/>
        <v>34.823667420432642</v>
      </c>
      <c r="P358" s="1">
        <f>SUM(P359:P364)</f>
        <v>34.820695256101473</v>
      </c>
      <c r="Q358" s="1">
        <f>SUM(Q359:Q364)</f>
        <v>34.854168243137629</v>
      </c>
      <c r="S358" s="3"/>
    </row>
    <row r="359" spans="1:19" x14ac:dyDescent="0.5">
      <c r="A359" s="5" t="s">
        <v>5</v>
      </c>
      <c r="B359" s="5" t="s">
        <v>6</v>
      </c>
      <c r="C359" s="5" t="s">
        <v>7</v>
      </c>
      <c r="D359" t="s">
        <v>113</v>
      </c>
      <c r="E359" t="str">
        <f t="shared" si="375"/>
        <v>PJ/yr.</v>
      </c>
      <c r="F359" s="1">
        <f>'[1]Electricity and CHPs_IN'!B$19</f>
        <v>18.203669952093911</v>
      </c>
      <c r="G359" s="1">
        <f>'[1]Electricity and CHPs_IN'!C$19</f>
        <v>20.542636386861506</v>
      </c>
      <c r="H359" s="1">
        <f>'[1]Electricity and CHPs_IN'!D$19</f>
        <v>23.435926861895567</v>
      </c>
      <c r="I359" s="1">
        <f>'[1]Electricity and CHPs_IN'!E$19</f>
        <v>20.696674212502874</v>
      </c>
      <c r="J359" s="1">
        <f>'[1]Electricity and CHPs_IN'!F$19</f>
        <v>20.958877650412969</v>
      </c>
      <c r="K359" s="1">
        <f>'[1]Electricity and CHPs_IN'!G$19</f>
        <v>19.805487967738756</v>
      </c>
      <c r="L359" s="1">
        <f>'[1]Electricity and CHPs_IN'!H$19</f>
        <v>12.135284059164739</v>
      </c>
      <c r="M359" s="1">
        <f>'[1]Electricity and CHPs_IN'!I$19</f>
        <v>14.341308102108263</v>
      </c>
      <c r="N359" s="1">
        <f>'[1]Electricity and CHPs_IN'!J$19</f>
        <v>13.674873494282748</v>
      </c>
      <c r="O359" s="1">
        <f>'[1]Electricity and CHPs_IN'!K$19</f>
        <v>13.385702521688394</v>
      </c>
      <c r="P359" s="1">
        <f>'[1]Electricity and CHPs_IN'!L$19</f>
        <v>13.369899033088799</v>
      </c>
      <c r="Q359" s="1">
        <f>'[1]Electricity and CHPs_IN'!M$19</f>
        <v>13.384090368804468</v>
      </c>
      <c r="S359" s="3"/>
    </row>
    <row r="360" spans="1:19" x14ac:dyDescent="0.5">
      <c r="A360" s="5" t="s">
        <v>5</v>
      </c>
      <c r="B360" s="5" t="s">
        <v>6</v>
      </c>
      <c r="C360" s="5" t="s">
        <v>7</v>
      </c>
      <c r="D360" t="s">
        <v>114</v>
      </c>
      <c r="E360" t="str">
        <f t="shared" si="375"/>
        <v>PJ/yr.</v>
      </c>
      <c r="F360" s="1">
        <f>'[1]Electricity and CHPs_IN'!B$20</f>
        <v>0</v>
      </c>
      <c r="G360" s="1">
        <f>'[1]Electricity and CHPs_IN'!C$20</f>
        <v>0</v>
      </c>
      <c r="H360" s="1">
        <f>'[1]Electricity and CHPs_IN'!D$20</f>
        <v>0</v>
      </c>
      <c r="I360" s="1">
        <f>'[1]Electricity and CHPs_IN'!E$20</f>
        <v>0</v>
      </c>
      <c r="J360" s="1">
        <f>'[1]Electricity and CHPs_IN'!F$20</f>
        <v>0</v>
      </c>
      <c r="K360" s="1">
        <f>'[1]Electricity and CHPs_IN'!G$20</f>
        <v>3.6726674886756334</v>
      </c>
      <c r="L360" s="1">
        <f>'[1]Electricity and CHPs_IN'!H$20</f>
        <v>12.83184440098972</v>
      </c>
      <c r="M360" s="1">
        <f>'[1]Electricity and CHPs_IN'!I$20</f>
        <v>14.340585217910363</v>
      </c>
      <c r="N360" s="1">
        <f>'[1]Electricity and CHPs_IN'!J$20</f>
        <v>13.674050335330989</v>
      </c>
      <c r="O360" s="1">
        <f>'[1]Electricity and CHPs_IN'!K$20</f>
        <v>13.385016737084047</v>
      </c>
      <c r="P360" s="1">
        <f>'[1]Electricity and CHPs_IN'!L$20</f>
        <v>13.36924953470518</v>
      </c>
      <c r="Q360" s="1">
        <f>'[1]Electricity and CHPs_IN'!M$20</f>
        <v>13.383603471364856</v>
      </c>
      <c r="S360" s="3"/>
    </row>
    <row r="361" spans="1:19" x14ac:dyDescent="0.5">
      <c r="A361" s="5" t="s">
        <v>5</v>
      </c>
      <c r="B361" s="5" t="s">
        <v>6</v>
      </c>
      <c r="C361" s="5" t="s">
        <v>7</v>
      </c>
      <c r="D361" t="s">
        <v>115</v>
      </c>
      <c r="E361" t="str">
        <f t="shared" si="375"/>
        <v>PJ/yr.</v>
      </c>
      <c r="F361" s="1">
        <f>IFERROR(F133/SUM(F133,F198),0)*'[1]Electricity and CHPs_IN'!B$26</f>
        <v>3.897532420857631</v>
      </c>
      <c r="G361" s="1">
        <f>IFERROR(G133/SUM(G133,G198),0)*'[1]Electricity and CHPs_IN'!C$26</f>
        <v>3.6925067896757264</v>
      </c>
      <c r="H361" s="1">
        <f>IFERROR(H133/SUM(H133,H198),0)*'[1]Electricity and CHPs_IN'!D$26</f>
        <v>3.4930908267748402</v>
      </c>
      <c r="I361" s="1">
        <f>IFERROR(I133/SUM(I133,I198),0)*'[1]Electricity and CHPs_IN'!E$26</f>
        <v>3.7202914746815137</v>
      </c>
      <c r="J361" s="1">
        <f>IFERROR(J133/SUM(J133,J198),0)*'[1]Electricity and CHPs_IN'!F$26</f>
        <v>3.7880433434810103</v>
      </c>
      <c r="K361" s="1">
        <f>IFERROR(K133/SUM(K133,K198),0)*'[1]Electricity and CHPs_IN'!G$26</f>
        <v>4.3128346106543676</v>
      </c>
      <c r="L361" s="1">
        <f>IFERROR(L133/SUM(L133,L198),0)*'[1]Electricity and CHPs_IN'!H$26</f>
        <v>3.7624386116688475</v>
      </c>
      <c r="M361" s="1">
        <f>IFERROR(M133/SUM(M133,M198),0)*'[1]Electricity and CHPs_IN'!I$26</f>
        <v>3.8151148420728838</v>
      </c>
      <c r="N361" s="1">
        <f>IFERROR(N133/SUM(N133,N198),0)*'[1]Electricity and CHPs_IN'!J$26</f>
        <v>4.0275956859922699</v>
      </c>
      <c r="O361" s="1">
        <f>IFERROR(O133/SUM(O133,O198),0)*'[1]Electricity and CHPs_IN'!K$26</f>
        <v>4.2583710423796779</v>
      </c>
      <c r="P361" s="1">
        <f>IFERROR(P133/SUM(P133,P198),0)*'[1]Electricity and CHPs_IN'!L$26</f>
        <v>4.2883649737243354</v>
      </c>
      <c r="Q361" s="1">
        <f>IFERROR(Q133/SUM(Q133,Q198),0)*'[1]Electricity and CHPs_IN'!M$26</f>
        <v>4.2914318628921295</v>
      </c>
      <c r="S361" s="3"/>
    </row>
    <row r="362" spans="1:19" x14ac:dyDescent="0.5">
      <c r="A362" s="5" t="s">
        <v>5</v>
      </c>
      <c r="B362" s="5" t="s">
        <v>6</v>
      </c>
      <c r="C362" s="5" t="s">
        <v>7</v>
      </c>
      <c r="D362" t="s">
        <v>116</v>
      </c>
      <c r="E362" t="str">
        <f t="shared" si="375"/>
        <v>PJ/yr.</v>
      </c>
      <c r="F362" s="1">
        <f>IFERROR(F134/SUM(F134,F199),0)*'[1]Electricity and CHPs_IN'!B$27</f>
        <v>0</v>
      </c>
      <c r="G362" s="1">
        <f>IFERROR(G134/SUM(G134,G199),0)*'[1]Electricity and CHPs_IN'!C$27</f>
        <v>0</v>
      </c>
      <c r="H362" s="1">
        <f>IFERROR(H134/SUM(H134,H199),0)*'[1]Electricity and CHPs_IN'!D$27</f>
        <v>0</v>
      </c>
      <c r="I362" s="1">
        <f>IFERROR(I134/SUM(I134,I199),0)*'[1]Electricity and CHPs_IN'!E$27</f>
        <v>0</v>
      </c>
      <c r="J362" s="1">
        <f>IFERROR(J134/SUM(J134,J199),0)*'[1]Electricity and CHPs_IN'!F$27</f>
        <v>0</v>
      </c>
      <c r="K362" s="1">
        <f>IFERROR(K134/SUM(K134,K199),0)*'[1]Electricity and CHPs_IN'!G$27</f>
        <v>0.41068391912429009</v>
      </c>
      <c r="L362" s="1">
        <f>IFERROR(L134/SUM(L134,L199),0)*'[1]Electricity and CHPs_IN'!H$27</f>
        <v>1.3725967434704711</v>
      </c>
      <c r="M362" s="1">
        <f>IFERROR(M134/SUM(M134,M199),0)*'[1]Electricity and CHPs_IN'!I$27</f>
        <v>1.4726907306794774</v>
      </c>
      <c r="N362" s="1">
        <f>IFERROR(N134/SUM(N134,N199),0)*'[1]Electricity and CHPs_IN'!J$27</f>
        <v>1.4042727822073606</v>
      </c>
      <c r="O362" s="1">
        <f>IFERROR(O134/SUM(O134,O199),0)*'[1]Electricity and CHPs_IN'!K$27</f>
        <v>1.3745721042744175</v>
      </c>
      <c r="P362" s="1">
        <f>IFERROR(P134/SUM(P134,P199),0)*'[1]Electricity and CHPs_IN'!L$27</f>
        <v>1.3729792527974416</v>
      </c>
      <c r="Q362" s="1">
        <f>IFERROR(Q134/SUM(Q134,Q199),0)*'[1]Electricity and CHPs_IN'!M$27</f>
        <v>1.3744344927588537</v>
      </c>
      <c r="S362" s="3"/>
    </row>
    <row r="363" spans="1:19" x14ac:dyDescent="0.5">
      <c r="A363" s="5" t="s">
        <v>5</v>
      </c>
      <c r="B363" s="5" t="s">
        <v>6</v>
      </c>
      <c r="C363" s="5" t="s">
        <v>7</v>
      </c>
      <c r="D363" t="s">
        <v>117</v>
      </c>
      <c r="E363" t="str">
        <f t="shared" si="375"/>
        <v>PJ/yr.</v>
      </c>
      <c r="F363" s="1">
        <f>IFERROR(F135/SUM(F135,F274),0)*'[1]Electricity and CHPs_IN'!B$44</f>
        <v>0.39449236518102548</v>
      </c>
      <c r="G363" s="1">
        <f>IFERROR(G135/SUM(G135,G274),0)*'[1]Electricity and CHPs_IN'!C$44</f>
        <v>0.43304221369217366</v>
      </c>
      <c r="H363" s="1">
        <f>IFERROR(H135/SUM(H135,H274),0)*'[1]Electricity and CHPs_IN'!D$44</f>
        <v>0.63371304575469967</v>
      </c>
      <c r="I363" s="1">
        <f>IFERROR(I135/SUM(I135,I274),0)*'[1]Electricity and CHPs_IN'!E$44</f>
        <v>0.69437310025201626</v>
      </c>
      <c r="J363" s="1">
        <f>IFERROR(J135/SUM(J135,J274),0)*'[1]Electricity and CHPs_IN'!F$44</f>
        <v>0.76973873975455398</v>
      </c>
      <c r="K363" s="1">
        <f>IFERROR(K135/SUM(K135,K274),0)*'[1]Electricity and CHPs_IN'!G$44</f>
        <v>0.74535314156177768</v>
      </c>
      <c r="L363" s="1">
        <f>IFERROR(L135/SUM(L135,L274),0)*'[1]Electricity and CHPs_IN'!H$44</f>
        <v>4.0371243398946407E-3</v>
      </c>
      <c r="M363" s="1">
        <f>IFERROR(M135/SUM(M135,M274),0)*'[1]Electricity and CHPs_IN'!I$44</f>
        <v>2.5230371811947416E-3</v>
      </c>
      <c r="N363" s="1">
        <f>IFERROR(N135/SUM(N135,N274),0)*'[1]Electricity and CHPs_IN'!J$44</f>
        <v>2.3719587173074747E-3</v>
      </c>
      <c r="O363" s="1">
        <f>IFERROR(O135/SUM(O135,O274),0)*'[1]Electricity and CHPs_IN'!K$44</f>
        <v>1.2890232401944794E-3</v>
      </c>
      <c r="P363" s="1">
        <f>IFERROR(P135/SUM(P135,P274),0)*'[1]Electricity and CHPs_IN'!L$44</f>
        <v>1.2083494362727472E-3</v>
      </c>
      <c r="Q363" s="1">
        <f>IFERROR(Q135/SUM(Q135,Q274),0)*'[1]Electricity and CHPs_IN'!M$44</f>
        <v>7.6978522099697001E-4</v>
      </c>
      <c r="S363" s="3"/>
    </row>
    <row r="364" spans="1:19" x14ac:dyDescent="0.5">
      <c r="A364" s="5" t="s">
        <v>5</v>
      </c>
      <c r="B364" s="5" t="s">
        <v>6</v>
      </c>
      <c r="C364" s="5" t="s">
        <v>7</v>
      </c>
      <c r="D364" t="s">
        <v>118</v>
      </c>
      <c r="E364" t="str">
        <f t="shared" si="375"/>
        <v>PJ/yr.</v>
      </c>
      <c r="F364" s="1">
        <f>IFERROR(F136/SUM(F136,F275),0)*'[1]Electricity and CHPs_IN'!B$45</f>
        <v>0</v>
      </c>
      <c r="G364" s="1">
        <f>IFERROR(G136/SUM(G136,G275),0)*'[1]Electricity and CHPs_IN'!C$45</f>
        <v>0</v>
      </c>
      <c r="H364" s="1">
        <f>IFERROR(H136/SUM(H136,H275),0)*'[1]Electricity and CHPs_IN'!D$45</f>
        <v>0</v>
      </c>
      <c r="I364" s="1">
        <f>IFERROR(I136/SUM(I136,I275),0)*'[1]Electricity and CHPs_IN'!E$45</f>
        <v>0</v>
      </c>
      <c r="J364" s="1">
        <f>IFERROR(J136/SUM(J136,J275),0)*'[1]Electricity and CHPs_IN'!F$45</f>
        <v>0</v>
      </c>
      <c r="K364" s="1">
        <f>IFERROR(K136/SUM(K136,K275),0)*'[1]Electricity and CHPs_IN'!G$45</f>
        <v>0.12644756532107804</v>
      </c>
      <c r="L364" s="1">
        <f>IFERROR(L136/SUM(L136,L275),0)*'[1]Electricity and CHPs_IN'!H$45</f>
        <v>1.0021777981674604</v>
      </c>
      <c r="M364" s="1">
        <f>IFERROR(M136/SUM(M136,M275),0)*'[1]Electricity and CHPs_IN'!I$45</f>
        <v>2.6608129180423403</v>
      </c>
      <c r="N364" s="1">
        <f>IFERROR(N136/SUM(N136,N275),0)*'[1]Electricity and CHPs_IN'!J$45</f>
        <v>2.4169052414375676</v>
      </c>
      <c r="O364" s="1">
        <f>IFERROR(O136/SUM(O136,O275),0)*'[1]Electricity and CHPs_IN'!K$45</f>
        <v>2.4187159917659087</v>
      </c>
      <c r="P364" s="1">
        <f>IFERROR(P136/SUM(P136,P275),0)*'[1]Electricity and CHPs_IN'!L$45</f>
        <v>2.4189941123494436</v>
      </c>
      <c r="Q364" s="1">
        <f>IFERROR(Q136/SUM(Q136,Q275),0)*'[1]Electricity and CHPs_IN'!M$45</f>
        <v>2.4198382620963281</v>
      </c>
      <c r="S364" s="3"/>
    </row>
    <row r="365" spans="1:19" x14ac:dyDescent="0.5">
      <c r="A365" s="5" t="s">
        <v>5</v>
      </c>
      <c r="B365" s="5" t="s">
        <v>6</v>
      </c>
      <c r="C365" s="5" t="s">
        <v>7</v>
      </c>
      <c r="D365" t="s">
        <v>854</v>
      </c>
      <c r="E365" t="str">
        <f t="shared" si="375"/>
        <v>PJ/yr.</v>
      </c>
      <c r="F365" s="1">
        <f>SUM(F366:F369)</f>
        <v>11.050601186475769</v>
      </c>
      <c r="G365" s="1">
        <f t="shared" ref="G365:K365" si="378">SUM(G366:G369)</f>
        <v>12.117571588268616</v>
      </c>
      <c r="H365" s="1">
        <f t="shared" si="378"/>
        <v>13.464508844335203</v>
      </c>
      <c r="I365" s="1">
        <f t="shared" si="378"/>
        <v>12.208482843592193</v>
      </c>
      <c r="J365" s="1">
        <f t="shared" si="378"/>
        <v>12.37346049694699</v>
      </c>
      <c r="K365" s="1">
        <f t="shared" si="378"/>
        <v>14.10083699309652</v>
      </c>
      <c r="L365" s="1">
        <f t="shared" ref="L365:O365" si="379">SUM(L366:L369)</f>
        <v>15.051081907646889</v>
      </c>
      <c r="M365" s="1">
        <f t="shared" si="379"/>
        <v>16.984849446385489</v>
      </c>
      <c r="N365" s="1">
        <f t="shared" si="379"/>
        <v>16.390396148906685</v>
      </c>
      <c r="O365" s="1">
        <f t="shared" si="379"/>
        <v>16.201831202713269</v>
      </c>
      <c r="P365" s="1">
        <f>SUM(P366:P369)</f>
        <v>16.20024639715788</v>
      </c>
      <c r="Q365" s="1">
        <f>SUM(Q366:Q369)</f>
        <v>16.216780097910153</v>
      </c>
      <c r="S365" s="3"/>
    </row>
    <row r="366" spans="1:19" x14ac:dyDescent="0.5">
      <c r="A366" s="5" t="s">
        <v>5</v>
      </c>
      <c r="B366" s="5" t="s">
        <v>6</v>
      </c>
      <c r="C366" s="5" t="s">
        <v>7</v>
      </c>
      <c r="D366" t="s">
        <v>119</v>
      </c>
      <c r="E366" t="str">
        <f t="shared" si="375"/>
        <v>PJ/yr.</v>
      </c>
      <c r="F366" s="1">
        <f>F359*IFERROR(F138/F131,0)</f>
        <v>9.1018349760469537</v>
      </c>
      <c r="G366" s="1">
        <f t="shared" ref="G366:K366" si="380">G359*IFERROR(G138/G131,0)</f>
        <v>10.271318193430753</v>
      </c>
      <c r="H366" s="1">
        <f t="shared" si="380"/>
        <v>11.717963430947783</v>
      </c>
      <c r="I366" s="1">
        <f t="shared" si="380"/>
        <v>10.348337106251437</v>
      </c>
      <c r="J366" s="1">
        <f t="shared" si="380"/>
        <v>10.479438825206485</v>
      </c>
      <c r="K366" s="1">
        <f t="shared" si="380"/>
        <v>9.9027439838693763</v>
      </c>
      <c r="L366" s="1">
        <f t="shared" ref="L366:O366" si="381">L359*IFERROR(L138/L131,0)</f>
        <v>6.0676420295823696</v>
      </c>
      <c r="M366" s="1">
        <f t="shared" si="381"/>
        <v>7.1706540510541297</v>
      </c>
      <c r="N366" s="1">
        <f t="shared" si="381"/>
        <v>6.8374367471413739</v>
      </c>
      <c r="O366" s="1">
        <f t="shared" si="381"/>
        <v>6.692851260844197</v>
      </c>
      <c r="P366" s="1">
        <f t="shared" ref="P366:Q371" si="382">P359*IFERROR(P138/P131,0)</f>
        <v>6.6849495165443997</v>
      </c>
      <c r="Q366" s="1">
        <f t="shared" si="382"/>
        <v>6.6920451844022342</v>
      </c>
      <c r="S366" s="3"/>
    </row>
    <row r="367" spans="1:19" x14ac:dyDescent="0.5">
      <c r="A367" s="5" t="s">
        <v>5</v>
      </c>
      <c r="B367" s="5" t="s">
        <v>6</v>
      </c>
      <c r="C367" s="5" t="s">
        <v>7</v>
      </c>
      <c r="D367" t="s">
        <v>120</v>
      </c>
      <c r="E367" t="str">
        <f t="shared" si="375"/>
        <v>PJ/yr.</v>
      </c>
      <c r="F367" s="1">
        <f t="shared" ref="F367:K367" si="383">F360*IFERROR(F139/F132,0)</f>
        <v>0</v>
      </c>
      <c r="G367" s="1">
        <f t="shared" si="383"/>
        <v>0</v>
      </c>
      <c r="H367" s="1">
        <f t="shared" si="383"/>
        <v>0</v>
      </c>
      <c r="I367" s="1">
        <f t="shared" si="383"/>
        <v>0</v>
      </c>
      <c r="J367" s="1">
        <f t="shared" si="383"/>
        <v>0</v>
      </c>
      <c r="K367" s="1">
        <f t="shared" si="383"/>
        <v>1.8363337443378167</v>
      </c>
      <c r="L367" s="1">
        <f t="shared" ref="L367:O367" si="384">L360*IFERROR(L139/L132,0)</f>
        <v>6.41592220049486</v>
      </c>
      <c r="M367" s="1">
        <f t="shared" si="384"/>
        <v>7.1702926089551813</v>
      </c>
      <c r="N367" s="1">
        <f t="shared" si="384"/>
        <v>6.8370251676654945</v>
      </c>
      <c r="O367" s="1">
        <f t="shared" si="384"/>
        <v>6.6925083685420237</v>
      </c>
      <c r="P367" s="1">
        <f t="shared" si="382"/>
        <v>6.6846247673525898</v>
      </c>
      <c r="Q367" s="1">
        <f t="shared" si="382"/>
        <v>6.6918017356824278</v>
      </c>
      <c r="S367" s="3"/>
    </row>
    <row r="368" spans="1:19" x14ac:dyDescent="0.5">
      <c r="A368" s="5" t="s">
        <v>5</v>
      </c>
      <c r="B368" s="5" t="s">
        <v>6</v>
      </c>
      <c r="C368" s="5" t="s">
        <v>7</v>
      </c>
      <c r="D368" t="s">
        <v>121</v>
      </c>
      <c r="E368" t="str">
        <f t="shared" si="375"/>
        <v>PJ/yr.</v>
      </c>
      <c r="F368" s="1">
        <f t="shared" ref="F368:K368" si="385">F361*IFERROR(F140/F133,0)</f>
        <v>1.9487662104288155</v>
      </c>
      <c r="G368" s="1">
        <f t="shared" si="385"/>
        <v>1.8462533948378632</v>
      </c>
      <c r="H368" s="1">
        <f t="shared" si="385"/>
        <v>1.7465454133874201</v>
      </c>
      <c r="I368" s="1">
        <f t="shared" si="385"/>
        <v>1.8601457373407568</v>
      </c>
      <c r="J368" s="1">
        <f t="shared" si="385"/>
        <v>1.8940216717405052</v>
      </c>
      <c r="K368" s="1">
        <f t="shared" si="385"/>
        <v>2.1564173053271838</v>
      </c>
      <c r="L368" s="1">
        <f t="shared" ref="L368:O368" si="386">L361*IFERROR(L140/L133,0)</f>
        <v>1.8812193058344238</v>
      </c>
      <c r="M368" s="1">
        <f t="shared" si="386"/>
        <v>1.9075574210364419</v>
      </c>
      <c r="N368" s="1">
        <f t="shared" si="386"/>
        <v>2.0137978429961354</v>
      </c>
      <c r="O368" s="1">
        <f t="shared" si="386"/>
        <v>2.1291855211898389</v>
      </c>
      <c r="P368" s="1">
        <f t="shared" si="382"/>
        <v>2.1441824868621682</v>
      </c>
      <c r="Q368" s="1">
        <f t="shared" si="382"/>
        <v>2.1457159314460648</v>
      </c>
      <c r="S368" s="3"/>
    </row>
    <row r="369" spans="1:19" x14ac:dyDescent="0.5">
      <c r="A369" s="5" t="s">
        <v>5</v>
      </c>
      <c r="B369" s="5" t="s">
        <v>6</v>
      </c>
      <c r="C369" s="5" t="s">
        <v>7</v>
      </c>
      <c r="D369" t="s">
        <v>122</v>
      </c>
      <c r="E369" t="str">
        <f t="shared" si="375"/>
        <v>PJ/yr.</v>
      </c>
      <c r="F369" s="1">
        <f t="shared" ref="F369:K369" si="387">F362*IFERROR(F141/F134,0)</f>
        <v>0</v>
      </c>
      <c r="G369" s="1">
        <f t="shared" si="387"/>
        <v>0</v>
      </c>
      <c r="H369" s="1">
        <f t="shared" si="387"/>
        <v>0</v>
      </c>
      <c r="I369" s="1">
        <f t="shared" si="387"/>
        <v>0</v>
      </c>
      <c r="J369" s="1">
        <f t="shared" si="387"/>
        <v>0</v>
      </c>
      <c r="K369" s="1">
        <f t="shared" si="387"/>
        <v>0.20534195956214504</v>
      </c>
      <c r="L369" s="1">
        <f t="shared" ref="L369:O369" si="388">L362*IFERROR(L141/L134,0)</f>
        <v>0.68629837173523556</v>
      </c>
      <c r="M369" s="1">
        <f t="shared" si="388"/>
        <v>0.73634536533973871</v>
      </c>
      <c r="N369" s="1">
        <f t="shared" si="388"/>
        <v>0.70213639110368031</v>
      </c>
      <c r="O369" s="1">
        <f t="shared" si="388"/>
        <v>0.68728605213720873</v>
      </c>
      <c r="P369" s="1">
        <f t="shared" si="382"/>
        <v>0.6864896263987208</v>
      </c>
      <c r="Q369" s="1">
        <f t="shared" si="382"/>
        <v>0.68721724637942683</v>
      </c>
      <c r="S369" s="3"/>
    </row>
    <row r="370" spans="1:19" x14ac:dyDescent="0.5">
      <c r="A370" s="5" t="s">
        <v>5</v>
      </c>
      <c r="B370" s="5" t="s">
        <v>6</v>
      </c>
      <c r="C370" s="5" t="s">
        <v>7</v>
      </c>
      <c r="D370" t="s">
        <v>123</v>
      </c>
      <c r="E370" t="str">
        <f t="shared" si="375"/>
        <v>PJ/yr.</v>
      </c>
      <c r="F370" s="1">
        <f t="shared" ref="F370:K370" si="389">F363*IFERROR(F142/F135,0)</f>
        <v>0</v>
      </c>
      <c r="G370" s="1">
        <f t="shared" si="389"/>
        <v>0</v>
      </c>
      <c r="H370" s="1">
        <f t="shared" si="389"/>
        <v>0</v>
      </c>
      <c r="I370" s="1">
        <f t="shared" si="389"/>
        <v>0</v>
      </c>
      <c r="J370" s="1">
        <f t="shared" si="389"/>
        <v>0</v>
      </c>
      <c r="K370" s="1">
        <f t="shared" si="389"/>
        <v>0</v>
      </c>
      <c r="L370" s="1">
        <f t="shared" ref="L370:O370" si="390">L363*IFERROR(L142/L135,0)</f>
        <v>0</v>
      </c>
      <c r="M370" s="1">
        <f t="shared" si="390"/>
        <v>0</v>
      </c>
      <c r="N370" s="1">
        <f t="shared" si="390"/>
        <v>0</v>
      </c>
      <c r="O370" s="1">
        <f t="shared" si="390"/>
        <v>0</v>
      </c>
      <c r="P370" s="1">
        <f t="shared" si="382"/>
        <v>0</v>
      </c>
      <c r="Q370" s="1">
        <f t="shared" si="382"/>
        <v>0</v>
      </c>
      <c r="S370" s="3"/>
    </row>
    <row r="371" spans="1:19" x14ac:dyDescent="0.5">
      <c r="A371" s="5" t="s">
        <v>5</v>
      </c>
      <c r="B371" s="5" t="s">
        <v>6</v>
      </c>
      <c r="C371" s="5" t="s">
        <v>7</v>
      </c>
      <c r="D371" t="s">
        <v>124</v>
      </c>
      <c r="E371" t="str">
        <f t="shared" si="375"/>
        <v>PJ/yr.</v>
      </c>
      <c r="F371" s="1">
        <f t="shared" ref="F371:K371" si="391">F364*IFERROR(F143/F136,0)</f>
        <v>0</v>
      </c>
      <c r="G371" s="1">
        <f t="shared" si="391"/>
        <v>0</v>
      </c>
      <c r="H371" s="1">
        <f t="shared" si="391"/>
        <v>0</v>
      </c>
      <c r="I371" s="1">
        <f t="shared" si="391"/>
        <v>0</v>
      </c>
      <c r="J371" s="1">
        <f t="shared" si="391"/>
        <v>0</v>
      </c>
      <c r="K371" s="1">
        <f t="shared" si="391"/>
        <v>0</v>
      </c>
      <c r="L371" s="1">
        <f t="shared" ref="L371:O371" si="392">L364*IFERROR(L143/L136,0)</f>
        <v>0</v>
      </c>
      <c r="M371" s="1">
        <f t="shared" si="392"/>
        <v>0</v>
      </c>
      <c r="N371" s="1">
        <f t="shared" si="392"/>
        <v>0</v>
      </c>
      <c r="O371" s="1">
        <f t="shared" si="392"/>
        <v>0</v>
      </c>
      <c r="P371" s="1">
        <f t="shared" si="382"/>
        <v>0</v>
      </c>
      <c r="Q371" s="1">
        <f t="shared" si="382"/>
        <v>0</v>
      </c>
      <c r="S371" s="3"/>
    </row>
    <row r="372" spans="1:19" x14ac:dyDescent="0.5">
      <c r="A372" s="5" t="s">
        <v>5</v>
      </c>
      <c r="B372" s="5" t="s">
        <v>6</v>
      </c>
      <c r="C372" s="5" t="s">
        <v>7</v>
      </c>
      <c r="D372" t="s">
        <v>855</v>
      </c>
      <c r="E372" t="str">
        <f t="shared" si="375"/>
        <v>PJ/yr.</v>
      </c>
      <c r="F372" s="1">
        <f>SUM(F373:F378)</f>
        <v>11.445093551656797</v>
      </c>
      <c r="G372" s="1">
        <f t="shared" ref="G372:K372" si="393">SUM(G373:G378)</f>
        <v>12.55061380196079</v>
      </c>
      <c r="H372" s="1">
        <f t="shared" si="393"/>
        <v>14.098221890089903</v>
      </c>
      <c r="I372" s="1">
        <f t="shared" si="393"/>
        <v>12.902855943844211</v>
      </c>
      <c r="J372" s="1">
        <f t="shared" si="393"/>
        <v>13.143199236701545</v>
      </c>
      <c r="K372" s="1">
        <f t="shared" si="393"/>
        <v>14.972637699979376</v>
      </c>
      <c r="L372" s="1">
        <f t="shared" ref="L372:O372" si="394">SUM(L373:L378)</f>
        <v>16.057296830154243</v>
      </c>
      <c r="M372" s="1">
        <f t="shared" si="394"/>
        <v>19.64818540160903</v>
      </c>
      <c r="N372" s="1">
        <f t="shared" si="394"/>
        <v>18.809673349061558</v>
      </c>
      <c r="O372" s="1">
        <f t="shared" si="394"/>
        <v>18.62183621771937</v>
      </c>
      <c r="P372" s="1">
        <f>SUM(P373:P378)</f>
        <v>18.620448858943593</v>
      </c>
      <c r="Q372" s="1">
        <f>SUM(Q373:Q378)</f>
        <v>18.637388145227476</v>
      </c>
      <c r="S372" s="3"/>
    </row>
    <row r="373" spans="1:19" x14ac:dyDescent="0.5">
      <c r="A373" s="5" t="s">
        <v>5</v>
      </c>
      <c r="B373" s="5" t="s">
        <v>6</v>
      </c>
      <c r="C373" s="5" t="s">
        <v>7</v>
      </c>
      <c r="D373" t="s">
        <v>125</v>
      </c>
      <c r="E373" t="str">
        <f t="shared" si="375"/>
        <v>PJ/yr.</v>
      </c>
      <c r="F373" s="1">
        <f t="shared" ref="F373:K373" si="395">F366*IFERROR(F145/F138,0)</f>
        <v>9.1018349760469555</v>
      </c>
      <c r="G373" s="1">
        <f t="shared" si="395"/>
        <v>10.271318193430753</v>
      </c>
      <c r="H373" s="1">
        <f t="shared" si="395"/>
        <v>11.717963430947783</v>
      </c>
      <c r="I373" s="1">
        <f t="shared" si="395"/>
        <v>10.348337106251437</v>
      </c>
      <c r="J373" s="1">
        <f t="shared" si="395"/>
        <v>10.479438825206485</v>
      </c>
      <c r="K373" s="1">
        <f t="shared" si="395"/>
        <v>9.902743983869378</v>
      </c>
      <c r="L373" s="1">
        <f t="shared" ref="L373:O373" si="396">L366*IFERROR(L145/L138,0)</f>
        <v>6.0676420295823696</v>
      </c>
      <c r="M373" s="1">
        <f t="shared" si="396"/>
        <v>7.1706540510541332</v>
      </c>
      <c r="N373" s="1">
        <f t="shared" si="396"/>
        <v>6.8374367471413739</v>
      </c>
      <c r="O373" s="1">
        <f t="shared" si="396"/>
        <v>6.692851260844197</v>
      </c>
      <c r="P373" s="1">
        <f t="shared" ref="P373:Q376" si="397">P366*IFERROR(P145/P138,0)</f>
        <v>6.6849495165443997</v>
      </c>
      <c r="Q373" s="1">
        <f t="shared" si="397"/>
        <v>6.6920451844022342</v>
      </c>
      <c r="S373" s="3"/>
    </row>
    <row r="374" spans="1:19" x14ac:dyDescent="0.5">
      <c r="A374" s="5" t="s">
        <v>5</v>
      </c>
      <c r="B374" s="5" t="s">
        <v>6</v>
      </c>
      <c r="C374" s="5" t="s">
        <v>7</v>
      </c>
      <c r="D374" t="s">
        <v>126</v>
      </c>
      <c r="E374" t="str">
        <f t="shared" si="375"/>
        <v>PJ/yr.</v>
      </c>
      <c r="F374" s="1">
        <f t="shared" ref="F374:K374" si="398">F367*IFERROR(F146/F139,0)</f>
        <v>0</v>
      </c>
      <c r="G374" s="1">
        <f t="shared" si="398"/>
        <v>0</v>
      </c>
      <c r="H374" s="1">
        <f t="shared" si="398"/>
        <v>0</v>
      </c>
      <c r="I374" s="1">
        <f t="shared" si="398"/>
        <v>0</v>
      </c>
      <c r="J374" s="1">
        <f t="shared" si="398"/>
        <v>0</v>
      </c>
      <c r="K374" s="1">
        <f t="shared" si="398"/>
        <v>1.8363337443378167</v>
      </c>
      <c r="L374" s="1">
        <f t="shared" ref="L374:O374" si="399">L367*IFERROR(L146/L139,0)</f>
        <v>6.41592220049486</v>
      </c>
      <c r="M374" s="1">
        <f t="shared" si="399"/>
        <v>7.1702926089551813</v>
      </c>
      <c r="N374" s="1">
        <f t="shared" si="399"/>
        <v>6.8370251676654945</v>
      </c>
      <c r="O374" s="1">
        <f t="shared" si="399"/>
        <v>6.6925083685420237</v>
      </c>
      <c r="P374" s="1">
        <f t="shared" si="397"/>
        <v>6.6846247673525898</v>
      </c>
      <c r="Q374" s="1">
        <f t="shared" si="397"/>
        <v>6.6918017356824278</v>
      </c>
      <c r="S374" s="3"/>
    </row>
    <row r="375" spans="1:19" x14ac:dyDescent="0.5">
      <c r="A375" s="5" t="s">
        <v>5</v>
      </c>
      <c r="B375" s="5" t="s">
        <v>6</v>
      </c>
      <c r="C375" s="5" t="s">
        <v>7</v>
      </c>
      <c r="D375" t="s">
        <v>127</v>
      </c>
      <c r="E375" t="str">
        <f t="shared" si="375"/>
        <v>PJ/yr.</v>
      </c>
      <c r="F375" s="1">
        <f t="shared" ref="F375:K375" si="400">F368*IFERROR(F147/F140,0)</f>
        <v>1.9487662104288155</v>
      </c>
      <c r="G375" s="1">
        <f t="shared" si="400"/>
        <v>1.8462533948378632</v>
      </c>
      <c r="H375" s="1">
        <f t="shared" si="400"/>
        <v>1.7465454133874201</v>
      </c>
      <c r="I375" s="1">
        <f t="shared" si="400"/>
        <v>1.8601457373407568</v>
      </c>
      <c r="J375" s="1">
        <f t="shared" si="400"/>
        <v>1.8940216717405052</v>
      </c>
      <c r="K375" s="1">
        <f t="shared" si="400"/>
        <v>2.1564173053271838</v>
      </c>
      <c r="L375" s="1">
        <f t="shared" ref="L375:O375" si="401">L368*IFERROR(L147/L140,0)</f>
        <v>1.8812193058344238</v>
      </c>
      <c r="M375" s="1">
        <f t="shared" si="401"/>
        <v>1.9075574210364419</v>
      </c>
      <c r="N375" s="1">
        <f t="shared" si="401"/>
        <v>2.0137978429961345</v>
      </c>
      <c r="O375" s="1">
        <f t="shared" si="401"/>
        <v>2.1291855211898389</v>
      </c>
      <c r="P375" s="1">
        <f t="shared" si="397"/>
        <v>2.1441824868621673</v>
      </c>
      <c r="Q375" s="1">
        <f t="shared" si="397"/>
        <v>2.1457159314460648</v>
      </c>
      <c r="S375" s="3"/>
    </row>
    <row r="376" spans="1:19" x14ac:dyDescent="0.5">
      <c r="A376" s="5" t="s">
        <v>5</v>
      </c>
      <c r="B376" s="5" t="s">
        <v>6</v>
      </c>
      <c r="C376" s="5" t="s">
        <v>7</v>
      </c>
      <c r="D376" t="s">
        <v>128</v>
      </c>
      <c r="E376" t="str">
        <f t="shared" si="375"/>
        <v>PJ/yr.</v>
      </c>
      <c r="F376" s="1">
        <f t="shared" ref="F376:K376" si="402">F369*IFERROR(F148/F141,0)</f>
        <v>0</v>
      </c>
      <c r="G376" s="1">
        <f t="shared" si="402"/>
        <v>0</v>
      </c>
      <c r="H376" s="1">
        <f t="shared" si="402"/>
        <v>0</v>
      </c>
      <c r="I376" s="1">
        <f t="shared" si="402"/>
        <v>0</v>
      </c>
      <c r="J376" s="1">
        <f t="shared" si="402"/>
        <v>0</v>
      </c>
      <c r="K376" s="1">
        <f t="shared" si="402"/>
        <v>0.20534195956214504</v>
      </c>
      <c r="L376" s="1">
        <f t="shared" ref="L376:O376" si="403">L369*IFERROR(L148/L141,0)</f>
        <v>0.68629837173523556</v>
      </c>
      <c r="M376" s="1">
        <f t="shared" si="403"/>
        <v>0.73634536533973871</v>
      </c>
      <c r="N376" s="1">
        <f t="shared" si="403"/>
        <v>0.70213639110368031</v>
      </c>
      <c r="O376" s="1">
        <f t="shared" si="403"/>
        <v>0.68728605213720873</v>
      </c>
      <c r="P376" s="1">
        <f t="shared" si="397"/>
        <v>0.6864896263987208</v>
      </c>
      <c r="Q376" s="1">
        <f t="shared" si="397"/>
        <v>0.68721724637942683</v>
      </c>
      <c r="S376" s="3"/>
    </row>
    <row r="377" spans="1:19" x14ac:dyDescent="0.5">
      <c r="A377" s="5" t="s">
        <v>5</v>
      </c>
      <c r="B377" s="5" t="s">
        <v>6</v>
      </c>
      <c r="C377" s="5" t="s">
        <v>7</v>
      </c>
      <c r="D377" t="s">
        <v>129</v>
      </c>
      <c r="E377" t="str">
        <f t="shared" si="375"/>
        <v>PJ/yr.</v>
      </c>
      <c r="F377" s="1">
        <f>F363</f>
        <v>0.39449236518102548</v>
      </c>
      <c r="G377" s="1">
        <f t="shared" ref="G377:K377" si="404">G363</f>
        <v>0.43304221369217366</v>
      </c>
      <c r="H377" s="1">
        <f t="shared" si="404"/>
        <v>0.63371304575469967</v>
      </c>
      <c r="I377" s="1">
        <f t="shared" si="404"/>
        <v>0.69437310025201626</v>
      </c>
      <c r="J377" s="1">
        <f t="shared" si="404"/>
        <v>0.76973873975455398</v>
      </c>
      <c r="K377" s="1">
        <f t="shared" si="404"/>
        <v>0.74535314156177768</v>
      </c>
      <c r="L377" s="1">
        <f t="shared" ref="L377:O377" si="405">L363</f>
        <v>4.0371243398946407E-3</v>
      </c>
      <c r="M377" s="1">
        <f t="shared" si="405"/>
        <v>2.5230371811947416E-3</v>
      </c>
      <c r="N377" s="1">
        <f t="shared" si="405"/>
        <v>2.3719587173074747E-3</v>
      </c>
      <c r="O377" s="1">
        <f t="shared" si="405"/>
        <v>1.2890232401944794E-3</v>
      </c>
      <c r="P377" s="1">
        <f>P363</f>
        <v>1.2083494362727472E-3</v>
      </c>
      <c r="Q377" s="1">
        <f>Q363</f>
        <v>7.6978522099697001E-4</v>
      </c>
      <c r="S377" s="3"/>
    </row>
    <row r="378" spans="1:19" x14ac:dyDescent="0.5">
      <c r="A378" s="5" t="s">
        <v>5</v>
      </c>
      <c r="B378" s="5" t="s">
        <v>6</v>
      </c>
      <c r="C378" s="5" t="s">
        <v>7</v>
      </c>
      <c r="D378" t="s">
        <v>130</v>
      </c>
      <c r="E378" t="str">
        <f t="shared" si="375"/>
        <v>PJ/yr.</v>
      </c>
      <c r="F378" s="1">
        <f t="shared" ref="F378:K378" si="406">F364</f>
        <v>0</v>
      </c>
      <c r="G378" s="1">
        <f t="shared" si="406"/>
        <v>0</v>
      </c>
      <c r="H378" s="1">
        <f t="shared" si="406"/>
        <v>0</v>
      </c>
      <c r="I378" s="1">
        <f t="shared" si="406"/>
        <v>0</v>
      </c>
      <c r="J378" s="1">
        <f t="shared" si="406"/>
        <v>0</v>
      </c>
      <c r="K378" s="1">
        <f t="shared" si="406"/>
        <v>0.12644756532107804</v>
      </c>
      <c r="L378" s="1">
        <f t="shared" ref="L378:O378" si="407">L364</f>
        <v>1.0021777981674604</v>
      </c>
      <c r="M378" s="1">
        <f t="shared" si="407"/>
        <v>2.6608129180423403</v>
      </c>
      <c r="N378" s="1">
        <f t="shared" si="407"/>
        <v>2.4169052414375676</v>
      </c>
      <c r="O378" s="1">
        <f t="shared" si="407"/>
        <v>2.4187159917659087</v>
      </c>
      <c r="P378" s="1">
        <f>P364</f>
        <v>2.4189941123494436</v>
      </c>
      <c r="Q378" s="1">
        <f>Q364</f>
        <v>2.4198382620963281</v>
      </c>
      <c r="S378" s="3"/>
    </row>
    <row r="379" spans="1:19" x14ac:dyDescent="0.5">
      <c r="A379" s="5" t="s">
        <v>5</v>
      </c>
      <c r="B379" s="5" t="s">
        <v>6</v>
      </c>
      <c r="C379" s="5" t="s">
        <v>7</v>
      </c>
      <c r="D379" t="s">
        <v>856</v>
      </c>
      <c r="E379" t="str">
        <f t="shared" si="375"/>
        <v>PJ/yr.</v>
      </c>
      <c r="F379" s="1">
        <f>SUM(F380:F386)</f>
        <v>0.44099366747488045</v>
      </c>
      <c r="G379" s="1">
        <f t="shared" ref="G379:K379" si="408">SUM(G380:G386)</f>
        <v>0.48733569133235305</v>
      </c>
      <c r="H379" s="1">
        <f t="shared" si="408"/>
        <v>1.5128137034031983</v>
      </c>
      <c r="I379" s="1">
        <f t="shared" si="408"/>
        <v>1.7062285170610529</v>
      </c>
      <c r="J379" s="1">
        <f t="shared" si="408"/>
        <v>1.6483828442970925</v>
      </c>
      <c r="K379" s="1">
        <f t="shared" si="408"/>
        <v>2.9543411909268147</v>
      </c>
      <c r="L379" s="1">
        <f t="shared" ref="L379:O379" si="409">SUM(L380:L386)</f>
        <v>4.8644437493290376</v>
      </c>
      <c r="M379" s="1">
        <f t="shared" si="409"/>
        <v>5.2778390122475054</v>
      </c>
      <c r="N379" s="1">
        <f t="shared" si="409"/>
        <v>6.2473542744626736</v>
      </c>
      <c r="O379" s="1">
        <f t="shared" si="409"/>
        <v>6.3314898461763036</v>
      </c>
      <c r="P379" s="1">
        <f>SUM(P380:P386)</f>
        <v>6.3189898374801592</v>
      </c>
      <c r="Q379" s="1">
        <f>SUM(Q380:Q386)</f>
        <v>6.3793705897370776</v>
      </c>
      <c r="S379" s="3"/>
    </row>
    <row r="380" spans="1:19" x14ac:dyDescent="0.5">
      <c r="A380" s="5" t="s">
        <v>5</v>
      </c>
      <c r="B380" s="5" t="s">
        <v>6</v>
      </c>
      <c r="C380" s="5" t="s">
        <v>7</v>
      </c>
      <c r="D380" t="s">
        <v>131</v>
      </c>
      <c r="E380" t="str">
        <f t="shared" si="375"/>
        <v>PJ/yr.</v>
      </c>
      <c r="F380" s="1">
        <f>IFERROR(F152/SUM(F152,F207),0)*'[1]Electricity and CHPs_IN'!B$25</f>
        <v>0.25989070181056334</v>
      </c>
      <c r="G380" s="1">
        <f>IFERROR(G152/SUM(G152,G207),0)*'[1]Electricity and CHPs_IN'!C$25</f>
        <v>9.5682418308206822E-6</v>
      </c>
      <c r="H380" s="1">
        <f>IFERROR(H152/SUM(H152,H207),0)*'[1]Electricity and CHPs_IN'!D$25</f>
        <v>0.36937689137876073</v>
      </c>
      <c r="I380" s="1">
        <f>IFERROR(I152/SUM(I152,I207),0)*'[1]Electricity and CHPs_IN'!E$25</f>
        <v>3.4305583968674367E-3</v>
      </c>
      <c r="J380" s="1">
        <f>IFERROR(J152/SUM(J152,J207),0)*'[1]Electricity and CHPs_IN'!F$25</f>
        <v>5.3017204057160157E-3</v>
      </c>
      <c r="K380" s="1">
        <f>IFERROR(K152/SUM(K152,K207),0)*'[1]Electricity and CHPs_IN'!G$25</f>
        <v>0.43713775107857578</v>
      </c>
      <c r="L380" s="1">
        <f>IFERROR(L152/SUM(L152,L207),0)*'[1]Electricity and CHPs_IN'!H$25</f>
        <v>0.87505112992042744</v>
      </c>
      <c r="M380" s="1">
        <f>IFERROR(M152/SUM(M152,M207),0)*'[1]Electricity and CHPs_IN'!I$25</f>
        <v>0.57355792416744245</v>
      </c>
      <c r="N380" s="1">
        <f>IFERROR(N152/SUM(N152,N207),0)*'[1]Electricity and CHPs_IN'!J$25</f>
        <v>0.53690928010356476</v>
      </c>
      <c r="O380" s="1">
        <f>IFERROR(O152/SUM(O152,O207),0)*'[1]Electricity and CHPs_IN'!K$25</f>
        <v>0.60262601413824846</v>
      </c>
      <c r="P380" s="1">
        <f>IFERROR(P152/SUM(P152,P207),0)*'[1]Electricity and CHPs_IN'!L$25</f>
        <v>0.58758462642108578</v>
      </c>
      <c r="Q380" s="1">
        <f>IFERROR(Q152/SUM(Q152,Q207),0)*'[1]Electricity and CHPs_IN'!M$25</f>
        <v>0.62558799020416522</v>
      </c>
      <c r="S380" s="3"/>
    </row>
    <row r="381" spans="1:19" x14ac:dyDescent="0.5">
      <c r="A381" s="5" t="s">
        <v>5</v>
      </c>
      <c r="B381" s="5" t="s">
        <v>6</v>
      </c>
      <c r="C381" s="5" t="s">
        <v>7</v>
      </c>
      <c r="D381" t="s">
        <v>132</v>
      </c>
      <c r="E381" t="str">
        <f t="shared" si="375"/>
        <v>PJ/yr.</v>
      </c>
      <c r="F381" s="1">
        <f>'[1]Electricity and CHPs_IN'!B$31</f>
        <v>0</v>
      </c>
      <c r="G381" s="1">
        <f>'[1]Electricity and CHPs_IN'!C$31</f>
        <v>0</v>
      </c>
      <c r="H381" s="1">
        <f>'[1]Electricity and CHPs_IN'!D$31</f>
        <v>0</v>
      </c>
      <c r="I381" s="1">
        <f>'[1]Electricity and CHPs_IN'!E$31</f>
        <v>0</v>
      </c>
      <c r="J381" s="1">
        <f>'[1]Electricity and CHPs_IN'!F$31</f>
        <v>0</v>
      </c>
      <c r="K381" s="1">
        <f>'[1]Electricity and CHPs_IN'!G$31</f>
        <v>5.4595058608916999E-3</v>
      </c>
      <c r="L381" s="1">
        <f>'[1]Electricity and CHPs_IN'!H$31</f>
        <v>1.4091039121751314E-2</v>
      </c>
      <c r="M381" s="1">
        <f>'[1]Electricity and CHPs_IN'!I$31</f>
        <v>0.11823060740228745</v>
      </c>
      <c r="N381" s="1">
        <f>'[1]Electricity and CHPs_IN'!J$31</f>
        <v>1.4352946356627585</v>
      </c>
      <c r="O381" s="1">
        <f>'[1]Electricity and CHPs_IN'!K$31</f>
        <v>1.5206267735029673</v>
      </c>
      <c r="P381" s="1">
        <f>'[1]Electricity and CHPs_IN'!L$31</f>
        <v>1.5452462541938379</v>
      </c>
      <c r="Q381" s="1">
        <f>'[1]Electricity and CHPs_IN'!M$31</f>
        <v>1.620745301040593</v>
      </c>
      <c r="S381" s="3"/>
    </row>
    <row r="382" spans="1:19" x14ac:dyDescent="0.5">
      <c r="A382" s="5" t="s">
        <v>5</v>
      </c>
      <c r="B382" s="5" t="s">
        <v>6</v>
      </c>
      <c r="C382" s="5" t="s">
        <v>7</v>
      </c>
      <c r="D382" t="s">
        <v>133</v>
      </c>
      <c r="E382" t="str">
        <f t="shared" si="375"/>
        <v>PJ/yr.</v>
      </c>
      <c r="F382" s="1">
        <f>IFERROR(F154/SUM(F154,F283),0)*'[1]Electricity and CHPs_IN'!B$42</f>
        <v>0.18110296566431708</v>
      </c>
      <c r="G382" s="1">
        <f>IFERROR(G154/SUM(G154,G283),0)*'[1]Electricity and CHPs_IN'!C$42</f>
        <v>0.48732612309052226</v>
      </c>
      <c r="H382" s="1">
        <f>IFERROR(H154/SUM(H154,H283),0)*'[1]Electricity and CHPs_IN'!D$42</f>
        <v>1.1434368120244376</v>
      </c>
      <c r="I382" s="1">
        <f>IFERROR(I154/SUM(I154,I283),0)*'[1]Electricity and CHPs_IN'!E$42</f>
        <v>1.6904047527841104</v>
      </c>
      <c r="J382" s="1">
        <f>IFERROR(J154/SUM(J154,J283),0)*'[1]Electricity and CHPs_IN'!F$42</f>
        <v>1.6187694648540638</v>
      </c>
      <c r="K382" s="1">
        <f>IFERROR(K154/SUM(K154,K283),0)*'[1]Electricity and CHPs_IN'!G$42</f>
        <v>0.8286482634497464</v>
      </c>
      <c r="L382" s="1">
        <f>IFERROR(L154/SUM(L154,L283),0)*'[1]Electricity and CHPs_IN'!H$42</f>
        <v>0.33168587089686691</v>
      </c>
      <c r="M382" s="1">
        <f>IFERROR(M154/SUM(M154,M283),0)*'[1]Electricity and CHPs_IN'!I$42</f>
        <v>0.30218879118446085</v>
      </c>
      <c r="N382" s="1">
        <f>IFERROR(N154/SUM(N154,N283),0)*'[1]Electricity and CHPs_IN'!J$42</f>
        <v>7.0310426978492449E-3</v>
      </c>
      <c r="O382" s="1">
        <f>IFERROR(O154/SUM(O154,O283),0)*'[1]Electricity and CHPs_IN'!K$42</f>
        <v>3.9973990990080106E-3</v>
      </c>
      <c r="P382" s="1">
        <f>IFERROR(P154/SUM(P154,P283),0)*'[1]Electricity and CHPs_IN'!L$42</f>
        <v>4.2217875917892689E-3</v>
      </c>
      <c r="Q382" s="1">
        <f>IFERROR(Q154/SUM(Q154,Q283),0)*'[1]Electricity and CHPs_IN'!M$42</f>
        <v>5.7164294712615735E-3</v>
      </c>
      <c r="S382" s="3"/>
    </row>
    <row r="383" spans="1:19" x14ac:dyDescent="0.5">
      <c r="A383" s="5" t="s">
        <v>5</v>
      </c>
      <c r="B383" s="5" t="s">
        <v>6</v>
      </c>
      <c r="C383" s="5" t="s">
        <v>7</v>
      </c>
      <c r="D383" t="s">
        <v>134</v>
      </c>
      <c r="E383" t="str">
        <f t="shared" si="375"/>
        <v>PJ/yr.</v>
      </c>
      <c r="F383" s="1">
        <f>IFERROR(F155/SUM(F155,F284),0)*'[1]Electricity and CHPs_IN'!B$43</f>
        <v>0</v>
      </c>
      <c r="G383" s="1">
        <f>IFERROR(G155/SUM(G155,G284),0)*'[1]Electricity and CHPs_IN'!C$43</f>
        <v>0</v>
      </c>
      <c r="H383" s="1">
        <f>IFERROR(H155/SUM(H155,H284),0)*'[1]Electricity and CHPs_IN'!D$43</f>
        <v>0</v>
      </c>
      <c r="I383" s="1">
        <f>IFERROR(I155/SUM(I155,I284),0)*'[1]Electricity and CHPs_IN'!E$43</f>
        <v>0</v>
      </c>
      <c r="J383" s="1">
        <f>IFERROR(J155/SUM(J155,J284),0)*'[1]Electricity and CHPs_IN'!F$43</f>
        <v>0</v>
      </c>
      <c r="K383" s="1">
        <f>IFERROR(K155/SUM(K155,K284),0)*'[1]Electricity and CHPs_IN'!G$43</f>
        <v>1.5892852454402533</v>
      </c>
      <c r="L383" s="1">
        <f>IFERROR(L155/SUM(L155,L284),0)*'[1]Electricity and CHPs_IN'!H$43</f>
        <v>3.5022606713085773</v>
      </c>
      <c r="M383" s="1">
        <f>IFERROR(M155/SUM(M155,M284),0)*'[1]Electricity and CHPs_IN'!I$43</f>
        <v>4.0529070940672298</v>
      </c>
      <c r="N383" s="1">
        <f>IFERROR(N155/SUM(N155,N284),0)*'[1]Electricity and CHPs_IN'!J$43</f>
        <v>4.057701301203851</v>
      </c>
      <c r="O383" s="1">
        <f>IFERROR(O155/SUM(O155,O284),0)*'[1]Electricity and CHPs_IN'!K$43</f>
        <v>4.0524259358546946</v>
      </c>
      <c r="P383" s="1">
        <f>IFERROR(P155/SUM(P155,P284),0)*'[1]Electricity and CHPs_IN'!L$43</f>
        <v>4.0524838113068622</v>
      </c>
      <c r="Q383" s="1">
        <f>IFERROR(Q155/SUM(Q155,Q284),0)*'[1]Electricity and CHPs_IN'!M$43</f>
        <v>4.0540331312191435</v>
      </c>
      <c r="S383" s="3"/>
    </row>
    <row r="384" spans="1:19" x14ac:dyDescent="0.5">
      <c r="A384" s="5" t="s">
        <v>5</v>
      </c>
      <c r="B384" s="5" t="s">
        <v>6</v>
      </c>
      <c r="C384" s="5" t="s">
        <v>7</v>
      </c>
      <c r="D384" t="s">
        <v>135</v>
      </c>
      <c r="E384" t="str">
        <f t="shared" si="375"/>
        <v>PJ/yr.</v>
      </c>
      <c r="F384" s="1">
        <f>IFERROR(F156/SUM(F285,F156),0)*'[1]Electricity and CHPs_IN'!B$50</f>
        <v>0</v>
      </c>
      <c r="G384" s="1">
        <f>IFERROR(G156/SUM(G285,G156),0)*'[1]Electricity and CHPs_IN'!C$50</f>
        <v>0</v>
      </c>
      <c r="H384" s="1">
        <f>IFERROR(H156/SUM(H285,H156),0)*'[1]Electricity and CHPs_IN'!D$50</f>
        <v>0</v>
      </c>
      <c r="I384" s="1">
        <f>IFERROR(I156/SUM(I285,I156),0)*'[1]Electricity and CHPs_IN'!E$50</f>
        <v>3.8974778442344158E-3</v>
      </c>
      <c r="J384" s="1">
        <f>IFERROR(J156/SUM(J285,J156),0)*'[1]Electricity and CHPs_IN'!F$50</f>
        <v>7.2691536828281911E-3</v>
      </c>
      <c r="K384" s="1">
        <f>IFERROR(K156/SUM(K285,K156),0)*'[1]Electricity and CHPs_IN'!G$50</f>
        <v>1.3504009176044163E-2</v>
      </c>
      <c r="L384" s="1">
        <f>IFERROR(L156/SUM(L285,L156),0)*'[1]Electricity and CHPs_IN'!H$50</f>
        <v>1.364975974862285E-2</v>
      </c>
      <c r="M384" s="1">
        <f>IFERROR(M156/SUM(M285,M156),0)*'[1]Electricity and CHPs_IN'!I$50</f>
        <v>2.2732418229396131E-2</v>
      </c>
      <c r="N384" s="1">
        <f>IFERROR(N156/SUM(N285,N156),0)*'[1]Electricity and CHPs_IN'!J$50</f>
        <v>1.5422904643873844E-2</v>
      </c>
      <c r="O384" s="1">
        <f>IFERROR(O156/SUM(O285,O156),0)*'[1]Electricity and CHPs_IN'!K$50</f>
        <v>1.1424981104216357E-2</v>
      </c>
      <c r="P384" s="1">
        <f>IFERROR(P156/SUM(P285,P156),0)*'[1]Electricity and CHPs_IN'!L$50</f>
        <v>1.4100505150638935E-2</v>
      </c>
      <c r="Q384" s="1">
        <f>IFERROR(Q156/SUM(Q285,Q156),0)*'[1]Electricity and CHPs_IN'!M$50</f>
        <v>1.7241958712943557E-2</v>
      </c>
      <c r="S384" s="3"/>
    </row>
    <row r="385" spans="1:19" x14ac:dyDescent="0.5">
      <c r="A385" s="5" t="s">
        <v>5</v>
      </c>
      <c r="B385" s="5" t="s">
        <v>6</v>
      </c>
      <c r="C385" s="5" t="s">
        <v>7</v>
      </c>
      <c r="D385" t="s">
        <v>136</v>
      </c>
      <c r="E385" t="str">
        <f t="shared" si="375"/>
        <v>PJ/yr.</v>
      </c>
      <c r="F385" s="1">
        <f>IFERROR(F157/SUM(F286,F157),0)*'[1]Electricity and CHPs_IN'!B$53</f>
        <v>0</v>
      </c>
      <c r="G385" s="1">
        <f>IFERROR(G157/SUM(G286,G157),0)*'[1]Electricity and CHPs_IN'!C$53</f>
        <v>0</v>
      </c>
      <c r="H385" s="1">
        <f>IFERROR(H157/SUM(H286,H157),0)*'[1]Electricity and CHPs_IN'!D$53</f>
        <v>0</v>
      </c>
      <c r="I385" s="1">
        <f>IFERROR(I157/SUM(I286,I157),0)*'[1]Electricity and CHPs_IN'!E$53</f>
        <v>4.8909126247743077E-3</v>
      </c>
      <c r="J385" s="1">
        <f>IFERROR(J157/SUM(J286,J157),0)*'[1]Electricity and CHPs_IN'!F$53</f>
        <v>1.0909584264783861E-2</v>
      </c>
      <c r="K385" s="1">
        <f>IFERROR(K157/SUM(K286,K157),0)*'[1]Electricity and CHPs_IN'!G$53</f>
        <v>6.9352482141552443E-2</v>
      </c>
      <c r="L385" s="1">
        <f>IFERROR(L157/SUM(L286,L157),0)*'[1]Electricity and CHPs_IN'!H$53</f>
        <v>0.1184735178131518</v>
      </c>
      <c r="M385" s="1">
        <f>IFERROR(M157/SUM(M286,M157),0)*'[1]Electricity and CHPs_IN'!I$53</f>
        <v>0.1953621454266746</v>
      </c>
      <c r="N385" s="1">
        <f>IFERROR(N157/SUM(N286,N157),0)*'[1]Electricity and CHPs_IN'!J$53</f>
        <v>0.1852325018197255</v>
      </c>
      <c r="O385" s="1">
        <f>IFERROR(O157/SUM(O286,O157),0)*'[1]Electricity and CHPs_IN'!K$53</f>
        <v>0.13325647518768033</v>
      </c>
      <c r="P385" s="1">
        <f>IFERROR(P157/SUM(P286,P157),0)*'[1]Electricity and CHPs_IN'!L$53</f>
        <v>0.10250194834147432</v>
      </c>
      <c r="Q385" s="1">
        <f>IFERROR(Q157/SUM(Q286,Q157),0)*'[1]Electricity and CHPs_IN'!M$53</f>
        <v>4.1759161079848894E-2</v>
      </c>
      <c r="S385" s="3"/>
    </row>
    <row r="386" spans="1:19" x14ac:dyDescent="0.5">
      <c r="A386" s="5" t="s">
        <v>5</v>
      </c>
      <c r="B386" s="5" t="s">
        <v>6</v>
      </c>
      <c r="C386" s="5" t="s">
        <v>7</v>
      </c>
      <c r="D386" t="s">
        <v>294</v>
      </c>
      <c r="E386" t="str">
        <f t="shared" si="375"/>
        <v>PJ/yr.</v>
      </c>
      <c r="F386" s="1">
        <f>IFERROR(F158/SUM(F287,F158),0)*'[1]Electricity and CHPs_IN'!B$56</f>
        <v>0</v>
      </c>
      <c r="G386" s="1">
        <f>IFERROR(G158/SUM(G287,G158),0)*'[1]Electricity and CHPs_IN'!C$56</f>
        <v>0</v>
      </c>
      <c r="H386" s="1">
        <f>IFERROR(H158/SUM(H287,H158),0)*'[1]Electricity and CHPs_IN'!D$56</f>
        <v>0</v>
      </c>
      <c r="I386" s="1">
        <f>IFERROR(I158/SUM(I287,I158),0)*'[1]Electricity and CHPs_IN'!E$56</f>
        <v>3.6048154110662864E-3</v>
      </c>
      <c r="J386" s="1">
        <f>IFERROR(J158/SUM(J287,J158),0)*'[1]Electricity and CHPs_IN'!F$56</f>
        <v>6.1329210897004957E-3</v>
      </c>
      <c r="K386" s="1">
        <f>IFERROR(K158/SUM(K287,K158),0)*'[1]Electricity and CHPs_IN'!G$56</f>
        <v>1.0953933779751224E-2</v>
      </c>
      <c r="L386" s="1">
        <f>IFERROR(L158/SUM(L287,L158),0)*'[1]Electricity and CHPs_IN'!H$56</f>
        <v>9.2317605196392677E-3</v>
      </c>
      <c r="M386" s="1">
        <f>IFERROR(M158/SUM(M287,M158),0)*'[1]Electricity and CHPs_IN'!I$56</f>
        <v>1.2860031770014373E-2</v>
      </c>
      <c r="N386" s="1">
        <f>IFERROR(N158/SUM(N287,N158),0)*'[1]Electricity and CHPs_IN'!J$56</f>
        <v>9.7626083310513451E-3</v>
      </c>
      <c r="O386" s="1">
        <f>IFERROR(O158/SUM(O287,O158),0)*'[1]Electricity and CHPs_IN'!K$56</f>
        <v>7.1322672894887831E-3</v>
      </c>
      <c r="P386" s="1">
        <f>IFERROR(P158/SUM(P287,P158),0)*'[1]Electricity and CHPs_IN'!L$56</f>
        <v>1.2850904474471212E-2</v>
      </c>
      <c r="Q386" s="1">
        <f>IFERROR(Q158/SUM(Q287,Q158),0)*'[1]Electricity and CHPs_IN'!M$56</f>
        <v>1.4286618009121213E-2</v>
      </c>
      <c r="S386" s="3"/>
    </row>
    <row r="387" spans="1:19" x14ac:dyDescent="0.5">
      <c r="A387" s="5" t="s">
        <v>5</v>
      </c>
      <c r="B387" s="5" t="s">
        <v>6</v>
      </c>
      <c r="C387" s="5" t="s">
        <v>7</v>
      </c>
      <c r="D387" t="s">
        <v>857</v>
      </c>
      <c r="E387" t="str">
        <f t="shared" si="375"/>
        <v>PJ/yr.</v>
      </c>
      <c r="F387" s="1">
        <f>F388</f>
        <v>0.52400000000000047</v>
      </c>
      <c r="G387" s="1">
        <f t="shared" ref="G387:O387" si="410">G388</f>
        <v>0.54529224792023867</v>
      </c>
      <c r="H387" s="1">
        <f t="shared" si="410"/>
        <v>0.5031648462537881</v>
      </c>
      <c r="I387" s="1">
        <f t="shared" si="410"/>
        <v>2.0502655520161239</v>
      </c>
      <c r="J387" s="1">
        <f t="shared" si="410"/>
        <v>3.6358377699965962</v>
      </c>
      <c r="K387" s="1">
        <f t="shared" si="410"/>
        <v>4.6752286052272352</v>
      </c>
      <c r="L387" s="1">
        <f t="shared" si="410"/>
        <v>10.311576017769067</v>
      </c>
      <c r="M387" s="1">
        <f t="shared" si="410"/>
        <v>15.577633031308066</v>
      </c>
      <c r="N387" s="1">
        <f t="shared" si="410"/>
        <v>15.585586570253962</v>
      </c>
      <c r="O387" s="1">
        <f t="shared" si="410"/>
        <v>15.5963791999812</v>
      </c>
      <c r="P387" s="1">
        <f>P388</f>
        <v>15.596657591332681</v>
      </c>
      <c r="Q387" s="1">
        <f>Q388</f>
        <v>15.619074249162857</v>
      </c>
      <c r="S387" s="3"/>
    </row>
    <row r="388" spans="1:19" x14ac:dyDescent="0.5">
      <c r="A388" s="5" t="s">
        <v>5</v>
      </c>
      <c r="B388" s="5" t="s">
        <v>6</v>
      </c>
      <c r="C388" s="5" t="s">
        <v>7</v>
      </c>
      <c r="D388" t="s">
        <v>137</v>
      </c>
      <c r="E388" t="str">
        <f t="shared" si="375"/>
        <v>PJ/yr.</v>
      </c>
      <c r="F388" s="1">
        <f>'[1]Electricity and CHPs_IN'!B$33</f>
        <v>0.52400000000000047</v>
      </c>
      <c r="G388" s="1">
        <f>'[1]Electricity and CHPs_IN'!C$33</f>
        <v>0.54529224792023867</v>
      </c>
      <c r="H388" s="1">
        <f>'[1]Electricity and CHPs_IN'!D$33</f>
        <v>0.5031648462537881</v>
      </c>
      <c r="I388" s="1">
        <f>'[1]Electricity and CHPs_IN'!E$33</f>
        <v>2.0502655520161239</v>
      </c>
      <c r="J388" s="1">
        <f>'[1]Electricity and CHPs_IN'!F$33</f>
        <v>3.6358377699965962</v>
      </c>
      <c r="K388" s="1">
        <f>'[1]Electricity and CHPs_IN'!G$33</f>
        <v>4.6752286052272352</v>
      </c>
      <c r="L388" s="1">
        <f>'[1]Electricity and CHPs_IN'!H$33</f>
        <v>10.311576017769067</v>
      </c>
      <c r="M388" s="1">
        <f>'[1]Electricity and CHPs_IN'!I$33</f>
        <v>15.577633031308066</v>
      </c>
      <c r="N388" s="1">
        <f>'[1]Electricity and CHPs_IN'!J$33</f>
        <v>15.585586570253962</v>
      </c>
      <c r="O388" s="1">
        <f>'[1]Electricity and CHPs_IN'!K$33</f>
        <v>15.5963791999812</v>
      </c>
      <c r="P388" s="1">
        <f>'[1]Electricity and CHPs_IN'!L$33</f>
        <v>15.596657591332681</v>
      </c>
      <c r="Q388" s="1">
        <f>'[1]Electricity and CHPs_IN'!M$33</f>
        <v>15.619074249162857</v>
      </c>
      <c r="S388" s="3"/>
    </row>
    <row r="389" spans="1:19" x14ac:dyDescent="0.5">
      <c r="A389" s="5" t="s">
        <v>5</v>
      </c>
      <c r="B389" s="5" t="s">
        <v>6</v>
      </c>
      <c r="C389" s="5" t="s">
        <v>7</v>
      </c>
      <c r="D389" t="s">
        <v>858</v>
      </c>
      <c r="E389" t="str">
        <f t="shared" si="375"/>
        <v>PJ/yr.</v>
      </c>
      <c r="F389" s="1">
        <f>SUM(F390:F394)</f>
        <v>9.3550000000000111</v>
      </c>
      <c r="G389" s="1">
        <f t="shared" ref="G389:K389" si="411">SUM(G390:G394)</f>
        <v>12.821353185486561</v>
      </c>
      <c r="H389" s="1">
        <f t="shared" si="411"/>
        <v>28.800109851170447</v>
      </c>
      <c r="I389" s="1">
        <f t="shared" si="411"/>
        <v>47.056174280717975</v>
      </c>
      <c r="J389" s="1">
        <f t="shared" si="411"/>
        <v>75.960137603667647</v>
      </c>
      <c r="K389" s="1">
        <f t="shared" si="411"/>
        <v>122.97926756234634</v>
      </c>
      <c r="L389" s="1">
        <f t="shared" ref="L389:O389" si="412">SUM(L390:L394)</f>
        <v>149.49787248933049</v>
      </c>
      <c r="M389" s="1">
        <f t="shared" si="412"/>
        <v>164.1438242551454</v>
      </c>
      <c r="N389" s="1">
        <f t="shared" si="412"/>
        <v>169.82658585451031</v>
      </c>
      <c r="O389" s="1">
        <f t="shared" si="412"/>
        <v>175.13127631216156</v>
      </c>
      <c r="P389" s="1">
        <f>SUM(P390:P394)</f>
        <v>169.93816320705119</v>
      </c>
      <c r="Q389" s="1">
        <f>SUM(Q390:Q394)</f>
        <v>172.61026180072028</v>
      </c>
      <c r="S389" s="3"/>
    </row>
    <row r="390" spans="1:19" x14ac:dyDescent="0.5">
      <c r="A390" s="5" t="s">
        <v>5</v>
      </c>
      <c r="B390" s="5" t="s">
        <v>6</v>
      </c>
      <c r="C390" s="5" t="s">
        <v>7</v>
      </c>
      <c r="D390" t="s">
        <v>138</v>
      </c>
      <c r="E390" t="str">
        <f t="shared" si="375"/>
        <v>PJ/yr.</v>
      </c>
      <c r="F390" s="1">
        <f>'[1]Electricity and CHPs_IN'!B34</f>
        <v>0</v>
      </c>
      <c r="G390" s="1">
        <f>'[1]Electricity and CHPs_IN'!C34</f>
        <v>0</v>
      </c>
      <c r="H390" s="1">
        <f>'[1]Electricity and CHPs_IN'!D34</f>
        <v>1.1887039527560194E-3</v>
      </c>
      <c r="I390" s="1">
        <f>'[1]Electricity and CHPs_IN'!E34</f>
        <v>0.34281920182681569</v>
      </c>
      <c r="J390" s="1">
        <f>'[1]Electricity and CHPs_IN'!F34</f>
        <v>2.3202254217184075</v>
      </c>
      <c r="K390" s="1">
        <f>'[1]Electricity and CHPs_IN'!G34</f>
        <v>15.933989588280619</v>
      </c>
      <c r="L390" s="1">
        <f>'[1]Electricity and CHPs_IN'!H34</f>
        <v>23.410807652465245</v>
      </c>
      <c r="M390" s="1">
        <f>'[1]Electricity and CHPs_IN'!I34</f>
        <v>29.818992108983068</v>
      </c>
      <c r="N390" s="1">
        <f>'[1]Electricity and CHPs_IN'!J34</f>
        <v>28.649833808400803</v>
      </c>
      <c r="O390" s="1">
        <f>'[1]Electricity and CHPs_IN'!K34</f>
        <v>26.753084496625526</v>
      </c>
      <c r="P390" s="1">
        <f>'[1]Electricity and CHPs_IN'!L34</f>
        <v>13.991171449712663</v>
      </c>
      <c r="Q390" s="1">
        <f>'[1]Electricity and CHPs_IN'!M34</f>
        <v>8.7083339897528038</v>
      </c>
      <c r="S390" s="3"/>
    </row>
    <row r="391" spans="1:19" x14ac:dyDescent="0.5">
      <c r="A391" s="5" t="s">
        <v>5</v>
      </c>
      <c r="B391" s="5" t="s">
        <v>6</v>
      </c>
      <c r="C391" s="5" t="s">
        <v>7</v>
      </c>
      <c r="D391" t="s">
        <v>139</v>
      </c>
      <c r="E391" t="str">
        <f t="shared" si="375"/>
        <v>PJ/yr.</v>
      </c>
      <c r="F391" s="1">
        <f>'[1]Electricity and CHPs_IN'!B35</f>
        <v>3.517953999707534</v>
      </c>
      <c r="G391" s="1">
        <f>'[1]Electricity and CHPs_IN'!C35</f>
        <v>4.8486224180395263</v>
      </c>
      <c r="H391" s="1">
        <f>'[1]Electricity and CHPs_IN'!D35</f>
        <v>8.4550825265422365</v>
      </c>
      <c r="I391" s="1">
        <f>'[1]Electricity and CHPs_IN'!E35</f>
        <v>9.926144174025012</v>
      </c>
      <c r="J391" s="1">
        <f>'[1]Electricity and CHPs_IN'!F35</f>
        <v>19.784617135491548</v>
      </c>
      <c r="K391" s="1">
        <f>'[1]Electricity and CHPs_IN'!G35</f>
        <v>20.793900898128385</v>
      </c>
      <c r="L391" s="1">
        <f>'[1]Electricity and CHPs_IN'!H35</f>
        <v>21.854605212615262</v>
      </c>
      <c r="M391" s="1">
        <f>'[1]Electricity and CHPs_IN'!I35</f>
        <v>22.969412315912109</v>
      </c>
      <c r="N391" s="1">
        <f>'[1]Electricity and CHPs_IN'!J35</f>
        <v>24.141083330105005</v>
      </c>
      <c r="O391" s="1">
        <f>'[1]Electricity and CHPs_IN'!K35</f>
        <v>25.37252149187724</v>
      </c>
      <c r="P391" s="1">
        <f>'[1]Electricity and CHPs_IN'!L35</f>
        <v>26.666775752836962</v>
      </c>
      <c r="Q391" s="1">
        <f>'[1]Electricity and CHPs_IN'!M35</f>
        <v>28.027050278303932</v>
      </c>
      <c r="S391" s="3"/>
    </row>
    <row r="392" spans="1:19" x14ac:dyDescent="0.5">
      <c r="A392" s="5" t="s">
        <v>5</v>
      </c>
      <c r="B392" s="5" t="s">
        <v>6</v>
      </c>
      <c r="C392" s="5" t="s">
        <v>7</v>
      </c>
      <c r="D392" t="s">
        <v>140</v>
      </c>
      <c r="E392" t="str">
        <f t="shared" si="375"/>
        <v>PJ/yr.</v>
      </c>
      <c r="F392" s="1">
        <f>'[1]Electricity and CHPs_IN'!B36</f>
        <v>2.1349390887346629</v>
      </c>
      <c r="G392" s="1">
        <f>'[1]Electricity and CHPs_IN'!C36</f>
        <v>3.3906781286430983</v>
      </c>
      <c r="H392" s="1">
        <f>'[1]Electricity and CHPs_IN'!D36</f>
        <v>10.596782014740967</v>
      </c>
      <c r="I392" s="1">
        <f>'[1]Electricity and CHPs_IN'!E36</f>
        <v>18.916937780492358</v>
      </c>
      <c r="J392" s="1">
        <f>'[1]Electricity and CHPs_IN'!F36</f>
        <v>19.88417330976128</v>
      </c>
      <c r="K392" s="1">
        <f>'[1]Electricity and CHPs_IN'!G36</f>
        <v>20.898665828517974</v>
      </c>
      <c r="L392" s="1">
        <f>'[1]Electricity and CHPs_IN'!H36</f>
        <v>34.749536309248008</v>
      </c>
      <c r="M392" s="1">
        <f>'[1]Electricity and CHPs_IN'!I36</f>
        <v>38.328120836094136</v>
      </c>
      <c r="N392" s="1">
        <f>'[1]Electricity and CHPs_IN'!J36</f>
        <v>40.28324174799026</v>
      </c>
      <c r="O392" s="1">
        <f>'[1]Electricity and CHPs_IN'!K36</f>
        <v>42.338095039730725</v>
      </c>
      <c r="P392" s="1">
        <f>'[1]Electricity and CHPs_IN'!L36</f>
        <v>44.497774485439379</v>
      </c>
      <c r="Q392" s="1">
        <f>'[1]Electricity and CHPs_IN'!M36</f>
        <v>46.767660445932052</v>
      </c>
      <c r="S392" s="3"/>
    </row>
    <row r="393" spans="1:19" x14ac:dyDescent="0.5">
      <c r="A393" s="5" t="s">
        <v>5</v>
      </c>
      <c r="B393" s="5" t="s">
        <v>6</v>
      </c>
      <c r="C393" s="5" t="s">
        <v>7</v>
      </c>
      <c r="D393" t="s">
        <v>141</v>
      </c>
      <c r="E393" t="str">
        <f t="shared" si="375"/>
        <v>PJ/yr.</v>
      </c>
      <c r="F393" s="1">
        <f>'[1]Electricity and CHPs_IN'!B37</f>
        <v>0.86248322578584768</v>
      </c>
      <c r="G393" s="1">
        <f>'[1]Electricity and CHPs_IN'!C37</f>
        <v>1.2875974189862847</v>
      </c>
      <c r="H393" s="1">
        <f>'[1]Electricity and CHPs_IN'!D37</f>
        <v>5.81077948848551</v>
      </c>
      <c r="I393" s="1">
        <f>'[1]Electricity and CHPs_IN'!E37</f>
        <v>13.460689004447735</v>
      </c>
      <c r="J393" s="1">
        <f>'[1]Electricity and CHPs_IN'!F37</f>
        <v>29.336018101734197</v>
      </c>
      <c r="K393" s="1">
        <f>'[1]Electricity and CHPs_IN'!G37</f>
        <v>37.625853379218412</v>
      </c>
      <c r="L393" s="1">
        <f>'[1]Electricity and CHPs_IN'!H37</f>
        <v>40.341691658274229</v>
      </c>
      <c r="M393" s="1">
        <f>'[1]Electricity and CHPs_IN'!I37</f>
        <v>42.399565086803094</v>
      </c>
      <c r="N393" s="1">
        <f>'[1]Electricity and CHPs_IN'!J37</f>
        <v>44.562370427942795</v>
      </c>
      <c r="O393" s="1">
        <f>'[1]Electricity and CHPs_IN'!K37</f>
        <v>46.835501637375899</v>
      </c>
      <c r="P393" s="1">
        <f>'[1]Electricity and CHPs_IN'!L37</f>
        <v>49.224590392896687</v>
      </c>
      <c r="Q393" s="1">
        <f>'[1]Electricity and CHPs_IN'!M37</f>
        <v>51.735555388894653</v>
      </c>
      <c r="S393" s="3"/>
    </row>
    <row r="394" spans="1:19" x14ac:dyDescent="0.5">
      <c r="A394" s="5" t="s">
        <v>5</v>
      </c>
      <c r="B394" s="5" t="s">
        <v>6</v>
      </c>
      <c r="C394" s="5" t="s">
        <v>7</v>
      </c>
      <c r="D394" t="s">
        <v>142</v>
      </c>
      <c r="E394" t="str">
        <f t="shared" si="375"/>
        <v>PJ/yr.</v>
      </c>
      <c r="F394" s="1">
        <f>'[1]Electricity and CHPs_IN'!B38</f>
        <v>2.8396236857719668</v>
      </c>
      <c r="G394" s="1">
        <f>'[1]Electricity and CHPs_IN'!C38</f>
        <v>3.2944552198176535</v>
      </c>
      <c r="H394" s="1">
        <f>'[1]Electricity and CHPs_IN'!D38</f>
        <v>3.9362771174489812</v>
      </c>
      <c r="I394" s="1">
        <f>'[1]Electricity and CHPs_IN'!E38</f>
        <v>4.4095841199260528</v>
      </c>
      <c r="J394" s="1">
        <f>'[1]Electricity and CHPs_IN'!F38</f>
        <v>4.635103634962209</v>
      </c>
      <c r="K394" s="1">
        <f>'[1]Electricity and CHPs_IN'!G38</f>
        <v>27.726857868200945</v>
      </c>
      <c r="L394" s="1">
        <f>'[1]Electricity and CHPs_IN'!H38</f>
        <v>29.141231656727765</v>
      </c>
      <c r="M394" s="1">
        <f>'[1]Electricity and CHPs_IN'!I38</f>
        <v>30.627733907353029</v>
      </c>
      <c r="N394" s="1">
        <f>'[1]Electricity and CHPs_IN'!J38</f>
        <v>32.190056540071453</v>
      </c>
      <c r="O394" s="1">
        <f>'[1]Electricity and CHPs_IN'!K38</f>
        <v>33.832073646552168</v>
      </c>
      <c r="P394" s="1">
        <f>'[1]Electricity and CHPs_IN'!L38</f>
        <v>35.557851126165495</v>
      </c>
      <c r="Q394" s="1">
        <f>'[1]Electricity and CHPs_IN'!M38</f>
        <v>37.371661697836849</v>
      </c>
      <c r="S394" s="3"/>
    </row>
    <row r="395" spans="1:19" x14ac:dyDescent="0.5">
      <c r="A395" s="5" t="s">
        <v>5</v>
      </c>
      <c r="B395" s="5" t="s">
        <v>6</v>
      </c>
      <c r="C395" s="5" t="s">
        <v>7</v>
      </c>
      <c r="D395" t="s">
        <v>859</v>
      </c>
      <c r="E395" t="str">
        <f t="shared" si="375"/>
        <v>PJ/yr.</v>
      </c>
      <c r="F395" s="1">
        <f>'[1]Electricity and CHPs'!B252</f>
        <v>0</v>
      </c>
      <c r="G395" s="1">
        <f>'[1]Electricity and CHPs'!C252</f>
        <v>0</v>
      </c>
      <c r="H395" s="1">
        <f>'[1]Electricity and CHPs'!D252</f>
        <v>0</v>
      </c>
      <c r="I395" s="1">
        <f>'[1]Electricity and CHPs'!E252</f>
        <v>0</v>
      </c>
      <c r="J395" s="1">
        <f>'[1]Electricity and CHPs'!F252</f>
        <v>0</v>
      </c>
      <c r="K395" s="1">
        <f>'[1]Electricity and CHPs'!G252</f>
        <v>0</v>
      </c>
      <c r="L395" s="1">
        <f>'[1]Electricity and CHPs'!H252</f>
        <v>0</v>
      </c>
      <c r="M395" s="1">
        <f>'[1]Electricity and CHPs'!I252</f>
        <v>0</v>
      </c>
      <c r="N395" s="1">
        <f>'[1]Electricity and CHPs'!J252</f>
        <v>0</v>
      </c>
      <c r="O395" s="1">
        <f>'[1]Electricity and CHPs'!K252</f>
        <v>0</v>
      </c>
      <c r="P395" s="1">
        <f>'[1]Electricity and CHPs'!L252</f>
        <v>0</v>
      </c>
      <c r="Q395" s="1">
        <f>'[1]Electricity and CHPs'!M252</f>
        <v>0</v>
      </c>
      <c r="S395" s="3"/>
    </row>
    <row r="396" spans="1:19" x14ac:dyDescent="0.5">
      <c r="A396" s="5" t="s">
        <v>5</v>
      </c>
      <c r="B396" s="5" t="s">
        <v>6</v>
      </c>
      <c r="C396" s="5" t="s">
        <v>7</v>
      </c>
      <c r="D396" t="s">
        <v>143</v>
      </c>
      <c r="E396" t="str">
        <f t="shared" si="375"/>
        <v>PJ/yr.</v>
      </c>
      <c r="F396" s="1">
        <f>'[1]Electricity and CHPs_IN'!B$32</f>
        <v>0</v>
      </c>
      <c r="G396" s="1">
        <f>'[1]Electricity and CHPs_IN'!C$32</f>
        <v>0</v>
      </c>
      <c r="H396" s="1">
        <f>'[1]Electricity and CHPs_IN'!D$32</f>
        <v>0</v>
      </c>
      <c r="I396" s="1">
        <f>'[1]Electricity and CHPs_IN'!E$32</f>
        <v>0</v>
      </c>
      <c r="J396" s="1">
        <f>'[1]Electricity and CHPs_IN'!F$32</f>
        <v>0</v>
      </c>
      <c r="K396" s="1">
        <f>'[1]Electricity and CHPs_IN'!G$32</f>
        <v>0</v>
      </c>
      <c r="L396" s="1">
        <f>'[1]Electricity and CHPs_IN'!H$32</f>
        <v>0.4920247477338543</v>
      </c>
      <c r="M396" s="1">
        <f>'[1]Electricity and CHPs_IN'!I$32</f>
        <v>1.1775551507213948</v>
      </c>
      <c r="N396" s="1">
        <f>'[1]Electricity and CHPs_IN'!J$32</f>
        <v>1.1767702682295378</v>
      </c>
      <c r="O396" s="1">
        <f>'[1]Electricity and CHPs_IN'!K$32</f>
        <v>1.1787692742169216</v>
      </c>
      <c r="P396" s="1">
        <f>'[1]Electricity and CHPs_IN'!L$32</f>
        <v>1.1921845838621119</v>
      </c>
      <c r="Q396" s="1">
        <f>'[1]Electricity and CHPs_IN'!M$32</f>
        <v>1.2439479660493789</v>
      </c>
      <c r="S396" s="3"/>
    </row>
    <row r="397" spans="1:19" x14ac:dyDescent="0.5">
      <c r="A397" s="5" t="s">
        <v>5</v>
      </c>
      <c r="B397" s="5" t="s">
        <v>6</v>
      </c>
      <c r="C397" s="5" t="s">
        <v>7</v>
      </c>
      <c r="D397" t="s">
        <v>860</v>
      </c>
      <c r="E397" t="str">
        <f t="shared" si="375"/>
        <v>PJ/yr.</v>
      </c>
      <c r="F397" s="1">
        <f t="shared" ref="F397" si="413">SUM(F398:F400)</f>
        <v>0</v>
      </c>
      <c r="G397" s="1">
        <f t="shared" ref="G397" si="414">SUM(G398:G400)</f>
        <v>0</v>
      </c>
      <c r="H397" s="1">
        <f t="shared" ref="H397" si="415">SUM(H398:H400)</f>
        <v>0</v>
      </c>
      <c r="I397" s="1">
        <f t="shared" ref="I397" si="416">SUM(I398:I400)</f>
        <v>6.8099440278966356E-3</v>
      </c>
      <c r="J397" s="1">
        <f t="shared" ref="J397" si="417">SUM(J398:J400)</f>
        <v>0.76739549665174212</v>
      </c>
      <c r="K397" s="1">
        <f t="shared" ref="K397" si="418">SUM(K398:K400)</f>
        <v>0.46978817985411536</v>
      </c>
      <c r="L397" s="1">
        <f t="shared" ref="L397:O397" si="419">SUM(L398:L400)</f>
        <v>0.46025587055457762</v>
      </c>
      <c r="M397" s="1">
        <f t="shared" si="419"/>
        <v>0.86689835236224733</v>
      </c>
      <c r="N397" s="1">
        <f t="shared" si="419"/>
        <v>2.8715802597366769</v>
      </c>
      <c r="O397" s="1">
        <f t="shared" si="419"/>
        <v>3.3912307381424314</v>
      </c>
      <c r="P397" s="1">
        <f>SUM(P398:P400)</f>
        <v>5.1957955671559084</v>
      </c>
      <c r="Q397" s="1">
        <f>SUM(Q398:Q400)</f>
        <v>6.1887644184675432</v>
      </c>
      <c r="S397" s="3"/>
    </row>
    <row r="398" spans="1:19" x14ac:dyDescent="0.5">
      <c r="A398" s="5" t="s">
        <v>5</v>
      </c>
      <c r="B398" s="5" t="s">
        <v>6</v>
      </c>
      <c r="C398" s="5" t="s">
        <v>7</v>
      </c>
      <c r="D398" t="s">
        <v>144</v>
      </c>
      <c r="E398" t="str">
        <f t="shared" si="375"/>
        <v>PJ/yr.</v>
      </c>
      <c r="F398" s="1">
        <f>IFERROR(F170/SUM(F170,F209),0)*'[1]Electricity and CHPs_IN'!B$30</f>
        <v>0</v>
      </c>
      <c r="G398" s="1">
        <f>IFERROR(G170/SUM(G170,G209),0)*'[1]Electricity and CHPs_IN'!C$30</f>
        <v>0</v>
      </c>
      <c r="H398" s="1">
        <f>IFERROR(H170/SUM(H170,H209),0)*'[1]Electricity and CHPs_IN'!D$30</f>
        <v>0</v>
      </c>
      <c r="I398" s="1">
        <f>IFERROR(I170/SUM(I170,I209),0)*'[1]Electricity and CHPs_IN'!E$30</f>
        <v>0</v>
      </c>
      <c r="J398" s="1">
        <f>IFERROR(J170/SUM(J170,J209),0)*'[1]Electricity and CHPs_IN'!F$30</f>
        <v>0</v>
      </c>
      <c r="K398" s="1">
        <f>IFERROR(K170/SUM(K170,K209),0)*'[1]Electricity and CHPs_IN'!G$30</f>
        <v>3.935156482553355E-2</v>
      </c>
      <c r="L398" s="1">
        <f>IFERROR(L170/SUM(L170,L209),0)*'[1]Electricity and CHPs_IN'!H$30</f>
        <v>3.9695664336418329E-2</v>
      </c>
      <c r="M398" s="1">
        <f>IFERROR(M170/SUM(M170,M209),0)*'[1]Electricity and CHPs_IN'!I$30</f>
        <v>5.3278844275818853E-2</v>
      </c>
      <c r="N398" s="1">
        <f>IFERROR(N170/SUM(N170,N209),0)*'[1]Electricity and CHPs_IN'!J$30</f>
        <v>0.91457505348957457</v>
      </c>
      <c r="O398" s="1">
        <f>IFERROR(O170/SUM(O170,O209),0)*'[1]Electricity and CHPs_IN'!K$30</f>
        <v>1.1445808025448416</v>
      </c>
      <c r="P398" s="1">
        <f>IFERROR(P170/SUM(P170,P209),0)*'[1]Electricity and CHPs_IN'!L$30</f>
        <v>1.1446676157379871</v>
      </c>
      <c r="Q398" s="1">
        <f>IFERROR(Q170/SUM(Q170,Q209),0)*'[1]Electricity and CHPs_IN'!M$30</f>
        <v>1.1781131172951282</v>
      </c>
      <c r="S398" s="3"/>
    </row>
    <row r="399" spans="1:19" x14ac:dyDescent="0.5">
      <c r="A399" s="5" t="s">
        <v>5</v>
      </c>
      <c r="B399" s="5" t="s">
        <v>6</v>
      </c>
      <c r="C399" s="5" t="s">
        <v>7</v>
      </c>
      <c r="D399" t="s">
        <v>145</v>
      </c>
      <c r="E399" t="str">
        <f t="shared" si="375"/>
        <v>PJ/yr.</v>
      </c>
      <c r="F399" s="1">
        <f>IFERROR(F171/SUM(F171,F289),0)*'[1]Electricity and CHPs_IN'!B$46</f>
        <v>0</v>
      </c>
      <c r="G399" s="1">
        <f>IFERROR(G171/SUM(G171,G289),0)*'[1]Electricity and CHPs_IN'!C$46</f>
        <v>0</v>
      </c>
      <c r="H399" s="1">
        <f>IFERROR(H171/SUM(H171,H289),0)*'[1]Electricity and CHPs_IN'!D$46</f>
        <v>0</v>
      </c>
      <c r="I399" s="1">
        <f>IFERROR(I171/SUM(I171,I289),0)*'[1]Electricity and CHPs_IN'!E$46</f>
        <v>0</v>
      </c>
      <c r="J399" s="1">
        <f>IFERROR(J171/SUM(J171,J289),0)*'[1]Electricity and CHPs_IN'!F$46</f>
        <v>0.74396454343524532</v>
      </c>
      <c r="K399" s="1">
        <f>IFERROR(K171/SUM(K171,K289),0)*'[1]Electricity and CHPs_IN'!G$46</f>
        <v>0.40875136317903682</v>
      </c>
      <c r="L399" s="1">
        <f>IFERROR(L171/SUM(L171,L289),0)*'[1]Electricity and CHPs_IN'!H$46</f>
        <v>0.40363091939288998</v>
      </c>
      <c r="M399" s="1">
        <f>IFERROR(M171/SUM(M171,M289),0)*'[1]Electricity and CHPs_IN'!I$46</f>
        <v>0.76257431608346615</v>
      </c>
      <c r="N399" s="1">
        <f>IFERROR(N171/SUM(N171,N289),0)*'[1]Electricity and CHPs_IN'!J$46</f>
        <v>1.895097593242574</v>
      </c>
      <c r="O399" s="1">
        <f>IFERROR(O171/SUM(O171,O289),0)*'[1]Electricity and CHPs_IN'!K$46</f>
        <v>2.1856757577470369</v>
      </c>
      <c r="P399" s="1">
        <f>IFERROR(P171/SUM(P171,P289),0)*'[1]Electricity and CHPs_IN'!L$46</f>
        <v>3.8503229026148955</v>
      </c>
      <c r="Q399" s="1">
        <f>IFERROR(Q171/SUM(Q171,Q289),0)*'[1]Electricity and CHPs_IN'!M$46</f>
        <v>4.5652158242129079</v>
      </c>
      <c r="S399" s="3"/>
    </row>
    <row r="400" spans="1:19" x14ac:dyDescent="0.5">
      <c r="A400" s="5" t="s">
        <v>5</v>
      </c>
      <c r="B400" s="5" t="s">
        <v>6</v>
      </c>
      <c r="C400" s="5" t="s">
        <v>7</v>
      </c>
      <c r="D400" t="s">
        <v>237</v>
      </c>
      <c r="E400" t="str">
        <f t="shared" si="375"/>
        <v>PJ/yr.</v>
      </c>
      <c r="F400" s="1">
        <f>IFERROR(F172/SUM(F172,F290),0)*'[1]Electricity and CHPs_IN'!B$57</f>
        <v>0</v>
      </c>
      <c r="G400" s="1">
        <f>IFERROR(G172/SUM(G172,G290),0)*'[1]Electricity and CHPs_IN'!C$57</f>
        <v>0</v>
      </c>
      <c r="H400" s="1">
        <f>IFERROR(H172/SUM(H172,H290),0)*'[1]Electricity and CHPs_IN'!D$57</f>
        <v>0</v>
      </c>
      <c r="I400" s="1">
        <f>IFERROR(I172/SUM(I172,I290),0)*'[1]Electricity and CHPs_IN'!E$57</f>
        <v>6.8099440278966356E-3</v>
      </c>
      <c r="J400" s="1">
        <f>IFERROR(J172/SUM(J172,J290),0)*'[1]Electricity and CHPs_IN'!F$57</f>
        <v>2.3430953216496825E-2</v>
      </c>
      <c r="K400" s="1">
        <f>IFERROR(K172/SUM(K172,K290),0)*'[1]Electricity and CHPs_IN'!G$57</f>
        <v>2.1685251849545034E-2</v>
      </c>
      <c r="L400" s="1">
        <f>IFERROR(L172/SUM(L172,L290),0)*'[1]Electricity and CHPs_IN'!H$57</f>
        <v>1.6929286825269292E-2</v>
      </c>
      <c r="M400" s="1">
        <f>IFERROR(M172/SUM(M172,M290),0)*'[1]Electricity and CHPs_IN'!I$57</f>
        <v>5.1045192002962321E-2</v>
      </c>
      <c r="N400" s="1">
        <f>IFERROR(N172/SUM(N172,N290),0)*'[1]Electricity and CHPs_IN'!J$57</f>
        <v>6.1907613004528364E-2</v>
      </c>
      <c r="O400" s="1">
        <f>IFERROR(O172/SUM(O172,O290),0)*'[1]Electricity and CHPs_IN'!K$57</f>
        <v>6.0974177850552765E-2</v>
      </c>
      <c r="P400" s="1">
        <f>IFERROR(P172/SUM(P172,P290),0)*'[1]Electricity and CHPs_IN'!L$57</f>
        <v>0.20080504880302533</v>
      </c>
      <c r="Q400" s="1">
        <f>IFERROR(Q172/SUM(Q172,Q290),0)*'[1]Electricity and CHPs_IN'!M$57</f>
        <v>0.44543547695950753</v>
      </c>
      <c r="S400" s="3"/>
    </row>
    <row r="401" spans="1:19" x14ac:dyDescent="0.5">
      <c r="A401" s="5" t="s">
        <v>5</v>
      </c>
      <c r="B401" s="5" t="s">
        <v>6</v>
      </c>
      <c r="C401" s="5" t="s">
        <v>7</v>
      </c>
      <c r="D401" t="s">
        <v>861</v>
      </c>
      <c r="E401" t="str">
        <f t="shared" si="375"/>
        <v>PJ/yr.</v>
      </c>
      <c r="F401" s="1">
        <f>SUM(F402:F408)</f>
        <v>0.19625744841091067</v>
      </c>
      <c r="G401" s="1">
        <f t="shared" ref="G401:K401" si="420">SUM(G402:G408)</f>
        <v>7.5390158697939788E-2</v>
      </c>
      <c r="H401" s="1">
        <f t="shared" si="420"/>
        <v>0.10046974371660228</v>
      </c>
      <c r="I401" s="1">
        <f t="shared" si="420"/>
        <v>0.50285751634413722</v>
      </c>
      <c r="J401" s="1">
        <f t="shared" si="420"/>
        <v>1.4226978182312902</v>
      </c>
      <c r="K401" s="1">
        <f t="shared" si="420"/>
        <v>4.9365946019708655</v>
      </c>
      <c r="L401" s="1">
        <f t="shared" ref="L401:O401" si="421">SUM(L402:L408)</f>
        <v>9.104046042483521</v>
      </c>
      <c r="M401" s="1">
        <f t="shared" si="421"/>
        <v>10.682886136629692</v>
      </c>
      <c r="N401" s="1">
        <f t="shared" si="421"/>
        <v>17.428189734538613</v>
      </c>
      <c r="O401" s="1">
        <f t="shared" si="421"/>
        <v>20.159011951317279</v>
      </c>
      <c r="P401" s="1">
        <f>SUM(P402:P408)</f>
        <v>18.979483918834948</v>
      </c>
      <c r="Q401" s="1">
        <f>SUM(Q402:Q408)</f>
        <v>19.986264144931223</v>
      </c>
      <c r="S401" s="3"/>
    </row>
    <row r="402" spans="1:19" x14ac:dyDescent="0.5">
      <c r="A402" s="5" t="s">
        <v>5</v>
      </c>
      <c r="B402" s="5" t="s">
        <v>6</v>
      </c>
      <c r="C402" s="5" t="s">
        <v>7</v>
      </c>
      <c r="D402" t="s">
        <v>146</v>
      </c>
      <c r="E402" t="str">
        <f t="shared" si="375"/>
        <v>PJ/yr.</v>
      </c>
      <c r="F402" s="1">
        <f>'[1]Electricity and CHPs_IN'!B63</f>
        <v>0.13530879580225955</v>
      </c>
      <c r="G402" s="1">
        <f>'[1]Electricity and CHPs_IN'!C63</f>
        <v>2.1290734933807703E-2</v>
      </c>
      <c r="H402" s="1">
        <f>'[1]Electricity and CHPs_IN'!D63</f>
        <v>4.5312130640239832E-2</v>
      </c>
      <c r="I402" s="1">
        <f>'[1]Electricity and CHPs_IN'!E63</f>
        <v>0.1349769488330102</v>
      </c>
      <c r="J402" s="1">
        <f>'[1]Electricity and CHPs_IN'!F63</f>
        <v>0.12306194816752009</v>
      </c>
      <c r="K402" s="1">
        <f>'[1]Electricity and CHPs_IN'!G63</f>
        <v>9.9711850570823907E-2</v>
      </c>
      <c r="L402" s="1">
        <f>'[1]Electricity and CHPs_IN'!H63</f>
        <v>0.13498719197690126</v>
      </c>
      <c r="M402" s="1">
        <f>'[1]Electricity and CHPs_IN'!I63</f>
        <v>0.10913625112715143</v>
      </c>
      <c r="N402" s="1">
        <f>'[1]Electricity and CHPs_IN'!J63</f>
        <v>0.13502582338871946</v>
      </c>
      <c r="O402" s="1">
        <f>'[1]Electricity and CHPs_IN'!K63</f>
        <v>0.13503630994264931</v>
      </c>
      <c r="P402" s="1">
        <f>'[1]Electricity and CHPs_IN'!L63</f>
        <v>0.13502205773939727</v>
      </c>
      <c r="Q402" s="1">
        <f>'[1]Electricity and CHPs_IN'!M63</f>
        <v>0.13509104220383042</v>
      </c>
      <c r="S402" s="3"/>
    </row>
    <row r="403" spans="1:19" x14ac:dyDescent="0.5">
      <c r="A403" s="5" t="s">
        <v>5</v>
      </c>
      <c r="B403" s="5" t="s">
        <v>6</v>
      </c>
      <c r="C403" s="5" t="s">
        <v>7</v>
      </c>
      <c r="D403" t="s">
        <v>147</v>
      </c>
      <c r="E403" t="str">
        <f t="shared" si="375"/>
        <v>PJ/yr.</v>
      </c>
      <c r="F403" s="1">
        <f>'[1]Electricity and CHPs_IN'!B64</f>
        <v>1.6726659185743242E-2</v>
      </c>
      <c r="G403" s="1">
        <f>'[1]Electricity and CHPs_IN'!C64</f>
        <v>1.3063627661389193E-2</v>
      </c>
      <c r="H403" s="1">
        <f>'[1]Electricity and CHPs_IN'!D64</f>
        <v>1.3411621189407938E-2</v>
      </c>
      <c r="I403" s="1">
        <f>'[1]Electricity and CHPs_IN'!E64</f>
        <v>1.4808309202327617E-2</v>
      </c>
      <c r="J403" s="1">
        <f>'[1]Electricity and CHPs_IN'!F64</f>
        <v>0.61789290319174273</v>
      </c>
      <c r="K403" s="1">
        <f>'[1]Electricity and CHPs_IN'!G64</f>
        <v>0.66733064543266918</v>
      </c>
      <c r="L403" s="1">
        <f>'[1]Electricity and CHPs_IN'!H64</f>
        <v>0.66833895412653921</v>
      </c>
      <c r="M403" s="1">
        <f>'[1]Electricity and CHPs_IN'!I64</f>
        <v>0.66916264535652115</v>
      </c>
      <c r="N403" s="1">
        <f>'[1]Electricity and CHPs_IN'!J64</f>
        <v>1.2231054477667636</v>
      </c>
      <c r="O403" s="1">
        <f>'[1]Electricity and CHPs_IN'!K64</f>
        <v>1.2250385727898989</v>
      </c>
      <c r="P403" s="1">
        <f>'[1]Electricity and CHPs_IN'!L64</f>
        <v>1.2255680837652609</v>
      </c>
      <c r="Q403" s="1">
        <f>'[1]Electricity and CHPs_IN'!M64</f>
        <v>1.3740470569592347</v>
      </c>
      <c r="S403" s="3"/>
    </row>
    <row r="404" spans="1:19" x14ac:dyDescent="0.5">
      <c r="A404" s="5" t="s">
        <v>5</v>
      </c>
      <c r="B404" s="5" t="s">
        <v>6</v>
      </c>
      <c r="C404" s="5" t="s">
        <v>7</v>
      </c>
      <c r="D404" t="s">
        <v>148</v>
      </c>
      <c r="E404" t="str">
        <f t="shared" si="375"/>
        <v>PJ/yr.</v>
      </c>
      <c r="F404" s="1">
        <f>'[1]Electricity and CHPs_IN'!B65</f>
        <v>1.490530649595141E-2</v>
      </c>
      <c r="G404" s="1">
        <f>'[1]Electricity and CHPs_IN'!C65</f>
        <v>1.1655671328301476E-2</v>
      </c>
      <c r="H404" s="1">
        <f>'[1]Electricity and CHPs_IN'!D65</f>
        <v>1.2002938084010453E-2</v>
      </c>
      <c r="I404" s="1">
        <f>'[1]Electricity and CHPs_IN'!E65</f>
        <v>1.35153663544438E-2</v>
      </c>
      <c r="J404" s="1">
        <f>'[1]Electricity and CHPs_IN'!F65</f>
        <v>0.13397930128342875</v>
      </c>
      <c r="K404" s="1">
        <f>'[1]Electricity and CHPs_IN'!G65</f>
        <v>3.3637513457010777</v>
      </c>
      <c r="L404" s="1">
        <f>'[1]Electricity and CHPs_IN'!H65</f>
        <v>7.3219315700802401</v>
      </c>
      <c r="M404" s="1">
        <f>'[1]Electricity and CHPs_IN'!I65</f>
        <v>8.9141867521283498</v>
      </c>
      <c r="N404" s="1">
        <f>'[1]Electricity and CHPs_IN'!J65</f>
        <v>14.938739534608061</v>
      </c>
      <c r="O404" s="1">
        <f>'[1]Electricity and CHPs_IN'!K65</f>
        <v>17.592240154813918</v>
      </c>
      <c r="P404" s="1">
        <f>'[1]Electricity and CHPs_IN'!L65</f>
        <v>16.370892547910817</v>
      </c>
      <c r="Q404" s="1">
        <f>'[1]Electricity and CHPs_IN'!M65</f>
        <v>17.134926880751692</v>
      </c>
      <c r="S404" s="3"/>
    </row>
    <row r="405" spans="1:19" x14ac:dyDescent="0.5">
      <c r="A405" s="5" t="s">
        <v>5</v>
      </c>
      <c r="B405" s="5" t="s">
        <v>6</v>
      </c>
      <c r="C405" s="5" t="s">
        <v>7</v>
      </c>
      <c r="D405" t="s">
        <v>149</v>
      </c>
      <c r="E405" t="str">
        <f t="shared" si="375"/>
        <v>PJ/yr.</v>
      </c>
      <c r="F405" s="1">
        <f>'[1]Electricity and CHPs_IN'!B66</f>
        <v>4.5257710341439382E-3</v>
      </c>
      <c r="G405" s="1">
        <f>'[1]Electricity and CHPs_IN'!C66</f>
        <v>4.5332109705827645E-3</v>
      </c>
      <c r="H405" s="1">
        <f>'[1]Electricity and CHPs_IN'!D66</f>
        <v>4.5975679903741415E-3</v>
      </c>
      <c r="I405" s="1">
        <f>'[1]Electricity and CHPs_IN'!E66</f>
        <v>6.3226469867557353E-2</v>
      </c>
      <c r="J405" s="1">
        <f>'[1]Electricity and CHPs_IN'!F66</f>
        <v>0.11843798495055369</v>
      </c>
      <c r="K405" s="1">
        <f>'[1]Electricity and CHPs_IN'!G66</f>
        <v>0.17922784089845645</v>
      </c>
      <c r="L405" s="1">
        <f>'[1]Electricity and CHPs_IN'!H66</f>
        <v>0.15201550744750669</v>
      </c>
      <c r="M405" s="1">
        <f>'[1]Electricity and CHPs_IN'!I66</f>
        <v>0.22415745018508848</v>
      </c>
      <c r="N405" s="1">
        <f>'[1]Electricity and CHPs_IN'!J66</f>
        <v>0.2469852208501413</v>
      </c>
      <c r="O405" s="1">
        <f>'[1]Electricity and CHPs_IN'!K66</f>
        <v>0.29106953298852128</v>
      </c>
      <c r="P405" s="1">
        <f>'[1]Electricity and CHPs_IN'!L66</f>
        <v>0.30216590669270188</v>
      </c>
      <c r="Q405" s="1">
        <f>'[1]Electricity and CHPs_IN'!M66</f>
        <v>0.30613840360636596</v>
      </c>
      <c r="S405" s="3"/>
    </row>
    <row r="406" spans="1:19" x14ac:dyDescent="0.5">
      <c r="A406" s="5" t="s">
        <v>5</v>
      </c>
      <c r="B406" s="5" t="s">
        <v>6</v>
      </c>
      <c r="C406" s="5" t="s">
        <v>7</v>
      </c>
      <c r="D406" t="s">
        <v>1853</v>
      </c>
      <c r="E406" t="str">
        <f t="shared" si="375"/>
        <v>PJ/yr.</v>
      </c>
      <c r="F406" s="1">
        <f>'[1]Electricity and CHPs_IN'!B67</f>
        <v>1.0220023362712341E-2</v>
      </c>
      <c r="G406" s="1">
        <f>'[1]Electricity and CHPs_IN'!C67</f>
        <v>1.024547000135867E-2</v>
      </c>
      <c r="H406" s="1">
        <f>'[1]Electricity and CHPs_IN'!D67</f>
        <v>1.0361866823107727E-2</v>
      </c>
      <c r="I406" s="1">
        <f>'[1]Electricity and CHPs_IN'!E67</f>
        <v>9.642722004827517E-2</v>
      </c>
      <c r="J406" s="1">
        <f>'[1]Electricity and CHPs_IN'!F67</f>
        <v>0.14005993744445311</v>
      </c>
      <c r="K406" s="1">
        <f>'[1]Electricity and CHPs_IN'!G67</f>
        <v>0.16505904602376975</v>
      </c>
      <c r="L406" s="1">
        <f>'[1]Electricity and CHPs_IN'!H67</f>
        <v>0.25173535504679156</v>
      </c>
      <c r="M406" s="1">
        <f>'[1]Electricity and CHPs_IN'!I67</f>
        <v>0.28421941231192338</v>
      </c>
      <c r="N406" s="1">
        <f>'[1]Electricity and CHPs_IN'!J67</f>
        <v>0.32419995023441811</v>
      </c>
      <c r="O406" s="1">
        <f>'[1]Electricity and CHPs_IN'!K67</f>
        <v>0.34001318601545055</v>
      </c>
      <c r="P406" s="1">
        <f>'[1]Electricity and CHPs_IN'!L67</f>
        <v>0.35171848434293884</v>
      </c>
      <c r="Q406" s="1">
        <f>'[1]Electricity and CHPs_IN'!M67</f>
        <v>0.38487634821930472</v>
      </c>
      <c r="S406" s="3"/>
    </row>
    <row r="407" spans="1:19" x14ac:dyDescent="0.5">
      <c r="A407" s="5" t="s">
        <v>5</v>
      </c>
      <c r="B407" s="5" t="s">
        <v>6</v>
      </c>
      <c r="C407" s="5" t="s">
        <v>7</v>
      </c>
      <c r="D407" t="s">
        <v>150</v>
      </c>
      <c r="E407" t="str">
        <f t="shared" si="375"/>
        <v>PJ/yr.</v>
      </c>
      <c r="F407" s="1">
        <f>'[1]Electricity and CHPs_IN'!B68</f>
        <v>1.0215962032175901E-2</v>
      </c>
      <c r="G407" s="1">
        <f>'[1]Electricity and CHPs_IN'!C68</f>
        <v>1.0241016211036957E-2</v>
      </c>
      <c r="H407" s="1">
        <f>'[1]Electricity and CHPs_IN'!D68</f>
        <v>1.0362379745094363E-2</v>
      </c>
      <c r="I407" s="1">
        <f>'[1]Electricity and CHPs_IN'!E68</f>
        <v>9.8247103229939209E-2</v>
      </c>
      <c r="J407" s="1">
        <f>'[1]Electricity and CHPs_IN'!F68</f>
        <v>0.17086678811266712</v>
      </c>
      <c r="K407" s="1">
        <f>'[1]Electricity and CHPs_IN'!G68</f>
        <v>0.27047845897386014</v>
      </c>
      <c r="L407" s="1">
        <f>'[1]Electricity and CHPs_IN'!H68</f>
        <v>0.34197664470225964</v>
      </c>
      <c r="M407" s="1">
        <f>'[1]Electricity and CHPs_IN'!I68</f>
        <v>0.28790794096191308</v>
      </c>
      <c r="N407" s="1">
        <f>'[1]Electricity and CHPs_IN'!J68</f>
        <v>0.33562457894212305</v>
      </c>
      <c r="O407" s="1">
        <f>'[1]Electricity and CHPs_IN'!K68</f>
        <v>0.34382739385406857</v>
      </c>
      <c r="P407" s="1">
        <f>'[1]Electricity and CHPs_IN'!L68</f>
        <v>0.35562757932807787</v>
      </c>
      <c r="Q407" s="1">
        <f>'[1]Electricity and CHPs_IN'!M68</f>
        <v>0.38921795266042669</v>
      </c>
      <c r="S407" s="3"/>
    </row>
    <row r="408" spans="1:19" x14ac:dyDescent="0.5">
      <c r="A408" s="5" t="s">
        <v>5</v>
      </c>
      <c r="B408" s="5" t="s">
        <v>6</v>
      </c>
      <c r="C408" s="5" t="s">
        <v>7</v>
      </c>
      <c r="D408" t="s">
        <v>151</v>
      </c>
      <c r="E408" t="str">
        <f t="shared" si="375"/>
        <v>PJ/yr.</v>
      </c>
      <c r="F408" s="1">
        <f>'[1]Electricity and CHPs_IN'!B69</f>
        <v>4.3549304979243197E-3</v>
      </c>
      <c r="G408" s="1">
        <f>'[1]Electricity and CHPs_IN'!C69</f>
        <v>4.3604275914630305E-3</v>
      </c>
      <c r="H408" s="1">
        <f>'[1]Electricity and CHPs_IN'!D69</f>
        <v>4.4212392443678103E-3</v>
      </c>
      <c r="I408" s="1">
        <f>'[1]Electricity and CHPs_IN'!E69</f>
        <v>8.1656098808583821E-2</v>
      </c>
      <c r="J408" s="1">
        <f>'[1]Electricity and CHPs_IN'!F69</f>
        <v>0.11839895508092489</v>
      </c>
      <c r="K408" s="1">
        <f>'[1]Electricity and CHPs_IN'!G69</f>
        <v>0.19103541437020791</v>
      </c>
      <c r="L408" s="1">
        <f>'[1]Electricity and CHPs_IN'!H69</f>
        <v>0.23306081910328214</v>
      </c>
      <c r="M408" s="1">
        <f>'[1]Electricity and CHPs_IN'!I69</f>
        <v>0.19411568455874401</v>
      </c>
      <c r="N408" s="1">
        <f>'[1]Electricity and CHPs_IN'!J69</f>
        <v>0.22450917874838505</v>
      </c>
      <c r="O408" s="1">
        <f>'[1]Electricity and CHPs_IN'!K69</f>
        <v>0.2317868009127669</v>
      </c>
      <c r="P408" s="1">
        <f>'[1]Electricity and CHPs_IN'!L69</f>
        <v>0.23848925905575008</v>
      </c>
      <c r="Q408" s="1">
        <f>'[1]Electricity and CHPs_IN'!M69</f>
        <v>0.26196646053036909</v>
      </c>
      <c r="S408" s="3"/>
    </row>
    <row r="409" spans="1:19" x14ac:dyDescent="0.5">
      <c r="A409" s="5"/>
      <c r="B409" s="9" t="str">
        <f t="shared" ref="B409:C409" si="422">B408</f>
        <v>SPS1</v>
      </c>
      <c r="C409" s="2" t="str">
        <f t="shared" si="422"/>
        <v>CH</v>
      </c>
      <c r="D409" s="2" t="s">
        <v>190</v>
      </c>
      <c r="E409" s="2" t="str">
        <f>E397</f>
        <v>PJ/yr.</v>
      </c>
      <c r="F409" s="3">
        <f>F410+F463</f>
        <v>55.759822142927277</v>
      </c>
      <c r="G409" s="3">
        <f t="shared" ref="G409:K409" si="423">G410+G463</f>
        <v>54.964573641018603</v>
      </c>
      <c r="H409" s="3">
        <f t="shared" si="423"/>
        <v>56.56443775760939</v>
      </c>
      <c r="I409" s="3">
        <f t="shared" si="423"/>
        <v>56.143893389081512</v>
      </c>
      <c r="J409" s="3">
        <f t="shared" si="423"/>
        <v>56.865680814720761</v>
      </c>
      <c r="K409" s="3">
        <f t="shared" si="423"/>
        <v>62.111407472783021</v>
      </c>
      <c r="L409" s="3">
        <f t="shared" ref="L409:O409" si="424">L410+L463</f>
        <v>65.63257071832885</v>
      </c>
      <c r="M409" s="3">
        <f t="shared" si="424"/>
        <v>73.093231548223926</v>
      </c>
      <c r="N409" s="3">
        <f t="shared" si="424"/>
        <v>72.930204763593082</v>
      </c>
      <c r="O409" s="3">
        <f t="shared" si="424"/>
        <v>76.11714462260457</v>
      </c>
      <c r="P409" s="3">
        <f>P410+P463</f>
        <v>77.509550916998919</v>
      </c>
      <c r="Q409" s="3">
        <f>Q410+Q463</f>
        <v>79.652822339945075</v>
      </c>
      <c r="R409" s="11"/>
      <c r="S409" s="3"/>
    </row>
    <row r="410" spans="1:19" x14ac:dyDescent="0.5">
      <c r="A410" s="5"/>
      <c r="B410" s="5" t="s">
        <v>6</v>
      </c>
      <c r="C410" s="5" t="s">
        <v>7</v>
      </c>
      <c r="D410" t="s">
        <v>862</v>
      </c>
      <c r="E410" t="str">
        <f>E398</f>
        <v>PJ/yr.</v>
      </c>
      <c r="F410" s="1">
        <f t="shared" ref="F410:K410" si="425">F411+F440</f>
        <v>47.721076584620832</v>
      </c>
      <c r="G410" s="1">
        <f t="shared" si="425"/>
        <v>46.123866635388275</v>
      </c>
      <c r="H410" s="1">
        <f t="shared" si="425"/>
        <v>44.83527716529408</v>
      </c>
      <c r="I410" s="1">
        <f t="shared" si="425"/>
        <v>44.039371776710937</v>
      </c>
      <c r="J410" s="1">
        <f t="shared" si="425"/>
        <v>44.200886412591949</v>
      </c>
      <c r="K410" s="1">
        <f t="shared" si="425"/>
        <v>49.300984023067002</v>
      </c>
      <c r="L410" s="1">
        <f t="shared" ref="L410:O410" si="426">L411+L440</f>
        <v>50.072442360002739</v>
      </c>
      <c r="M410" s="1">
        <f t="shared" si="426"/>
        <v>48.624126022408056</v>
      </c>
      <c r="N410" s="1">
        <f t="shared" si="426"/>
        <v>49.274996766290151</v>
      </c>
      <c r="O410" s="1">
        <f t="shared" si="426"/>
        <v>52.37075531404858</v>
      </c>
      <c r="P410" s="1">
        <f>P411+P440</f>
        <v>52.48566439140756</v>
      </c>
      <c r="Q410" s="1">
        <f>Q411+Q440</f>
        <v>53.454661903977595</v>
      </c>
      <c r="R410" s="11"/>
      <c r="S410" s="3"/>
    </row>
    <row r="411" spans="1:19" x14ac:dyDescent="0.5">
      <c r="A411" s="5"/>
      <c r="B411" s="5" t="s">
        <v>6</v>
      </c>
      <c r="C411" s="5" t="s">
        <v>7</v>
      </c>
      <c r="D411" t="s">
        <v>863</v>
      </c>
      <c r="E411" t="str">
        <f>E395</f>
        <v>PJ/yr.</v>
      </c>
      <c r="F411" s="1">
        <f>SUM(F412,F418,F427,F436,F438)</f>
        <v>39.937860411031522</v>
      </c>
      <c r="G411" s="1">
        <f t="shared" ref="G411:K411" si="427">SUM(G412,G418,G427,G436,G438)</f>
        <v>34.441264415547678</v>
      </c>
      <c r="H411" s="1">
        <f t="shared" si="427"/>
        <v>33.166137196576443</v>
      </c>
      <c r="I411" s="1">
        <f t="shared" si="427"/>
        <v>33.825474213100343</v>
      </c>
      <c r="J411" s="1">
        <f t="shared" si="427"/>
        <v>33.518284392232431</v>
      </c>
      <c r="K411" s="1">
        <f t="shared" si="427"/>
        <v>40.492957862149169</v>
      </c>
      <c r="L411" s="1">
        <f t="shared" ref="L411:O411" si="428">SUM(L412,L418,L427,L436,L438)</f>
        <v>42.118132537874267</v>
      </c>
      <c r="M411" s="1">
        <f t="shared" si="428"/>
        <v>40.325712490432721</v>
      </c>
      <c r="N411" s="1">
        <f t="shared" si="428"/>
        <v>41.414061886413364</v>
      </c>
      <c r="O411" s="1">
        <f t="shared" si="428"/>
        <v>42.291706067120764</v>
      </c>
      <c r="P411" s="1">
        <f>SUM(P412,P418,P427,P436,P438)</f>
        <v>42.457074165023592</v>
      </c>
      <c r="Q411" s="1">
        <f>SUM(Q412,Q418,Q427,Q436,Q438)</f>
        <v>42.648459015227672</v>
      </c>
      <c r="S411" s="3"/>
    </row>
    <row r="412" spans="1:19" x14ac:dyDescent="0.5">
      <c r="A412" s="5"/>
      <c r="B412" s="5" t="s">
        <v>6</v>
      </c>
      <c r="C412" s="5" t="s">
        <v>7</v>
      </c>
      <c r="D412" t="s">
        <v>864</v>
      </c>
      <c r="E412" t="s">
        <v>8</v>
      </c>
      <c r="F412" s="1">
        <f>F413</f>
        <v>3.3523109456489432E-2</v>
      </c>
      <c r="G412" s="1">
        <f t="shared" ref="G412:O412" si="429">G413</f>
        <v>0.34559115246349192</v>
      </c>
      <c r="H412" s="1">
        <f t="shared" si="429"/>
        <v>2.3030985047673803E-2</v>
      </c>
      <c r="I412" s="1">
        <f t="shared" si="429"/>
        <v>6.2412440717278077E-3</v>
      </c>
      <c r="J412" s="1">
        <f t="shared" si="429"/>
        <v>3.4653195975242711E-3</v>
      </c>
      <c r="K412" s="1">
        <f t="shared" si="429"/>
        <v>1.3822944009360925E-2</v>
      </c>
      <c r="L412" s="1">
        <f t="shared" si="429"/>
        <v>1.2510324613891054E-2</v>
      </c>
      <c r="M412" s="1">
        <f t="shared" si="429"/>
        <v>1.3677771375218632E-4</v>
      </c>
      <c r="N412" s="1">
        <f t="shared" si="429"/>
        <v>4.8911140618879969E-4</v>
      </c>
      <c r="O412" s="1">
        <f t="shared" si="429"/>
        <v>6.1667180875717338E-4</v>
      </c>
      <c r="P412" s="1">
        <f>P413</f>
        <v>6.2406860900574164E-4</v>
      </c>
      <c r="Q412" s="1">
        <f>Q413</f>
        <v>7.2849440107192859E-4</v>
      </c>
      <c r="S412" s="3"/>
    </row>
    <row r="413" spans="1:19" x14ac:dyDescent="0.5">
      <c r="A413" s="5"/>
      <c r="B413" s="5" t="s">
        <v>6</v>
      </c>
      <c r="C413" s="5" t="s">
        <v>7</v>
      </c>
      <c r="D413" t="s">
        <v>231</v>
      </c>
      <c r="E413" t="s">
        <v>8</v>
      </c>
      <c r="F413" s="1">
        <f>'[1]Electricity and CHPs_IN'!B$28-F300</f>
        <v>3.3523109456489432E-2</v>
      </c>
      <c r="G413" s="1">
        <f>'[1]Electricity and CHPs_IN'!C$28-G300</f>
        <v>0.34559115246349192</v>
      </c>
      <c r="H413" s="1">
        <f>'[1]Electricity and CHPs_IN'!D$28-H300</f>
        <v>2.3030985047673803E-2</v>
      </c>
      <c r="I413" s="1">
        <f>'[1]Electricity and CHPs_IN'!E$28-I300</f>
        <v>6.2412440717278077E-3</v>
      </c>
      <c r="J413" s="1">
        <f>'[1]Electricity and CHPs_IN'!F$28-J300</f>
        <v>3.4653195975242711E-3</v>
      </c>
      <c r="K413" s="1">
        <f>'[1]Electricity and CHPs_IN'!G$28-K300</f>
        <v>1.3822944009360925E-2</v>
      </c>
      <c r="L413" s="1">
        <f>'[1]Electricity and CHPs_IN'!H$28-L300</f>
        <v>1.2510324613891054E-2</v>
      </c>
      <c r="M413" s="1">
        <f>'[1]Electricity and CHPs_IN'!I$28-M300</f>
        <v>1.3677771375218632E-4</v>
      </c>
      <c r="N413" s="1">
        <f>'[1]Electricity and CHPs_IN'!J$28-N300</f>
        <v>4.8911140618879969E-4</v>
      </c>
      <c r="O413" s="1">
        <f>'[1]Electricity and CHPs_IN'!K$28-O300</f>
        <v>6.1667180875717338E-4</v>
      </c>
      <c r="P413" s="1">
        <f>'[1]Electricity and CHPs_IN'!L$28-P300</f>
        <v>6.2406860900574164E-4</v>
      </c>
      <c r="Q413" s="1">
        <f>'[1]Electricity and CHPs_IN'!M$28-Q300</f>
        <v>7.2849440107192859E-4</v>
      </c>
      <c r="S413" s="3"/>
    </row>
    <row r="414" spans="1:19" x14ac:dyDescent="0.5">
      <c r="A414" s="5"/>
      <c r="B414" s="5" t="s">
        <v>6</v>
      </c>
      <c r="C414" s="5" t="s">
        <v>7</v>
      </c>
      <c r="D414" t="s">
        <v>865</v>
      </c>
      <c r="E414" t="s">
        <v>8</v>
      </c>
      <c r="F414" s="1">
        <f>F415</f>
        <v>3.3523109456489432E-2</v>
      </c>
      <c r="G414" s="1">
        <f t="shared" ref="G414:O414" si="430">G415</f>
        <v>0.34559115246349192</v>
      </c>
      <c r="H414" s="1">
        <f t="shared" si="430"/>
        <v>2.3030985047673803E-2</v>
      </c>
      <c r="I414" s="1">
        <f t="shared" si="430"/>
        <v>6.2412440717278077E-3</v>
      </c>
      <c r="J414" s="1">
        <f t="shared" si="430"/>
        <v>3.4653195975242711E-3</v>
      </c>
      <c r="K414" s="1">
        <f t="shared" si="430"/>
        <v>1.3822944009360925E-2</v>
      </c>
      <c r="L414" s="1">
        <f t="shared" si="430"/>
        <v>1.2510324613891054E-2</v>
      </c>
      <c r="M414" s="1">
        <f t="shared" si="430"/>
        <v>1.3677771375218632E-4</v>
      </c>
      <c r="N414" s="1">
        <f t="shared" si="430"/>
        <v>4.8911140618879969E-4</v>
      </c>
      <c r="O414" s="1">
        <f t="shared" si="430"/>
        <v>6.1667180875717338E-4</v>
      </c>
      <c r="P414" s="1">
        <f>P415</f>
        <v>6.2406860900574164E-4</v>
      </c>
      <c r="Q414" s="1">
        <f>Q415</f>
        <v>7.2849440107192859E-4</v>
      </c>
      <c r="S414" s="3"/>
    </row>
    <row r="415" spans="1:19" x14ac:dyDescent="0.5">
      <c r="A415" s="5"/>
      <c r="B415" s="5" t="s">
        <v>6</v>
      </c>
      <c r="C415" s="5" t="s">
        <v>7</v>
      </c>
      <c r="D415" t="s">
        <v>523</v>
      </c>
      <c r="E415" t="s">
        <v>8</v>
      </c>
      <c r="F415" s="1">
        <f>F413-F417</f>
        <v>3.3523109456489432E-2</v>
      </c>
      <c r="G415" s="1">
        <f t="shared" ref="G415:K415" si="431">G413-G417</f>
        <v>0.34559115246349192</v>
      </c>
      <c r="H415" s="1">
        <f t="shared" si="431"/>
        <v>2.3030985047673803E-2</v>
      </c>
      <c r="I415" s="1">
        <f t="shared" si="431"/>
        <v>6.2412440717278077E-3</v>
      </c>
      <c r="J415" s="1">
        <f t="shared" si="431"/>
        <v>3.4653195975242711E-3</v>
      </c>
      <c r="K415" s="1">
        <f t="shared" si="431"/>
        <v>1.3822944009360925E-2</v>
      </c>
      <c r="L415" s="1">
        <f t="shared" ref="L415:O415" si="432">L413-L417</f>
        <v>1.2510324613891054E-2</v>
      </c>
      <c r="M415" s="1">
        <f t="shared" si="432"/>
        <v>1.3677771375218632E-4</v>
      </c>
      <c r="N415" s="1">
        <f t="shared" si="432"/>
        <v>4.8911140618879969E-4</v>
      </c>
      <c r="O415" s="1">
        <f t="shared" si="432"/>
        <v>6.1667180875717338E-4</v>
      </c>
      <c r="P415" s="1">
        <f>P413-P417</f>
        <v>6.2406860900574164E-4</v>
      </c>
      <c r="Q415" s="1">
        <f>Q413-Q417</f>
        <v>7.2849440107192859E-4</v>
      </c>
      <c r="S415" s="3"/>
    </row>
    <row r="416" spans="1:19" x14ac:dyDescent="0.5">
      <c r="A416" s="5"/>
      <c r="B416" s="5" t="s">
        <v>6</v>
      </c>
      <c r="C416" s="5" t="s">
        <v>7</v>
      </c>
      <c r="D416" t="s">
        <v>866</v>
      </c>
      <c r="E416" t="s">
        <v>8</v>
      </c>
      <c r="F416" s="1">
        <f>F417</f>
        <v>0</v>
      </c>
      <c r="G416" s="1">
        <f t="shared" ref="G416:O416" si="433">G417</f>
        <v>0</v>
      </c>
      <c r="H416" s="1">
        <f t="shared" si="433"/>
        <v>0</v>
      </c>
      <c r="I416" s="1">
        <f t="shared" si="433"/>
        <v>0</v>
      </c>
      <c r="J416" s="1">
        <f t="shared" si="433"/>
        <v>0</v>
      </c>
      <c r="K416" s="1">
        <f t="shared" si="433"/>
        <v>0</v>
      </c>
      <c r="L416" s="1">
        <f t="shared" si="433"/>
        <v>0</v>
      </c>
      <c r="M416" s="1">
        <f t="shared" si="433"/>
        <v>0</v>
      </c>
      <c r="N416" s="1">
        <f t="shared" si="433"/>
        <v>0</v>
      </c>
      <c r="O416" s="1">
        <f t="shared" si="433"/>
        <v>0</v>
      </c>
      <c r="P416" s="1">
        <f>P417</f>
        <v>0</v>
      </c>
      <c r="Q416" s="1">
        <f>Q417</f>
        <v>0</v>
      </c>
      <c r="S416" s="3"/>
    </row>
    <row r="417" spans="1:19" x14ac:dyDescent="0.5">
      <c r="A417" s="5"/>
      <c r="B417" s="5" t="s">
        <v>6</v>
      </c>
      <c r="C417" s="5" t="s">
        <v>7</v>
      </c>
      <c r="D417" t="s">
        <v>547</v>
      </c>
      <c r="E417" t="s">
        <v>8</v>
      </c>
      <c r="F417" s="1">
        <f>IFERROR(F308/F300,0)*F413</f>
        <v>0</v>
      </c>
      <c r="G417" s="1">
        <f t="shared" ref="G417:K417" si="434">IFERROR(G308/G300,0)*G413</f>
        <v>0</v>
      </c>
      <c r="H417" s="1">
        <f t="shared" si="434"/>
        <v>0</v>
      </c>
      <c r="I417" s="1">
        <f t="shared" si="434"/>
        <v>0</v>
      </c>
      <c r="J417" s="1">
        <f t="shared" si="434"/>
        <v>0</v>
      </c>
      <c r="K417" s="1">
        <f t="shared" si="434"/>
        <v>0</v>
      </c>
      <c r="L417" s="1">
        <f t="shared" ref="L417:O417" si="435">IFERROR(L308/L300,0)*L413</f>
        <v>0</v>
      </c>
      <c r="M417" s="1">
        <f t="shared" si="435"/>
        <v>0</v>
      </c>
      <c r="N417" s="1">
        <f t="shared" si="435"/>
        <v>0</v>
      </c>
      <c r="O417" s="1">
        <f t="shared" si="435"/>
        <v>0</v>
      </c>
      <c r="P417" s="1">
        <f>IFERROR(P308/P300,0)*P413</f>
        <v>0</v>
      </c>
      <c r="Q417" s="1">
        <f>IFERROR(Q308/Q300,0)*Q413</f>
        <v>0</v>
      </c>
      <c r="S417" s="3"/>
    </row>
    <row r="418" spans="1:19" x14ac:dyDescent="0.5">
      <c r="A418" s="5"/>
      <c r="B418" s="5" t="s">
        <v>6</v>
      </c>
      <c r="C418" s="5" t="s">
        <v>7</v>
      </c>
      <c r="D418" t="s">
        <v>867</v>
      </c>
      <c r="E418" t="s">
        <v>8</v>
      </c>
      <c r="F418" s="1">
        <f>SUM(F419:F420)</f>
        <v>2.4243884305175474</v>
      </c>
      <c r="G418" s="1">
        <f t="shared" ref="G418:K418" si="436">SUM(G419:G420)</f>
        <v>3.5009897278457467E-3</v>
      </c>
      <c r="H418" s="1">
        <f t="shared" si="436"/>
        <v>2.2047253822970542E-2</v>
      </c>
      <c r="I418" s="1">
        <f t="shared" si="436"/>
        <v>0</v>
      </c>
      <c r="J418" s="1">
        <f t="shared" si="436"/>
        <v>0</v>
      </c>
      <c r="K418" s="1">
        <f t="shared" si="436"/>
        <v>4.5917039715629705E-5</v>
      </c>
      <c r="L418" s="1">
        <f t="shared" ref="L418:O418" si="437">SUM(L419:L420)</f>
        <v>0</v>
      </c>
      <c r="M418" s="1">
        <f t="shared" si="437"/>
        <v>0</v>
      </c>
      <c r="N418" s="1">
        <f t="shared" si="437"/>
        <v>5.3448362510696585E-4</v>
      </c>
      <c r="O418" s="1">
        <f t="shared" si="437"/>
        <v>5.1923135220430499E-4</v>
      </c>
      <c r="P418" s="1">
        <f>SUM(P419:P420)</f>
        <v>5.6643120216904794E-4</v>
      </c>
      <c r="Q418" s="1">
        <f>SUM(Q419:Q420)</f>
        <v>1.0640449532437839E-3</v>
      </c>
      <c r="S418" s="3"/>
    </row>
    <row r="419" spans="1:19" x14ac:dyDescent="0.5">
      <c r="A419" s="5"/>
      <c r="B419" s="5" t="s">
        <v>6</v>
      </c>
      <c r="C419" s="5" t="s">
        <v>7</v>
      </c>
      <c r="D419" t="s">
        <v>191</v>
      </c>
      <c r="E419" t="s">
        <v>8</v>
      </c>
      <c r="F419" s="1">
        <f>'[1]Electricity and CHPs_IN'!B$24-F314</f>
        <v>2.4243884305175474</v>
      </c>
      <c r="G419" s="1">
        <f>'[1]Electricity and CHPs_IN'!C$24-G314</f>
        <v>3.5009897278457467E-3</v>
      </c>
      <c r="H419" s="1">
        <f>'[1]Electricity and CHPs_IN'!D$24-H314</f>
        <v>2.2047253822970542E-2</v>
      </c>
      <c r="I419" s="1">
        <f>'[1]Electricity and CHPs_IN'!E$24-I314</f>
        <v>0</v>
      </c>
      <c r="J419" s="1">
        <f>'[1]Electricity and CHPs_IN'!F$24-J314</f>
        <v>0</v>
      </c>
      <c r="K419" s="1">
        <f>'[1]Electricity and CHPs_IN'!G$24-K314</f>
        <v>4.5917039715629705E-5</v>
      </c>
      <c r="L419" s="1">
        <f>'[1]Electricity and CHPs_IN'!H$24-L314</f>
        <v>0</v>
      </c>
      <c r="M419" s="1">
        <f>'[1]Electricity and CHPs_IN'!I$24-M314</f>
        <v>0</v>
      </c>
      <c r="N419" s="1">
        <f>'[1]Electricity and CHPs_IN'!J$24-N314</f>
        <v>5.3448362510696585E-4</v>
      </c>
      <c r="O419" s="1">
        <f>'[1]Electricity and CHPs_IN'!K$24-O314</f>
        <v>5.1923135220430499E-4</v>
      </c>
      <c r="P419" s="1">
        <f>'[1]Electricity and CHPs_IN'!L$24-P314</f>
        <v>5.6643120216904794E-4</v>
      </c>
      <c r="Q419" s="1">
        <f>'[1]Electricity and CHPs_IN'!M$24-Q314</f>
        <v>1.0640449532437839E-3</v>
      </c>
      <c r="S419" s="3"/>
    </row>
    <row r="420" spans="1:19" x14ac:dyDescent="0.5">
      <c r="A420" s="5"/>
      <c r="B420" s="5" t="s">
        <v>6</v>
      </c>
      <c r="C420" s="5" t="s">
        <v>7</v>
      </c>
      <c r="D420" t="s">
        <v>192</v>
      </c>
      <c r="E420" t="s">
        <v>8</v>
      </c>
      <c r="F420" s="1">
        <f>'[1]Electricity and CHPs_IN'!B$29-F315</f>
        <v>0</v>
      </c>
      <c r="G420" s="1">
        <f>'[1]Electricity and CHPs_IN'!C$29-G315</f>
        <v>0</v>
      </c>
      <c r="H420" s="1">
        <f>'[1]Electricity and CHPs_IN'!D$29-H315</f>
        <v>0</v>
      </c>
      <c r="I420" s="1">
        <f>'[1]Electricity and CHPs_IN'!E$29-I315</f>
        <v>0</v>
      </c>
      <c r="J420" s="1">
        <f>'[1]Electricity and CHPs_IN'!F$29-J315</f>
        <v>0</v>
      </c>
      <c r="K420" s="1">
        <f>'[1]Electricity and CHPs_IN'!G$29-K315</f>
        <v>0</v>
      </c>
      <c r="L420" s="1">
        <f>'[1]Electricity and CHPs_IN'!H$29-L315</f>
        <v>0</v>
      </c>
      <c r="M420" s="1">
        <f>'[1]Electricity and CHPs_IN'!I$29-M315</f>
        <v>0</v>
      </c>
      <c r="N420" s="1">
        <f>'[1]Electricity and CHPs_IN'!J$29-N315</f>
        <v>0</v>
      </c>
      <c r="O420" s="1">
        <f>'[1]Electricity and CHPs_IN'!K$29-O315</f>
        <v>0</v>
      </c>
      <c r="P420" s="1">
        <f>'[1]Electricity and CHPs_IN'!L$29-P315</f>
        <v>0</v>
      </c>
      <c r="Q420" s="1">
        <f>'[1]Electricity and CHPs_IN'!M$29-Q315</f>
        <v>0</v>
      </c>
      <c r="S420" s="3"/>
    </row>
    <row r="421" spans="1:19" x14ac:dyDescent="0.5">
      <c r="A421" s="5"/>
      <c r="B421" s="5" t="s">
        <v>6</v>
      </c>
      <c r="C421" s="5" t="s">
        <v>7</v>
      </c>
      <c r="D421" t="s">
        <v>868</v>
      </c>
      <c r="E421" t="s">
        <v>8</v>
      </c>
      <c r="F421" s="1">
        <f>SUM(F422:F423)</f>
        <v>2.3615788151197297</v>
      </c>
      <c r="G421" s="1">
        <f t="shared" ref="G421:K421" si="438">SUM(G422:G423)</f>
        <v>3.36301072753985E-3</v>
      </c>
      <c r="H421" s="1">
        <f t="shared" si="438"/>
        <v>2.1375619652065334E-2</v>
      </c>
      <c r="I421" s="1">
        <f t="shared" si="438"/>
        <v>0</v>
      </c>
      <c r="J421" s="1">
        <f t="shared" si="438"/>
        <v>0</v>
      </c>
      <c r="K421" s="1">
        <f t="shared" si="438"/>
        <v>4.5917039715629705E-5</v>
      </c>
      <c r="L421" s="1">
        <f t="shared" ref="L421:O421" si="439">SUM(L422:L423)</f>
        <v>0</v>
      </c>
      <c r="M421" s="1">
        <f t="shared" si="439"/>
        <v>0</v>
      </c>
      <c r="N421" s="1">
        <f t="shared" si="439"/>
        <v>5.3448362510696585E-4</v>
      </c>
      <c r="O421" s="1">
        <f t="shared" si="439"/>
        <v>5.1923135220430499E-4</v>
      </c>
      <c r="P421" s="1">
        <f>SUM(P422:P423)</f>
        <v>5.6643120216904794E-4</v>
      </c>
      <c r="Q421" s="1">
        <f>SUM(Q422:Q423)</f>
        <v>1.0640449532437839E-3</v>
      </c>
      <c r="S421" s="3"/>
    </row>
    <row r="422" spans="1:19" x14ac:dyDescent="0.5">
      <c r="A422" s="5"/>
      <c r="B422" s="5" t="s">
        <v>6</v>
      </c>
      <c r="C422" s="5" t="s">
        <v>7</v>
      </c>
      <c r="D422" t="s">
        <v>594</v>
      </c>
      <c r="E422" t="s">
        <v>8</v>
      </c>
      <c r="F422" s="1">
        <f>F419-F425</f>
        <v>2.3615788151197297</v>
      </c>
      <c r="G422" s="1">
        <f t="shared" ref="G422:K422" si="440">G419-G425</f>
        <v>3.36301072753985E-3</v>
      </c>
      <c r="H422" s="1">
        <f t="shared" si="440"/>
        <v>2.1375619652065334E-2</v>
      </c>
      <c r="I422" s="1">
        <f t="shared" si="440"/>
        <v>0</v>
      </c>
      <c r="J422" s="1">
        <f t="shared" si="440"/>
        <v>0</v>
      </c>
      <c r="K422" s="1">
        <f t="shared" si="440"/>
        <v>4.5917039715629705E-5</v>
      </c>
      <c r="L422" s="1">
        <f t="shared" ref="L422:O422" si="441">L419-L425</f>
        <v>0</v>
      </c>
      <c r="M422" s="1">
        <f t="shared" si="441"/>
        <v>0</v>
      </c>
      <c r="N422" s="1">
        <f t="shared" si="441"/>
        <v>5.3448362510696585E-4</v>
      </c>
      <c r="O422" s="1">
        <f t="shared" si="441"/>
        <v>5.1923135220430499E-4</v>
      </c>
      <c r="P422" s="1">
        <f>P419-P425</f>
        <v>5.6643120216904794E-4</v>
      </c>
      <c r="Q422" s="1">
        <f>Q419-Q425</f>
        <v>1.0640449532437839E-3</v>
      </c>
      <c r="S422" s="3"/>
    </row>
    <row r="423" spans="1:19" x14ac:dyDescent="0.5">
      <c r="A423" s="5"/>
      <c r="B423" s="5" t="s">
        <v>6</v>
      </c>
      <c r="C423" s="5" t="s">
        <v>7</v>
      </c>
      <c r="D423" t="s">
        <v>595</v>
      </c>
      <c r="E423" t="s">
        <v>8</v>
      </c>
      <c r="F423" s="1">
        <f>F420-F426</f>
        <v>0</v>
      </c>
      <c r="G423" s="1">
        <f t="shared" ref="G423:K423" si="442">G420-G426</f>
        <v>0</v>
      </c>
      <c r="H423" s="1">
        <f t="shared" si="442"/>
        <v>0</v>
      </c>
      <c r="I423" s="1">
        <f t="shared" si="442"/>
        <v>0</v>
      </c>
      <c r="J423" s="1">
        <f t="shared" si="442"/>
        <v>0</v>
      </c>
      <c r="K423" s="1">
        <f t="shared" si="442"/>
        <v>0</v>
      </c>
      <c r="L423" s="1">
        <f t="shared" ref="L423:O423" si="443">L420-L426</f>
        <v>0</v>
      </c>
      <c r="M423" s="1">
        <f t="shared" si="443"/>
        <v>0</v>
      </c>
      <c r="N423" s="1">
        <f t="shared" si="443"/>
        <v>0</v>
      </c>
      <c r="O423" s="1">
        <f t="shared" si="443"/>
        <v>0</v>
      </c>
      <c r="P423" s="1">
        <f>P420-P426</f>
        <v>0</v>
      </c>
      <c r="Q423" s="1">
        <f>Q420-Q426</f>
        <v>0</v>
      </c>
      <c r="S423" s="3"/>
    </row>
    <row r="424" spans="1:19" x14ac:dyDescent="0.5">
      <c r="A424" s="5"/>
      <c r="B424" s="5" t="s">
        <v>6</v>
      </c>
      <c r="C424" s="5" t="s">
        <v>7</v>
      </c>
      <c r="D424" t="s">
        <v>869</v>
      </c>
      <c r="E424" t="s">
        <v>8</v>
      </c>
      <c r="F424" s="1">
        <f>SUM(F425:F426)</f>
        <v>6.2809615397817625E-2</v>
      </c>
      <c r="G424" s="1">
        <f t="shared" ref="G424:K424" si="444">SUM(G425:G426)</f>
        <v>1.3797900030589682E-4</v>
      </c>
      <c r="H424" s="1">
        <f t="shared" si="444"/>
        <v>6.7163417090520866E-4</v>
      </c>
      <c r="I424" s="1">
        <f t="shared" si="444"/>
        <v>0</v>
      </c>
      <c r="J424" s="1">
        <f t="shared" si="444"/>
        <v>0</v>
      </c>
      <c r="K424" s="1">
        <f t="shared" si="444"/>
        <v>0</v>
      </c>
      <c r="L424" s="1">
        <f t="shared" ref="L424:O424" si="445">SUM(L425:L426)</f>
        <v>0</v>
      </c>
      <c r="M424" s="1">
        <f t="shared" si="445"/>
        <v>0</v>
      </c>
      <c r="N424" s="1">
        <f t="shared" si="445"/>
        <v>0</v>
      </c>
      <c r="O424" s="1">
        <f t="shared" si="445"/>
        <v>0</v>
      </c>
      <c r="P424" s="1">
        <f>SUM(P425:P426)</f>
        <v>0</v>
      </c>
      <c r="Q424" s="1">
        <f>SUM(Q425:Q426)</f>
        <v>0</v>
      </c>
      <c r="S424" s="3"/>
    </row>
    <row r="425" spans="1:19" x14ac:dyDescent="0.5">
      <c r="A425" s="5"/>
      <c r="B425" s="5" t="s">
        <v>6</v>
      </c>
      <c r="C425" s="5" t="s">
        <v>7</v>
      </c>
      <c r="D425" t="s">
        <v>655</v>
      </c>
      <c r="E425" t="s">
        <v>8</v>
      </c>
      <c r="F425" s="1">
        <f>IFERROR(F346/F314,0)*F419</f>
        <v>6.2809615397817625E-2</v>
      </c>
      <c r="G425" s="1">
        <f t="shared" ref="G425:K425" si="446">IFERROR(G346/G314,0)*G419</f>
        <v>1.3797900030589682E-4</v>
      </c>
      <c r="H425" s="1">
        <f t="shared" si="446"/>
        <v>6.7163417090520866E-4</v>
      </c>
      <c r="I425" s="1">
        <f t="shared" si="446"/>
        <v>0</v>
      </c>
      <c r="J425" s="1">
        <f t="shared" si="446"/>
        <v>0</v>
      </c>
      <c r="K425" s="1">
        <f t="shared" si="446"/>
        <v>0</v>
      </c>
      <c r="L425" s="1">
        <f t="shared" ref="L425:O425" si="447">IFERROR(L346/L314,0)*L419</f>
        <v>0</v>
      </c>
      <c r="M425" s="1">
        <f t="shared" si="447"/>
        <v>0</v>
      </c>
      <c r="N425" s="1">
        <f t="shared" si="447"/>
        <v>0</v>
      </c>
      <c r="O425" s="1">
        <f t="shared" si="447"/>
        <v>0</v>
      </c>
      <c r="P425" s="1">
        <f>IFERROR(P346/P314,0)*P419</f>
        <v>0</v>
      </c>
      <c r="Q425" s="1">
        <f>IFERROR(Q346/Q314,0)*Q419</f>
        <v>0</v>
      </c>
      <c r="S425" s="3"/>
    </row>
    <row r="426" spans="1:19" x14ac:dyDescent="0.5">
      <c r="A426" s="5"/>
      <c r="B426" s="5" t="s">
        <v>6</v>
      </c>
      <c r="C426" s="5" t="s">
        <v>7</v>
      </c>
      <c r="D426" t="s">
        <v>656</v>
      </c>
      <c r="E426" t="s">
        <v>8</v>
      </c>
      <c r="F426" s="1">
        <f>IFERROR(F347/F315,0)*F420</f>
        <v>0</v>
      </c>
      <c r="G426" s="1">
        <f t="shared" ref="G426:K426" si="448">IFERROR(G347/G315,0)*G420</f>
        <v>0</v>
      </c>
      <c r="H426" s="1">
        <f t="shared" si="448"/>
        <v>0</v>
      </c>
      <c r="I426" s="1">
        <f t="shared" si="448"/>
        <v>0</v>
      </c>
      <c r="J426" s="1">
        <f t="shared" si="448"/>
        <v>0</v>
      </c>
      <c r="K426" s="1">
        <f t="shared" si="448"/>
        <v>0</v>
      </c>
      <c r="L426" s="1">
        <f t="shared" ref="L426:O426" si="449">IFERROR(L347/L315,0)*L420</f>
        <v>0</v>
      </c>
      <c r="M426" s="1">
        <f t="shared" si="449"/>
        <v>0</v>
      </c>
      <c r="N426" s="1">
        <f t="shared" si="449"/>
        <v>0</v>
      </c>
      <c r="O426" s="1">
        <f t="shared" si="449"/>
        <v>0</v>
      </c>
      <c r="P426" s="1">
        <f>IFERROR(P347/P315,0)*P420</f>
        <v>0</v>
      </c>
      <c r="Q426" s="1">
        <f>IFERROR(Q347/Q315,0)*Q420</f>
        <v>0</v>
      </c>
      <c r="S426" s="3"/>
    </row>
    <row r="427" spans="1:19" x14ac:dyDescent="0.5">
      <c r="A427" s="5"/>
      <c r="B427" s="5" t="s">
        <v>6</v>
      </c>
      <c r="C427" s="5" t="s">
        <v>7</v>
      </c>
      <c r="D427" t="s">
        <v>870</v>
      </c>
      <c r="E427" t="s">
        <v>8</v>
      </c>
      <c r="F427" s="1">
        <f>SUM(F428:F429)</f>
        <v>36.42102169311147</v>
      </c>
      <c r="G427" s="1">
        <f t="shared" ref="G427:K427" si="450">SUM(G428:G429)</f>
        <v>34.087434039413715</v>
      </c>
      <c r="H427" s="1">
        <f t="shared" si="450"/>
        <v>32.155062324246273</v>
      </c>
      <c r="I427" s="1">
        <f t="shared" si="450"/>
        <v>33.808535529939341</v>
      </c>
      <c r="J427" s="1">
        <f t="shared" si="450"/>
        <v>33.499549170879739</v>
      </c>
      <c r="K427" s="1">
        <f t="shared" si="450"/>
        <v>39.286917004502484</v>
      </c>
      <c r="L427" s="1">
        <f t="shared" ref="L427:O427" si="451">SUM(L428:L429)</f>
        <v>39.766871931029286</v>
      </c>
      <c r="M427" s="1">
        <f t="shared" si="451"/>
        <v>37.980424980997533</v>
      </c>
      <c r="N427" s="1">
        <f t="shared" si="451"/>
        <v>37.90311699557914</v>
      </c>
      <c r="O427" s="1">
        <f t="shared" si="451"/>
        <v>38.413059872319074</v>
      </c>
      <c r="P427" s="1">
        <f>SUM(P428:P429)</f>
        <v>38.510452434455416</v>
      </c>
      <c r="Q427" s="1">
        <f>SUM(Q428:Q429)</f>
        <v>38.545200524788726</v>
      </c>
      <c r="S427" s="3"/>
    </row>
    <row r="428" spans="1:19" x14ac:dyDescent="0.5">
      <c r="A428" s="5"/>
      <c r="B428" s="5" t="s">
        <v>6</v>
      </c>
      <c r="C428" s="5" t="s">
        <v>7</v>
      </c>
      <c r="D428" t="s">
        <v>193</v>
      </c>
      <c r="E428" t="s">
        <v>8</v>
      </c>
      <c r="F428" s="1">
        <f>'[1]Electricity and CHPs_IN'!B$26-F361</f>
        <v>36.42102169311147</v>
      </c>
      <c r="G428" s="1">
        <f>'[1]Electricity and CHPs_IN'!C$26-G361</f>
        <v>34.087434039413715</v>
      </c>
      <c r="H428" s="1">
        <f>'[1]Electricity and CHPs_IN'!D$26-H361</f>
        <v>32.155062324246273</v>
      </c>
      <c r="I428" s="1">
        <f>'[1]Electricity and CHPs_IN'!E$26-I361</f>
        <v>33.808535529939341</v>
      </c>
      <c r="J428" s="1">
        <f>'[1]Electricity and CHPs_IN'!F$26-J361</f>
        <v>33.499549170879739</v>
      </c>
      <c r="K428" s="1">
        <f>'[1]Electricity and CHPs_IN'!G$26-K361</f>
        <v>35.433605494368905</v>
      </c>
      <c r="L428" s="1">
        <f>'[1]Electricity and CHPs_IN'!H$26-L361</f>
        <v>27.246957510241288</v>
      </c>
      <c r="M428" s="1">
        <f>'[1]Electricity and CHPs_IN'!I$26-M361</f>
        <v>24.932385107177364</v>
      </c>
      <c r="N428" s="1">
        <f>'[1]Electricity and CHPs_IN'!J$26-N361</f>
        <v>25.461260145221924</v>
      </c>
      <c r="O428" s="1">
        <f>'[1]Electricity and CHPs_IN'!K$26-O361</f>
        <v>26.23435102844773</v>
      </c>
      <c r="P428" s="1">
        <f>'[1]Electricity and CHPs_IN'!L$26-P361</f>
        <v>26.345856254670089</v>
      </c>
      <c r="Q428" s="1">
        <f>'[1]Electricity and CHPs_IN'!M$26-Q361</f>
        <v>26.367710918945281</v>
      </c>
      <c r="S428" s="3"/>
    </row>
    <row r="429" spans="1:19" x14ac:dyDescent="0.5">
      <c r="A429" s="5"/>
      <c r="B429" s="5" t="s">
        <v>6</v>
      </c>
      <c r="C429" s="5" t="s">
        <v>7</v>
      </c>
      <c r="D429" t="s">
        <v>194</v>
      </c>
      <c r="E429" t="s">
        <v>8</v>
      </c>
      <c r="F429" s="1">
        <f>'[1]Electricity and CHPs_IN'!B$27-F362</f>
        <v>0</v>
      </c>
      <c r="G429" s="1">
        <f>'[1]Electricity and CHPs_IN'!C$27-G362</f>
        <v>0</v>
      </c>
      <c r="H429" s="1">
        <f>'[1]Electricity and CHPs_IN'!D$27-H362</f>
        <v>0</v>
      </c>
      <c r="I429" s="1">
        <f>'[1]Electricity and CHPs_IN'!E$27-I362</f>
        <v>0</v>
      </c>
      <c r="J429" s="1">
        <f>'[1]Electricity and CHPs_IN'!F$27-J362</f>
        <v>0</v>
      </c>
      <c r="K429" s="1">
        <f>'[1]Electricity and CHPs_IN'!G$27-K362</f>
        <v>3.8533115101335786</v>
      </c>
      <c r="L429" s="1">
        <f>'[1]Electricity and CHPs_IN'!H$27-L362</f>
        <v>12.519914420787995</v>
      </c>
      <c r="M429" s="1">
        <f>'[1]Electricity and CHPs_IN'!I$27-M362</f>
        <v>13.048039873820171</v>
      </c>
      <c r="N429" s="1">
        <f>'[1]Electricity and CHPs_IN'!J$27-N362</f>
        <v>12.441856850357215</v>
      </c>
      <c r="O429" s="1">
        <f>'[1]Electricity and CHPs_IN'!K$27-O362</f>
        <v>12.178708843871345</v>
      </c>
      <c r="P429" s="1">
        <f>'[1]Electricity and CHPs_IN'!L$27-P362</f>
        <v>12.164596179785331</v>
      </c>
      <c r="Q429" s="1">
        <f>'[1]Electricity and CHPs_IN'!M$27-Q362</f>
        <v>12.177489605843448</v>
      </c>
      <c r="S429" s="3"/>
    </row>
    <row r="430" spans="1:19" x14ac:dyDescent="0.5">
      <c r="A430" s="5"/>
      <c r="B430" s="5" t="s">
        <v>6</v>
      </c>
      <c r="C430" s="5" t="s">
        <v>7</v>
      </c>
      <c r="D430" t="s">
        <v>871</v>
      </c>
      <c r="E430" t="s">
        <v>8</v>
      </c>
      <c r="F430" s="1">
        <f>SUM(F431:F432)</f>
        <v>18.210510846555735</v>
      </c>
      <c r="G430" s="1">
        <f t="shared" ref="G430:K430" si="452">SUM(G431:G432)</f>
        <v>17.043717019706857</v>
      </c>
      <c r="H430" s="1">
        <f t="shared" si="452"/>
        <v>16.077531162123137</v>
      </c>
      <c r="I430" s="1">
        <f t="shared" si="452"/>
        <v>16.904267764969671</v>
      </c>
      <c r="J430" s="1">
        <f t="shared" si="452"/>
        <v>16.749774585439869</v>
      </c>
      <c r="K430" s="1">
        <f t="shared" si="452"/>
        <v>19.643458502251242</v>
      </c>
      <c r="L430" s="1">
        <f t="shared" ref="L430:O430" si="453">SUM(L431:L432)</f>
        <v>19.883435965514643</v>
      </c>
      <c r="M430" s="1">
        <f t="shared" si="453"/>
        <v>18.990212490498767</v>
      </c>
      <c r="N430" s="1">
        <f t="shared" si="453"/>
        <v>18.951558497789573</v>
      </c>
      <c r="O430" s="1">
        <f t="shared" si="453"/>
        <v>19.206529936159537</v>
      </c>
      <c r="P430" s="1">
        <f>SUM(P431:P432)</f>
        <v>19.255226217227715</v>
      </c>
      <c r="Q430" s="1">
        <f>SUM(Q431:Q432)</f>
        <v>19.272600262394363</v>
      </c>
      <c r="S430" s="3"/>
    </row>
    <row r="431" spans="1:19" x14ac:dyDescent="0.5">
      <c r="A431" s="5"/>
      <c r="B431" s="5" t="s">
        <v>6</v>
      </c>
      <c r="C431" s="5" t="s">
        <v>7</v>
      </c>
      <c r="D431" t="s">
        <v>195</v>
      </c>
      <c r="E431" t="s">
        <v>8</v>
      </c>
      <c r="F431" s="1">
        <f>IFERROR(F368/F361,0)*F428</f>
        <v>18.210510846555735</v>
      </c>
      <c r="G431" s="1">
        <f t="shared" ref="G431:K431" si="454">IFERROR(G368/G361,0)*G428</f>
        <v>17.043717019706857</v>
      </c>
      <c r="H431" s="1">
        <f t="shared" si="454"/>
        <v>16.077531162123137</v>
      </c>
      <c r="I431" s="1">
        <f t="shared" si="454"/>
        <v>16.904267764969671</v>
      </c>
      <c r="J431" s="1">
        <f t="shared" si="454"/>
        <v>16.749774585439869</v>
      </c>
      <c r="K431" s="1">
        <f t="shared" si="454"/>
        <v>17.716802747184452</v>
      </c>
      <c r="L431" s="1">
        <f t="shared" ref="L431:O431" si="455">IFERROR(L368/L361,0)*L428</f>
        <v>13.623478755120644</v>
      </c>
      <c r="M431" s="1">
        <f t="shared" si="455"/>
        <v>12.466192553588682</v>
      </c>
      <c r="N431" s="1">
        <f t="shared" si="455"/>
        <v>12.730630072610966</v>
      </c>
      <c r="O431" s="1">
        <f t="shared" si="455"/>
        <v>13.117175514223865</v>
      </c>
      <c r="P431" s="1">
        <f>IFERROR(P368/P361,0)*P428</f>
        <v>13.172928127335048</v>
      </c>
      <c r="Q431" s="1">
        <f>IFERROR(Q368/Q361,0)*Q428</f>
        <v>13.183855459472641</v>
      </c>
      <c r="S431" s="3"/>
    </row>
    <row r="432" spans="1:19" x14ac:dyDescent="0.5">
      <c r="A432" s="5"/>
      <c r="B432" s="5" t="s">
        <v>6</v>
      </c>
      <c r="C432" s="5" t="s">
        <v>7</v>
      </c>
      <c r="D432" t="s">
        <v>196</v>
      </c>
      <c r="E432" t="s">
        <v>8</v>
      </c>
      <c r="F432" s="1">
        <f>IFERROR(F369/F362,0)*F429</f>
        <v>0</v>
      </c>
      <c r="G432" s="1">
        <f t="shared" ref="G432:K432" si="456">IFERROR(G369/G362,0)*G429</f>
        <v>0</v>
      </c>
      <c r="H432" s="1">
        <f t="shared" si="456"/>
        <v>0</v>
      </c>
      <c r="I432" s="1">
        <f t="shared" si="456"/>
        <v>0</v>
      </c>
      <c r="J432" s="1">
        <f t="shared" si="456"/>
        <v>0</v>
      </c>
      <c r="K432" s="1">
        <f t="shared" si="456"/>
        <v>1.9266557550667893</v>
      </c>
      <c r="L432" s="1">
        <f t="shared" ref="L432:O432" si="457">IFERROR(L369/L362,0)*L429</f>
        <v>6.2599572103939973</v>
      </c>
      <c r="M432" s="1">
        <f t="shared" si="457"/>
        <v>6.5240199369100855</v>
      </c>
      <c r="N432" s="1">
        <f t="shared" si="457"/>
        <v>6.2209284251786077</v>
      </c>
      <c r="O432" s="1">
        <f t="shared" si="457"/>
        <v>6.0893544219356723</v>
      </c>
      <c r="P432" s="1">
        <f>IFERROR(P369/P362,0)*P429</f>
        <v>6.0822980898926655</v>
      </c>
      <c r="Q432" s="1">
        <f>IFERROR(Q369/Q362,0)*Q429</f>
        <v>6.0887448029217239</v>
      </c>
      <c r="S432" s="3"/>
    </row>
    <row r="433" spans="1:19" x14ac:dyDescent="0.5">
      <c r="A433" s="5"/>
      <c r="B433" s="5" t="s">
        <v>6</v>
      </c>
      <c r="C433" s="5" t="s">
        <v>7</v>
      </c>
      <c r="D433" t="s">
        <v>872</v>
      </c>
      <c r="E433" t="s">
        <v>8</v>
      </c>
      <c r="F433" s="1">
        <f>SUM(F434:F435)</f>
        <v>18.210510846555735</v>
      </c>
      <c r="G433" s="1">
        <f t="shared" ref="G433:K433" si="458">SUM(G434:G435)</f>
        <v>17.043717019706857</v>
      </c>
      <c r="H433" s="1">
        <f t="shared" si="458"/>
        <v>16.077531162123137</v>
      </c>
      <c r="I433" s="1">
        <f t="shared" si="458"/>
        <v>16.904267764969671</v>
      </c>
      <c r="J433" s="1">
        <f t="shared" si="458"/>
        <v>16.749774585439869</v>
      </c>
      <c r="K433" s="1">
        <f t="shared" si="458"/>
        <v>19.643458502251242</v>
      </c>
      <c r="L433" s="1">
        <f t="shared" ref="L433:O433" si="459">SUM(L434:L435)</f>
        <v>19.883435965514643</v>
      </c>
      <c r="M433" s="1">
        <f t="shared" si="459"/>
        <v>18.990212490498767</v>
      </c>
      <c r="N433" s="1">
        <f t="shared" si="459"/>
        <v>18.951558497789566</v>
      </c>
      <c r="O433" s="1">
        <f t="shared" si="459"/>
        <v>19.206529936159537</v>
      </c>
      <c r="P433" s="1">
        <f>SUM(P434:P435)</f>
        <v>19.255226217227708</v>
      </c>
      <c r="Q433" s="1">
        <f>SUM(Q434:Q435)</f>
        <v>19.272600262394363</v>
      </c>
      <c r="S433" s="3"/>
    </row>
    <row r="434" spans="1:19" x14ac:dyDescent="0.5">
      <c r="A434" s="5"/>
      <c r="B434" s="5" t="s">
        <v>6</v>
      </c>
      <c r="C434" s="5" t="s">
        <v>7</v>
      </c>
      <c r="D434" t="s">
        <v>197</v>
      </c>
      <c r="E434" t="s">
        <v>8</v>
      </c>
      <c r="F434" s="1">
        <f>F428-F431</f>
        <v>18.210510846555735</v>
      </c>
      <c r="G434" s="1">
        <f t="shared" ref="G434:K434" si="460">G428-G431</f>
        <v>17.043717019706857</v>
      </c>
      <c r="H434" s="1">
        <f t="shared" si="460"/>
        <v>16.077531162123137</v>
      </c>
      <c r="I434" s="1">
        <f t="shared" si="460"/>
        <v>16.904267764969671</v>
      </c>
      <c r="J434" s="1">
        <f t="shared" si="460"/>
        <v>16.749774585439869</v>
      </c>
      <c r="K434" s="1">
        <f t="shared" si="460"/>
        <v>17.716802747184452</v>
      </c>
      <c r="L434" s="1">
        <f t="shared" ref="L434:O434" si="461">L428-L431</f>
        <v>13.623478755120644</v>
      </c>
      <c r="M434" s="1">
        <f t="shared" si="461"/>
        <v>12.466192553588682</v>
      </c>
      <c r="N434" s="1">
        <f t="shared" si="461"/>
        <v>12.730630072610959</v>
      </c>
      <c r="O434" s="1">
        <f t="shared" si="461"/>
        <v>13.117175514223865</v>
      </c>
      <c r="P434" s="1">
        <f>P428-P431</f>
        <v>13.172928127335041</v>
      </c>
      <c r="Q434" s="1">
        <f>Q428-Q431</f>
        <v>13.183855459472641</v>
      </c>
      <c r="S434" s="3"/>
    </row>
    <row r="435" spans="1:19" x14ac:dyDescent="0.5">
      <c r="A435" s="5"/>
      <c r="B435" s="5" t="s">
        <v>6</v>
      </c>
      <c r="C435" s="5" t="s">
        <v>7</v>
      </c>
      <c r="D435" t="s">
        <v>198</v>
      </c>
      <c r="E435" t="s">
        <v>8</v>
      </c>
      <c r="F435" s="1">
        <f>F429-F432</f>
        <v>0</v>
      </c>
      <c r="G435" s="1">
        <f t="shared" ref="G435:K435" si="462">G429-G432</f>
        <v>0</v>
      </c>
      <c r="H435" s="1">
        <f t="shared" si="462"/>
        <v>0</v>
      </c>
      <c r="I435" s="1">
        <f t="shared" si="462"/>
        <v>0</v>
      </c>
      <c r="J435" s="1">
        <f t="shared" si="462"/>
        <v>0</v>
      </c>
      <c r="K435" s="1">
        <f t="shared" si="462"/>
        <v>1.9266557550667893</v>
      </c>
      <c r="L435" s="1">
        <f t="shared" ref="L435:O435" si="463">L429-L432</f>
        <v>6.2599572103939973</v>
      </c>
      <c r="M435" s="1">
        <f t="shared" si="463"/>
        <v>6.5240199369100855</v>
      </c>
      <c r="N435" s="1">
        <f t="shared" si="463"/>
        <v>6.2209284251786077</v>
      </c>
      <c r="O435" s="1">
        <f t="shared" si="463"/>
        <v>6.0893544219356723</v>
      </c>
      <c r="P435" s="1">
        <f>P429-P432</f>
        <v>6.0822980898926655</v>
      </c>
      <c r="Q435" s="1">
        <f>Q429-Q432</f>
        <v>6.0887448029217239</v>
      </c>
      <c r="S435" s="3"/>
    </row>
    <row r="436" spans="1:19" x14ac:dyDescent="0.5">
      <c r="A436" s="5"/>
      <c r="B436" s="5" t="s">
        <v>6</v>
      </c>
      <c r="C436" s="5" t="s">
        <v>7</v>
      </c>
      <c r="D436" t="s">
        <v>873</v>
      </c>
      <c r="E436" t="s">
        <v>8</v>
      </c>
      <c r="F436" s="1">
        <f>F437</f>
        <v>1.0589271779460205</v>
      </c>
      <c r="G436" s="1">
        <f t="shared" ref="G436:O436" si="464">G437</f>
        <v>4.7382339426263465E-3</v>
      </c>
      <c r="H436" s="1">
        <f t="shared" si="464"/>
        <v>0.96599663345952358</v>
      </c>
      <c r="I436" s="1">
        <f t="shared" si="464"/>
        <v>1.0697439089271173E-2</v>
      </c>
      <c r="J436" s="1">
        <f t="shared" si="464"/>
        <v>1.5269901755167056E-2</v>
      </c>
      <c r="K436" s="1">
        <f t="shared" si="464"/>
        <v>1.1443879535951784</v>
      </c>
      <c r="L436" s="1">
        <f t="shared" si="464"/>
        <v>2.2896032692431434</v>
      </c>
      <c r="M436" s="1">
        <f t="shared" si="464"/>
        <v>2.2779179044210007</v>
      </c>
      <c r="N436" s="1">
        <f t="shared" si="464"/>
        <v>2.3558146806851257</v>
      </c>
      <c r="O436" s="1">
        <f t="shared" si="464"/>
        <v>2.4331583265246177</v>
      </c>
      <c r="P436" s="1">
        <f>P437</f>
        <v>2.5009697156590702</v>
      </c>
      <c r="Q436" s="1">
        <f>Q437</f>
        <v>2.6147993983074529</v>
      </c>
      <c r="S436" s="3"/>
    </row>
    <row r="437" spans="1:19" x14ac:dyDescent="0.5">
      <c r="A437" s="5"/>
      <c r="B437" s="5" t="s">
        <v>6</v>
      </c>
      <c r="C437" s="5" t="s">
        <v>7</v>
      </c>
      <c r="D437" t="s">
        <v>199</v>
      </c>
      <c r="E437" t="s">
        <v>8</v>
      </c>
      <c r="F437" s="1">
        <f>'[1]Electricity and CHPs_IN'!B$25-F380</f>
        <v>1.0589271779460205</v>
      </c>
      <c r="G437" s="1">
        <f>'[1]Electricity and CHPs_IN'!C$25-G380</f>
        <v>4.7382339426263465E-3</v>
      </c>
      <c r="H437" s="1">
        <f>'[1]Electricity and CHPs_IN'!D$25-H380</f>
        <v>0.96599663345952358</v>
      </c>
      <c r="I437" s="1">
        <f>'[1]Electricity and CHPs_IN'!E$25-I380</f>
        <v>1.0697439089271173E-2</v>
      </c>
      <c r="J437" s="1">
        <f>'[1]Electricity and CHPs_IN'!F$25-J380</f>
        <v>1.5269901755167056E-2</v>
      </c>
      <c r="K437" s="1">
        <f>'[1]Electricity and CHPs_IN'!G$25-K380</f>
        <v>1.1443879535951784</v>
      </c>
      <c r="L437" s="1">
        <f>'[1]Electricity and CHPs_IN'!H$25-L380</f>
        <v>2.2896032692431434</v>
      </c>
      <c r="M437" s="1">
        <f>'[1]Electricity and CHPs_IN'!I$25-M380</f>
        <v>2.2779179044210007</v>
      </c>
      <c r="N437" s="1">
        <f>'[1]Electricity and CHPs_IN'!J$25-N380</f>
        <v>2.3558146806851257</v>
      </c>
      <c r="O437" s="1">
        <f>'[1]Electricity and CHPs_IN'!K$25-O380</f>
        <v>2.4331583265246177</v>
      </c>
      <c r="P437" s="1">
        <f>'[1]Electricity and CHPs_IN'!L$25-P380</f>
        <v>2.5009697156590702</v>
      </c>
      <c r="Q437" s="1">
        <f>'[1]Electricity and CHPs_IN'!M$25-Q380</f>
        <v>2.6147993983074529</v>
      </c>
      <c r="S437" s="3"/>
    </row>
    <row r="438" spans="1:19" x14ac:dyDescent="0.5">
      <c r="A438" s="5"/>
      <c r="B438" s="5" t="s">
        <v>6</v>
      </c>
      <c r="C438" s="5" t="s">
        <v>7</v>
      </c>
      <c r="D438" t="s">
        <v>874</v>
      </c>
      <c r="E438" t="s">
        <v>8</v>
      </c>
      <c r="F438" s="1">
        <f>+F439</f>
        <v>0</v>
      </c>
      <c r="G438" s="1">
        <f t="shared" ref="G438:O438" si="465">+G439</f>
        <v>0</v>
      </c>
      <c r="H438" s="1">
        <f t="shared" si="465"/>
        <v>0</v>
      </c>
      <c r="I438" s="1">
        <f t="shared" si="465"/>
        <v>0</v>
      </c>
      <c r="J438" s="1">
        <f t="shared" si="465"/>
        <v>0</v>
      </c>
      <c r="K438" s="1">
        <f t="shared" si="465"/>
        <v>4.7784043002433454E-2</v>
      </c>
      <c r="L438" s="1">
        <f t="shared" si="465"/>
        <v>4.9147012987946381E-2</v>
      </c>
      <c r="M438" s="1">
        <f t="shared" si="465"/>
        <v>6.723282730043792E-2</v>
      </c>
      <c r="N438" s="1">
        <f t="shared" si="465"/>
        <v>1.1541066151177946</v>
      </c>
      <c r="O438" s="1">
        <f t="shared" si="465"/>
        <v>1.4443519651161072</v>
      </c>
      <c r="P438" s="1">
        <f>+P439</f>
        <v>1.4444615150979343</v>
      </c>
      <c r="Q438" s="1">
        <f>+Q439</f>
        <v>1.4866665527771825</v>
      </c>
      <c r="S438" s="3"/>
    </row>
    <row r="439" spans="1:19" x14ac:dyDescent="0.5">
      <c r="A439" s="5"/>
      <c r="B439" s="5" t="s">
        <v>6</v>
      </c>
      <c r="C439" s="5" t="s">
        <v>7</v>
      </c>
      <c r="D439" t="s">
        <v>200</v>
      </c>
      <c r="E439" t="s">
        <v>8</v>
      </c>
      <c r="F439" s="1">
        <f>'[1]Electricity and CHPs_IN'!B$30-F398</f>
        <v>0</v>
      </c>
      <c r="G439" s="1">
        <f>'[1]Electricity and CHPs_IN'!C$30-G398</f>
        <v>0</v>
      </c>
      <c r="H439" s="1">
        <f>'[1]Electricity and CHPs_IN'!D$30-H398</f>
        <v>0</v>
      </c>
      <c r="I439" s="1">
        <f>'[1]Electricity and CHPs_IN'!E$30-I398</f>
        <v>0</v>
      </c>
      <c r="J439" s="1">
        <f>'[1]Electricity and CHPs_IN'!F$30-J398</f>
        <v>0</v>
      </c>
      <c r="K439" s="1">
        <f>'[1]Electricity and CHPs_IN'!G$30-K398</f>
        <v>4.7784043002433454E-2</v>
      </c>
      <c r="L439" s="1">
        <f>'[1]Electricity and CHPs_IN'!H$30-L398</f>
        <v>4.9147012987946381E-2</v>
      </c>
      <c r="M439" s="1">
        <f>'[1]Electricity and CHPs_IN'!I$30-M398</f>
        <v>6.723282730043792E-2</v>
      </c>
      <c r="N439" s="1">
        <f>'[1]Electricity and CHPs_IN'!J$30-N398</f>
        <v>1.1541066151177946</v>
      </c>
      <c r="O439" s="1">
        <f>'[1]Electricity and CHPs_IN'!K$30-O398</f>
        <v>1.4443519651161072</v>
      </c>
      <c r="P439" s="1">
        <f>'[1]Electricity and CHPs_IN'!L$30-P398</f>
        <v>1.4444615150979343</v>
      </c>
      <c r="Q439" s="1">
        <f>'[1]Electricity and CHPs_IN'!M$30-Q398</f>
        <v>1.4866665527771825</v>
      </c>
      <c r="S439" s="3"/>
    </row>
    <row r="440" spans="1:19" x14ac:dyDescent="0.5">
      <c r="A440" s="5"/>
      <c r="B440" s="5" t="s">
        <v>6</v>
      </c>
      <c r="C440" s="5" t="s">
        <v>7</v>
      </c>
      <c r="D440" t="s">
        <v>875</v>
      </c>
      <c r="E440" t="str">
        <f>E395</f>
        <v>PJ/yr.</v>
      </c>
      <c r="F440" s="1">
        <f>SUM(F441,F447,F449,F455,F457,F459,F461)</f>
        <v>7.7832161735893104</v>
      </c>
      <c r="G440" s="1">
        <f t="shared" ref="G440:K440" si="466">SUM(G441,G447,G449,G455,G457,G459,G461)</f>
        <v>11.682602219840598</v>
      </c>
      <c r="H440" s="1">
        <f t="shared" si="466"/>
        <v>11.669139968717637</v>
      </c>
      <c r="I440" s="1">
        <f t="shared" si="466"/>
        <v>10.213897563610592</v>
      </c>
      <c r="J440" s="1">
        <f t="shared" si="466"/>
        <v>10.682602020359518</v>
      </c>
      <c r="K440" s="1">
        <f t="shared" si="466"/>
        <v>8.8080261609178354</v>
      </c>
      <c r="L440" s="1">
        <f t="shared" ref="L440:O440" si="467">SUM(L441,L447,L449,L455,L457,L459,L461)</f>
        <v>7.9543098221284723</v>
      </c>
      <c r="M440" s="1">
        <f t="shared" si="467"/>
        <v>8.2984135319753349</v>
      </c>
      <c r="N440" s="1">
        <f t="shared" si="467"/>
        <v>7.8609348798767851</v>
      </c>
      <c r="O440" s="1">
        <f t="shared" si="467"/>
        <v>10.07904924692782</v>
      </c>
      <c r="P440" s="1">
        <f>SUM(P441,P447,P449,P455,P457,P459,P461)</f>
        <v>10.028590226383971</v>
      </c>
      <c r="Q440" s="1">
        <f>SUM(Q441,Q447,Q449,Q455,Q457,Q459,Q461)</f>
        <v>10.806202888749921</v>
      </c>
      <c r="S440" s="3"/>
    </row>
    <row r="441" spans="1:19" x14ac:dyDescent="0.5">
      <c r="A441" s="5"/>
      <c r="B441" s="5" t="s">
        <v>6</v>
      </c>
      <c r="C441" s="5" t="s">
        <v>7</v>
      </c>
      <c r="D441" t="s">
        <v>876</v>
      </c>
      <c r="E441" t="str">
        <f>E398</f>
        <v>PJ/yr.</v>
      </c>
      <c r="F441" s="1">
        <f>+F442</f>
        <v>4.3960795371252708</v>
      </c>
      <c r="G441" s="1">
        <f t="shared" ref="G441:O441" si="468">+G442</f>
        <v>4.8740070460648885</v>
      </c>
      <c r="H441" s="1">
        <f t="shared" si="468"/>
        <v>3.6818959303359642</v>
      </c>
      <c r="I441" s="1">
        <f t="shared" si="468"/>
        <v>2.3679857272942515</v>
      </c>
      <c r="J441" s="1">
        <f t="shared" si="468"/>
        <v>2.3679975669785942</v>
      </c>
      <c r="K441" s="1">
        <f t="shared" si="468"/>
        <v>2.3680079881678702</v>
      </c>
      <c r="L441" s="1">
        <f t="shared" si="468"/>
        <v>2.3680165015758678</v>
      </c>
      <c r="M441" s="1">
        <f t="shared" si="468"/>
        <v>2.3680311213064136</v>
      </c>
      <c r="N441" s="1">
        <f t="shared" si="468"/>
        <v>2.3680495938088044</v>
      </c>
      <c r="O441" s="1">
        <f t="shared" si="468"/>
        <v>2.3680582911831993</v>
      </c>
      <c r="P441" s="1">
        <f>+P442</f>
        <v>2.3681090071192128</v>
      </c>
      <c r="Q441" s="1">
        <f>+Q442</f>
        <v>2.6628288323952445</v>
      </c>
      <c r="S441" s="3"/>
    </row>
    <row r="442" spans="1:19" x14ac:dyDescent="0.5">
      <c r="A442" s="5"/>
      <c r="B442" s="5" t="s">
        <v>6</v>
      </c>
      <c r="C442" s="5" t="s">
        <v>7</v>
      </c>
      <c r="D442" t="s">
        <v>201</v>
      </c>
      <c r="E442" t="str">
        <f>E399</f>
        <v>PJ/yr.</v>
      </c>
      <c r="F442" s="1">
        <f>SUM(F444:F446)</f>
        <v>4.3960795371252708</v>
      </c>
      <c r="G442" s="1">
        <f t="shared" ref="G442:K442" si="469">SUM(G444:G446)</f>
        <v>4.8740070460648885</v>
      </c>
      <c r="H442" s="1">
        <f t="shared" si="469"/>
        <v>3.6818959303359642</v>
      </c>
      <c r="I442" s="1">
        <f t="shared" si="469"/>
        <v>2.3679857272942515</v>
      </c>
      <c r="J442" s="1">
        <f t="shared" si="469"/>
        <v>2.3679975669785942</v>
      </c>
      <c r="K442" s="1">
        <f t="shared" si="469"/>
        <v>2.3680079881678702</v>
      </c>
      <c r="L442" s="1">
        <f t="shared" ref="L442:O442" si="470">SUM(L444:L446)</f>
        <v>2.3680165015758678</v>
      </c>
      <c r="M442" s="1">
        <f t="shared" si="470"/>
        <v>2.3680311213064136</v>
      </c>
      <c r="N442" s="1">
        <f t="shared" si="470"/>
        <v>2.3680495938088044</v>
      </c>
      <c r="O442" s="1">
        <f t="shared" si="470"/>
        <v>2.3680582911831993</v>
      </c>
      <c r="P442" s="1">
        <f>SUM(P444:P446)</f>
        <v>2.3681090071192128</v>
      </c>
      <c r="Q442" s="1">
        <f>SUM(Q444:Q446)</f>
        <v>2.6628288323952445</v>
      </c>
      <c r="S442" s="3"/>
    </row>
    <row r="443" spans="1:19" x14ac:dyDescent="0.5">
      <c r="A443" s="5"/>
      <c r="B443" s="5" t="s">
        <v>6</v>
      </c>
      <c r="C443" s="5" t="s">
        <v>7</v>
      </c>
      <c r="D443" t="s">
        <v>877</v>
      </c>
      <c r="E443" t="str">
        <f>E398</f>
        <v>PJ/yr.</v>
      </c>
      <c r="F443" s="1">
        <f>F444</f>
        <v>2.0281067388167036</v>
      </c>
      <c r="G443" s="1">
        <f t="shared" ref="G443:O443" si="471">G444</f>
        <v>2.5060310438884601</v>
      </c>
      <c r="H443" s="1">
        <f t="shared" si="471"/>
        <v>1.3139158497920929</v>
      </c>
      <c r="I443" s="1">
        <f t="shared" si="471"/>
        <v>0</v>
      </c>
      <c r="J443" s="1">
        <f t="shared" si="471"/>
        <v>0</v>
      </c>
      <c r="K443" s="1">
        <f t="shared" si="471"/>
        <v>0</v>
      </c>
      <c r="L443" s="1">
        <f t="shared" si="471"/>
        <v>0</v>
      </c>
      <c r="M443" s="1">
        <f t="shared" si="471"/>
        <v>0</v>
      </c>
      <c r="N443" s="1">
        <f t="shared" si="471"/>
        <v>0</v>
      </c>
      <c r="O443" s="1">
        <f t="shared" si="471"/>
        <v>0</v>
      </c>
      <c r="P443" s="1">
        <f>P444</f>
        <v>0</v>
      </c>
      <c r="Q443" s="1">
        <f>Q444</f>
        <v>0</v>
      </c>
      <c r="S443" s="3"/>
    </row>
    <row r="444" spans="1:19" x14ac:dyDescent="0.5">
      <c r="A444" s="5"/>
      <c r="B444" s="5" t="s">
        <v>6</v>
      </c>
      <c r="C444" s="5" t="s">
        <v>7</v>
      </c>
      <c r="D444" t="s">
        <v>596</v>
      </c>
      <c r="E444" t="str">
        <f>E399</f>
        <v>PJ/yr.</v>
      </c>
      <c r="F444" s="1">
        <f>'[1]Electricity and CHPs_IN'!B$90</f>
        <v>2.0281067388167036</v>
      </c>
      <c r="G444" s="1">
        <f>'[1]Electricity and CHPs_IN'!C$90</f>
        <v>2.5060310438884601</v>
      </c>
      <c r="H444" s="1">
        <f>'[1]Electricity and CHPs_IN'!D$90</f>
        <v>1.3139158497920929</v>
      </c>
      <c r="I444" s="1">
        <f>'[1]Electricity and CHPs_IN'!E$90</f>
        <v>0</v>
      </c>
      <c r="J444" s="1">
        <f>'[1]Electricity and CHPs_IN'!F$90</f>
        <v>0</v>
      </c>
      <c r="K444" s="1">
        <f>'[1]Electricity and CHPs_IN'!G$90</f>
        <v>0</v>
      </c>
      <c r="L444" s="1">
        <f>'[1]Electricity and CHPs_IN'!H$90</f>
        <v>0</v>
      </c>
      <c r="M444" s="1">
        <f>'[1]Electricity and CHPs_IN'!I$90</f>
        <v>0</v>
      </c>
      <c r="N444" s="1">
        <f>'[1]Electricity and CHPs_IN'!J$90</f>
        <v>0</v>
      </c>
      <c r="O444" s="1">
        <f>'[1]Electricity and CHPs_IN'!K$90</f>
        <v>0</v>
      </c>
      <c r="P444" s="1">
        <f>'[1]Electricity and CHPs_IN'!L$90</f>
        <v>0</v>
      </c>
      <c r="Q444" s="1">
        <f>'[1]Electricity and CHPs_IN'!M$90</f>
        <v>0</v>
      </c>
      <c r="S444" s="3"/>
    </row>
    <row r="445" spans="1:19" x14ac:dyDescent="0.5">
      <c r="A445" s="5"/>
      <c r="B445" s="5" t="s">
        <v>6</v>
      </c>
      <c r="C445" s="5" t="s">
        <v>7</v>
      </c>
      <c r="D445" t="s">
        <v>878</v>
      </c>
      <c r="E445" t="str">
        <f>E399</f>
        <v>PJ/yr.</v>
      </c>
      <c r="F445" s="1">
        <f>F446</f>
        <v>1.1839863991542838</v>
      </c>
      <c r="G445" s="1">
        <f t="shared" ref="G445:O445" si="472">G446</f>
        <v>1.183988001088214</v>
      </c>
      <c r="H445" s="1">
        <f t="shared" si="472"/>
        <v>1.1839900402719357</v>
      </c>
      <c r="I445" s="1">
        <f t="shared" si="472"/>
        <v>1.1839928636471257</v>
      </c>
      <c r="J445" s="1">
        <f t="shared" si="472"/>
        <v>1.1839987834892971</v>
      </c>
      <c r="K445" s="1">
        <f t="shared" si="472"/>
        <v>1.1840039940839351</v>
      </c>
      <c r="L445" s="1">
        <f t="shared" si="472"/>
        <v>1.1840082507879339</v>
      </c>
      <c r="M445" s="1">
        <f t="shared" si="472"/>
        <v>1.1840155606532068</v>
      </c>
      <c r="N445" s="1">
        <f t="shared" si="472"/>
        <v>1.1840247969044022</v>
      </c>
      <c r="O445" s="1">
        <f t="shared" si="472"/>
        <v>1.1840291455915997</v>
      </c>
      <c r="P445" s="1">
        <f>P446</f>
        <v>1.1840545035596064</v>
      </c>
      <c r="Q445" s="1">
        <f>Q446</f>
        <v>1.3314144161976222</v>
      </c>
      <c r="S445" s="3"/>
    </row>
    <row r="446" spans="1:19" x14ac:dyDescent="0.5">
      <c r="A446" s="5"/>
      <c r="B446" s="5" t="s">
        <v>6</v>
      </c>
      <c r="C446" s="5" t="s">
        <v>7</v>
      </c>
      <c r="D446" t="s">
        <v>657</v>
      </c>
      <c r="E446" t="str">
        <f>E400</f>
        <v>PJ/yr.</v>
      </c>
      <c r="F446" s="1">
        <f>'[1]Electricity and CHPs_IN'!B$91</f>
        <v>1.1839863991542838</v>
      </c>
      <c r="G446" s="1">
        <f>'[1]Electricity and CHPs_IN'!C$91</f>
        <v>1.183988001088214</v>
      </c>
      <c r="H446" s="1">
        <f>'[1]Electricity and CHPs_IN'!D$91</f>
        <v>1.1839900402719357</v>
      </c>
      <c r="I446" s="1">
        <f>'[1]Electricity and CHPs_IN'!E$91</f>
        <v>1.1839928636471257</v>
      </c>
      <c r="J446" s="1">
        <f>'[1]Electricity and CHPs_IN'!F$91</f>
        <v>1.1839987834892971</v>
      </c>
      <c r="K446" s="1">
        <f>'[1]Electricity and CHPs_IN'!G$91</f>
        <v>1.1840039940839351</v>
      </c>
      <c r="L446" s="1">
        <f>'[1]Electricity and CHPs_IN'!H$91</f>
        <v>1.1840082507879339</v>
      </c>
      <c r="M446" s="1">
        <f>'[1]Electricity and CHPs_IN'!I$91</f>
        <v>1.1840155606532068</v>
      </c>
      <c r="N446" s="1">
        <f>'[1]Electricity and CHPs_IN'!J$91</f>
        <v>1.1840247969044022</v>
      </c>
      <c r="O446" s="1">
        <f>'[1]Electricity and CHPs_IN'!K$91</f>
        <v>1.1840291455915997</v>
      </c>
      <c r="P446" s="1">
        <f>'[1]Electricity and CHPs_IN'!L$91</f>
        <v>1.1840545035596064</v>
      </c>
      <c r="Q446" s="1">
        <f>'[1]Electricity and CHPs_IN'!M$91</f>
        <v>1.3314144161976222</v>
      </c>
      <c r="S446" s="3"/>
    </row>
    <row r="447" spans="1:19" x14ac:dyDescent="0.5">
      <c r="A447" s="5"/>
      <c r="B447" s="5" t="s">
        <v>6</v>
      </c>
      <c r="C447" s="5" t="s">
        <v>7</v>
      </c>
      <c r="D447" t="s">
        <v>879</v>
      </c>
      <c r="E447" t="str">
        <f>E400</f>
        <v>PJ/yr.</v>
      </c>
      <c r="F447" s="1">
        <f>F448</f>
        <v>1.4500284189369135</v>
      </c>
      <c r="G447" s="1">
        <f t="shared" ref="G447:O447" si="473">G448</f>
        <v>3.8018637978141507</v>
      </c>
      <c r="H447" s="1">
        <f t="shared" si="473"/>
        <v>3.8000856548160953</v>
      </c>
      <c r="I447" s="1">
        <f t="shared" si="473"/>
        <v>1.1496281209364378</v>
      </c>
      <c r="J447" s="1">
        <f t="shared" si="473"/>
        <v>0.66600018843743014</v>
      </c>
      <c r="K447" s="1">
        <f t="shared" si="473"/>
        <v>0</v>
      </c>
      <c r="L447" s="1">
        <f t="shared" si="473"/>
        <v>0</v>
      </c>
      <c r="M447" s="1">
        <f t="shared" si="473"/>
        <v>0</v>
      </c>
      <c r="N447" s="1">
        <f t="shared" si="473"/>
        <v>0</v>
      </c>
      <c r="O447" s="1">
        <f t="shared" si="473"/>
        <v>0</v>
      </c>
      <c r="P447" s="1">
        <f>P448</f>
        <v>0</v>
      </c>
      <c r="Q447" s="1">
        <f>Q448</f>
        <v>0</v>
      </c>
      <c r="S447" s="3"/>
    </row>
    <row r="448" spans="1:19" x14ac:dyDescent="0.5">
      <c r="A448" s="5"/>
      <c r="B448" s="5" t="s">
        <v>6</v>
      </c>
      <c r="C448" s="5" t="s">
        <v>7</v>
      </c>
      <c r="D448" t="s">
        <v>202</v>
      </c>
      <c r="E448" t="str">
        <f>E401</f>
        <v>PJ/yr.</v>
      </c>
      <c r="F448" s="1">
        <f>'[1]Electricity and CHPs_IN'!B$92</f>
        <v>1.4500284189369135</v>
      </c>
      <c r="G448" s="1">
        <f>'[1]Electricity and CHPs_IN'!C$92</f>
        <v>3.8018637978141507</v>
      </c>
      <c r="H448" s="1">
        <f>'[1]Electricity and CHPs_IN'!D$92</f>
        <v>3.8000856548160953</v>
      </c>
      <c r="I448" s="1">
        <f>'[1]Electricity and CHPs_IN'!E$92</f>
        <v>1.1496281209364378</v>
      </c>
      <c r="J448" s="1">
        <f>'[1]Electricity and CHPs_IN'!F$92</f>
        <v>0.66600018843743014</v>
      </c>
      <c r="K448" s="1">
        <f>'[1]Electricity and CHPs_IN'!G$92</f>
        <v>0</v>
      </c>
      <c r="L448" s="1">
        <f>'[1]Electricity and CHPs_IN'!H$92</f>
        <v>0</v>
      </c>
      <c r="M448" s="1">
        <f>'[1]Electricity and CHPs_IN'!I$92</f>
        <v>0</v>
      </c>
      <c r="N448" s="1">
        <f>'[1]Electricity and CHPs_IN'!J$92</f>
        <v>0</v>
      </c>
      <c r="O448" s="1">
        <f>'[1]Electricity and CHPs_IN'!K$92</f>
        <v>0</v>
      </c>
      <c r="P448" s="1">
        <f>'[1]Electricity and CHPs_IN'!L$92</f>
        <v>0</v>
      </c>
      <c r="Q448" s="1">
        <f>'[1]Electricity and CHPs_IN'!M$92</f>
        <v>0</v>
      </c>
      <c r="S448" s="3"/>
    </row>
    <row r="449" spans="1:19" x14ac:dyDescent="0.5">
      <c r="A449" s="5"/>
      <c r="B449" s="5" t="s">
        <v>6</v>
      </c>
      <c r="C449" s="5" t="s">
        <v>7</v>
      </c>
      <c r="D449" t="s">
        <v>880</v>
      </c>
      <c r="E449" t="str">
        <f>E401</f>
        <v>PJ/yr.</v>
      </c>
      <c r="F449" s="1">
        <f>F450</f>
        <v>0.215449356660078</v>
      </c>
      <c r="G449" s="1">
        <f t="shared" ref="G449:O449" si="474">G450</f>
        <v>0.21746096079103394</v>
      </c>
      <c r="H449" s="1">
        <f t="shared" si="474"/>
        <v>6.0064222821325133E-2</v>
      </c>
      <c r="I449" s="1">
        <f t="shared" si="474"/>
        <v>6.2377948195968418E-2</v>
      </c>
      <c r="J449" s="1">
        <f t="shared" si="474"/>
        <v>2.0040028771682139E-3</v>
      </c>
      <c r="K449" s="1">
        <f t="shared" si="474"/>
        <v>5.8458288433980066E-4</v>
      </c>
      <c r="L449" s="1">
        <f t="shared" si="474"/>
        <v>6.7349605308809901E-4</v>
      </c>
      <c r="M449" s="1">
        <f t="shared" si="474"/>
        <v>1.0029798391593101E-4</v>
      </c>
      <c r="N449" s="1">
        <f t="shared" si="474"/>
        <v>5.6127335704977204E-5</v>
      </c>
      <c r="O449" s="1">
        <f t="shared" si="474"/>
        <v>3.8686069848464518E-5</v>
      </c>
      <c r="P449" s="1">
        <f>P450</f>
        <v>4.0848127558091401E-5</v>
      </c>
      <c r="Q449" s="1">
        <f>Q450</f>
        <v>3.3218106927353446E-5</v>
      </c>
      <c r="S449" s="3"/>
    </row>
    <row r="450" spans="1:19" x14ac:dyDescent="0.5">
      <c r="A450" s="5"/>
      <c r="B450" s="5" t="s">
        <v>6</v>
      </c>
      <c r="C450" s="5" t="s">
        <v>7</v>
      </c>
      <c r="D450" t="s">
        <v>203</v>
      </c>
      <c r="E450" t="str">
        <f>E402</f>
        <v>PJ/yr.</v>
      </c>
      <c r="F450" s="1">
        <f>'[1]Electricity and CHPs_IN'!B$93</f>
        <v>0.215449356660078</v>
      </c>
      <c r="G450" s="1">
        <f>'[1]Electricity and CHPs_IN'!C$93</f>
        <v>0.21746096079103394</v>
      </c>
      <c r="H450" s="1">
        <f>'[1]Electricity and CHPs_IN'!D$93</f>
        <v>6.0064222821325133E-2</v>
      </c>
      <c r="I450" s="1">
        <f>'[1]Electricity and CHPs_IN'!E$93</f>
        <v>6.2377948195968418E-2</v>
      </c>
      <c r="J450" s="1">
        <f>'[1]Electricity and CHPs_IN'!F$93</f>
        <v>2.0040028771682139E-3</v>
      </c>
      <c r="K450" s="1">
        <f>'[1]Electricity and CHPs_IN'!G$93</f>
        <v>5.8458288433980066E-4</v>
      </c>
      <c r="L450" s="1">
        <f>'[1]Electricity and CHPs_IN'!H$93</f>
        <v>6.7349605308809901E-4</v>
      </c>
      <c r="M450" s="1">
        <f>'[1]Electricity and CHPs_IN'!I$93</f>
        <v>1.0029798391593101E-4</v>
      </c>
      <c r="N450" s="1">
        <f>'[1]Electricity and CHPs_IN'!J$93</f>
        <v>5.6127335704977204E-5</v>
      </c>
      <c r="O450" s="1">
        <f>'[1]Electricity and CHPs_IN'!K$93</f>
        <v>3.8686069848464518E-5</v>
      </c>
      <c r="P450" s="1">
        <f>'[1]Electricity and CHPs_IN'!L$93</f>
        <v>4.0848127558091401E-5</v>
      </c>
      <c r="Q450" s="1">
        <f>'[1]Electricity and CHPs_IN'!M$93</f>
        <v>3.3218106927353446E-5</v>
      </c>
      <c r="S450" s="3"/>
    </row>
    <row r="451" spans="1:19" x14ac:dyDescent="0.5">
      <c r="A451" s="5"/>
      <c r="B451" s="5" t="s">
        <v>6</v>
      </c>
      <c r="C451" s="5" t="s">
        <v>7</v>
      </c>
      <c r="D451" t="s">
        <v>882</v>
      </c>
      <c r="E451" t="str">
        <f>E401</f>
        <v>PJ/yr.</v>
      </c>
      <c r="F451" s="1">
        <f>F452</f>
        <v>0.215449356660078</v>
      </c>
      <c r="G451" s="1">
        <f t="shared" ref="G451:O451" si="475">G452</f>
        <v>0.21746096079103394</v>
      </c>
      <c r="H451" s="1">
        <f t="shared" si="475"/>
        <v>6.0064222821325133E-2</v>
      </c>
      <c r="I451" s="1">
        <f t="shared" si="475"/>
        <v>6.2377948195968418E-2</v>
      </c>
      <c r="J451" s="1">
        <f t="shared" si="475"/>
        <v>2.0040028771682139E-3</v>
      </c>
      <c r="K451" s="1">
        <f t="shared" si="475"/>
        <v>5.8458288433980066E-4</v>
      </c>
      <c r="L451" s="1">
        <f t="shared" si="475"/>
        <v>6.7349605308809901E-4</v>
      </c>
      <c r="M451" s="1">
        <f t="shared" si="475"/>
        <v>1.0029798391593101E-4</v>
      </c>
      <c r="N451" s="1">
        <f t="shared" si="475"/>
        <v>5.6127335704977204E-5</v>
      </c>
      <c r="O451" s="1">
        <f t="shared" si="475"/>
        <v>3.8686069848464518E-5</v>
      </c>
      <c r="P451" s="1">
        <f>P452</f>
        <v>4.0848127558091401E-5</v>
      </c>
      <c r="Q451" s="1">
        <f>Q452</f>
        <v>3.3218106927353446E-5</v>
      </c>
      <c r="S451" s="3"/>
    </row>
    <row r="452" spans="1:19" x14ac:dyDescent="0.5">
      <c r="A452" s="5"/>
      <c r="B452" s="5" t="s">
        <v>6</v>
      </c>
      <c r="C452" s="5" t="s">
        <v>7</v>
      </c>
      <c r="D452" t="s">
        <v>881</v>
      </c>
      <c r="E452" t="str">
        <f>E402</f>
        <v>PJ/yr.</v>
      </c>
      <c r="F452" s="1">
        <f>F450</f>
        <v>0.215449356660078</v>
      </c>
      <c r="G452" s="1">
        <f t="shared" ref="G452:K452" si="476">G450</f>
        <v>0.21746096079103394</v>
      </c>
      <c r="H452" s="1">
        <f t="shared" si="476"/>
        <v>6.0064222821325133E-2</v>
      </c>
      <c r="I452" s="1">
        <f t="shared" si="476"/>
        <v>6.2377948195968418E-2</v>
      </c>
      <c r="J452" s="1">
        <f t="shared" si="476"/>
        <v>2.0040028771682139E-3</v>
      </c>
      <c r="K452" s="1">
        <f t="shared" si="476"/>
        <v>5.8458288433980066E-4</v>
      </c>
      <c r="L452" s="1">
        <f t="shared" ref="L452:O452" si="477">L450</f>
        <v>6.7349605308809901E-4</v>
      </c>
      <c r="M452" s="1">
        <f t="shared" si="477"/>
        <v>1.0029798391593101E-4</v>
      </c>
      <c r="N452" s="1">
        <f t="shared" si="477"/>
        <v>5.6127335704977204E-5</v>
      </c>
      <c r="O452" s="1">
        <f t="shared" si="477"/>
        <v>3.8686069848464518E-5</v>
      </c>
      <c r="P452" s="1">
        <f>P450</f>
        <v>4.0848127558091401E-5</v>
      </c>
      <c r="Q452" s="1">
        <f>Q450</f>
        <v>3.3218106927353446E-5</v>
      </c>
      <c r="S452" s="3"/>
    </row>
    <row r="453" spans="1:19" x14ac:dyDescent="0.5">
      <c r="A453" s="5"/>
      <c r="B453" s="5" t="s">
        <v>6</v>
      </c>
      <c r="C453" s="5" t="s">
        <v>7</v>
      </c>
      <c r="D453" t="s">
        <v>884</v>
      </c>
      <c r="E453" t="str">
        <f>E402</f>
        <v>PJ/yr.</v>
      </c>
      <c r="F453" s="1">
        <f>F454</f>
        <v>0</v>
      </c>
      <c r="G453" s="1">
        <f t="shared" ref="G453:O453" si="478">G454</f>
        <v>0</v>
      </c>
      <c r="H453" s="1">
        <f t="shared" si="478"/>
        <v>0</v>
      </c>
      <c r="I453" s="1">
        <f t="shared" si="478"/>
        <v>0</v>
      </c>
      <c r="J453" s="1">
        <f t="shared" si="478"/>
        <v>0</v>
      </c>
      <c r="K453" s="1">
        <f t="shared" si="478"/>
        <v>0</v>
      </c>
      <c r="L453" s="1">
        <f t="shared" si="478"/>
        <v>0</v>
      </c>
      <c r="M453" s="1">
        <f t="shared" si="478"/>
        <v>0</v>
      </c>
      <c r="N453" s="1">
        <f t="shared" si="478"/>
        <v>0</v>
      </c>
      <c r="O453" s="1">
        <f t="shared" si="478"/>
        <v>4</v>
      </c>
      <c r="P453" s="1">
        <f>P454</f>
        <v>0</v>
      </c>
      <c r="Q453" s="1">
        <f>Q454</f>
        <v>0</v>
      </c>
      <c r="S453" s="3"/>
    </row>
    <row r="454" spans="1:19" x14ac:dyDescent="0.5">
      <c r="A454" s="5"/>
      <c r="B454" s="5" t="s">
        <v>6</v>
      </c>
      <c r="C454" s="5" t="s">
        <v>7</v>
      </c>
      <c r="D454" t="s">
        <v>883</v>
      </c>
      <c r="E454" t="str">
        <f>E403</f>
        <v>PJ/yr.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4</v>
      </c>
      <c r="P454" s="1">
        <v>0</v>
      </c>
      <c r="Q454" s="1">
        <v>0</v>
      </c>
      <c r="S454" s="3"/>
    </row>
    <row r="455" spans="1:19" x14ac:dyDescent="0.5">
      <c r="A455" s="5"/>
      <c r="B455" s="5" t="s">
        <v>6</v>
      </c>
      <c r="C455" s="5" t="s">
        <v>7</v>
      </c>
      <c r="D455" t="s">
        <v>885</v>
      </c>
      <c r="E455" t="str">
        <f>E402</f>
        <v>PJ/yr.</v>
      </c>
      <c r="F455" s="1">
        <f>F456</f>
        <v>1.7216588608670484</v>
      </c>
      <c r="G455" s="1">
        <f t="shared" ref="G455:O455" si="479">G456</f>
        <v>1.5538029283740533</v>
      </c>
      <c r="H455" s="1">
        <f t="shared" si="479"/>
        <v>2.8541705273628906</v>
      </c>
      <c r="I455" s="1">
        <f t="shared" si="479"/>
        <v>5.1408924663786602</v>
      </c>
      <c r="J455" s="1">
        <f t="shared" si="479"/>
        <v>5.7717848225420809</v>
      </c>
      <c r="K455" s="1">
        <f t="shared" si="479"/>
        <v>4.4661193424544621</v>
      </c>
      <c r="L455" s="1">
        <f t="shared" si="479"/>
        <v>3.4558121982878962</v>
      </c>
      <c r="M455" s="1">
        <f t="shared" si="479"/>
        <v>2.6740609530421175</v>
      </c>
      <c r="N455" s="1">
        <f t="shared" si="479"/>
        <v>2.0691565323327419</v>
      </c>
      <c r="O455" s="1">
        <f t="shared" si="479"/>
        <v>1.6010877783900341</v>
      </c>
      <c r="P455" s="1">
        <f>P456</f>
        <v>1.2389121666265415</v>
      </c>
      <c r="Q455" s="1">
        <f>Q456</f>
        <v>0.96123265388333334</v>
      </c>
      <c r="S455" s="3"/>
    </row>
    <row r="456" spans="1:19" x14ac:dyDescent="0.5">
      <c r="A456" s="5"/>
      <c r="B456" s="5" t="s">
        <v>6</v>
      </c>
      <c r="C456" s="5" t="s">
        <v>7</v>
      </c>
      <c r="D456" t="s">
        <v>204</v>
      </c>
      <c r="E456" t="str">
        <f>E403</f>
        <v>PJ/yr.</v>
      </c>
      <c r="F456" s="1">
        <f>'[1]Electricity and CHPs_IN'!B$94</f>
        <v>1.7216588608670484</v>
      </c>
      <c r="G456" s="1">
        <f>'[1]Electricity and CHPs_IN'!C$94</f>
        <v>1.5538029283740533</v>
      </c>
      <c r="H456" s="1">
        <f>'[1]Electricity and CHPs_IN'!D$94</f>
        <v>2.8541705273628906</v>
      </c>
      <c r="I456" s="1">
        <f>'[1]Electricity and CHPs_IN'!E$94</f>
        <v>5.1408924663786602</v>
      </c>
      <c r="J456" s="1">
        <f>'[1]Electricity and CHPs_IN'!F$94</f>
        <v>5.7717848225420809</v>
      </c>
      <c r="K456" s="1">
        <f>'[1]Electricity and CHPs_IN'!G$94</f>
        <v>4.4661193424544621</v>
      </c>
      <c r="L456" s="1">
        <f>'[1]Electricity and CHPs_IN'!H$94</f>
        <v>3.4558121982878962</v>
      </c>
      <c r="M456" s="1">
        <f>'[1]Electricity and CHPs_IN'!I$94</f>
        <v>2.6740609530421175</v>
      </c>
      <c r="N456" s="1">
        <f>'[1]Electricity and CHPs_IN'!J$94</f>
        <v>2.0691565323327419</v>
      </c>
      <c r="O456" s="1">
        <f>'[1]Electricity and CHPs_IN'!K$94</f>
        <v>1.6010877783900341</v>
      </c>
      <c r="P456" s="1">
        <f>'[1]Electricity and CHPs_IN'!L$94</f>
        <v>1.2389121666265415</v>
      </c>
      <c r="Q456" s="1">
        <f>'[1]Electricity and CHPs_IN'!M$94</f>
        <v>0.96123265388333334</v>
      </c>
      <c r="S456" s="3"/>
    </row>
    <row r="457" spans="1:19" x14ac:dyDescent="0.5">
      <c r="A457" s="5"/>
      <c r="B457" s="5" t="s">
        <v>6</v>
      </c>
      <c r="C457" s="5" t="s">
        <v>7</v>
      </c>
      <c r="D457" t="s">
        <v>886</v>
      </c>
      <c r="E457" t="str">
        <f>E403</f>
        <v>PJ/yr.</v>
      </c>
      <c r="F457" s="1">
        <f>F458</f>
        <v>0</v>
      </c>
      <c r="G457" s="1">
        <f t="shared" ref="G457:O457" si="480">G458</f>
        <v>0</v>
      </c>
      <c r="H457" s="1">
        <f t="shared" si="480"/>
        <v>0</v>
      </c>
      <c r="I457" s="1">
        <f t="shared" si="480"/>
        <v>2.9621127421979634E-4</v>
      </c>
      <c r="J457" s="1">
        <f t="shared" si="480"/>
        <v>4.9823193460734011E-4</v>
      </c>
      <c r="K457" s="1">
        <f t="shared" si="480"/>
        <v>5.4368356199954791E-4</v>
      </c>
      <c r="L457" s="1">
        <f t="shared" si="480"/>
        <v>5.7734983429101226E-4</v>
      </c>
      <c r="M457" s="1">
        <f t="shared" si="480"/>
        <v>8.8099179456280208E-4</v>
      </c>
      <c r="N457" s="1">
        <f t="shared" si="480"/>
        <v>8.9798675379706744E-4</v>
      </c>
      <c r="O457" s="1">
        <f t="shared" si="480"/>
        <v>1.0553812573572299E-3</v>
      </c>
      <c r="P457" s="1">
        <f>P458</f>
        <v>1.092301136612218E-3</v>
      </c>
      <c r="Q457" s="1">
        <f>Q458</f>
        <v>3.0692062156556614E-3</v>
      </c>
      <c r="S457" s="3"/>
    </row>
    <row r="458" spans="1:19" x14ac:dyDescent="0.5">
      <c r="A458" s="5"/>
      <c r="B458" s="5" t="s">
        <v>6</v>
      </c>
      <c r="C458" s="5" t="s">
        <v>7</v>
      </c>
      <c r="D458" t="s">
        <v>205</v>
      </c>
      <c r="E458" t="str">
        <f>E404</f>
        <v>PJ/yr.</v>
      </c>
      <c r="F458" s="1">
        <f>'[1]Electricity and CHPs_IN'!B$95</f>
        <v>0</v>
      </c>
      <c r="G458" s="1">
        <f>'[1]Electricity and CHPs_IN'!C$95</f>
        <v>0</v>
      </c>
      <c r="H458" s="1">
        <f>'[1]Electricity and CHPs_IN'!D$95</f>
        <v>0</v>
      </c>
      <c r="I458" s="1">
        <f>'[1]Electricity and CHPs_IN'!E$95</f>
        <v>2.9621127421979634E-4</v>
      </c>
      <c r="J458" s="1">
        <f>'[1]Electricity and CHPs_IN'!F$95</f>
        <v>4.9823193460734011E-4</v>
      </c>
      <c r="K458" s="1">
        <f>'[1]Electricity and CHPs_IN'!G$95</f>
        <v>5.4368356199954791E-4</v>
      </c>
      <c r="L458" s="1">
        <f>'[1]Electricity and CHPs_IN'!H$95</f>
        <v>5.7734983429101226E-4</v>
      </c>
      <c r="M458" s="1">
        <f>'[1]Electricity and CHPs_IN'!I$95</f>
        <v>8.8099179456280208E-4</v>
      </c>
      <c r="N458" s="1">
        <f>'[1]Electricity and CHPs_IN'!J$95</f>
        <v>8.9798675379706744E-4</v>
      </c>
      <c r="O458" s="1">
        <f>'[1]Electricity and CHPs_IN'!K$95</f>
        <v>1.0553812573572299E-3</v>
      </c>
      <c r="P458" s="1">
        <f>'[1]Electricity and CHPs_IN'!L$95</f>
        <v>1.092301136612218E-3</v>
      </c>
      <c r="Q458" s="1">
        <f>'[1]Electricity and CHPs_IN'!M$95</f>
        <v>3.0692062156556614E-3</v>
      </c>
      <c r="S458" s="3"/>
    </row>
    <row r="459" spans="1:19" x14ac:dyDescent="0.5">
      <c r="A459" s="5"/>
      <c r="B459" s="5" t="s">
        <v>6</v>
      </c>
      <c r="C459" s="5" t="s">
        <v>7</v>
      </c>
      <c r="D459" t="s">
        <v>887</v>
      </c>
      <c r="E459" t="str">
        <f>E404</f>
        <v>PJ/yr.</v>
      </c>
      <c r="F459" s="1">
        <f>F460</f>
        <v>0</v>
      </c>
      <c r="G459" s="1">
        <f t="shared" ref="G459:O459" si="481">G460</f>
        <v>0</v>
      </c>
      <c r="H459" s="1">
        <f t="shared" si="481"/>
        <v>0</v>
      </c>
      <c r="I459" s="1">
        <f t="shared" si="481"/>
        <v>0</v>
      </c>
      <c r="J459" s="1">
        <f t="shared" si="481"/>
        <v>0</v>
      </c>
      <c r="K459" s="1">
        <f t="shared" si="481"/>
        <v>2.4338017361466334E-3</v>
      </c>
      <c r="L459" s="1">
        <f t="shared" si="481"/>
        <v>2.4412893806428256E-3</v>
      </c>
      <c r="M459" s="1">
        <f t="shared" si="481"/>
        <v>2.4743810305591072E-3</v>
      </c>
      <c r="N459" s="1">
        <f t="shared" si="481"/>
        <v>2.487257756506519E-3</v>
      </c>
      <c r="O459" s="1">
        <f t="shared" si="481"/>
        <v>3.8149202953508543E-3</v>
      </c>
      <c r="P459" s="1">
        <f>P460</f>
        <v>3.8480731586455533E-3</v>
      </c>
      <c r="Q459" s="1">
        <f>Q460</f>
        <v>7.8051507367396245E-3</v>
      </c>
      <c r="S459" s="3"/>
    </row>
    <row r="460" spans="1:19" x14ac:dyDescent="0.5">
      <c r="A460" s="5"/>
      <c r="B460" s="5" t="s">
        <v>6</v>
      </c>
      <c r="C460" s="5" t="s">
        <v>7</v>
      </c>
      <c r="D460" t="s">
        <v>232</v>
      </c>
      <c r="E460" t="str">
        <f>E405</f>
        <v>PJ/yr.</v>
      </c>
      <c r="F460" s="1">
        <f>'[1]Electricity and CHPs_IN'!B$96</f>
        <v>0</v>
      </c>
      <c r="G460" s="1">
        <f>'[1]Electricity and CHPs_IN'!C$96</f>
        <v>0</v>
      </c>
      <c r="H460" s="1">
        <f>'[1]Electricity and CHPs_IN'!D$96</f>
        <v>0</v>
      </c>
      <c r="I460" s="1">
        <f>'[1]Electricity and CHPs_IN'!E$96</f>
        <v>0</v>
      </c>
      <c r="J460" s="1">
        <f>'[1]Electricity and CHPs_IN'!F$96</f>
        <v>0</v>
      </c>
      <c r="K460" s="1">
        <f>'[1]Electricity and CHPs_IN'!G$96</f>
        <v>2.4338017361466334E-3</v>
      </c>
      <c r="L460" s="1">
        <f>'[1]Electricity and CHPs_IN'!H$96</f>
        <v>2.4412893806428256E-3</v>
      </c>
      <c r="M460" s="1">
        <f>'[1]Electricity and CHPs_IN'!I$96</f>
        <v>2.4743810305591072E-3</v>
      </c>
      <c r="N460" s="1">
        <f>'[1]Electricity and CHPs_IN'!J$96</f>
        <v>2.487257756506519E-3</v>
      </c>
      <c r="O460" s="1">
        <f>'[1]Electricity and CHPs_IN'!K$96</f>
        <v>3.8149202953508543E-3</v>
      </c>
      <c r="P460" s="1">
        <f>'[1]Electricity and CHPs_IN'!L$96</f>
        <v>3.8480731586455533E-3</v>
      </c>
      <c r="Q460" s="1">
        <f>'[1]Electricity and CHPs_IN'!M$96</f>
        <v>7.8051507367396245E-3</v>
      </c>
      <c r="S460" s="3"/>
    </row>
    <row r="461" spans="1:19" x14ac:dyDescent="0.5">
      <c r="A461" s="5"/>
      <c r="B461" s="5" t="s">
        <v>6</v>
      </c>
      <c r="C461" s="5" t="s">
        <v>7</v>
      </c>
      <c r="D461" t="s">
        <v>888</v>
      </c>
      <c r="E461" t="str">
        <f>E404</f>
        <v>PJ/yr.</v>
      </c>
      <c r="F461" s="1">
        <f>F462</f>
        <v>0</v>
      </c>
      <c r="G461" s="1">
        <f t="shared" ref="G461" si="482">G462</f>
        <v>1.2354674867964717</v>
      </c>
      <c r="H461" s="1">
        <f>H462</f>
        <v>1.2729236333813612</v>
      </c>
      <c r="I461" s="1">
        <f t="shared" ref="I461" si="483">I462</f>
        <v>1.4927170895310555</v>
      </c>
      <c r="J461" s="1">
        <f t="shared" ref="J461" si="484">J462</f>
        <v>1.8743172075896384</v>
      </c>
      <c r="K461" s="1">
        <f t="shared" ref="K461:O461" si="485">K462</f>
        <v>1.9703367621130172</v>
      </c>
      <c r="L461" s="1">
        <f t="shared" si="485"/>
        <v>2.1267889869966852</v>
      </c>
      <c r="M461" s="1">
        <f t="shared" si="485"/>
        <v>3.2528657868177655</v>
      </c>
      <c r="N461" s="1">
        <f t="shared" si="485"/>
        <v>3.420287381889231</v>
      </c>
      <c r="O461" s="1">
        <f t="shared" si="485"/>
        <v>6.1049941897320306</v>
      </c>
      <c r="P461" s="1">
        <f>P462</f>
        <v>6.4165878302154002</v>
      </c>
      <c r="Q461" s="1">
        <f>Q462</f>
        <v>7.1712338274120198</v>
      </c>
      <c r="S461" s="3"/>
    </row>
    <row r="462" spans="1:19" x14ac:dyDescent="0.5">
      <c r="A462" s="5"/>
      <c r="B462" s="5" t="s">
        <v>6</v>
      </c>
      <c r="C462" s="5" t="s">
        <v>7</v>
      </c>
      <c r="D462" t="s">
        <v>889</v>
      </c>
      <c r="E462" t="str">
        <f>E405</f>
        <v>PJ/yr.</v>
      </c>
      <c r="F462" s="1">
        <f>'[1]Electricity and CHPs_IN'!B$97</f>
        <v>0</v>
      </c>
      <c r="G462" s="1">
        <f>'[1]Electricity and CHPs_IN'!C$97</f>
        <v>1.2354674867964717</v>
      </c>
      <c r="H462" s="1">
        <f>'[1]Electricity and CHPs_IN'!D$97</f>
        <v>1.2729236333813612</v>
      </c>
      <c r="I462" s="1">
        <f>'[1]Electricity and CHPs_IN'!E$97</f>
        <v>1.4927170895310555</v>
      </c>
      <c r="J462" s="1">
        <f>'[1]Electricity and CHPs_IN'!F$97</f>
        <v>1.8743172075896384</v>
      </c>
      <c r="K462" s="1">
        <f>'[1]Electricity and CHPs_IN'!G$97</f>
        <v>1.9703367621130172</v>
      </c>
      <c r="L462" s="1">
        <f>'[1]Electricity and CHPs_IN'!H$97</f>
        <v>2.1267889869966852</v>
      </c>
      <c r="M462" s="1">
        <f>'[1]Electricity and CHPs_IN'!I$97</f>
        <v>3.2528657868177655</v>
      </c>
      <c r="N462" s="1">
        <f>'[1]Electricity and CHPs_IN'!J$97</f>
        <v>3.420287381889231</v>
      </c>
      <c r="O462" s="1">
        <f>'[1]Electricity and CHPs_IN'!K$97</f>
        <v>6.1049941897320306</v>
      </c>
      <c r="P462" s="1">
        <f>'[1]Electricity and CHPs_IN'!L$97</f>
        <v>6.4165878302154002</v>
      </c>
      <c r="Q462" s="1">
        <f>'[1]Electricity and CHPs_IN'!M$97</f>
        <v>7.1712338274120198</v>
      </c>
      <c r="S462" s="3"/>
    </row>
    <row r="463" spans="1:19" x14ac:dyDescent="0.5">
      <c r="A463" s="5"/>
      <c r="B463" s="5" t="s">
        <v>6</v>
      </c>
      <c r="C463" s="5" t="s">
        <v>7</v>
      </c>
      <c r="D463" t="s">
        <v>890</v>
      </c>
      <c r="E463" t="str">
        <f>E399</f>
        <v>PJ/yr.</v>
      </c>
      <c r="F463" s="1">
        <f>SUM(F464,F470,F503,F512,F518)</f>
        <v>8.0387455583064469</v>
      </c>
      <c r="G463" s="1">
        <f t="shared" ref="G463:K463" si="486">SUM(G464,G470,G503,G512,G518)</f>
        <v>8.8407070056303318</v>
      </c>
      <c r="H463" s="1">
        <f t="shared" si="486"/>
        <v>11.72916059231531</v>
      </c>
      <c r="I463" s="1">
        <f t="shared" si="486"/>
        <v>12.104521612370572</v>
      </c>
      <c r="J463" s="1">
        <f t="shared" si="486"/>
        <v>12.664794402128811</v>
      </c>
      <c r="K463" s="1">
        <f t="shared" si="486"/>
        <v>12.810423449716021</v>
      </c>
      <c r="L463" s="1">
        <f t="shared" ref="L463:O463" si="487">SUM(L464,L470,L503,L512,L518)</f>
        <v>15.560128358326114</v>
      </c>
      <c r="M463" s="1">
        <f t="shared" si="487"/>
        <v>24.469105525815873</v>
      </c>
      <c r="N463" s="1">
        <f t="shared" si="487"/>
        <v>23.655207997302931</v>
      </c>
      <c r="O463" s="1">
        <f t="shared" si="487"/>
        <v>23.74638930855599</v>
      </c>
      <c r="P463" s="1">
        <f>SUM(P464,P470,P503,P512,P518)</f>
        <v>25.023886525591362</v>
      </c>
      <c r="Q463" s="1">
        <f>SUM(Q464,Q470,Q503,Q512,Q518)</f>
        <v>26.198160435967477</v>
      </c>
      <c r="S463" s="3"/>
    </row>
    <row r="464" spans="1:19" x14ac:dyDescent="0.5">
      <c r="A464" s="5"/>
      <c r="B464" s="5" t="s">
        <v>6</v>
      </c>
      <c r="C464" s="5" t="s">
        <v>7</v>
      </c>
      <c r="D464" t="s">
        <v>891</v>
      </c>
      <c r="E464" t="str">
        <f>E399</f>
        <v>PJ/yr.</v>
      </c>
      <c r="F464" s="1">
        <f>+F465</f>
        <v>0.29059271989096036</v>
      </c>
      <c r="G464" s="1">
        <f t="shared" ref="G464:O464" si="488">+G465</f>
        <v>0.64261609412972853</v>
      </c>
      <c r="H464" s="1">
        <f t="shared" si="488"/>
        <v>3.4559178857118227E-2</v>
      </c>
      <c r="I464" s="1">
        <f t="shared" si="488"/>
        <v>0.57105090947180204</v>
      </c>
      <c r="J464" s="1">
        <f t="shared" si="488"/>
        <v>0.53713744948759945</v>
      </c>
      <c r="K464" s="1">
        <f t="shared" si="488"/>
        <v>0</v>
      </c>
      <c r="L464" s="1">
        <f t="shared" si="488"/>
        <v>0</v>
      </c>
      <c r="M464" s="1">
        <f t="shared" si="488"/>
        <v>0</v>
      </c>
      <c r="N464" s="1">
        <f t="shared" si="488"/>
        <v>7.083995704277455E-3</v>
      </c>
      <c r="O464" s="1">
        <f t="shared" si="488"/>
        <v>9.8146029503791976E-3</v>
      </c>
      <c r="P464" s="1">
        <f>+P465</f>
        <v>1.5891674648594506E-2</v>
      </c>
      <c r="Q464" s="1">
        <f>+Q465</f>
        <v>2.3843666546119122E-2</v>
      </c>
      <c r="S464" s="3"/>
    </row>
    <row r="465" spans="1:19" x14ac:dyDescent="0.5">
      <c r="A465" s="5"/>
      <c r="B465" s="5" t="s">
        <v>6</v>
      </c>
      <c r="C465" s="5" t="s">
        <v>7</v>
      </c>
      <c r="D465" t="s">
        <v>206</v>
      </c>
      <c r="E465" t="str">
        <f>E400</f>
        <v>PJ/yr.</v>
      </c>
      <c r="F465" s="1">
        <f>'[1]Electricity and CHPs_IN'!B$41-F301</f>
        <v>0.29059271989096036</v>
      </c>
      <c r="G465" s="1">
        <f>'[1]Electricity and CHPs_IN'!C$41-G301</f>
        <v>0.64261609412972853</v>
      </c>
      <c r="H465" s="1">
        <f>'[1]Electricity and CHPs_IN'!D$41-H301</f>
        <v>3.4559178857118227E-2</v>
      </c>
      <c r="I465" s="1">
        <f>'[1]Electricity and CHPs_IN'!E$41-I301</f>
        <v>0.57105090947180204</v>
      </c>
      <c r="J465" s="1">
        <f>'[1]Electricity and CHPs_IN'!F$41-J301</f>
        <v>0.53713744948759945</v>
      </c>
      <c r="K465" s="1">
        <f>'[1]Electricity and CHPs_IN'!G$41-K301</f>
        <v>0</v>
      </c>
      <c r="L465" s="1">
        <f>'[1]Electricity and CHPs_IN'!H$41-L301</f>
        <v>0</v>
      </c>
      <c r="M465" s="1">
        <f>'[1]Electricity and CHPs_IN'!I$41-M301</f>
        <v>0</v>
      </c>
      <c r="N465" s="1">
        <f>'[1]Electricity and CHPs_IN'!J$41-N301</f>
        <v>7.083995704277455E-3</v>
      </c>
      <c r="O465" s="1">
        <f>'[1]Electricity and CHPs_IN'!K$41-O301</f>
        <v>9.8146029503791976E-3</v>
      </c>
      <c r="P465" s="1">
        <f>'[1]Electricity and CHPs_IN'!L$41-P301</f>
        <v>1.5891674648594506E-2</v>
      </c>
      <c r="Q465" s="1">
        <f>'[1]Electricity and CHPs_IN'!M$41-Q301</f>
        <v>2.3843666546119122E-2</v>
      </c>
      <c r="S465" s="3"/>
    </row>
    <row r="466" spans="1:19" x14ac:dyDescent="0.5">
      <c r="A466" s="5"/>
      <c r="B466" s="5" t="s">
        <v>6</v>
      </c>
      <c r="C466" s="5" t="s">
        <v>7</v>
      </c>
      <c r="D466" t="s">
        <v>893</v>
      </c>
      <c r="E466" t="str">
        <f>E399</f>
        <v>PJ/yr.</v>
      </c>
      <c r="F466" s="1">
        <f>F467</f>
        <v>0.29059271989096036</v>
      </c>
      <c r="G466" s="1">
        <f t="shared" ref="G466:O466" si="489">G467</f>
        <v>0.64261609412972853</v>
      </c>
      <c r="H466" s="1">
        <f t="shared" si="489"/>
        <v>3.4559178857118227E-2</v>
      </c>
      <c r="I466" s="1">
        <f t="shared" si="489"/>
        <v>0.57105090947180204</v>
      </c>
      <c r="J466" s="1">
        <f t="shared" si="489"/>
        <v>0.53713744948759945</v>
      </c>
      <c r="K466" s="1">
        <f t="shared" si="489"/>
        <v>0</v>
      </c>
      <c r="L466" s="1">
        <f t="shared" si="489"/>
        <v>0</v>
      </c>
      <c r="M466" s="1">
        <f t="shared" si="489"/>
        <v>0</v>
      </c>
      <c r="N466" s="1">
        <f t="shared" si="489"/>
        <v>7.083995704277455E-3</v>
      </c>
      <c r="O466" s="1">
        <f t="shared" si="489"/>
        <v>9.8146029503791976E-3</v>
      </c>
      <c r="P466" s="1">
        <f>P467</f>
        <v>1.5891674648594506E-2</v>
      </c>
      <c r="Q466" s="1">
        <f>Q467</f>
        <v>2.3843666546119122E-2</v>
      </c>
      <c r="S466" s="3"/>
    </row>
    <row r="467" spans="1:19" x14ac:dyDescent="0.5">
      <c r="A467" s="5"/>
      <c r="B467" s="5" t="s">
        <v>6</v>
      </c>
      <c r="C467" s="5" t="s">
        <v>7</v>
      </c>
      <c r="D467" t="s">
        <v>524</v>
      </c>
      <c r="E467" t="str">
        <f>E400</f>
        <v>PJ/yr.</v>
      </c>
      <c r="F467" s="1">
        <f>F465-F469</f>
        <v>0.29059271989096036</v>
      </c>
      <c r="G467" s="1">
        <f t="shared" ref="G467:K467" si="490">G465-G469</f>
        <v>0.64261609412972853</v>
      </c>
      <c r="H467" s="1">
        <f t="shared" si="490"/>
        <v>3.4559178857118227E-2</v>
      </c>
      <c r="I467" s="1">
        <f t="shared" si="490"/>
        <v>0.57105090947180204</v>
      </c>
      <c r="J467" s="1">
        <f t="shared" si="490"/>
        <v>0.53713744948759945</v>
      </c>
      <c r="K467" s="1">
        <f t="shared" si="490"/>
        <v>0</v>
      </c>
      <c r="L467" s="1">
        <f t="shared" ref="L467:O467" si="491">L465-L469</f>
        <v>0</v>
      </c>
      <c r="M467" s="1">
        <f t="shared" si="491"/>
        <v>0</v>
      </c>
      <c r="N467" s="1">
        <f t="shared" si="491"/>
        <v>7.083995704277455E-3</v>
      </c>
      <c r="O467" s="1">
        <f t="shared" si="491"/>
        <v>9.8146029503791976E-3</v>
      </c>
      <c r="P467" s="1">
        <f>P465-P469</f>
        <v>1.5891674648594506E-2</v>
      </c>
      <c r="Q467" s="1">
        <f>Q465-Q469</f>
        <v>2.3843666546119122E-2</v>
      </c>
      <c r="S467" s="3"/>
    </row>
    <row r="468" spans="1:19" x14ac:dyDescent="0.5">
      <c r="A468" s="5"/>
      <c r="B468" s="5" t="s">
        <v>6</v>
      </c>
      <c r="C468" s="5" t="s">
        <v>7</v>
      </c>
      <c r="D468" t="s">
        <v>894</v>
      </c>
      <c r="E468" t="str">
        <f>E400</f>
        <v>PJ/yr.</v>
      </c>
      <c r="F468" s="1">
        <f>F469</f>
        <v>0</v>
      </c>
      <c r="G468" s="1">
        <f t="shared" ref="G468:O468" si="492">G469</f>
        <v>0</v>
      </c>
      <c r="H468" s="1">
        <f t="shared" si="492"/>
        <v>0</v>
      </c>
      <c r="I468" s="1">
        <f t="shared" si="492"/>
        <v>0</v>
      </c>
      <c r="J468" s="1">
        <f t="shared" si="492"/>
        <v>0</v>
      </c>
      <c r="K468" s="1">
        <f t="shared" si="492"/>
        <v>0</v>
      </c>
      <c r="L468" s="1">
        <f t="shared" si="492"/>
        <v>0</v>
      </c>
      <c r="M468" s="1">
        <f t="shared" si="492"/>
        <v>0</v>
      </c>
      <c r="N468" s="1">
        <f t="shared" si="492"/>
        <v>0</v>
      </c>
      <c r="O468" s="1">
        <f t="shared" si="492"/>
        <v>0</v>
      </c>
      <c r="P468" s="1">
        <f>P469</f>
        <v>0</v>
      </c>
      <c r="Q468" s="1">
        <f>Q469</f>
        <v>0</v>
      </c>
      <c r="S468" s="3"/>
    </row>
    <row r="469" spans="1:19" x14ac:dyDescent="0.5">
      <c r="A469" s="5"/>
      <c r="B469" s="5" t="s">
        <v>6</v>
      </c>
      <c r="C469" s="5" t="s">
        <v>7</v>
      </c>
      <c r="D469" t="s">
        <v>548</v>
      </c>
      <c r="E469" t="str">
        <f>E401</f>
        <v>PJ/yr.</v>
      </c>
      <c r="F469" s="1">
        <f>IFERROR(F309/F301,0)*F465</f>
        <v>0</v>
      </c>
      <c r="G469" s="1">
        <f t="shared" ref="G469:K469" si="493">IFERROR(G309/G301,0)*G465</f>
        <v>0</v>
      </c>
      <c r="H469" s="1">
        <f t="shared" si="493"/>
        <v>0</v>
      </c>
      <c r="I469" s="1">
        <f t="shared" si="493"/>
        <v>0</v>
      </c>
      <c r="J469" s="1">
        <f t="shared" si="493"/>
        <v>0</v>
      </c>
      <c r="K469" s="1">
        <f t="shared" si="493"/>
        <v>0</v>
      </c>
      <c r="L469" s="1">
        <f t="shared" ref="L469:O469" si="494">IFERROR(L309/L301,0)*L465</f>
        <v>0</v>
      </c>
      <c r="M469" s="1">
        <f t="shared" si="494"/>
        <v>0</v>
      </c>
      <c r="N469" s="1">
        <f t="shared" si="494"/>
        <v>0</v>
      </c>
      <c r="O469" s="1">
        <f t="shared" si="494"/>
        <v>0</v>
      </c>
      <c r="P469" s="1">
        <f>IFERROR(P309/P301,0)*P465</f>
        <v>0</v>
      </c>
      <c r="Q469" s="1">
        <f>IFERROR(Q309/Q301,0)*Q465</f>
        <v>0</v>
      </c>
      <c r="S469" s="3"/>
    </row>
    <row r="470" spans="1:19" x14ac:dyDescent="0.5">
      <c r="A470" s="5"/>
      <c r="B470" s="5" t="s">
        <v>6</v>
      </c>
      <c r="C470" s="5" t="s">
        <v>7</v>
      </c>
      <c r="D470" t="s">
        <v>892</v>
      </c>
      <c r="E470" t="str">
        <f>E401</f>
        <v>PJ/yr.</v>
      </c>
      <c r="F470" s="1">
        <f>SUM(F471:F480)</f>
        <v>3.7376112886102635</v>
      </c>
      <c r="G470" s="1">
        <f t="shared" ref="G470:K470" si="495">SUM(G471:G480)</f>
        <v>3.0036428521846865</v>
      </c>
      <c r="H470" s="1">
        <f t="shared" si="495"/>
        <v>3.4988149838791669</v>
      </c>
      <c r="I470" s="1">
        <f t="shared" si="495"/>
        <v>3.2446278958961172</v>
      </c>
      <c r="J470" s="1">
        <f t="shared" si="495"/>
        <v>3.5855145159980983</v>
      </c>
      <c r="K470" s="1">
        <f t="shared" si="495"/>
        <v>2.6583228501661949</v>
      </c>
      <c r="L470" s="1">
        <f t="shared" ref="L470:O470" si="496">SUM(L471:L480)</f>
        <v>1.5970303107349606</v>
      </c>
      <c r="M470" s="1">
        <f t="shared" si="496"/>
        <v>2.5556907994957707</v>
      </c>
      <c r="N470" s="1">
        <f t="shared" si="496"/>
        <v>2.8980150716636146</v>
      </c>
      <c r="O470" s="1">
        <f t="shared" si="496"/>
        <v>3.0070617237004282</v>
      </c>
      <c r="P470" s="1">
        <f>SUM(P471:P480)</f>
        <v>3.4323406303743864</v>
      </c>
      <c r="Q470" s="1">
        <f>SUM(Q471:Q480)</f>
        <v>4.2459533788100394</v>
      </c>
      <c r="S470" s="3"/>
    </row>
    <row r="471" spans="1:19" x14ac:dyDescent="0.5">
      <c r="A471" s="5"/>
      <c r="B471" s="5" t="s">
        <v>6</v>
      </c>
      <c r="C471" s="5" t="s">
        <v>7</v>
      </c>
      <c r="D471" t="s">
        <v>207</v>
      </c>
      <c r="E471" t="str">
        <f>E402</f>
        <v>PJ/yr.</v>
      </c>
      <c r="F471" s="1">
        <f>'[1]Electricity and CHPs_IN'!B$39-F316</f>
        <v>1.0504161588948873</v>
      </c>
      <c r="G471" s="1">
        <f>'[1]Electricity and CHPs_IN'!C$39-G316</f>
        <v>0.13282772483247823</v>
      </c>
      <c r="H471" s="1">
        <f>'[1]Electricity and CHPs_IN'!D$39-H316</f>
        <v>9.0893966989740047E-2</v>
      </c>
      <c r="I471" s="1">
        <f>'[1]Electricity and CHPs_IN'!E$39-I316</f>
        <v>0.11550230937841267</v>
      </c>
      <c r="J471" s="1">
        <f>'[1]Electricity and CHPs_IN'!F$39-J316</f>
        <v>0.65454956424579347</v>
      </c>
      <c r="K471" s="1">
        <f>'[1]Electricity and CHPs_IN'!G$39-K316</f>
        <v>0.52657706154686879</v>
      </c>
      <c r="L471" s="1">
        <f>'[1]Electricity and CHPs_IN'!H$39-L316</f>
        <v>0.17303977385651531</v>
      </c>
      <c r="M471" s="1">
        <f>'[1]Electricity and CHPs_IN'!I$39-M316</f>
        <v>0.81912370604332119</v>
      </c>
      <c r="N471" s="1">
        <f>'[1]Electricity and CHPs_IN'!J$39-N316</f>
        <v>1.0115982064223714</v>
      </c>
      <c r="O471" s="1">
        <f>'[1]Electricity and CHPs_IN'!K$39-O316</f>
        <v>0.96407827194415019</v>
      </c>
      <c r="P471" s="1">
        <f>'[1]Electricity and CHPs_IN'!L$39-P316</f>
        <v>1.0193231121302953</v>
      </c>
      <c r="Q471" s="1">
        <f>'[1]Electricity and CHPs_IN'!M$39-Q316</f>
        <v>1.0271580059481074</v>
      </c>
      <c r="S471" s="3"/>
    </row>
    <row r="472" spans="1:19" x14ac:dyDescent="0.5">
      <c r="A472" s="5"/>
      <c r="B472" s="5" t="s">
        <v>6</v>
      </c>
      <c r="C472" s="5" t="s">
        <v>7</v>
      </c>
      <c r="D472" t="s">
        <v>208</v>
      </c>
      <c r="E472" t="str">
        <f>E403</f>
        <v>PJ/yr.</v>
      </c>
      <c r="F472" s="6">
        <f>'[1]Electricity and CHPs_IN'!B$40-F317</f>
        <v>0</v>
      </c>
      <c r="G472" s="6">
        <f>'[1]Electricity and CHPs_IN'!C$40-G317</f>
        <v>0</v>
      </c>
      <c r="H472" s="6">
        <f>'[1]Electricity and CHPs_IN'!D$40-H317</f>
        <v>0</v>
      </c>
      <c r="I472" s="6">
        <f>'[1]Electricity and CHPs_IN'!E$40-I317</f>
        <v>0</v>
      </c>
      <c r="J472" s="6">
        <f>'[1]Electricity and CHPs_IN'!F$40-J317</f>
        <v>0</v>
      </c>
      <c r="K472" s="6">
        <f>'[1]Electricity and CHPs_IN'!G$40-K317</f>
        <v>7.2907916438769869E-3</v>
      </c>
      <c r="L472" s="6">
        <f>'[1]Electricity and CHPs_IN'!H$40-L317</f>
        <v>7.5327190983704734E-3</v>
      </c>
      <c r="M472" s="6">
        <f>'[1]Electricity and CHPs_IN'!I$40-M317</f>
        <v>0.32017286761803965</v>
      </c>
      <c r="N472" s="6">
        <f>'[1]Electricity and CHPs_IN'!J$40-N317</f>
        <v>0.39469507069915044</v>
      </c>
      <c r="O472" s="6">
        <f>'[1]Electricity and CHPs_IN'!K$40-O317</f>
        <v>0.3769658791822611</v>
      </c>
      <c r="P472" s="6">
        <f>'[1]Electricity and CHPs_IN'!L$40-P317</f>
        <v>0.39838340306650322</v>
      </c>
      <c r="Q472" s="6">
        <f>'[1]Electricity and CHPs_IN'!M$40-Q317</f>
        <v>0.40135578978758724</v>
      </c>
      <c r="S472" s="3"/>
    </row>
    <row r="473" spans="1:19" x14ac:dyDescent="0.5">
      <c r="A473" s="5"/>
      <c r="B473" s="5" t="s">
        <v>6</v>
      </c>
      <c r="C473" s="5" t="s">
        <v>7</v>
      </c>
      <c r="D473" t="s">
        <v>209</v>
      </c>
      <c r="E473" t="str">
        <f>E404</f>
        <v>PJ/yr.</v>
      </c>
      <c r="F473" s="6">
        <f>'[1]Electricity and CHPs_IN'!$B$47-F318</f>
        <v>0</v>
      </c>
      <c r="G473" s="6">
        <f>'[1]Electricity and CHPs_IN'!$B$47-G318</f>
        <v>0</v>
      </c>
      <c r="H473" s="6">
        <f>'[1]Electricity and CHPs_IN'!$B$47-H318</f>
        <v>0</v>
      </c>
      <c r="I473" s="6">
        <f>'[1]Electricity and CHPs_IN'!$B$47-I318</f>
        <v>0</v>
      </c>
      <c r="J473" s="6">
        <f>'[1]Electricity and CHPs_IN'!$B$47-J318</f>
        <v>0</v>
      </c>
      <c r="K473" s="6">
        <f>'[1]Electricity and CHPs_IN'!$B$47-K318</f>
        <v>0</v>
      </c>
      <c r="L473" s="6">
        <f>'[1]Electricity and CHPs_IN'!$B$47-L318</f>
        <v>0</v>
      </c>
      <c r="M473" s="6">
        <f>'[1]Electricity and CHPs_IN'!$B$47-M318</f>
        <v>0</v>
      </c>
      <c r="N473" s="6">
        <f>'[1]Electricity and CHPs_IN'!$B$47-N318</f>
        <v>0</v>
      </c>
      <c r="O473" s="6">
        <f>'[1]Electricity and CHPs_IN'!$B$47-O318</f>
        <v>0</v>
      </c>
      <c r="P473" s="6">
        <f>'[1]Electricity and CHPs_IN'!$B$47-P318</f>
        <v>0</v>
      </c>
      <c r="Q473" s="6">
        <f>'[1]Electricity and CHPs_IN'!$B$47-Q318</f>
        <v>0</v>
      </c>
      <c r="S473" s="3"/>
    </row>
    <row r="474" spans="1:19" x14ac:dyDescent="0.5">
      <c r="A474" s="5"/>
      <c r="B474" s="5" t="s">
        <v>6</v>
      </c>
      <c r="C474" s="5" t="s">
        <v>7</v>
      </c>
      <c r="D474" t="s">
        <v>210</v>
      </c>
      <c r="E474" t="str">
        <f>E429</f>
        <v>PJ/yr.</v>
      </c>
      <c r="F474" s="1">
        <f>'[1]Electricity and CHPs_IN'!B$48-F319</f>
        <v>8.1993848755330709E-2</v>
      </c>
      <c r="G474" s="1">
        <f>'[1]Electricity and CHPs_IN'!C$48-G319</f>
        <v>4.3467725020198564E-2</v>
      </c>
      <c r="H474" s="1">
        <f>'[1]Electricity and CHPs_IN'!D$48-H319</f>
        <v>5.727099032092229E-2</v>
      </c>
      <c r="I474" s="1">
        <f>'[1]Electricity and CHPs_IN'!E$48-I319</f>
        <v>3.4760790927913621E-2</v>
      </c>
      <c r="J474" s="1">
        <f>'[1]Electricity and CHPs_IN'!F$48-J319</f>
        <v>3.1114725179993492E-2</v>
      </c>
      <c r="K474" s="1">
        <f>'[1]Electricity and CHPs_IN'!G$48-K319</f>
        <v>1.4021744474585176E-2</v>
      </c>
      <c r="L474" s="1">
        <f>'[1]Electricity and CHPs_IN'!H$48-L319</f>
        <v>0</v>
      </c>
      <c r="M474" s="1">
        <f>'[1]Electricity and CHPs_IN'!I$48-M319</f>
        <v>0</v>
      </c>
      <c r="N474" s="1">
        <f>'[1]Electricity and CHPs_IN'!J$48-N319</f>
        <v>2.0253700229814865E-2</v>
      </c>
      <c r="O474" s="1">
        <f>'[1]Electricity and CHPs_IN'!K$48-O319</f>
        <v>2.8122778449821303E-2</v>
      </c>
      <c r="P474" s="1">
        <f>'[1]Electricity and CHPs_IN'!L$48-P319</f>
        <v>7.5469810061036979E-2</v>
      </c>
      <c r="Q474" s="1">
        <f>'[1]Electricity and CHPs_IN'!M$48-Q319</f>
        <v>8.9376396759972859E-2</v>
      </c>
      <c r="S474" s="3"/>
    </row>
    <row r="475" spans="1:19" x14ac:dyDescent="0.5">
      <c r="A475" s="5"/>
      <c r="B475" s="5" t="s">
        <v>6</v>
      </c>
      <c r="C475" s="5" t="s">
        <v>7</v>
      </c>
      <c r="D475" t="s">
        <v>211</v>
      </c>
      <c r="E475" t="str">
        <f>E431</f>
        <v>PJ/yr.</v>
      </c>
      <c r="F475" s="6">
        <f>'[1]Electricity and CHPs_IN'!B$49-F320</f>
        <v>0</v>
      </c>
      <c r="G475" s="6">
        <f>'[1]Electricity and CHPs_IN'!C$49-G320</f>
        <v>0</v>
      </c>
      <c r="H475" s="6">
        <f>'[1]Electricity and CHPs_IN'!D$49-H320</f>
        <v>0</v>
      </c>
      <c r="I475" s="6">
        <f>'[1]Electricity and CHPs_IN'!E$49-I320</f>
        <v>0</v>
      </c>
      <c r="J475" s="6">
        <f>'[1]Electricity and CHPs_IN'!F$49-J320</f>
        <v>0</v>
      </c>
      <c r="K475" s="6">
        <f>'[1]Electricity and CHPs_IN'!G$49-K320</f>
        <v>0</v>
      </c>
      <c r="L475" s="6">
        <f>'[1]Electricity and CHPs_IN'!H$49-L320</f>
        <v>0</v>
      </c>
      <c r="M475" s="6">
        <f>'[1]Electricity and CHPs_IN'!I$49-M320</f>
        <v>0</v>
      </c>
      <c r="N475" s="6">
        <f>'[1]Electricity and CHPs_IN'!J$49-N320</f>
        <v>0</v>
      </c>
      <c r="O475" s="6">
        <f>'[1]Electricity and CHPs_IN'!K$49-O320</f>
        <v>0</v>
      </c>
      <c r="P475" s="6">
        <f>'[1]Electricity and CHPs_IN'!L$49-P320</f>
        <v>0</v>
      </c>
      <c r="Q475" s="6">
        <f>'[1]Electricity and CHPs_IN'!M$49-Q320</f>
        <v>0</v>
      </c>
      <c r="S475" s="3"/>
    </row>
    <row r="476" spans="1:19" x14ac:dyDescent="0.5">
      <c r="A476" s="5"/>
      <c r="B476" s="5" t="s">
        <v>6</v>
      </c>
      <c r="C476" s="5" t="s">
        <v>7</v>
      </c>
      <c r="D476" t="s">
        <v>212</v>
      </c>
      <c r="E476" t="str">
        <f>E432</f>
        <v>PJ/yr.</v>
      </c>
      <c r="F476" s="1">
        <f>'[1]Electricity and CHPs_IN'!B$51-F321</f>
        <v>0.10535073718632729</v>
      </c>
      <c r="G476" s="1">
        <f>'[1]Electricity and CHPs_IN'!C$51-G321</f>
        <v>8.6144894681577225E-2</v>
      </c>
      <c r="H476" s="1">
        <f>'[1]Electricity and CHPs_IN'!D$51-H321</f>
        <v>0.35487108973458492</v>
      </c>
      <c r="I476" s="1">
        <f>'[1]Electricity and CHPs_IN'!E$51-I321</f>
        <v>0.3353898412342935</v>
      </c>
      <c r="J476" s="1">
        <f>'[1]Electricity and CHPs_IN'!F$51-J321</f>
        <v>0.33300691294082296</v>
      </c>
      <c r="K476" s="1">
        <f>'[1]Electricity and CHPs_IN'!G$51-K321</f>
        <v>0.14904104292317152</v>
      </c>
      <c r="L476" s="1">
        <f>'[1]Electricity and CHPs_IN'!H$51-L321</f>
        <v>0</v>
      </c>
      <c r="M476" s="1">
        <f>'[1]Electricity and CHPs_IN'!I$51-M321</f>
        <v>0</v>
      </c>
      <c r="N476" s="1">
        <f>'[1]Electricity and CHPs_IN'!J$51-N321</f>
        <v>3.7507340340678791E-2</v>
      </c>
      <c r="O476" s="1">
        <f>'[1]Electricity and CHPs_IN'!K$51-O321</f>
        <v>0.20224097235493446</v>
      </c>
      <c r="P476" s="1">
        <f>'[1]Electricity and CHPs_IN'!L$51-P321</f>
        <v>0.27495453913018014</v>
      </c>
      <c r="Q476" s="1">
        <f>'[1]Electricity and CHPs_IN'!M$51-Q321</f>
        <v>0.47246413170008172</v>
      </c>
      <c r="S476" s="3"/>
    </row>
    <row r="477" spans="1:19" x14ac:dyDescent="0.5">
      <c r="A477" s="5"/>
      <c r="B477" s="5" t="s">
        <v>6</v>
      </c>
      <c r="C477" s="5" t="s">
        <v>7</v>
      </c>
      <c r="D477" t="s">
        <v>213</v>
      </c>
      <c r="E477" t="str">
        <f>E434</f>
        <v>PJ/yr.</v>
      </c>
      <c r="F477" s="1">
        <f>'[1]Electricity and CHPs_IN'!B$52-F322</f>
        <v>0</v>
      </c>
      <c r="G477" s="1">
        <f>'[1]Electricity and CHPs_IN'!C$52-G322</f>
        <v>0</v>
      </c>
      <c r="H477" s="1">
        <f>'[1]Electricity and CHPs_IN'!D$52-H322</f>
        <v>0</v>
      </c>
      <c r="I477" s="1">
        <f>'[1]Electricity and CHPs_IN'!E$52-I322</f>
        <v>0</v>
      </c>
      <c r="J477" s="1">
        <f>'[1]Electricity and CHPs_IN'!F$52-J322</f>
        <v>0</v>
      </c>
      <c r="K477" s="1">
        <f>'[1]Electricity and CHPs_IN'!G$52-K322</f>
        <v>0</v>
      </c>
      <c r="L477" s="1">
        <f>'[1]Electricity and CHPs_IN'!H$52-L322</f>
        <v>0</v>
      </c>
      <c r="M477" s="1">
        <f>'[1]Electricity and CHPs_IN'!I$52-M322</f>
        <v>0</v>
      </c>
      <c r="N477" s="1">
        <f>'[1]Electricity and CHPs_IN'!J$52-N322</f>
        <v>0</v>
      </c>
      <c r="O477" s="1">
        <f>'[1]Electricity and CHPs_IN'!K$52-O322</f>
        <v>0</v>
      </c>
      <c r="P477" s="1">
        <f>'[1]Electricity and CHPs_IN'!L$52-P322</f>
        <v>0</v>
      </c>
      <c r="Q477" s="1">
        <f>'[1]Electricity and CHPs_IN'!M$52-Q322</f>
        <v>0</v>
      </c>
      <c r="S477" s="3"/>
    </row>
    <row r="478" spans="1:19" x14ac:dyDescent="0.5">
      <c r="A478" s="5"/>
      <c r="B478" s="5" t="s">
        <v>6</v>
      </c>
      <c r="C478" s="5" t="s">
        <v>7</v>
      </c>
      <c r="D478" t="s">
        <v>214</v>
      </c>
      <c r="E478" t="str">
        <f>E458</f>
        <v>PJ/yr.</v>
      </c>
      <c r="F478" s="1">
        <f>'[1]Electricity and CHPs_IN'!B$54-F323</f>
        <v>1.5807490161845603</v>
      </c>
      <c r="G478" s="1">
        <f>'[1]Electricity and CHPs_IN'!C$54-G323</f>
        <v>1.7931376683147577</v>
      </c>
      <c r="H478" s="1">
        <f>'[1]Electricity and CHPs_IN'!D$54-H323</f>
        <v>1.7560820334267073</v>
      </c>
      <c r="I478" s="1">
        <f>'[1]Electricity and CHPs_IN'!E$54-I323</f>
        <v>1.6659329552466204</v>
      </c>
      <c r="J478" s="1">
        <f>'[1]Electricity and CHPs_IN'!F$54-J323</f>
        <v>1.5528142699009557</v>
      </c>
      <c r="K478" s="1">
        <f>'[1]Electricity and CHPs_IN'!G$54-K323</f>
        <v>1.4190585336493973</v>
      </c>
      <c r="L478" s="1">
        <f>'[1]Electricity and CHPs_IN'!H$54-L323</f>
        <v>1.4164578177800748</v>
      </c>
      <c r="M478" s="1">
        <f>'[1]Electricity and CHPs_IN'!I$54-M323</f>
        <v>1.4163942258344098</v>
      </c>
      <c r="N478" s="1">
        <f>'[1]Electricity and CHPs_IN'!J$54-N323</f>
        <v>1.4171508446742416</v>
      </c>
      <c r="O478" s="1">
        <f>'[1]Electricity and CHPs_IN'!K$54-O323</f>
        <v>1.4162012602197476</v>
      </c>
      <c r="P478" s="1">
        <f>'[1]Electricity and CHPs_IN'!L$54-P323</f>
        <v>1.6333183466309307</v>
      </c>
      <c r="Q478" s="1">
        <f>'[1]Electricity and CHPs_IN'!M$54-Q323</f>
        <v>2.2024430179572776</v>
      </c>
      <c r="S478" s="3"/>
    </row>
    <row r="479" spans="1:19" x14ac:dyDescent="0.5">
      <c r="A479" s="5"/>
      <c r="B479" s="5" t="s">
        <v>6</v>
      </c>
      <c r="C479" s="5" t="s">
        <v>7</v>
      </c>
      <c r="D479" t="s">
        <v>215</v>
      </c>
      <c r="E479" t="str">
        <f>E460</f>
        <v>PJ/yr.</v>
      </c>
      <c r="F479" s="1">
        <f>'[1]Electricity and CHPs_IN'!B$55-F324</f>
        <v>0.91910152758915808</v>
      </c>
      <c r="G479" s="1">
        <f>'[1]Electricity and CHPs_IN'!C$55-G324</f>
        <v>0.94806483933567476</v>
      </c>
      <c r="H479" s="1">
        <f>'[1]Electricity and CHPs_IN'!D$55-H324</f>
        <v>1.2396969034072125</v>
      </c>
      <c r="I479" s="1">
        <f>'[1]Electricity and CHPs_IN'!E$55-I324</f>
        <v>1.0930419991088769</v>
      </c>
      <c r="J479" s="1">
        <f>'[1]Electricity and CHPs_IN'!F$55-J324</f>
        <v>1.0140290437305326</v>
      </c>
      <c r="K479" s="1">
        <f>'[1]Electricity and CHPs_IN'!G$55-K324</f>
        <v>0.54233367592829529</v>
      </c>
      <c r="L479" s="1">
        <f>'[1]Electricity and CHPs_IN'!H$55-L324</f>
        <v>0</v>
      </c>
      <c r="M479" s="1">
        <f>'[1]Electricity and CHPs_IN'!I$55-M324</f>
        <v>0</v>
      </c>
      <c r="N479" s="1">
        <f>'[1]Electricity and CHPs_IN'!J$55-N324</f>
        <v>1.5100484162799894E-2</v>
      </c>
      <c r="O479" s="1">
        <f>'[1]Electricity and CHPs_IN'!K$55-O324</f>
        <v>1.7282960588917533E-2</v>
      </c>
      <c r="P479" s="1">
        <f>'[1]Electricity and CHPs_IN'!L$55-P324</f>
        <v>2.7161901472780279E-2</v>
      </c>
      <c r="Q479" s="1">
        <f>'[1]Electricity and CHPs_IN'!M$55-Q324</f>
        <v>4.5125358665679599E-2</v>
      </c>
      <c r="S479" s="3"/>
    </row>
    <row r="480" spans="1:19" x14ac:dyDescent="0.5">
      <c r="A480" s="5"/>
      <c r="B480" s="5" t="s">
        <v>6</v>
      </c>
      <c r="C480" s="5" t="s">
        <v>7</v>
      </c>
      <c r="D480" t="s">
        <v>216</v>
      </c>
      <c r="E480" t="str">
        <f>E462</f>
        <v>PJ/yr.</v>
      </c>
      <c r="F480" s="1">
        <f>'[1]Electricity and CHPs_IN'!B$58-F325</f>
        <v>0</v>
      </c>
      <c r="G480" s="1">
        <f>'[1]Electricity and CHPs_IN'!C$58-G325</f>
        <v>0</v>
      </c>
      <c r="H480" s="1">
        <f>'[1]Electricity and CHPs_IN'!D$58-H325</f>
        <v>0</v>
      </c>
      <c r="I480" s="1">
        <f>'[1]Electricity and CHPs_IN'!E$58-I325</f>
        <v>0</v>
      </c>
      <c r="J480" s="1">
        <f>'[1]Electricity and CHPs_IN'!F$58-J325</f>
        <v>0</v>
      </c>
      <c r="K480" s="1">
        <f>'[1]Electricity and CHPs_IN'!G$58-K325</f>
        <v>0</v>
      </c>
      <c r="L480" s="1">
        <f>'[1]Electricity and CHPs_IN'!H$58-L325</f>
        <v>0</v>
      </c>
      <c r="M480" s="1">
        <f>'[1]Electricity and CHPs_IN'!I$58-M325</f>
        <v>0</v>
      </c>
      <c r="N480" s="1">
        <f>'[1]Electricity and CHPs_IN'!J$58-N325</f>
        <v>1.709425134557691E-3</v>
      </c>
      <c r="O480" s="1">
        <f>'[1]Electricity and CHPs_IN'!K$58-O325</f>
        <v>2.1696009605959863E-3</v>
      </c>
      <c r="P480" s="1">
        <f>'[1]Electricity and CHPs_IN'!L$58-P325</f>
        <v>3.7295178826597958E-3</v>
      </c>
      <c r="Q480" s="1">
        <f>'[1]Electricity and CHPs_IN'!M$58-Q325</f>
        <v>8.0306779913332516E-3</v>
      </c>
      <c r="S480" s="3"/>
    </row>
    <row r="481" spans="1:19" x14ac:dyDescent="0.5">
      <c r="A481" s="5"/>
      <c r="B481" s="5" t="s">
        <v>6</v>
      </c>
      <c r="C481" s="5" t="s">
        <v>7</v>
      </c>
      <c r="D481" t="s">
        <v>895</v>
      </c>
      <c r="E481" t="str">
        <f>E402</f>
        <v>PJ/yr.</v>
      </c>
      <c r="F481" s="1">
        <f>SUM(F482:F491)</f>
        <v>2.1009835658241371</v>
      </c>
      <c r="G481" s="1">
        <f t="shared" ref="G481:K481" si="497">SUM(G482:G491)</f>
        <v>1.1627974474527034</v>
      </c>
      <c r="H481" s="1">
        <f t="shared" si="497"/>
        <v>1.6896433906512824</v>
      </c>
      <c r="I481" s="1">
        <f t="shared" si="497"/>
        <v>1.5656276200419406</v>
      </c>
      <c r="J481" s="1">
        <f t="shared" si="497"/>
        <v>1.913972210694195</v>
      </c>
      <c r="K481" s="1">
        <f t="shared" si="497"/>
        <v>1.0609931053022699</v>
      </c>
      <c r="L481" s="1">
        <f t="shared" ref="L481:O481" si="498">SUM(L482:L491)</f>
        <v>8.2439423673514062E-2</v>
      </c>
      <c r="M481" s="1">
        <f t="shared" si="498"/>
        <v>0.10591131237934204</v>
      </c>
      <c r="N481" s="1">
        <f t="shared" si="498"/>
        <v>4.6385450924257769E-2</v>
      </c>
      <c r="O481" s="1">
        <f t="shared" si="498"/>
        <v>7.0457296811344605E-2</v>
      </c>
      <c r="P481" s="1">
        <f>SUM(P482:P491)</f>
        <v>0.11707215420150396</v>
      </c>
      <c r="Q481" s="1">
        <f>SUM(Q482:Q491)</f>
        <v>0.19714888690948612</v>
      </c>
      <c r="S481" s="3"/>
    </row>
    <row r="482" spans="1:19" x14ac:dyDescent="0.5">
      <c r="A482" s="5"/>
      <c r="B482" s="5" t="s">
        <v>6</v>
      </c>
      <c r="C482" s="5" t="s">
        <v>7</v>
      </c>
      <c r="D482" t="s">
        <v>597</v>
      </c>
      <c r="E482" t="str">
        <f>E402</f>
        <v>PJ/yr.</v>
      </c>
      <c r="F482" s="1">
        <f t="shared" ref="F482:F488" si="499">F471-F493</f>
        <v>1.0232026009858699</v>
      </c>
      <c r="G482" s="1">
        <f t="shared" ref="G482:K482" si="500">G471-G493</f>
        <v>0.12759279468129225</v>
      </c>
      <c r="H482" s="1">
        <f t="shared" si="500"/>
        <v>8.8125028297891025E-2</v>
      </c>
      <c r="I482" s="1">
        <f t="shared" si="500"/>
        <v>0.11454626291959531</v>
      </c>
      <c r="J482" s="1">
        <f t="shared" si="500"/>
        <v>0.61631796370067093</v>
      </c>
      <c r="K482" s="1">
        <f t="shared" si="500"/>
        <v>0.45082765981827078</v>
      </c>
      <c r="L482" s="1">
        <f t="shared" ref="L482:O482" si="501">L471-L493</f>
        <v>7.9000400315071079E-2</v>
      </c>
      <c r="M482" s="1">
        <f t="shared" si="501"/>
        <v>7.6147395431266363E-2</v>
      </c>
      <c r="N482" s="1">
        <f t="shared" si="501"/>
        <v>3.1686523385380472E-2</v>
      </c>
      <c r="O482" s="1">
        <f t="shared" si="501"/>
        <v>4.2697867295739766E-2</v>
      </c>
      <c r="P482" s="1">
        <f t="shared" ref="P482:Q488" si="502">P471-P493</f>
        <v>6.6332892951253886E-2</v>
      </c>
      <c r="Q482" s="1">
        <f t="shared" si="502"/>
        <v>9.9095684285315677E-2</v>
      </c>
      <c r="S482" s="3"/>
    </row>
    <row r="483" spans="1:19" x14ac:dyDescent="0.5">
      <c r="A483" s="5"/>
      <c r="B483" s="5" t="s">
        <v>6</v>
      </c>
      <c r="C483" s="5" t="s">
        <v>7</v>
      </c>
      <c r="D483" t="s">
        <v>598</v>
      </c>
      <c r="E483" t="str">
        <f>E403</f>
        <v>PJ/yr.</v>
      </c>
      <c r="F483" s="1">
        <f t="shared" si="499"/>
        <v>0</v>
      </c>
      <c r="G483" s="1">
        <f t="shared" ref="G483:K483" si="503">G472-G494</f>
        <v>0</v>
      </c>
      <c r="H483" s="1">
        <f t="shared" si="503"/>
        <v>0</v>
      </c>
      <c r="I483" s="1">
        <f t="shared" si="503"/>
        <v>0</v>
      </c>
      <c r="J483" s="1">
        <f t="shared" si="503"/>
        <v>0</v>
      </c>
      <c r="K483" s="1">
        <f t="shared" si="503"/>
        <v>6.2419933853102537E-3</v>
      </c>
      <c r="L483" s="1">
        <f t="shared" ref="L483:O483" si="504">L472-L494</f>
        <v>3.43902335844299E-3</v>
      </c>
      <c r="M483" s="1">
        <f t="shared" si="504"/>
        <v>2.9763916948075675E-2</v>
      </c>
      <c r="N483" s="1">
        <f t="shared" si="504"/>
        <v>1.2363124517622115E-2</v>
      </c>
      <c r="O483" s="1">
        <f t="shared" si="504"/>
        <v>1.6695365462274958E-2</v>
      </c>
      <c r="P483" s="1">
        <f t="shared" si="502"/>
        <v>2.5924972478980401E-2</v>
      </c>
      <c r="Q483" s="1">
        <f t="shared" si="502"/>
        <v>3.8721040385760852E-2</v>
      </c>
      <c r="S483" s="3"/>
    </row>
    <row r="484" spans="1:19" x14ac:dyDescent="0.5">
      <c r="A484" s="5"/>
      <c r="B484" s="5" t="s">
        <v>6</v>
      </c>
      <c r="C484" s="5" t="s">
        <v>7</v>
      </c>
      <c r="D484" t="s">
        <v>599</v>
      </c>
      <c r="E484" t="str">
        <f>E404</f>
        <v>PJ/yr.</v>
      </c>
      <c r="F484" s="1">
        <f t="shared" si="499"/>
        <v>0</v>
      </c>
      <c r="G484" s="1">
        <f t="shared" ref="G484:K484" si="505">G473-G495</f>
        <v>0</v>
      </c>
      <c r="H484" s="1">
        <f t="shared" si="505"/>
        <v>0</v>
      </c>
      <c r="I484" s="1">
        <f t="shared" si="505"/>
        <v>0</v>
      </c>
      <c r="J484" s="1">
        <f t="shared" si="505"/>
        <v>0</v>
      </c>
      <c r="K484" s="1">
        <f t="shared" si="505"/>
        <v>0</v>
      </c>
      <c r="L484" s="1">
        <f t="shared" ref="L484:O484" si="506">L473-L495</f>
        <v>0</v>
      </c>
      <c r="M484" s="1">
        <f t="shared" si="506"/>
        <v>0</v>
      </c>
      <c r="N484" s="1">
        <f t="shared" si="506"/>
        <v>0</v>
      </c>
      <c r="O484" s="1">
        <f t="shared" si="506"/>
        <v>0</v>
      </c>
      <c r="P484" s="1">
        <f t="shared" si="502"/>
        <v>0</v>
      </c>
      <c r="Q484" s="1">
        <f t="shared" si="502"/>
        <v>0</v>
      </c>
      <c r="S484" s="3"/>
    </row>
    <row r="485" spans="1:19" x14ac:dyDescent="0.5">
      <c r="A485" s="5"/>
      <c r="B485" s="5" t="s">
        <v>6</v>
      </c>
      <c r="C485" s="5" t="s">
        <v>7</v>
      </c>
      <c r="D485" t="s">
        <v>600</v>
      </c>
      <c r="E485" t="str">
        <f>E429</f>
        <v>PJ/yr.</v>
      </c>
      <c r="F485" s="1">
        <f t="shared" si="499"/>
        <v>7.9869600825220863E-2</v>
      </c>
      <c r="G485" s="1">
        <f t="shared" ref="G485:K485" si="507">G474-G496</f>
        <v>4.175459995840379E-2</v>
      </c>
      <c r="H485" s="1">
        <f t="shared" si="507"/>
        <v>5.5526321601181913E-2</v>
      </c>
      <c r="I485" s="1">
        <f t="shared" si="507"/>
        <v>3.4473065675915036E-2</v>
      </c>
      <c r="J485" s="1">
        <f t="shared" si="507"/>
        <v>2.929734448167547E-2</v>
      </c>
      <c r="K485" s="1">
        <f t="shared" si="507"/>
        <v>1.2004682143725241E-2</v>
      </c>
      <c r="L485" s="1">
        <f t="shared" ref="L485:O485" si="508">L474-L496</f>
        <v>0</v>
      </c>
      <c r="M485" s="1">
        <f t="shared" si="508"/>
        <v>0</v>
      </c>
      <c r="N485" s="1">
        <f t="shared" si="508"/>
        <v>6.3441131261214936E-4</v>
      </c>
      <c r="O485" s="1">
        <f t="shared" si="508"/>
        <v>1.2455240380186937E-3</v>
      </c>
      <c r="P485" s="1">
        <f t="shared" si="502"/>
        <v>4.9112305727747607E-3</v>
      </c>
      <c r="Q485" s="1">
        <f t="shared" si="502"/>
        <v>8.6226414481481856E-3</v>
      </c>
      <c r="S485" s="3"/>
    </row>
    <row r="486" spans="1:19" x14ac:dyDescent="0.5">
      <c r="A486" s="5"/>
      <c r="B486" s="5" t="s">
        <v>6</v>
      </c>
      <c r="C486" s="5" t="s">
        <v>7</v>
      </c>
      <c r="D486" t="s">
        <v>601</v>
      </c>
      <c r="E486" t="str">
        <f>E431</f>
        <v>PJ/yr.</v>
      </c>
      <c r="F486" s="1">
        <f t="shared" si="499"/>
        <v>0</v>
      </c>
      <c r="G486" s="1">
        <f t="shared" ref="G486:K486" si="509">G475-G497</f>
        <v>0</v>
      </c>
      <c r="H486" s="1">
        <f t="shared" si="509"/>
        <v>0</v>
      </c>
      <c r="I486" s="1">
        <f t="shared" si="509"/>
        <v>0</v>
      </c>
      <c r="J486" s="1">
        <f t="shared" si="509"/>
        <v>0</v>
      </c>
      <c r="K486" s="1">
        <f t="shared" si="509"/>
        <v>0</v>
      </c>
      <c r="L486" s="1">
        <f t="shared" ref="L486:O486" si="510">L475-L497</f>
        <v>0</v>
      </c>
      <c r="M486" s="1">
        <f t="shared" si="510"/>
        <v>0</v>
      </c>
      <c r="N486" s="1">
        <f t="shared" si="510"/>
        <v>0</v>
      </c>
      <c r="O486" s="1">
        <f t="shared" si="510"/>
        <v>0</v>
      </c>
      <c r="P486" s="1">
        <f t="shared" si="502"/>
        <v>0</v>
      </c>
      <c r="Q486" s="1">
        <f t="shared" si="502"/>
        <v>0</v>
      </c>
      <c r="S486" s="3"/>
    </row>
    <row r="487" spans="1:19" x14ac:dyDescent="0.5">
      <c r="A487" s="5"/>
      <c r="B487" s="5" t="s">
        <v>6</v>
      </c>
      <c r="C487" s="5" t="s">
        <v>7</v>
      </c>
      <c r="D487" t="s">
        <v>602</v>
      </c>
      <c r="E487" t="str">
        <f>E433</f>
        <v>PJ/yr.</v>
      </c>
      <c r="F487" s="1">
        <f t="shared" si="499"/>
        <v>0.10262137286448171</v>
      </c>
      <c r="G487" s="1">
        <f t="shared" ref="G487:K487" si="511">G476-G498</f>
        <v>8.2749801472624951E-2</v>
      </c>
      <c r="H487" s="1">
        <f t="shared" si="511"/>
        <v>0.34406051205239796</v>
      </c>
      <c r="I487" s="1">
        <f t="shared" si="511"/>
        <v>0.33261372124361144</v>
      </c>
      <c r="J487" s="1">
        <f t="shared" si="511"/>
        <v>0.31355630450754446</v>
      </c>
      <c r="K487" s="1">
        <f t="shared" si="511"/>
        <v>0.12760112337697671</v>
      </c>
      <c r="L487" s="1">
        <f t="shared" ref="L487:O487" si="512">L476-L498</f>
        <v>0</v>
      </c>
      <c r="M487" s="1">
        <f t="shared" si="512"/>
        <v>0</v>
      </c>
      <c r="N487" s="1">
        <f t="shared" si="512"/>
        <v>1.1748510518138633E-3</v>
      </c>
      <c r="O487" s="1">
        <f t="shared" si="512"/>
        <v>8.9570094572908321E-3</v>
      </c>
      <c r="P487" s="1">
        <f t="shared" si="502"/>
        <v>1.7892785706061953E-2</v>
      </c>
      <c r="Q487" s="1">
        <f t="shared" si="502"/>
        <v>4.5581260292929415E-2</v>
      </c>
      <c r="S487" s="3"/>
    </row>
    <row r="488" spans="1:19" x14ac:dyDescent="0.5">
      <c r="A488" s="5"/>
      <c r="B488" s="5" t="s">
        <v>6</v>
      </c>
      <c r="C488" s="5" t="s">
        <v>7</v>
      </c>
      <c r="D488" t="s">
        <v>603</v>
      </c>
      <c r="E488" t="str">
        <f>E434</f>
        <v>PJ/yr.</v>
      </c>
      <c r="F488" s="1">
        <f t="shared" si="499"/>
        <v>0</v>
      </c>
      <c r="G488" s="1">
        <f t="shared" ref="G488:K488" si="513">G477-G499</f>
        <v>0</v>
      </c>
      <c r="H488" s="1">
        <f t="shared" si="513"/>
        <v>0</v>
      </c>
      <c r="I488" s="1">
        <f t="shared" si="513"/>
        <v>0</v>
      </c>
      <c r="J488" s="1">
        <f t="shared" si="513"/>
        <v>0</v>
      </c>
      <c r="K488" s="1">
        <f t="shared" si="513"/>
        <v>0</v>
      </c>
      <c r="L488" s="1">
        <f t="shared" ref="L488:O488" si="514">L477-L499</f>
        <v>0</v>
      </c>
      <c r="M488" s="1">
        <f t="shared" si="514"/>
        <v>0</v>
      </c>
      <c r="N488" s="1">
        <f t="shared" si="514"/>
        <v>0</v>
      </c>
      <c r="O488" s="1">
        <f t="shared" si="514"/>
        <v>0</v>
      </c>
      <c r="P488" s="1">
        <f t="shared" si="502"/>
        <v>0</v>
      </c>
      <c r="Q488" s="1">
        <f t="shared" si="502"/>
        <v>0</v>
      </c>
      <c r="S488" s="3"/>
    </row>
    <row r="489" spans="1:19" x14ac:dyDescent="0.5">
      <c r="A489" s="5"/>
      <c r="B489" s="5" t="s">
        <v>6</v>
      </c>
      <c r="C489" s="5" t="s">
        <v>7</v>
      </c>
      <c r="D489" t="s">
        <v>604</v>
      </c>
      <c r="E489" t="str">
        <f>E471</f>
        <v>PJ/yr.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S489" s="3"/>
    </row>
    <row r="490" spans="1:19" x14ac:dyDescent="0.5">
      <c r="A490" s="5"/>
      <c r="B490" s="5" t="s">
        <v>6</v>
      </c>
      <c r="C490" s="5" t="s">
        <v>7</v>
      </c>
      <c r="D490" t="s">
        <v>605</v>
      </c>
      <c r="E490" t="str">
        <f>E473</f>
        <v>PJ/yr.</v>
      </c>
      <c r="F490" s="1">
        <f>F479-F501</f>
        <v>0.89528999114856456</v>
      </c>
      <c r="G490" s="1">
        <f t="shared" ref="G490:K490" si="515">G479-G501</f>
        <v>0.91070025134038235</v>
      </c>
      <c r="H490" s="1">
        <f t="shared" si="515"/>
        <v>1.2019315286998116</v>
      </c>
      <c r="I490" s="1">
        <f t="shared" si="515"/>
        <v>1.0839945702028189</v>
      </c>
      <c r="J490" s="1">
        <f t="shared" si="515"/>
        <v>0.95480059800430417</v>
      </c>
      <c r="K490" s="1">
        <f t="shared" si="515"/>
        <v>0.4643176465779868</v>
      </c>
      <c r="L490" s="1">
        <f t="shared" ref="L490:O490" si="516">L479-L501</f>
        <v>0</v>
      </c>
      <c r="M490" s="1">
        <f t="shared" si="516"/>
        <v>0</v>
      </c>
      <c r="N490" s="1">
        <f t="shared" si="516"/>
        <v>4.7299594000599007E-4</v>
      </c>
      <c r="O490" s="1">
        <f t="shared" si="516"/>
        <v>7.6544154056596217E-4</v>
      </c>
      <c r="P490" s="1">
        <f>P479-P501</f>
        <v>1.7675725011090833E-3</v>
      </c>
      <c r="Q490" s="1">
        <f>Q479-Q501</f>
        <v>4.3534960246629575E-3</v>
      </c>
      <c r="S490" s="3"/>
    </row>
    <row r="491" spans="1:19" x14ac:dyDescent="0.5">
      <c r="A491" s="5"/>
      <c r="B491" s="5" t="s">
        <v>6</v>
      </c>
      <c r="C491" s="5" t="s">
        <v>7</v>
      </c>
      <c r="D491" t="s">
        <v>606</v>
      </c>
      <c r="E491" t="str">
        <f>E475</f>
        <v>PJ/yr.</v>
      </c>
      <c r="F491" s="1">
        <f>F480-F502</f>
        <v>0</v>
      </c>
      <c r="G491" s="1">
        <f t="shared" ref="G491:K491" si="517">G480-G502</f>
        <v>0</v>
      </c>
      <c r="H491" s="1">
        <f t="shared" si="517"/>
        <v>0</v>
      </c>
      <c r="I491" s="1">
        <f t="shared" si="517"/>
        <v>0</v>
      </c>
      <c r="J491" s="1">
        <f t="shared" si="517"/>
        <v>0</v>
      </c>
      <c r="K491" s="1">
        <f t="shared" si="517"/>
        <v>0</v>
      </c>
      <c r="L491" s="1">
        <f t="shared" ref="L491:O491" si="518">L480-L502</f>
        <v>0</v>
      </c>
      <c r="M491" s="1">
        <f t="shared" si="518"/>
        <v>0</v>
      </c>
      <c r="N491" s="1">
        <f t="shared" si="518"/>
        <v>5.3544716823176542E-5</v>
      </c>
      <c r="O491" s="1">
        <f t="shared" si="518"/>
        <v>9.6089017454387051E-5</v>
      </c>
      <c r="P491" s="1">
        <f>P480-P502</f>
        <v>2.4269999132388613E-4</v>
      </c>
      <c r="Q491" s="1">
        <f>Q480-Q502</f>
        <v>7.7476447266906345E-4</v>
      </c>
      <c r="S491" s="3"/>
    </row>
    <row r="492" spans="1:19" x14ac:dyDescent="0.5">
      <c r="A492" s="5"/>
      <c r="B492" s="5" t="s">
        <v>6</v>
      </c>
      <c r="C492" s="5" t="s">
        <v>7</v>
      </c>
      <c r="D492" t="s">
        <v>896</v>
      </c>
      <c r="E492" t="str">
        <f>E403</f>
        <v>PJ/yr.</v>
      </c>
      <c r="F492" s="1">
        <f>SUM(F493:F502)</f>
        <v>1.6366277227861266</v>
      </c>
      <c r="G492" s="1">
        <f t="shared" ref="G492:K492" si="519">SUM(G493:G502)</f>
        <v>1.8408454047319831</v>
      </c>
      <c r="H492" s="1">
        <f t="shared" si="519"/>
        <v>1.8091715932278847</v>
      </c>
      <c r="I492" s="1">
        <f t="shared" si="519"/>
        <v>1.6790002758541764</v>
      </c>
      <c r="J492" s="1">
        <f t="shared" si="519"/>
        <v>1.6715423053039031</v>
      </c>
      <c r="K492" s="1">
        <f t="shared" si="519"/>
        <v>1.5973297448639252</v>
      </c>
      <c r="L492" s="1">
        <f t="shared" ref="L492:O492" si="520">SUM(L493:L502)</f>
        <v>1.5145908870614466</v>
      </c>
      <c r="M492" s="1">
        <f t="shared" si="520"/>
        <v>2.4497794871164285</v>
      </c>
      <c r="N492" s="1">
        <f t="shared" si="520"/>
        <v>2.8516296207393568</v>
      </c>
      <c r="O492" s="1">
        <f t="shared" si="520"/>
        <v>2.9366044268890836</v>
      </c>
      <c r="P492" s="1">
        <f>SUM(P493:P502)</f>
        <v>3.3152684761728826</v>
      </c>
      <c r="Q492" s="1">
        <f>SUM(Q493:Q502)</f>
        <v>4.0488044919005537</v>
      </c>
      <c r="R492" s="8"/>
      <c r="S492" s="3"/>
    </row>
    <row r="493" spans="1:19" x14ac:dyDescent="0.5">
      <c r="A493" s="5"/>
      <c r="B493" s="5" t="s">
        <v>6</v>
      </c>
      <c r="C493" s="5" t="s">
        <v>7</v>
      </c>
      <c r="D493" t="s">
        <v>658</v>
      </c>
      <c r="E493" t="str">
        <f>E405</f>
        <v>PJ/yr.</v>
      </c>
      <c r="F493" s="1">
        <f t="shared" ref="F493:F499" si="521">IFERROR(F348/F316,0)*F471</f>
        <v>2.721355790901726E-2</v>
      </c>
      <c r="G493" s="1">
        <f t="shared" ref="G493:K493" si="522">IFERROR(G348/G316,0)*G471</f>
        <v>5.2349301511859809E-3</v>
      </c>
      <c r="H493" s="1">
        <f t="shared" si="522"/>
        <v>2.7689386918490254E-3</v>
      </c>
      <c r="I493" s="1">
        <f t="shared" si="522"/>
        <v>9.5604645881736746E-4</v>
      </c>
      <c r="J493" s="1">
        <f t="shared" si="522"/>
        <v>3.8231600545122583E-2</v>
      </c>
      <c r="K493" s="1">
        <f t="shared" si="522"/>
        <v>7.5749401728598037E-2</v>
      </c>
      <c r="L493" s="1">
        <f t="shared" ref="L493:O493" si="523">IFERROR(L348/L316,0)*L471</f>
        <v>9.4039373541444232E-2</v>
      </c>
      <c r="M493" s="1">
        <f t="shared" si="523"/>
        <v>0.74297631061205482</v>
      </c>
      <c r="N493" s="1">
        <f t="shared" si="523"/>
        <v>0.97991168303699094</v>
      </c>
      <c r="O493" s="1">
        <f t="shared" si="523"/>
        <v>0.92138040464841042</v>
      </c>
      <c r="P493" s="1">
        <f t="shared" ref="P493:Q499" si="524">IFERROR(P348/P316,0)*P471</f>
        <v>0.95299021917904136</v>
      </c>
      <c r="Q493" s="1">
        <f t="shared" si="524"/>
        <v>0.92806232166279168</v>
      </c>
      <c r="S493" s="3"/>
    </row>
    <row r="494" spans="1:19" x14ac:dyDescent="0.5">
      <c r="A494" s="5"/>
      <c r="B494" s="5" t="s">
        <v>6</v>
      </c>
      <c r="C494" s="5" t="s">
        <v>7</v>
      </c>
      <c r="D494" t="s">
        <v>659</v>
      </c>
      <c r="E494" t="str">
        <f>E406</f>
        <v>PJ/yr.</v>
      </c>
      <c r="F494" s="1">
        <f t="shared" si="521"/>
        <v>0</v>
      </c>
      <c r="G494" s="1">
        <f t="shared" ref="G494:K494" si="525">IFERROR(G349/G317,0)*G472</f>
        <v>0</v>
      </c>
      <c r="H494" s="1">
        <f t="shared" si="525"/>
        <v>0</v>
      </c>
      <c r="I494" s="1">
        <f t="shared" si="525"/>
        <v>0</v>
      </c>
      <c r="J494" s="1">
        <f t="shared" si="525"/>
        <v>0</v>
      </c>
      <c r="K494" s="1">
        <f t="shared" si="525"/>
        <v>1.0487982585667337E-3</v>
      </c>
      <c r="L494" s="1">
        <f t="shared" ref="L494:O494" si="526">IFERROR(L349/L317,0)*L472</f>
        <v>4.0936957399274835E-3</v>
      </c>
      <c r="M494" s="1">
        <f t="shared" si="526"/>
        <v>0.29040895066996397</v>
      </c>
      <c r="N494" s="1">
        <f t="shared" si="526"/>
        <v>0.38233194618152833</v>
      </c>
      <c r="O494" s="1">
        <f t="shared" si="526"/>
        <v>0.36027051371998614</v>
      </c>
      <c r="P494" s="1">
        <f t="shared" si="524"/>
        <v>0.37245843058752282</v>
      </c>
      <c r="Q494" s="1">
        <f t="shared" si="524"/>
        <v>0.36263474940182638</v>
      </c>
      <c r="S494" s="3"/>
    </row>
    <row r="495" spans="1:19" x14ac:dyDescent="0.5">
      <c r="A495" s="5"/>
      <c r="B495" s="5" t="s">
        <v>6</v>
      </c>
      <c r="C495" s="5" t="s">
        <v>7</v>
      </c>
      <c r="D495" t="s">
        <v>660</v>
      </c>
      <c r="E495" t="str">
        <f>E407</f>
        <v>PJ/yr.</v>
      </c>
      <c r="F495" s="1">
        <f t="shared" si="521"/>
        <v>0</v>
      </c>
      <c r="G495" s="1">
        <f t="shared" ref="G495:K495" si="527">IFERROR(G350/G318,0)*G473</f>
        <v>0</v>
      </c>
      <c r="H495" s="1">
        <f t="shared" si="527"/>
        <v>0</v>
      </c>
      <c r="I495" s="1">
        <f t="shared" si="527"/>
        <v>0</v>
      </c>
      <c r="J495" s="1">
        <f t="shared" si="527"/>
        <v>0</v>
      </c>
      <c r="K495" s="1">
        <f t="shared" si="527"/>
        <v>0</v>
      </c>
      <c r="L495" s="1">
        <f t="shared" ref="L495:O495" si="528">IFERROR(L350/L318,0)*L473</f>
        <v>0</v>
      </c>
      <c r="M495" s="1">
        <f t="shared" si="528"/>
        <v>0</v>
      </c>
      <c r="N495" s="1">
        <f t="shared" si="528"/>
        <v>0</v>
      </c>
      <c r="O495" s="1">
        <f t="shared" si="528"/>
        <v>0</v>
      </c>
      <c r="P495" s="1">
        <f t="shared" si="524"/>
        <v>0</v>
      </c>
      <c r="Q495" s="1">
        <f t="shared" si="524"/>
        <v>0</v>
      </c>
      <c r="S495" s="3"/>
    </row>
    <row r="496" spans="1:19" x14ac:dyDescent="0.5">
      <c r="A496" s="5"/>
      <c r="B496" s="5" t="s">
        <v>6</v>
      </c>
      <c r="C496" s="5" t="s">
        <v>7</v>
      </c>
      <c r="D496" t="s">
        <v>661</v>
      </c>
      <c r="E496" t="str">
        <f>E435</f>
        <v>PJ/yr.</v>
      </c>
      <c r="F496" s="1">
        <f t="shared" si="521"/>
        <v>2.124247930109843E-3</v>
      </c>
      <c r="G496" s="1">
        <f t="shared" ref="G496:K496" si="529">IFERROR(G351/G319,0)*G474</f>
        <v>1.7131250617947705E-3</v>
      </c>
      <c r="H496" s="1">
        <f t="shared" si="529"/>
        <v>1.7446687197403741E-3</v>
      </c>
      <c r="I496" s="1">
        <f t="shared" si="529"/>
        <v>2.8772525199858179E-4</v>
      </c>
      <c r="J496" s="1">
        <f t="shared" si="529"/>
        <v>1.817380698318021E-3</v>
      </c>
      <c r="K496" s="1">
        <f t="shared" si="529"/>
        <v>2.0170623308599345E-3</v>
      </c>
      <c r="L496" s="1">
        <f t="shared" ref="L496:O496" si="530">IFERROR(L351/L319,0)*L474</f>
        <v>0</v>
      </c>
      <c r="M496" s="1">
        <f t="shared" si="530"/>
        <v>0</v>
      </c>
      <c r="N496" s="1">
        <f t="shared" si="530"/>
        <v>1.9619288917202715E-2</v>
      </c>
      <c r="O496" s="1">
        <f t="shared" si="530"/>
        <v>2.6877254411802609E-2</v>
      </c>
      <c r="P496" s="1">
        <f t="shared" si="524"/>
        <v>7.0558579488262219E-2</v>
      </c>
      <c r="Q496" s="1">
        <f t="shared" si="524"/>
        <v>8.0753755311824674E-2</v>
      </c>
      <c r="S496" s="3"/>
    </row>
    <row r="497" spans="1:19" x14ac:dyDescent="0.5">
      <c r="A497" s="5"/>
      <c r="B497" s="5" t="s">
        <v>6</v>
      </c>
      <c r="C497" s="5" t="s">
        <v>7</v>
      </c>
      <c r="D497" t="s">
        <v>662</v>
      </c>
      <c r="E497" t="str">
        <f>E437</f>
        <v>PJ/yr.</v>
      </c>
      <c r="F497" s="1">
        <f t="shared" si="521"/>
        <v>0</v>
      </c>
      <c r="G497" s="1">
        <f t="shared" ref="G497:K497" si="531">IFERROR(G352/G320,0)*G475</f>
        <v>0</v>
      </c>
      <c r="H497" s="1">
        <f t="shared" si="531"/>
        <v>0</v>
      </c>
      <c r="I497" s="1">
        <f t="shared" si="531"/>
        <v>0</v>
      </c>
      <c r="J497" s="1">
        <f t="shared" si="531"/>
        <v>0</v>
      </c>
      <c r="K497" s="1">
        <f t="shared" si="531"/>
        <v>0</v>
      </c>
      <c r="L497" s="1">
        <f t="shared" ref="L497:O497" si="532">IFERROR(L352/L320,0)*L475</f>
        <v>0</v>
      </c>
      <c r="M497" s="1">
        <f t="shared" si="532"/>
        <v>0</v>
      </c>
      <c r="N497" s="1">
        <f t="shared" si="532"/>
        <v>0</v>
      </c>
      <c r="O497" s="1">
        <f t="shared" si="532"/>
        <v>0</v>
      </c>
      <c r="P497" s="1">
        <f t="shared" si="524"/>
        <v>0</v>
      </c>
      <c r="Q497" s="1">
        <f t="shared" si="524"/>
        <v>0</v>
      </c>
      <c r="S497" s="3"/>
    </row>
    <row r="498" spans="1:19" x14ac:dyDescent="0.5">
      <c r="A498" s="5"/>
      <c r="B498" s="5" t="s">
        <v>6</v>
      </c>
      <c r="C498" s="5" t="s">
        <v>7</v>
      </c>
      <c r="D498" t="s">
        <v>663</v>
      </c>
      <c r="E498" t="str">
        <f>E439</f>
        <v>PJ/yr.</v>
      </c>
      <c r="F498" s="1">
        <f t="shared" si="521"/>
        <v>2.7293643218455716E-3</v>
      </c>
      <c r="G498" s="1">
        <f t="shared" ref="G498:K498" si="533">IFERROR(G353/G321,0)*G476</f>
        <v>3.3950932089522779E-3</v>
      </c>
      <c r="H498" s="1">
        <f t="shared" si="533"/>
        <v>1.0810577682186984E-2</v>
      </c>
      <c r="I498" s="1">
        <f t="shared" si="533"/>
        <v>2.776119990682085E-3</v>
      </c>
      <c r="J498" s="1">
        <f t="shared" si="533"/>
        <v>1.9450608433278484E-2</v>
      </c>
      <c r="K498" s="1">
        <f t="shared" si="533"/>
        <v>2.1439919546194827E-2</v>
      </c>
      <c r="L498" s="1">
        <f t="shared" ref="L498:O498" si="534">IFERROR(L353/L321,0)*L476</f>
        <v>0</v>
      </c>
      <c r="M498" s="1">
        <f t="shared" si="534"/>
        <v>0</v>
      </c>
      <c r="N498" s="1">
        <f t="shared" si="534"/>
        <v>3.6332489288864928E-2</v>
      </c>
      <c r="O498" s="1">
        <f t="shared" si="534"/>
        <v>0.19328396289764363</v>
      </c>
      <c r="P498" s="1">
        <f t="shared" si="524"/>
        <v>0.25706175342411819</v>
      </c>
      <c r="Q498" s="1">
        <f t="shared" si="524"/>
        <v>0.42688287140715231</v>
      </c>
      <c r="S498" s="3"/>
    </row>
    <row r="499" spans="1:19" x14ac:dyDescent="0.5">
      <c r="A499" s="5"/>
      <c r="B499" s="5" t="s">
        <v>6</v>
      </c>
      <c r="C499" s="5" t="s">
        <v>7</v>
      </c>
      <c r="D499" t="s">
        <v>664</v>
      </c>
      <c r="E499" t="str">
        <f>E440</f>
        <v>PJ/yr.</v>
      </c>
      <c r="F499" s="1">
        <f t="shared" si="521"/>
        <v>0</v>
      </c>
      <c r="G499" s="1">
        <f t="shared" ref="G499:K499" si="535">IFERROR(G354/G322,0)*G477</f>
        <v>0</v>
      </c>
      <c r="H499" s="1">
        <f t="shared" si="535"/>
        <v>0</v>
      </c>
      <c r="I499" s="1">
        <f t="shared" si="535"/>
        <v>0</v>
      </c>
      <c r="J499" s="1">
        <f t="shared" si="535"/>
        <v>0</v>
      </c>
      <c r="K499" s="1">
        <f t="shared" si="535"/>
        <v>0</v>
      </c>
      <c r="L499" s="1">
        <f t="shared" ref="L499:O499" si="536">IFERROR(L354/L322,0)*L477</f>
        <v>0</v>
      </c>
      <c r="M499" s="1">
        <f t="shared" si="536"/>
        <v>0</v>
      </c>
      <c r="N499" s="1">
        <f t="shared" si="536"/>
        <v>0</v>
      </c>
      <c r="O499" s="1">
        <f t="shared" si="536"/>
        <v>0</v>
      </c>
      <c r="P499" s="1">
        <f t="shared" si="524"/>
        <v>0</v>
      </c>
      <c r="Q499" s="1">
        <f t="shared" si="524"/>
        <v>0</v>
      </c>
      <c r="S499" s="3"/>
    </row>
    <row r="500" spans="1:19" x14ac:dyDescent="0.5">
      <c r="A500" s="5"/>
      <c r="B500" s="5" t="s">
        <v>6</v>
      </c>
      <c r="C500" s="5" t="s">
        <v>7</v>
      </c>
      <c r="D500" t="s">
        <v>665</v>
      </c>
      <c r="E500" t="str">
        <f>E463</f>
        <v>PJ/yr.</v>
      </c>
      <c r="F500" s="1">
        <f>F478</f>
        <v>1.5807490161845603</v>
      </c>
      <c r="G500" s="1">
        <f t="shared" ref="G500:K500" si="537">G478</f>
        <v>1.7931376683147577</v>
      </c>
      <c r="H500" s="1">
        <f t="shared" si="537"/>
        <v>1.7560820334267073</v>
      </c>
      <c r="I500" s="1">
        <f t="shared" si="537"/>
        <v>1.6659329552466204</v>
      </c>
      <c r="J500" s="1">
        <f t="shared" si="537"/>
        <v>1.5528142699009557</v>
      </c>
      <c r="K500" s="1">
        <f t="shared" si="537"/>
        <v>1.4190585336493973</v>
      </c>
      <c r="L500" s="1">
        <f t="shared" ref="L500:O500" si="538">L478</f>
        <v>1.4164578177800748</v>
      </c>
      <c r="M500" s="1">
        <f t="shared" si="538"/>
        <v>1.4163942258344098</v>
      </c>
      <c r="N500" s="1">
        <f t="shared" si="538"/>
        <v>1.4171508446742416</v>
      </c>
      <c r="O500" s="1">
        <f t="shared" si="538"/>
        <v>1.4162012602197476</v>
      </c>
      <c r="P500" s="1">
        <f>P478</f>
        <v>1.6333183466309307</v>
      </c>
      <c r="Q500" s="1">
        <f>Q478</f>
        <v>2.2024430179572776</v>
      </c>
      <c r="S500" s="3"/>
    </row>
    <row r="501" spans="1:19" x14ac:dyDescent="0.5">
      <c r="A501" s="5"/>
      <c r="B501" s="5" t="s">
        <v>6</v>
      </c>
      <c r="C501" s="5" t="s">
        <v>7</v>
      </c>
      <c r="D501" t="s">
        <v>666</v>
      </c>
      <c r="E501" t="str">
        <f>E465</f>
        <v>PJ/yr.</v>
      </c>
      <c r="F501" s="1">
        <f>IFERROR(F356/F324,0)*F479</f>
        <v>2.381153644059348E-2</v>
      </c>
      <c r="G501" s="1">
        <f t="shared" ref="G501:K501" si="539">IFERROR(G356/G324,0)*G479</f>
        <v>3.7364587995292367E-2</v>
      </c>
      <c r="H501" s="1">
        <f t="shared" si="539"/>
        <v>3.7765374707400851E-2</v>
      </c>
      <c r="I501" s="1">
        <f t="shared" si="539"/>
        <v>9.0474289060579263E-3</v>
      </c>
      <c r="J501" s="1">
        <f t="shared" si="539"/>
        <v>5.9228445726228422E-2</v>
      </c>
      <c r="K501" s="1">
        <f t="shared" si="539"/>
        <v>7.8016029350308491E-2</v>
      </c>
      <c r="L501" s="1">
        <f t="shared" ref="L501:O501" si="540">IFERROR(L356/L324,0)*L479</f>
        <v>0</v>
      </c>
      <c r="M501" s="1">
        <f t="shared" si="540"/>
        <v>0</v>
      </c>
      <c r="N501" s="1">
        <f t="shared" si="540"/>
        <v>1.4627488222793904E-2</v>
      </c>
      <c r="O501" s="1">
        <f t="shared" si="540"/>
        <v>1.6517519048351571E-2</v>
      </c>
      <c r="P501" s="1">
        <f>IFERROR(P356/P324,0)*P479</f>
        <v>2.5394328971671196E-2</v>
      </c>
      <c r="Q501" s="1">
        <f>IFERROR(Q356/Q324,0)*Q479</f>
        <v>4.0771862641016642E-2</v>
      </c>
      <c r="S501" s="3"/>
    </row>
    <row r="502" spans="1:19" x14ac:dyDescent="0.5">
      <c r="A502" s="5"/>
      <c r="B502" s="5" t="s">
        <v>6</v>
      </c>
      <c r="C502" s="5" t="s">
        <v>7</v>
      </c>
      <c r="D502" t="s">
        <v>667</v>
      </c>
      <c r="E502" t="str">
        <f>E469</f>
        <v>PJ/yr.</v>
      </c>
      <c r="F502" s="1">
        <f>IFERROR(F357/F325,0)*F480</f>
        <v>0</v>
      </c>
      <c r="G502" s="1">
        <f t="shared" ref="G502:K502" si="541">IFERROR(G357/G325,0)*G480</f>
        <v>0</v>
      </c>
      <c r="H502" s="1">
        <f t="shared" si="541"/>
        <v>0</v>
      </c>
      <c r="I502" s="1">
        <f t="shared" si="541"/>
        <v>0</v>
      </c>
      <c r="J502" s="1">
        <f t="shared" si="541"/>
        <v>0</v>
      </c>
      <c r="K502" s="1">
        <f t="shared" si="541"/>
        <v>0</v>
      </c>
      <c r="L502" s="1">
        <f t="shared" ref="L502:O502" si="542">IFERROR(L357/L325,0)*L480</f>
        <v>0</v>
      </c>
      <c r="M502" s="1">
        <f t="shared" si="542"/>
        <v>0</v>
      </c>
      <c r="N502" s="1">
        <f t="shared" si="542"/>
        <v>1.6558804177345145E-3</v>
      </c>
      <c r="O502" s="1">
        <f t="shared" si="542"/>
        <v>2.0735119431415992E-3</v>
      </c>
      <c r="P502" s="1">
        <f>IFERROR(P357/P325,0)*P480</f>
        <v>3.4868178913359097E-3</v>
      </c>
      <c r="Q502" s="1">
        <f>IFERROR(Q357/Q325,0)*Q480</f>
        <v>7.2559135186641881E-3</v>
      </c>
      <c r="S502" s="3"/>
    </row>
    <row r="503" spans="1:19" x14ac:dyDescent="0.5">
      <c r="A503" s="5"/>
      <c r="B503" s="5" t="s">
        <v>6</v>
      </c>
      <c r="C503" s="5" t="s">
        <v>7</v>
      </c>
      <c r="D503" t="s">
        <v>897</v>
      </c>
      <c r="E503" t="str">
        <f>E407</f>
        <v>PJ/yr.</v>
      </c>
      <c r="F503" s="1">
        <f>SUM(F504:F505)</f>
        <v>3.3179262483409562</v>
      </c>
      <c r="G503" s="1">
        <f t="shared" ref="G503:K503" si="543">SUM(G504:G505)</f>
        <v>3.4972765815756595</v>
      </c>
      <c r="H503" s="1">
        <f t="shared" si="543"/>
        <v>4.7998860753775281</v>
      </c>
      <c r="I503" s="1">
        <f t="shared" si="543"/>
        <v>4.6785683029059042</v>
      </c>
      <c r="J503" s="1">
        <f t="shared" si="543"/>
        <v>4.5425629488695067</v>
      </c>
      <c r="K503" s="1">
        <f t="shared" si="543"/>
        <v>4.542152087337735</v>
      </c>
      <c r="L503" s="1">
        <f t="shared" ref="L503:O503" si="544">SUM(L504:L505)</f>
        <v>5.2571016008998761</v>
      </c>
      <c r="M503" s="1">
        <f t="shared" si="544"/>
        <v>11.695507105502152</v>
      </c>
      <c r="N503" s="1">
        <f t="shared" si="544"/>
        <v>10.623691777407563</v>
      </c>
      <c r="O503" s="1">
        <f t="shared" si="544"/>
        <v>10.627971455695608</v>
      </c>
      <c r="P503" s="1">
        <f>SUM(P504:P505)</f>
        <v>10.628919364583021</v>
      </c>
      <c r="Q503" s="1">
        <f>SUM(Q504:Q505)</f>
        <v>10.631139360752051</v>
      </c>
      <c r="S503" s="3"/>
    </row>
    <row r="504" spans="1:19" x14ac:dyDescent="0.5">
      <c r="A504" s="5"/>
      <c r="B504" s="5" t="s">
        <v>6</v>
      </c>
      <c r="C504" s="5" t="s">
        <v>7</v>
      </c>
      <c r="D504" t="s">
        <v>217</v>
      </c>
      <c r="E504" t="str">
        <f>E408</f>
        <v>PJ/yr.</v>
      </c>
      <c r="F504" s="6">
        <f>'[1]Electricity and CHPs_IN'!B$44-F363</f>
        <v>3.3179262483409562</v>
      </c>
      <c r="G504" s="6">
        <f>'[1]Electricity and CHPs_IN'!C$44-G363</f>
        <v>3.4972765815756595</v>
      </c>
      <c r="H504" s="6">
        <f>'[1]Electricity and CHPs_IN'!D$44-H363</f>
        <v>4.7998860753775281</v>
      </c>
      <c r="I504" s="6">
        <f>'[1]Electricity and CHPs_IN'!E$44-I363</f>
        <v>4.6785683029059042</v>
      </c>
      <c r="J504" s="6">
        <f>'[1]Electricity and CHPs_IN'!F$44-J363</f>
        <v>4.5425629488695067</v>
      </c>
      <c r="K504" s="6">
        <f>'[1]Electricity and CHPs_IN'!G$44-K363</f>
        <v>3.7752426807058224</v>
      </c>
      <c r="L504" s="6">
        <f>'[1]Electricity and CHPs_IN'!H$44-L363</f>
        <v>1.7071558038121368E-2</v>
      </c>
      <c r="M504" s="6">
        <f>'[1]Electricity and CHPs_IN'!I$44-M363</f>
        <v>8.5587660508911669E-3</v>
      </c>
      <c r="N504" s="6">
        <f>'[1]Electricity and CHPs_IN'!J$44-N363</f>
        <v>8.0462705405683118E-3</v>
      </c>
      <c r="O504" s="6">
        <f>'[1]Electricity and CHPs_IN'!K$44-O363</f>
        <v>4.3726855986176245E-3</v>
      </c>
      <c r="P504" s="6">
        <f>'[1]Electricity and CHPs_IN'!L$44-P363</f>
        <v>4.0990201055576192E-3</v>
      </c>
      <c r="Q504" s="6">
        <f>'[1]Electricity and CHPs_IN'!M$44-Q363</f>
        <v>2.611301832986382E-3</v>
      </c>
      <c r="S504" s="3"/>
    </row>
    <row r="505" spans="1:19" x14ac:dyDescent="0.5">
      <c r="A505" s="5"/>
      <c r="B505" s="5" t="s">
        <v>6</v>
      </c>
      <c r="C505" s="5" t="s">
        <v>7</v>
      </c>
      <c r="D505" t="s">
        <v>218</v>
      </c>
      <c r="E505" t="str">
        <f>E409</f>
        <v>PJ/yr.</v>
      </c>
      <c r="F505" s="1">
        <f>'[1]Electricity and CHPs_IN'!B$45</f>
        <v>0</v>
      </c>
      <c r="G505" s="1">
        <f>'[1]Electricity and CHPs_IN'!C$45</f>
        <v>0</v>
      </c>
      <c r="H505" s="1">
        <f>'[1]Electricity and CHPs_IN'!D$45</f>
        <v>0</v>
      </c>
      <c r="I505" s="1">
        <f>'[1]Electricity and CHPs_IN'!E$45</f>
        <v>0</v>
      </c>
      <c r="J505" s="1">
        <f>'[1]Electricity and CHPs_IN'!F$45</f>
        <v>0</v>
      </c>
      <c r="K505" s="1">
        <f>'[1]Electricity and CHPs_IN'!G$45</f>
        <v>0.76690940663191243</v>
      </c>
      <c r="L505" s="1">
        <f>'[1]Electricity and CHPs_IN'!H$45</f>
        <v>5.240030042861755</v>
      </c>
      <c r="M505" s="1">
        <f>'[1]Electricity and CHPs_IN'!I$45</f>
        <v>11.686948339451261</v>
      </c>
      <c r="N505" s="1">
        <f>'[1]Electricity and CHPs_IN'!J$45</f>
        <v>10.615645506866995</v>
      </c>
      <c r="O505" s="1">
        <f>'[1]Electricity and CHPs_IN'!K$45</f>
        <v>10.62359877009699</v>
      </c>
      <c r="P505" s="1">
        <f>'[1]Electricity and CHPs_IN'!L$45</f>
        <v>10.624820344477463</v>
      </c>
      <c r="Q505" s="1">
        <f>'[1]Electricity and CHPs_IN'!M$45</f>
        <v>10.628528058919064</v>
      </c>
      <c r="S505" s="3"/>
    </row>
    <row r="506" spans="1:19" x14ac:dyDescent="0.5">
      <c r="A506" s="5"/>
      <c r="B506" s="5" t="s">
        <v>6</v>
      </c>
      <c r="C506" s="5" t="s">
        <v>7</v>
      </c>
      <c r="D506" t="s">
        <v>898</v>
      </c>
      <c r="E506" t="str">
        <f>E409</f>
        <v>PJ/yr.</v>
      </c>
      <c r="F506" s="1">
        <f>SUM(F507:F508)</f>
        <v>0</v>
      </c>
      <c r="G506" s="1">
        <f t="shared" ref="G506:K506" si="545">SUM(G507:G508)</f>
        <v>0</v>
      </c>
      <c r="H506" s="1">
        <f t="shared" si="545"/>
        <v>0</v>
      </c>
      <c r="I506" s="1">
        <f t="shared" si="545"/>
        <v>0</v>
      </c>
      <c r="J506" s="1">
        <f t="shared" si="545"/>
        <v>0</v>
      </c>
      <c r="K506" s="1">
        <f t="shared" si="545"/>
        <v>0</v>
      </c>
      <c r="L506" s="1">
        <f t="shared" ref="L506:O506" si="546">SUM(L507:L508)</f>
        <v>0</v>
      </c>
      <c r="M506" s="1">
        <f t="shared" si="546"/>
        <v>0</v>
      </c>
      <c r="N506" s="1">
        <f t="shared" si="546"/>
        <v>0</v>
      </c>
      <c r="O506" s="1">
        <f t="shared" si="546"/>
        <v>0</v>
      </c>
      <c r="P506" s="1">
        <f>SUM(P507:P508)</f>
        <v>0</v>
      </c>
      <c r="Q506" s="1">
        <f>SUM(Q507:Q508)</f>
        <v>0</v>
      </c>
      <c r="S506" s="3"/>
    </row>
    <row r="507" spans="1:19" x14ac:dyDescent="0.5">
      <c r="A507" s="5"/>
      <c r="B507" s="5" t="s">
        <v>6</v>
      </c>
      <c r="C507" s="5" t="s">
        <v>7</v>
      </c>
      <c r="D507" t="s">
        <v>219</v>
      </c>
      <c r="E507" t="str">
        <f>E410</f>
        <v>PJ/yr.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S507" s="3"/>
    </row>
    <row r="508" spans="1:19" x14ac:dyDescent="0.5">
      <c r="A508" s="5"/>
      <c r="B508" s="5" t="s">
        <v>6</v>
      </c>
      <c r="C508" s="5" t="s">
        <v>7</v>
      </c>
      <c r="D508" t="s">
        <v>220</v>
      </c>
      <c r="E508" t="str">
        <f>E411</f>
        <v>PJ/yr.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S508" s="3"/>
    </row>
    <row r="509" spans="1:19" x14ac:dyDescent="0.5">
      <c r="A509" s="5"/>
      <c r="B509" s="5" t="s">
        <v>6</v>
      </c>
      <c r="C509" s="5" t="s">
        <v>7</v>
      </c>
      <c r="D509" t="s">
        <v>899</v>
      </c>
      <c r="E509" t="str">
        <f>E412</f>
        <v>PJ/yr.</v>
      </c>
      <c r="F509" s="1">
        <f>SUM(F510:F511)</f>
        <v>3.3179262483409562</v>
      </c>
      <c r="G509" s="1">
        <f t="shared" ref="G509:K509" si="547">SUM(G510:G511)</f>
        <v>3.4972765815756595</v>
      </c>
      <c r="H509" s="1">
        <f t="shared" si="547"/>
        <v>4.7998860753775281</v>
      </c>
      <c r="I509" s="1">
        <f t="shared" si="547"/>
        <v>4.6785683029059042</v>
      </c>
      <c r="J509" s="1">
        <f t="shared" si="547"/>
        <v>4.5425629488695067</v>
      </c>
      <c r="K509" s="1">
        <f t="shared" si="547"/>
        <v>4.542152087337735</v>
      </c>
      <c r="L509" s="1">
        <f t="shared" ref="L509:O509" si="548">SUM(L510:L511)</f>
        <v>5.2571016008998761</v>
      </c>
      <c r="M509" s="1">
        <f t="shared" si="548"/>
        <v>11.695507105502152</v>
      </c>
      <c r="N509" s="1">
        <f t="shared" si="548"/>
        <v>10.623691777407563</v>
      </c>
      <c r="O509" s="1">
        <f t="shared" si="548"/>
        <v>10.627971455695608</v>
      </c>
      <c r="P509" s="1">
        <f>SUM(P510:P511)</f>
        <v>10.628919364583021</v>
      </c>
      <c r="Q509" s="1">
        <f>SUM(Q510:Q511)</f>
        <v>10.631139360752051</v>
      </c>
      <c r="S509" s="3"/>
    </row>
    <row r="510" spans="1:19" x14ac:dyDescent="0.5">
      <c r="A510" s="5"/>
      <c r="B510" s="5" t="s">
        <v>6</v>
      </c>
      <c r="C510" s="5" t="s">
        <v>7</v>
      </c>
      <c r="D510" t="s">
        <v>221</v>
      </c>
      <c r="E510" t="str">
        <f>E413</f>
        <v>PJ/yr.</v>
      </c>
      <c r="F510" s="1">
        <f>F504</f>
        <v>3.3179262483409562</v>
      </c>
      <c r="G510" s="1">
        <f t="shared" ref="G510:K510" si="549">G504</f>
        <v>3.4972765815756595</v>
      </c>
      <c r="H510" s="1">
        <f t="shared" si="549"/>
        <v>4.7998860753775281</v>
      </c>
      <c r="I510" s="1">
        <f t="shared" si="549"/>
        <v>4.6785683029059042</v>
      </c>
      <c r="J510" s="1">
        <f t="shared" si="549"/>
        <v>4.5425629488695067</v>
      </c>
      <c r="K510" s="1">
        <f t="shared" si="549"/>
        <v>3.7752426807058224</v>
      </c>
      <c r="L510" s="1">
        <f t="shared" ref="L510:O510" si="550">L504</f>
        <v>1.7071558038121368E-2</v>
      </c>
      <c r="M510" s="1">
        <f t="shared" si="550"/>
        <v>8.5587660508911669E-3</v>
      </c>
      <c r="N510" s="1">
        <f t="shared" si="550"/>
        <v>8.0462705405683118E-3</v>
      </c>
      <c r="O510" s="1">
        <f t="shared" si="550"/>
        <v>4.3726855986176245E-3</v>
      </c>
      <c r="P510" s="1">
        <f>P504</f>
        <v>4.0990201055576192E-3</v>
      </c>
      <c r="Q510" s="1">
        <f>Q504</f>
        <v>2.611301832986382E-3</v>
      </c>
      <c r="S510" s="3"/>
    </row>
    <row r="511" spans="1:19" x14ac:dyDescent="0.5">
      <c r="A511" s="5"/>
      <c r="B511" s="5" t="s">
        <v>6</v>
      </c>
      <c r="C511" s="5" t="s">
        <v>7</v>
      </c>
      <c r="D511" t="s">
        <v>222</v>
      </c>
      <c r="E511" t="str">
        <f>E417</f>
        <v>PJ/yr.</v>
      </c>
      <c r="F511" s="1">
        <f>F505</f>
        <v>0</v>
      </c>
      <c r="G511" s="1">
        <f t="shared" ref="G511:K511" si="551">G505</f>
        <v>0</v>
      </c>
      <c r="H511" s="1">
        <f t="shared" si="551"/>
        <v>0</v>
      </c>
      <c r="I511" s="1">
        <f t="shared" si="551"/>
        <v>0</v>
      </c>
      <c r="J511" s="1">
        <f t="shared" si="551"/>
        <v>0</v>
      </c>
      <c r="K511" s="1">
        <f t="shared" si="551"/>
        <v>0.76690940663191243</v>
      </c>
      <c r="L511" s="1">
        <f t="shared" ref="L511:O511" si="552">L505</f>
        <v>5.240030042861755</v>
      </c>
      <c r="M511" s="1">
        <f t="shared" si="552"/>
        <v>11.686948339451261</v>
      </c>
      <c r="N511" s="1">
        <f t="shared" si="552"/>
        <v>10.615645506866995</v>
      </c>
      <c r="O511" s="1">
        <f t="shared" si="552"/>
        <v>10.62359877009699</v>
      </c>
      <c r="P511" s="1">
        <f>P505</f>
        <v>10.624820344477463</v>
      </c>
      <c r="Q511" s="1">
        <f>Q505</f>
        <v>10.628528058919064</v>
      </c>
      <c r="S511" s="3"/>
    </row>
    <row r="512" spans="1:19" x14ac:dyDescent="0.5">
      <c r="A512" s="5"/>
      <c r="B512" s="5" t="s">
        <v>6</v>
      </c>
      <c r="C512" s="5" t="s">
        <v>7</v>
      </c>
      <c r="D512" t="s">
        <v>900</v>
      </c>
      <c r="E512" t="str">
        <f>E418</f>
        <v>PJ/yr.</v>
      </c>
      <c r="F512" s="1">
        <f>SUM(F513:F517)</f>
        <v>0.69261530146426675</v>
      </c>
      <c r="G512" s="1">
        <f t="shared" ref="G512:K512" si="553">SUM(G513:G517)</f>
        <v>1.6971714777402567</v>
      </c>
      <c r="H512" s="1">
        <f t="shared" si="553"/>
        <v>3.3959003542014967</v>
      </c>
      <c r="I512" s="1">
        <f t="shared" si="553"/>
        <v>3.6051491251704895</v>
      </c>
      <c r="J512" s="1">
        <f t="shared" si="553"/>
        <v>3.4821489212702468</v>
      </c>
      <c r="K512" s="1">
        <f t="shared" si="553"/>
        <v>5.3510440172142131</v>
      </c>
      <c r="L512" s="1">
        <f t="shared" ref="L512:O512" si="554">SUM(L513:L517)</f>
        <v>8.4738854870603326</v>
      </c>
      <c r="M512" s="1">
        <f t="shared" si="554"/>
        <v>9.8077688325136752</v>
      </c>
      <c r="N512" s="1">
        <f t="shared" si="554"/>
        <v>9.1438770963818907</v>
      </c>
      <c r="O512" s="1">
        <f t="shared" si="554"/>
        <v>8.9742399815944367</v>
      </c>
      <c r="P512" s="1">
        <f>SUM(P513:P517)</f>
        <v>8.908074898832723</v>
      </c>
      <c r="Q512" s="1">
        <f>SUM(Q513:Q517)</f>
        <v>8.7628482394713529</v>
      </c>
      <c r="S512" s="3"/>
    </row>
    <row r="513" spans="1:19" x14ac:dyDescent="0.5">
      <c r="A513" s="5"/>
      <c r="B513" s="5" t="s">
        <v>6</v>
      </c>
      <c r="C513" s="5" t="s">
        <v>7</v>
      </c>
      <c r="D513" t="s">
        <v>223</v>
      </c>
      <c r="E513" t="str">
        <f>E419</f>
        <v>PJ/yr.</v>
      </c>
      <c r="F513" s="6">
        <f>'[1]Electricity and CHPs_IN'!B$42-F382</f>
        <v>0.69261530146426675</v>
      </c>
      <c r="G513" s="6">
        <f>'[1]Electricity and CHPs_IN'!C$42-G382</f>
        <v>1.6971714777402567</v>
      </c>
      <c r="H513" s="6">
        <f>'[1]Electricity and CHPs_IN'!D$42-H382</f>
        <v>3.3959003542014967</v>
      </c>
      <c r="I513" s="6">
        <f>'[1]Electricity and CHPs_IN'!E$42-I382</f>
        <v>3.5758562078125458</v>
      </c>
      <c r="J513" s="6">
        <f>'[1]Electricity and CHPs_IN'!F$42-J382</f>
        <v>3.4243200218066789</v>
      </c>
      <c r="K513" s="6">
        <f>'[1]Electricity and CHPs_IN'!G$42-K382</f>
        <v>1.7529097880667752</v>
      </c>
      <c r="L513" s="6">
        <f>'[1]Electricity and CHPs_IN'!H$42-L382</f>
        <v>0.70164318843568108</v>
      </c>
      <c r="M513" s="6">
        <f>'[1]Electricity and CHPs_IN'!I$42-M382</f>
        <v>0.63924551981328392</v>
      </c>
      <c r="N513" s="6">
        <f>'[1]Electricity and CHPs_IN'!J$42-N382</f>
        <v>1.4873359553142639E-2</v>
      </c>
      <c r="O513" s="6">
        <f>'[1]Electricity and CHPs_IN'!K$42-O382</f>
        <v>8.4560365555943328E-3</v>
      </c>
      <c r="P513" s="6">
        <f>'[1]Electricity and CHPs_IN'!L$42-P382</f>
        <v>8.9307045210929303E-3</v>
      </c>
      <c r="Q513" s="6">
        <f>'[1]Electricity and CHPs_IN'!M$42-Q382</f>
        <v>1.2092446958437929E-2</v>
      </c>
      <c r="S513" s="3"/>
    </row>
    <row r="514" spans="1:19" x14ac:dyDescent="0.5">
      <c r="A514" s="5"/>
      <c r="B514" s="5" t="s">
        <v>6</v>
      </c>
      <c r="C514" s="5" t="s">
        <v>7</v>
      </c>
      <c r="D514" t="s">
        <v>224</v>
      </c>
      <c r="E514" t="str">
        <f>E420</f>
        <v>PJ/yr.</v>
      </c>
      <c r="F514" s="1">
        <f>'[1]Electricity and CHPs_IN'!B$43-F383</f>
        <v>0</v>
      </c>
      <c r="G514" s="1">
        <f>'[1]Electricity and CHPs_IN'!C$43-G383</f>
        <v>0</v>
      </c>
      <c r="H514" s="1">
        <f>'[1]Electricity and CHPs_IN'!D$43-H383</f>
        <v>0</v>
      </c>
      <c r="I514" s="1">
        <f>'[1]Electricity and CHPs_IN'!E$43-I383</f>
        <v>0</v>
      </c>
      <c r="J514" s="1">
        <f>'[1]Electricity and CHPs_IN'!F$43-J383</f>
        <v>0</v>
      </c>
      <c r="K514" s="1">
        <f>'[1]Electricity and CHPs_IN'!G$43-K383</f>
        <v>3.3619495576620828</v>
      </c>
      <c r="L514" s="1">
        <f>'[1]Electricity and CHPs_IN'!H$43-L383</f>
        <v>7.4086283431527713</v>
      </c>
      <c r="M514" s="1">
        <f>'[1]Electricity and CHPs_IN'!I$43-M383</f>
        <v>8.5734573143730053</v>
      </c>
      <c r="N514" s="1">
        <f>'[1]Electricity and CHPs_IN'!J$43-N383</f>
        <v>8.5835989063927833</v>
      </c>
      <c r="O514" s="1">
        <f>'[1]Electricity and CHPs_IN'!K$43-O383</f>
        <v>8.5724394796926422</v>
      </c>
      <c r="P514" s="1">
        <f>'[1]Electricity and CHPs_IN'!L$43-P383</f>
        <v>8.5725619085337676</v>
      </c>
      <c r="Q514" s="1">
        <f>'[1]Electricity and CHPs_IN'!M$43-Q383</f>
        <v>8.5758393160405184</v>
      </c>
      <c r="S514" s="3"/>
    </row>
    <row r="515" spans="1:19" x14ac:dyDescent="0.5">
      <c r="A515" s="5"/>
      <c r="B515" s="5" t="s">
        <v>6</v>
      </c>
      <c r="C515" s="5" t="s">
        <v>7</v>
      </c>
      <c r="D515" t="s">
        <v>225</v>
      </c>
      <c r="E515" t="str">
        <f>E442</f>
        <v>PJ/yr.</v>
      </c>
      <c r="F515" s="1">
        <f>'[1]Electricity and CHPs_IN'!B$50-F384</f>
        <v>0</v>
      </c>
      <c r="G515" s="1">
        <f>'[1]Electricity and CHPs_IN'!C$50-G384</f>
        <v>0</v>
      </c>
      <c r="H515" s="1">
        <f>'[1]Electricity and CHPs_IN'!D$50-H384</f>
        <v>0</v>
      </c>
      <c r="I515" s="1">
        <f>'[1]Electricity and CHPs_IN'!E$50-I384</f>
        <v>1.0521505775992503E-2</v>
      </c>
      <c r="J515" s="1">
        <f>'[1]Electricity and CHPs_IN'!F$50-J384</f>
        <v>1.9218127645790908E-2</v>
      </c>
      <c r="K515" s="1">
        <f>'[1]Electricity and CHPs_IN'!G$50-K384</f>
        <v>3.4948584152856038E-2</v>
      </c>
      <c r="L515" s="1">
        <f>'[1]Electricity and CHPs_IN'!H$50-L384</f>
        <v>3.462488037443151E-2</v>
      </c>
      <c r="M515" s="1">
        <f>'[1]Electricity and CHPs_IN'!I$50-M384</f>
        <v>5.6497252012903301E-2</v>
      </c>
      <c r="N515" s="1">
        <f>'[1]Electricity and CHPs_IN'!J$50-N384</f>
        <v>3.8330797966277967E-2</v>
      </c>
      <c r="O515" s="1">
        <f>'[1]Electricity and CHPs_IN'!K$50-O384</f>
        <v>2.839469299631641E-2</v>
      </c>
      <c r="P515" s="1">
        <f>'[1]Electricity and CHPs_IN'!L$50-P384</f>
        <v>3.5044216808167147E-2</v>
      </c>
      <c r="Q515" s="1">
        <f>'[1]Electricity and CHPs_IN'!M$50-Q384</f>
        <v>4.2851722890685326E-2</v>
      </c>
      <c r="S515" s="3"/>
    </row>
    <row r="516" spans="1:19" x14ac:dyDescent="0.5">
      <c r="A516" s="5"/>
      <c r="B516" s="5" t="s">
        <v>6</v>
      </c>
      <c r="C516" s="5" t="s">
        <v>7</v>
      </c>
      <c r="D516" t="s">
        <v>226</v>
      </c>
      <c r="E516" t="str">
        <f>E446</f>
        <v>PJ/yr.</v>
      </c>
      <c r="F516" s="1">
        <f>'[1]Electricity and CHPs_IN'!B$53-F385</f>
        <v>0</v>
      </c>
      <c r="G516" s="1">
        <f>'[1]Electricity and CHPs_IN'!C$53-G385</f>
        <v>0</v>
      </c>
      <c r="H516" s="1">
        <f>'[1]Electricity and CHPs_IN'!D$53-H385</f>
        <v>0</v>
      </c>
      <c r="I516" s="1">
        <f>'[1]Electricity and CHPs_IN'!E$53-I385</f>
        <v>1.3010309445212453E-2</v>
      </c>
      <c r="J516" s="1">
        <f>'[1]Electricity and CHPs_IN'!F$53-J385</f>
        <v>2.9020568980213275E-2</v>
      </c>
      <c r="K516" s="1">
        <f>'[1]Electricity and CHPs_IN'!G$53-K385</f>
        <v>0.18448443525339103</v>
      </c>
      <c r="L516" s="1">
        <f>'[1]Electricity and CHPs_IN'!H$53-L385</f>
        <v>0.31515122965074882</v>
      </c>
      <c r="M516" s="1">
        <f>'[1]Electricity and CHPs_IN'!I$53-M385</f>
        <v>0.51968255433696708</v>
      </c>
      <c r="N516" s="1">
        <f>'[1]Electricity and CHPs_IN'!J$53-N385</f>
        <v>0.49273670434803818</v>
      </c>
      <c r="O516" s="1">
        <f>'[1]Electricity and CHPs_IN'!K$53-O385</f>
        <v>0.35447535271599739</v>
      </c>
      <c r="P516" s="1">
        <f>'[1]Electricity and CHPs_IN'!L$53-P385</f>
        <v>0.27266528130244427</v>
      </c>
      <c r="Q516" s="1">
        <f>'[1]Electricity and CHPs_IN'!M$53-Q385</f>
        <v>0.11108348267546012</v>
      </c>
      <c r="S516" s="3"/>
    </row>
    <row r="517" spans="1:19" x14ac:dyDescent="0.5">
      <c r="A517" s="5"/>
      <c r="B517" s="5" t="s">
        <v>6</v>
      </c>
      <c r="C517" s="5" t="s">
        <v>7</v>
      </c>
      <c r="D517" t="s">
        <v>238</v>
      </c>
      <c r="E517" t="str">
        <f>E471</f>
        <v>PJ/yr.</v>
      </c>
      <c r="F517" s="1">
        <f>'[1]Electricity and CHPs_IN'!B$56-F386</f>
        <v>0</v>
      </c>
      <c r="G517" s="1">
        <f>'[1]Electricity and CHPs_IN'!C$56-G386</f>
        <v>0</v>
      </c>
      <c r="H517" s="1">
        <f>'[1]Electricity and CHPs_IN'!D$56-H386</f>
        <v>0</v>
      </c>
      <c r="I517" s="1">
        <f>'[1]Electricity and CHPs_IN'!E$56-I386</f>
        <v>5.7611021367387182E-3</v>
      </c>
      <c r="J517" s="1">
        <f>'[1]Electricity and CHPs_IN'!F$56-J386</f>
        <v>9.590202837563639E-3</v>
      </c>
      <c r="K517" s="1">
        <f>'[1]Electricity and CHPs_IN'!G$56-K386</f>
        <v>1.6751652079108049E-2</v>
      </c>
      <c r="L517" s="1">
        <f>'[1]Electricity and CHPs_IN'!H$56-L386</f>
        <v>1.3837845446700584E-2</v>
      </c>
      <c r="M517" s="1">
        <f>'[1]Electricity and CHPs_IN'!I$56-M386</f>
        <v>1.8886191977514941E-2</v>
      </c>
      <c r="N517" s="1">
        <f>'[1]Electricity and CHPs_IN'!J$56-N386</f>
        <v>1.4337328121648677E-2</v>
      </c>
      <c r="O517" s="1">
        <f>'[1]Electricity and CHPs_IN'!K$56-O386</f>
        <v>1.0474419633885916E-2</v>
      </c>
      <c r="P517" s="1">
        <f>'[1]Electricity and CHPs_IN'!L$56-P386</f>
        <v>1.8872787667249879E-2</v>
      </c>
      <c r="Q517" s="1">
        <f>'[1]Electricity and CHPs_IN'!M$56-Q386</f>
        <v>2.0981270906252528E-2</v>
      </c>
      <c r="S517" s="3"/>
    </row>
    <row r="518" spans="1:19" x14ac:dyDescent="0.5">
      <c r="A518" s="5"/>
      <c r="B518" s="5" t="s">
        <v>6</v>
      </c>
      <c r="C518" s="5" t="s">
        <v>7</v>
      </c>
      <c r="D518" t="s">
        <v>901</v>
      </c>
      <c r="E518" t="str">
        <f>E425</f>
        <v>PJ/yr.</v>
      </c>
      <c r="F518" s="1">
        <f>SUM(F519:F520)</f>
        <v>0</v>
      </c>
      <c r="G518" s="1">
        <f t="shared" ref="G518:K518" si="555">SUM(G519:G520)</f>
        <v>0</v>
      </c>
      <c r="H518" s="1">
        <f t="shared" si="555"/>
        <v>0</v>
      </c>
      <c r="I518" s="1">
        <f t="shared" si="555"/>
        <v>5.1253789262590442E-3</v>
      </c>
      <c r="J518" s="1">
        <f t="shared" si="555"/>
        <v>0.51743056650336006</v>
      </c>
      <c r="K518" s="1">
        <f t="shared" si="555"/>
        <v>0.25890449499787638</v>
      </c>
      <c r="L518" s="1">
        <f t="shared" ref="L518:O518" si="556">SUM(L519:L520)</f>
        <v>0.23211095963094452</v>
      </c>
      <c r="M518" s="1">
        <f t="shared" si="556"/>
        <v>0.41013878830427708</v>
      </c>
      <c r="N518" s="1">
        <f t="shared" si="556"/>
        <v>0.98254005614558559</v>
      </c>
      <c r="O518" s="1">
        <f t="shared" si="556"/>
        <v>1.1273015446151347</v>
      </c>
      <c r="P518" s="1">
        <f>SUM(P519:P520)</f>
        <v>2.0386599571526363</v>
      </c>
      <c r="Q518" s="1">
        <f>SUM(Q519:Q520)</f>
        <v>2.5343757903879163</v>
      </c>
      <c r="S518" s="3"/>
    </row>
    <row r="519" spans="1:19" x14ac:dyDescent="0.5">
      <c r="A519" s="5"/>
      <c r="B519" s="5" t="s">
        <v>6</v>
      </c>
      <c r="C519" s="5" t="s">
        <v>7</v>
      </c>
      <c r="D519" t="s">
        <v>227</v>
      </c>
      <c r="E519" t="str">
        <f>E426</f>
        <v>PJ/yr.</v>
      </c>
      <c r="F519" s="1">
        <f>'[1]Electricity and CHPs_IN'!B$46-F399</f>
        <v>0</v>
      </c>
      <c r="G519" s="1">
        <f>'[1]Electricity and CHPs_IN'!C$46-G399</f>
        <v>0</v>
      </c>
      <c r="H519" s="1">
        <f>'[1]Electricity and CHPs_IN'!D$46-H399</f>
        <v>0</v>
      </c>
      <c r="I519" s="1">
        <f>'[1]Electricity and CHPs_IN'!E$46-I399</f>
        <v>0</v>
      </c>
      <c r="J519" s="1">
        <f>'[1]Electricity and CHPs_IN'!F$46-J399</f>
        <v>0.50123671764778699</v>
      </c>
      <c r="K519" s="1">
        <f>'[1]Electricity and CHPs_IN'!G$46-K399</f>
        <v>0.24525081790742209</v>
      </c>
      <c r="L519" s="1">
        <f>'[1]Electricity and CHPs_IN'!H$46-L399</f>
        <v>0.2219970056660896</v>
      </c>
      <c r="M519" s="1">
        <f>'[1]Electricity and CHPs_IN'!I$46-M399</f>
        <v>0.38128715804173319</v>
      </c>
      <c r="N519" s="1">
        <f>'[1]Electricity and CHPs_IN'!J$46-N399</f>
        <v>0.94754879662128699</v>
      </c>
      <c r="O519" s="1">
        <f>'[1]Electricity and CHPs_IN'!K$46-O399</f>
        <v>1.0928378788735178</v>
      </c>
      <c r="P519" s="1">
        <f>'[1]Electricity and CHPs_IN'!L$46-P399</f>
        <v>1.925161451307448</v>
      </c>
      <c r="Q519" s="1">
        <f>'[1]Electricity and CHPs_IN'!M$46-Q399</f>
        <v>2.2826079121064557</v>
      </c>
      <c r="S519" s="3"/>
    </row>
    <row r="520" spans="1:19" x14ac:dyDescent="0.5">
      <c r="A520" s="5"/>
      <c r="B520" s="5" t="s">
        <v>6</v>
      </c>
      <c r="C520" s="5" t="s">
        <v>7</v>
      </c>
      <c r="D520" t="s">
        <v>239</v>
      </c>
      <c r="E520" t="str">
        <f>E473</f>
        <v>PJ/yr.</v>
      </c>
      <c r="F520" s="1">
        <f>'[1]Electricity and CHPs_IN'!B$57-F400</f>
        <v>0</v>
      </c>
      <c r="G520" s="1">
        <f>'[1]Electricity and CHPs_IN'!C$57-G400</f>
        <v>0</v>
      </c>
      <c r="H520" s="1">
        <f>'[1]Electricity and CHPs_IN'!D$57-H400</f>
        <v>0</v>
      </c>
      <c r="I520" s="1">
        <f>'[1]Electricity and CHPs_IN'!E$57-I400</f>
        <v>5.1253789262590442E-3</v>
      </c>
      <c r="J520" s="1">
        <f>'[1]Electricity and CHPs_IN'!F$57-J400</f>
        <v>1.6193848855573019E-2</v>
      </c>
      <c r="K520" s="1">
        <f>'[1]Electricity and CHPs_IN'!G$57-K400</f>
        <v>1.3653677090454293E-2</v>
      </c>
      <c r="L520" s="1">
        <f>'[1]Electricity and CHPs_IN'!H$57-L400</f>
        <v>1.0113953964854924E-2</v>
      </c>
      <c r="M520" s="1">
        <f>'[1]Electricity and CHPs_IN'!I$57-M400</f>
        <v>2.8851630262543899E-2</v>
      </c>
      <c r="N520" s="1">
        <f>'[1]Electricity and CHPs_IN'!J$57-N400</f>
        <v>3.4991259524298643E-2</v>
      </c>
      <c r="O520" s="1">
        <f>'[1]Electricity and CHPs_IN'!K$57-O400</f>
        <v>3.4463665741616765E-2</v>
      </c>
      <c r="P520" s="1">
        <f>'[1]Electricity and CHPs_IN'!L$57-P400</f>
        <v>0.11349850584518836</v>
      </c>
      <c r="Q520" s="1">
        <f>'[1]Electricity and CHPs_IN'!M$57-Q400</f>
        <v>0.25176787828146069</v>
      </c>
      <c r="S520" s="3"/>
    </row>
    <row r="521" spans="1:19" x14ac:dyDescent="0.5">
      <c r="A521" s="5"/>
      <c r="B521" s="9" t="s">
        <v>6</v>
      </c>
      <c r="C521" s="9" t="s">
        <v>7</v>
      </c>
      <c r="D521" s="2" t="s">
        <v>241</v>
      </c>
      <c r="E521" s="5" t="s">
        <v>240</v>
      </c>
      <c r="F521" s="12" t="s">
        <v>292</v>
      </c>
      <c r="G521" s="12" t="s">
        <v>292</v>
      </c>
      <c r="H521" s="12" t="s">
        <v>292</v>
      </c>
      <c r="I521" s="12" t="s">
        <v>292</v>
      </c>
      <c r="J521" s="12" t="s">
        <v>292</v>
      </c>
      <c r="K521" s="12" t="s">
        <v>292</v>
      </c>
      <c r="L521" s="12" t="s">
        <v>292</v>
      </c>
      <c r="M521" s="12" t="s">
        <v>292</v>
      </c>
      <c r="N521" s="12" t="s">
        <v>292</v>
      </c>
      <c r="O521" s="12" t="s">
        <v>292</v>
      </c>
      <c r="P521" s="12" t="s">
        <v>292</v>
      </c>
      <c r="Q521" s="12" t="s">
        <v>292</v>
      </c>
      <c r="S521" s="3"/>
    </row>
    <row r="522" spans="1:19" x14ac:dyDescent="0.5">
      <c r="A522" s="5"/>
      <c r="B522" s="5" t="s">
        <v>6</v>
      </c>
      <c r="C522" s="5" t="s">
        <v>7</v>
      </c>
      <c r="D522" t="s">
        <v>242</v>
      </c>
      <c r="E522" s="5" t="s">
        <v>240</v>
      </c>
      <c r="F522" s="13">
        <f t="shared" ref="F522:K522" si="557">IFERROR(F65/F293,"-")</f>
        <v>0.3297891799337167</v>
      </c>
      <c r="G522" s="13">
        <f t="shared" si="557"/>
        <v>0.3266988093774682</v>
      </c>
      <c r="H522" s="13">
        <f t="shared" si="557"/>
        <v>0.32599208463020318</v>
      </c>
      <c r="I522" s="13">
        <f t="shared" si="557"/>
        <v>0.32988600238042526</v>
      </c>
      <c r="J522" s="13">
        <f t="shared" si="557"/>
        <v>0.33028354556412343</v>
      </c>
      <c r="K522" s="13">
        <f t="shared" si="557"/>
        <v>0.33157933201783196</v>
      </c>
      <c r="L522" s="13" t="str">
        <f t="shared" ref="L522:O522" si="558">IFERROR(L65/L293,"-")</f>
        <v>-</v>
      </c>
      <c r="M522" s="13" t="str">
        <f t="shared" si="558"/>
        <v>-</v>
      </c>
      <c r="N522" s="13" t="str">
        <f t="shared" si="558"/>
        <v>-</v>
      </c>
      <c r="O522" s="13" t="str">
        <f t="shared" si="558"/>
        <v>-</v>
      </c>
      <c r="P522" s="13" t="str">
        <f>IFERROR(P65/P293,"-")</f>
        <v>-</v>
      </c>
      <c r="Q522" s="13" t="str">
        <f>IFERROR(Q65/Q293,"-")</f>
        <v>-</v>
      </c>
      <c r="S522" s="3"/>
    </row>
    <row r="523" spans="1:19" x14ac:dyDescent="0.5">
      <c r="A523" s="5"/>
      <c r="B523" s="5" t="s">
        <v>6</v>
      </c>
      <c r="C523" s="5" t="s">
        <v>7</v>
      </c>
      <c r="D523" t="s">
        <v>243</v>
      </c>
      <c r="E523" s="5" t="s">
        <v>240</v>
      </c>
      <c r="F523" s="13">
        <f t="shared" ref="F523:K525" si="559">IFERROR(F67/F295,"-")</f>
        <v>1</v>
      </c>
      <c r="G523" s="13">
        <f t="shared" si="559"/>
        <v>1</v>
      </c>
      <c r="H523" s="13">
        <f t="shared" si="559"/>
        <v>1</v>
      </c>
      <c r="I523" s="13">
        <f t="shared" si="559"/>
        <v>1</v>
      </c>
      <c r="J523" s="13">
        <f t="shared" si="559"/>
        <v>1</v>
      </c>
      <c r="K523" s="13">
        <f t="shared" si="559"/>
        <v>1</v>
      </c>
      <c r="L523" s="13">
        <f t="shared" ref="L523:O523" si="560">IFERROR(L67/L295,"-")</f>
        <v>1</v>
      </c>
      <c r="M523" s="13">
        <f t="shared" si="560"/>
        <v>1</v>
      </c>
      <c r="N523" s="13">
        <f t="shared" si="560"/>
        <v>1</v>
      </c>
      <c r="O523" s="13">
        <f t="shared" si="560"/>
        <v>1</v>
      </c>
      <c r="P523" s="13">
        <f t="shared" ref="P523:Q525" si="561">IFERROR(P67/P295,"-")</f>
        <v>1</v>
      </c>
      <c r="Q523" s="13">
        <f t="shared" si="561"/>
        <v>1</v>
      </c>
      <c r="S523" s="3"/>
    </row>
    <row r="524" spans="1:19" x14ac:dyDescent="0.5">
      <c r="A524" s="5"/>
      <c r="B524" s="5" t="s">
        <v>6</v>
      </c>
      <c r="C524" s="5" t="s">
        <v>7</v>
      </c>
      <c r="D524" t="s">
        <v>244</v>
      </c>
      <c r="E524" s="5" t="s">
        <v>240</v>
      </c>
      <c r="F524" s="13">
        <f t="shared" si="559"/>
        <v>1</v>
      </c>
      <c r="G524" s="13">
        <f t="shared" si="559"/>
        <v>1</v>
      </c>
      <c r="H524" s="13">
        <f t="shared" si="559"/>
        <v>1</v>
      </c>
      <c r="I524" s="13">
        <f t="shared" si="559"/>
        <v>1</v>
      </c>
      <c r="J524" s="13">
        <f t="shared" si="559"/>
        <v>1</v>
      </c>
      <c r="K524" s="13">
        <f t="shared" si="559"/>
        <v>1</v>
      </c>
      <c r="L524" s="13">
        <f t="shared" ref="L524:O524" si="562">IFERROR(L68/L296,"-")</f>
        <v>1</v>
      </c>
      <c r="M524" s="13">
        <f t="shared" si="562"/>
        <v>1</v>
      </c>
      <c r="N524" s="13">
        <f t="shared" si="562"/>
        <v>1</v>
      </c>
      <c r="O524" s="13">
        <f t="shared" si="562"/>
        <v>1</v>
      </c>
      <c r="P524" s="13">
        <f t="shared" si="561"/>
        <v>1</v>
      </c>
      <c r="Q524" s="13">
        <f t="shared" si="561"/>
        <v>1</v>
      </c>
      <c r="S524" s="3"/>
    </row>
    <row r="525" spans="1:19" x14ac:dyDescent="0.5">
      <c r="A525" s="5"/>
      <c r="B525" s="5" t="s">
        <v>6</v>
      </c>
      <c r="C525" s="5" t="s">
        <v>7</v>
      </c>
      <c r="D525" t="s">
        <v>245</v>
      </c>
      <c r="E525" s="5" t="s">
        <v>240</v>
      </c>
      <c r="F525" s="13">
        <f t="shared" si="559"/>
        <v>0.7999995278473423</v>
      </c>
      <c r="G525" s="13">
        <f t="shared" si="559"/>
        <v>0.79999962199460761</v>
      </c>
      <c r="H525" s="13">
        <f t="shared" si="559"/>
        <v>0.80000084143568961</v>
      </c>
      <c r="I525" s="13">
        <f t="shared" si="559"/>
        <v>0.80000011005854033</v>
      </c>
      <c r="J525" s="13">
        <f t="shared" si="559"/>
        <v>0.80000011615287936</v>
      </c>
      <c r="K525" s="13">
        <f t="shared" si="559"/>
        <v>0.80000010028592106</v>
      </c>
      <c r="L525" s="13">
        <f t="shared" ref="L525:O525" si="563">IFERROR(L69/L297,"-")</f>
        <v>0.80000010909074959</v>
      </c>
      <c r="M525" s="13">
        <f t="shared" si="563"/>
        <v>0.80000009912766035</v>
      </c>
      <c r="N525" s="13">
        <f t="shared" si="563"/>
        <v>0.80000010378184017</v>
      </c>
      <c r="O525" s="13">
        <f t="shared" si="563"/>
        <v>0.8000001064561798</v>
      </c>
      <c r="P525" s="13">
        <f t="shared" si="561"/>
        <v>0.80000010688523304</v>
      </c>
      <c r="Q525" s="13">
        <f t="shared" si="561"/>
        <v>0.80000000866207077</v>
      </c>
      <c r="S525" s="3"/>
    </row>
    <row r="526" spans="1:19" x14ac:dyDescent="0.5">
      <c r="A526" s="5"/>
      <c r="B526" s="5" t="s">
        <v>6</v>
      </c>
      <c r="C526" s="5" t="s">
        <v>7</v>
      </c>
      <c r="D526" t="s">
        <v>246</v>
      </c>
      <c r="E526" s="5" t="s">
        <v>240</v>
      </c>
      <c r="F526" s="13">
        <f>IFERROR(F71/F299,"-")</f>
        <v>0.27552880572815436</v>
      </c>
      <c r="G526" s="13">
        <f t="shared" ref="G526:K526" si="564">IFERROR(G71/G299,"-")</f>
        <v>3.6514124712797307E-4</v>
      </c>
      <c r="H526" s="13">
        <f t="shared" si="564"/>
        <v>0.2994232751416363</v>
      </c>
      <c r="I526" s="13">
        <f t="shared" si="564"/>
        <v>0.24762087626667659</v>
      </c>
      <c r="J526" s="13">
        <f t="shared" si="564"/>
        <v>0.28837803111718524</v>
      </c>
      <c r="K526" s="13">
        <f t="shared" si="564"/>
        <v>0.34575959654948235</v>
      </c>
      <c r="L526" s="13">
        <f t="shared" ref="L526:O526" si="565">IFERROR(L71/L299,"-")</f>
        <v>0.31730977768613777</v>
      </c>
      <c r="M526" s="13">
        <f t="shared" si="565"/>
        <v>0.27126726056787165</v>
      </c>
      <c r="N526" s="13">
        <f t="shared" si="565"/>
        <v>0.28500440233213181</v>
      </c>
      <c r="O526" s="13">
        <f t="shared" si="565"/>
        <v>0.29074369451509502</v>
      </c>
      <c r="P526" s="13">
        <f>IFERROR(P71/P299,"-")</f>
        <v>0.28982534999999426</v>
      </c>
      <c r="Q526" s="13">
        <f>IFERROR(Q71/Q299,"-")</f>
        <v>0.29071503455623182</v>
      </c>
      <c r="S526" s="3"/>
    </row>
    <row r="527" spans="1:19" x14ac:dyDescent="0.5">
      <c r="A527" s="5"/>
      <c r="B527" s="5" t="s">
        <v>6</v>
      </c>
      <c r="C527" s="5" t="s">
        <v>7</v>
      </c>
      <c r="D527" t="s">
        <v>247</v>
      </c>
      <c r="E527" s="5" t="s">
        <v>240</v>
      </c>
      <c r="F527" s="13">
        <f>IFERROR(F72/(F300+F413),"-")</f>
        <v>4.5663183106286011E-2</v>
      </c>
      <c r="G527" s="13">
        <f t="shared" ref="G527:K527" si="566">IFERROR(G72/(G300+G413),"-")</f>
        <v>2.6409536166184468E-4</v>
      </c>
      <c r="H527" s="13">
        <f t="shared" si="566"/>
        <v>9.7483102797291443E-2</v>
      </c>
      <c r="I527" s="13">
        <f t="shared" si="566"/>
        <v>9.2064810712586431E-2</v>
      </c>
      <c r="J527" s="13">
        <f t="shared" si="566"/>
        <v>9.3627061195820399E-2</v>
      </c>
      <c r="K527" s="13">
        <f t="shared" si="566"/>
        <v>0.1004310413089971</v>
      </c>
      <c r="L527" s="13">
        <f t="shared" ref="L527:O527" si="567">IFERROR(L72/(L300+L413),"-")</f>
        <v>0.10405401915012906</v>
      </c>
      <c r="M527" s="13">
        <f t="shared" si="567"/>
        <v>7.1954197995260663E-2</v>
      </c>
      <c r="N527" s="13">
        <f t="shared" si="567"/>
        <v>8.0335429285671389E-2</v>
      </c>
      <c r="O527" s="13">
        <f t="shared" si="567"/>
        <v>8.3687530689091752E-2</v>
      </c>
      <c r="P527" s="13">
        <f>IFERROR(P72/(P300+P413),"-")</f>
        <v>8.1751805419795945E-2</v>
      </c>
      <c r="Q527" s="13">
        <f>IFERROR(Q72/(Q300+Q413),"-")</f>
        <v>7.9958036537631116E-2</v>
      </c>
      <c r="S527" s="3"/>
    </row>
    <row r="528" spans="1:19" x14ac:dyDescent="0.5">
      <c r="A528" s="5"/>
      <c r="B528" s="5" t="s">
        <v>6</v>
      </c>
      <c r="C528" s="5" t="s">
        <v>7</v>
      </c>
      <c r="D528" t="s">
        <v>248</v>
      </c>
      <c r="E528" s="5" t="s">
        <v>240</v>
      </c>
      <c r="F528" s="13">
        <f>IFERROR(F73/(F301+F465),"-")</f>
        <v>0.22568257925536098</v>
      </c>
      <c r="G528" s="13">
        <f t="shared" ref="G528:K528" si="568">IFERROR(G73/(G301+G465),"-")</f>
        <v>0.24631047937790201</v>
      </c>
      <c r="H528" s="13">
        <f t="shared" si="568"/>
        <v>0.22988058070139694</v>
      </c>
      <c r="I528" s="13">
        <f t="shared" si="568"/>
        <v>0.26320940474503185</v>
      </c>
      <c r="J528" s="13">
        <f t="shared" si="568"/>
        <v>0.26310193710619389</v>
      </c>
      <c r="K528" s="13" t="str">
        <f t="shared" si="568"/>
        <v>-</v>
      </c>
      <c r="L528" s="13" t="str">
        <f t="shared" ref="L528:O528" si="569">IFERROR(L73/(L301+L465),"-")</f>
        <v>-</v>
      </c>
      <c r="M528" s="13" t="str">
        <f t="shared" si="569"/>
        <v>-</v>
      </c>
      <c r="N528" s="13">
        <f t="shared" si="569"/>
        <v>0.23115815847351964</v>
      </c>
      <c r="O528" s="13">
        <f t="shared" si="569"/>
        <v>0.23714283646646214</v>
      </c>
      <c r="P528" s="13">
        <f>IFERROR(P73/(P301+P465),"-")</f>
        <v>0.23637881116934303</v>
      </c>
      <c r="Q528" s="13">
        <f>IFERROR(Q73/(Q301+Q465),"-")</f>
        <v>0.23053668081172465</v>
      </c>
      <c r="S528" s="3"/>
    </row>
    <row r="529" spans="1:19" x14ac:dyDescent="0.5">
      <c r="A529" s="5"/>
      <c r="B529" s="5" t="s">
        <v>6</v>
      </c>
      <c r="C529" s="5" t="s">
        <v>7</v>
      </c>
      <c r="D529" t="s">
        <v>249</v>
      </c>
      <c r="E529" s="5" t="s">
        <v>240</v>
      </c>
      <c r="F529" s="13" t="str">
        <f>IFERROR(F83/F311,"-")</f>
        <v>-</v>
      </c>
      <c r="G529" s="13" t="str">
        <f t="shared" ref="G529:K529" si="570">IFERROR(G83/G311,"-")</f>
        <v>-</v>
      </c>
      <c r="H529" s="13" t="str">
        <f t="shared" si="570"/>
        <v>-</v>
      </c>
      <c r="I529" s="13" t="str">
        <f t="shared" si="570"/>
        <v>-</v>
      </c>
      <c r="J529" s="13" t="str">
        <f t="shared" si="570"/>
        <v>-</v>
      </c>
      <c r="K529" s="13">
        <f t="shared" si="570"/>
        <v>0.52254249172096889</v>
      </c>
      <c r="L529" s="13">
        <f t="shared" ref="L529:O529" si="571">IFERROR(L83/L311,"-")</f>
        <v>0.55048727263917763</v>
      </c>
      <c r="M529" s="13">
        <f t="shared" si="571"/>
        <v>0.54397462743241642</v>
      </c>
      <c r="N529" s="13">
        <f t="shared" si="571"/>
        <v>0.52580450074727403</v>
      </c>
      <c r="O529" s="13">
        <f t="shared" si="571"/>
        <v>0.5213967252147107</v>
      </c>
      <c r="P529" s="13">
        <f t="shared" ref="P529:Q531" si="572">IFERROR(P83/P311,"-")</f>
        <v>0.5343735393144573</v>
      </c>
      <c r="Q529" s="13">
        <f t="shared" si="572"/>
        <v>0.52330690857294515</v>
      </c>
      <c r="S529" s="3"/>
    </row>
    <row r="530" spans="1:19" x14ac:dyDescent="0.5">
      <c r="A530" s="5"/>
      <c r="B530" s="5" t="s">
        <v>6</v>
      </c>
      <c r="C530" s="5" t="s">
        <v>7</v>
      </c>
      <c r="D530" t="s">
        <v>250</v>
      </c>
      <c r="E530" s="5" t="s">
        <v>240</v>
      </c>
      <c r="F530" s="13" t="str">
        <f>IFERROR(F84/F312,"-")</f>
        <v>-</v>
      </c>
      <c r="G530" s="13" t="str">
        <f t="shared" ref="G530:K530" si="573">IFERROR(G84/G312,"-")</f>
        <v>-</v>
      </c>
      <c r="H530" s="13" t="str">
        <f t="shared" si="573"/>
        <v>-</v>
      </c>
      <c r="I530" s="13" t="str">
        <f t="shared" si="573"/>
        <v>-</v>
      </c>
      <c r="J530" s="13" t="str">
        <f t="shared" si="573"/>
        <v>-</v>
      </c>
      <c r="K530" s="13">
        <f t="shared" si="573"/>
        <v>0.24922739099763691</v>
      </c>
      <c r="L530" s="13">
        <f t="shared" ref="L530:O530" si="574">IFERROR(L84/L312,"-")</f>
        <v>0.36786649094931706</v>
      </c>
      <c r="M530" s="13">
        <f t="shared" si="574"/>
        <v>0.39125846205998716</v>
      </c>
      <c r="N530" s="13">
        <f t="shared" si="574"/>
        <v>0.38469077633548177</v>
      </c>
      <c r="O530" s="13">
        <f t="shared" si="574"/>
        <v>0.37906172932847654</v>
      </c>
      <c r="P530" s="13">
        <f t="shared" si="572"/>
        <v>0.38500507667775979</v>
      </c>
      <c r="Q530" s="13">
        <f t="shared" si="572"/>
        <v>0.38169914936933463</v>
      </c>
      <c r="S530" s="3"/>
    </row>
    <row r="531" spans="1:19" x14ac:dyDescent="0.5">
      <c r="A531" s="5"/>
      <c r="B531" s="5" t="s">
        <v>6</v>
      </c>
      <c r="C531" s="5" t="s">
        <v>7</v>
      </c>
      <c r="D531" t="s">
        <v>251</v>
      </c>
      <c r="E531" s="5" t="s">
        <v>240</v>
      </c>
      <c r="F531" s="13" t="str">
        <f>IFERROR(F85/F313,"-")</f>
        <v>-</v>
      </c>
      <c r="G531" s="13" t="str">
        <f t="shared" ref="G531:K531" si="575">IFERROR(G85/G313,"-")</f>
        <v>-</v>
      </c>
      <c r="H531" s="13" t="str">
        <f t="shared" si="575"/>
        <v>-</v>
      </c>
      <c r="I531" s="13" t="str">
        <f t="shared" si="575"/>
        <v>-</v>
      </c>
      <c r="J531" s="13" t="str">
        <f t="shared" si="575"/>
        <v>-</v>
      </c>
      <c r="K531" s="13" t="str">
        <f t="shared" si="575"/>
        <v>-</v>
      </c>
      <c r="L531" s="13">
        <f t="shared" ref="L531:O531" si="576">IFERROR(L85/L313,"-")</f>
        <v>0.52549852822644183</v>
      </c>
      <c r="M531" s="13">
        <f t="shared" si="576"/>
        <v>0.52480759251549491</v>
      </c>
      <c r="N531" s="13">
        <f t="shared" si="576"/>
        <v>0.54776725878579913</v>
      </c>
      <c r="O531" s="13">
        <f t="shared" si="576"/>
        <v>0.54692427870374538</v>
      </c>
      <c r="P531" s="13">
        <f t="shared" si="572"/>
        <v>0.54602227715910434</v>
      </c>
      <c r="Q531" s="13">
        <f t="shared" si="572"/>
        <v>0.54588607453816329</v>
      </c>
      <c r="S531" s="3"/>
    </row>
    <row r="532" spans="1:19" x14ac:dyDescent="0.5">
      <c r="A532" s="5"/>
      <c r="B532" s="5" t="s">
        <v>6</v>
      </c>
      <c r="C532" s="5" t="s">
        <v>7</v>
      </c>
      <c r="D532" t="s">
        <v>252</v>
      </c>
      <c r="E532" s="5" t="s">
        <v>240</v>
      </c>
      <c r="F532" s="13">
        <f>IFERROR(F86/SUM(F314,F419),"-")</f>
        <v>0.25946066589597877</v>
      </c>
      <c r="G532" s="13">
        <f t="shared" ref="G532:K532" si="577">IFERROR(G86/SUM(G314,G419),"-")</f>
        <v>0.18828116279007734</v>
      </c>
      <c r="H532" s="13">
        <f t="shared" si="577"/>
        <v>0.22548664702867052</v>
      </c>
      <c r="I532" s="13" t="str">
        <f t="shared" si="577"/>
        <v>-</v>
      </c>
      <c r="J532" s="13" t="str">
        <f t="shared" si="577"/>
        <v>-</v>
      </c>
      <c r="K532" s="13">
        <f t="shared" si="577"/>
        <v>0</v>
      </c>
      <c r="L532" s="13" t="str">
        <f t="shared" ref="L532:O532" si="578">IFERROR(L86/SUM(L314,L419),"-")</f>
        <v>-</v>
      </c>
      <c r="M532" s="13" t="str">
        <f t="shared" si="578"/>
        <v>-</v>
      </c>
      <c r="N532" s="13">
        <f t="shared" si="578"/>
        <v>0</v>
      </c>
      <c r="O532" s="13">
        <f t="shared" si="578"/>
        <v>0</v>
      </c>
      <c r="P532" s="13">
        <f>IFERROR(P86/SUM(P314,P419),"-")</f>
        <v>0</v>
      </c>
      <c r="Q532" s="13">
        <f>IFERROR(Q86/SUM(Q314,Q419),"-")</f>
        <v>0</v>
      </c>
      <c r="S532" s="3"/>
    </row>
    <row r="533" spans="1:19" x14ac:dyDescent="0.5">
      <c r="A533" s="5"/>
      <c r="B533" s="5" t="s">
        <v>6</v>
      </c>
      <c r="C533" s="5" t="s">
        <v>7</v>
      </c>
      <c r="D533" t="s">
        <v>253</v>
      </c>
      <c r="E533" s="5" t="s">
        <v>240</v>
      </c>
      <c r="F533" s="13" t="str">
        <f>IFERROR(F87/SUM(F315,F420),"-")</f>
        <v>-</v>
      </c>
      <c r="G533" s="13" t="str">
        <f t="shared" ref="G533:K533" si="579">IFERROR(G87/SUM(G315,G420),"-")</f>
        <v>-</v>
      </c>
      <c r="H533" s="13" t="str">
        <f t="shared" si="579"/>
        <v>-</v>
      </c>
      <c r="I533" s="13" t="str">
        <f t="shared" si="579"/>
        <v>-</v>
      </c>
      <c r="J533" s="13" t="str">
        <f t="shared" si="579"/>
        <v>-</v>
      </c>
      <c r="K533" s="13" t="str">
        <f t="shared" si="579"/>
        <v>-</v>
      </c>
      <c r="L533" s="13" t="str">
        <f t="shared" ref="L533:O533" si="580">IFERROR(L87/SUM(L315,L420),"-")</f>
        <v>-</v>
      </c>
      <c r="M533" s="13" t="str">
        <f t="shared" si="580"/>
        <v>-</v>
      </c>
      <c r="N533" s="13" t="str">
        <f t="shared" si="580"/>
        <v>-</v>
      </c>
      <c r="O533" s="13" t="str">
        <f t="shared" si="580"/>
        <v>-</v>
      </c>
      <c r="P533" s="13" t="str">
        <f>IFERROR(P87/SUM(P315,P420),"-")</f>
        <v>-</v>
      </c>
      <c r="Q533" s="13" t="str">
        <f>IFERROR(Q87/SUM(Q315,Q420),"-")</f>
        <v>-</v>
      </c>
      <c r="S533" s="3"/>
    </row>
    <row r="534" spans="1:19" x14ac:dyDescent="0.5">
      <c r="A534" s="5"/>
      <c r="B534" s="5" t="s">
        <v>6</v>
      </c>
      <c r="C534" s="5" t="s">
        <v>7</v>
      </c>
      <c r="D534" t="s">
        <v>254</v>
      </c>
      <c r="E534" s="5" t="s">
        <v>240</v>
      </c>
      <c r="F534" s="13">
        <f>IFERROR(F88/SUM(F316,F471),"-'")</f>
        <v>0.34469930637101881</v>
      </c>
      <c r="G534" s="13">
        <f t="shared" ref="G534:K534" si="581">IFERROR(G88/SUM(G316,G471),"-'")</f>
        <v>0.35069972289650519</v>
      </c>
      <c r="H534" s="13">
        <f t="shared" si="581"/>
        <v>0.3447497969922263</v>
      </c>
      <c r="I534" s="13">
        <f t="shared" si="581"/>
        <v>0.3589129497884499</v>
      </c>
      <c r="J534" s="13">
        <f t="shared" si="581"/>
        <v>0.35817974914380413</v>
      </c>
      <c r="K534" s="13">
        <f t="shared" si="581"/>
        <v>0.35219447624490335</v>
      </c>
      <c r="L534" s="13">
        <f t="shared" ref="L534:O534" si="582">IFERROR(L88/SUM(L316,L471),"-'")</f>
        <v>0.33823512666478217</v>
      </c>
      <c r="M534" s="13">
        <f t="shared" si="582"/>
        <v>0.21838788316325369</v>
      </c>
      <c r="N534" s="13">
        <f t="shared" si="582"/>
        <v>0.21789814311849628</v>
      </c>
      <c r="O534" s="13">
        <f t="shared" si="582"/>
        <v>0.21847245114301486</v>
      </c>
      <c r="P534" s="13">
        <f>IFERROR(P88/SUM(P316,P471),"-'")</f>
        <v>0.21727936879777393</v>
      </c>
      <c r="Q534" s="13">
        <f>IFERROR(Q88/SUM(Q316,Q471),"-'")</f>
        <v>0.21567008463188239</v>
      </c>
      <c r="S534" s="3"/>
    </row>
    <row r="535" spans="1:19" x14ac:dyDescent="0.5">
      <c r="A535" s="5"/>
      <c r="B535" s="5" t="s">
        <v>6</v>
      </c>
      <c r="C535" s="5" t="s">
        <v>7</v>
      </c>
      <c r="D535" t="s">
        <v>255</v>
      </c>
      <c r="E535" s="5" t="s">
        <v>240</v>
      </c>
      <c r="F535" s="13" t="str">
        <f t="shared" ref="F535:F543" si="583">IFERROR(F89/SUM(F317,F472),"-")</f>
        <v>-</v>
      </c>
      <c r="G535" s="13" t="str">
        <f t="shared" ref="G535:K535" si="584">IFERROR(G89/SUM(G317,G472),"-")</f>
        <v>-</v>
      </c>
      <c r="H535" s="13" t="str">
        <f t="shared" si="584"/>
        <v>-</v>
      </c>
      <c r="I535" s="13" t="str">
        <f t="shared" si="584"/>
        <v>-</v>
      </c>
      <c r="J535" s="13" t="str">
        <f t="shared" si="584"/>
        <v>-</v>
      </c>
      <c r="K535" s="13">
        <f t="shared" si="584"/>
        <v>0.28341466537141802</v>
      </c>
      <c r="L535" s="13">
        <f t="shared" ref="L535:O535" si="585">IFERROR(L89/SUM(L317,L472),"-")</f>
        <v>0.29187113979057139</v>
      </c>
      <c r="M535" s="13">
        <f t="shared" si="585"/>
        <v>0.3231500106361076</v>
      </c>
      <c r="N535" s="13">
        <f t="shared" si="585"/>
        <v>0.32291446207644958</v>
      </c>
      <c r="O535" s="13">
        <f t="shared" si="585"/>
        <v>0.32315006979944011</v>
      </c>
      <c r="P535" s="13">
        <f t="shared" ref="P535:Q543" si="586">IFERROR(P89/SUM(P317,P472),"-")</f>
        <v>0.32152063226133154</v>
      </c>
      <c r="Q535" s="13">
        <f t="shared" si="586"/>
        <v>0.31921471691472414</v>
      </c>
      <c r="S535" s="3"/>
    </row>
    <row r="536" spans="1:19" x14ac:dyDescent="0.5">
      <c r="A536" s="5"/>
      <c r="B536" s="5" t="s">
        <v>6</v>
      </c>
      <c r="C536" s="5" t="s">
        <v>7</v>
      </c>
      <c r="D536" t="s">
        <v>256</v>
      </c>
      <c r="E536" s="5" t="s">
        <v>240</v>
      </c>
      <c r="F536" s="13" t="str">
        <f t="shared" si="583"/>
        <v>-</v>
      </c>
      <c r="G536" s="13" t="str">
        <f t="shared" ref="G536:K536" si="587">IFERROR(G90/SUM(G318,G473),"-")</f>
        <v>-</v>
      </c>
      <c r="H536" s="13" t="str">
        <f t="shared" si="587"/>
        <v>-</v>
      </c>
      <c r="I536" s="13" t="str">
        <f t="shared" si="587"/>
        <v>-</v>
      </c>
      <c r="J536" s="13" t="str">
        <f t="shared" si="587"/>
        <v>-</v>
      </c>
      <c r="K536" s="13" t="str">
        <f t="shared" si="587"/>
        <v>-</v>
      </c>
      <c r="L536" s="13" t="str">
        <f t="shared" ref="L536:O536" si="588">IFERROR(L90/SUM(L318,L473),"-")</f>
        <v>-</v>
      </c>
      <c r="M536" s="13" t="str">
        <f t="shared" si="588"/>
        <v>-</v>
      </c>
      <c r="N536" s="13" t="str">
        <f t="shared" si="588"/>
        <v>-</v>
      </c>
      <c r="O536" s="13" t="str">
        <f t="shared" si="588"/>
        <v>-</v>
      </c>
      <c r="P536" s="13" t="str">
        <f t="shared" si="586"/>
        <v>-</v>
      </c>
      <c r="Q536" s="13" t="str">
        <f t="shared" si="586"/>
        <v>-</v>
      </c>
      <c r="S536" s="3"/>
    </row>
    <row r="537" spans="1:19" x14ac:dyDescent="0.5">
      <c r="A537" s="5"/>
      <c r="B537" s="5" t="s">
        <v>6</v>
      </c>
      <c r="C537" s="5" t="s">
        <v>7</v>
      </c>
      <c r="D537" t="s">
        <v>257</v>
      </c>
      <c r="E537" s="5" t="s">
        <v>240</v>
      </c>
      <c r="F537" s="13">
        <f t="shared" si="583"/>
        <v>0.16269492868712596</v>
      </c>
      <c r="G537" s="13">
        <f t="shared" ref="G537:K537" si="589">IFERROR(G91/SUM(G319,G474),"-")</f>
        <v>0.2701439703169955</v>
      </c>
      <c r="H537" s="13">
        <f t="shared" si="589"/>
        <v>0.21895415086088788</v>
      </c>
      <c r="I537" s="13">
        <f t="shared" si="589"/>
        <v>0.24118299426305823</v>
      </c>
      <c r="J537" s="13">
        <f t="shared" si="589"/>
        <v>0.21813017247899064</v>
      </c>
      <c r="K537" s="13">
        <f t="shared" si="589"/>
        <v>0.24587413632162969</v>
      </c>
      <c r="L537" s="13" t="str">
        <f t="shared" ref="L537:O537" si="590">IFERROR(L91/SUM(L319,L474),"-")</f>
        <v>-</v>
      </c>
      <c r="M537" s="13" t="str">
        <f t="shared" si="590"/>
        <v>-</v>
      </c>
      <c r="N537" s="13">
        <f t="shared" si="590"/>
        <v>0.26598988301649518</v>
      </c>
      <c r="O537" s="13">
        <f t="shared" si="590"/>
        <v>0.26939522324372694</v>
      </c>
      <c r="P537" s="13">
        <f t="shared" si="586"/>
        <v>0.28108327014520856</v>
      </c>
      <c r="Q537" s="13">
        <f t="shared" si="586"/>
        <v>0.27397351853330643</v>
      </c>
      <c r="S537" s="3"/>
    </row>
    <row r="538" spans="1:19" x14ac:dyDescent="0.5">
      <c r="A538" s="5"/>
      <c r="B538" s="5" t="s">
        <v>6</v>
      </c>
      <c r="C538" s="5" t="s">
        <v>7</v>
      </c>
      <c r="D538" t="s">
        <v>258</v>
      </c>
      <c r="E538" s="5" t="s">
        <v>240</v>
      </c>
      <c r="F538" s="13" t="str">
        <f t="shared" si="583"/>
        <v>-</v>
      </c>
      <c r="G538" s="13" t="str">
        <f t="shared" ref="G538:K538" si="591">IFERROR(G92/SUM(G320,G475),"-")</f>
        <v>-</v>
      </c>
      <c r="H538" s="13" t="str">
        <f t="shared" si="591"/>
        <v>-</v>
      </c>
      <c r="I538" s="13" t="str">
        <f t="shared" si="591"/>
        <v>-</v>
      </c>
      <c r="J538" s="13" t="str">
        <f t="shared" si="591"/>
        <v>-</v>
      </c>
      <c r="K538" s="13" t="str">
        <f t="shared" si="591"/>
        <v>-</v>
      </c>
      <c r="L538" s="13" t="str">
        <f t="shared" ref="L538:O538" si="592">IFERROR(L92/SUM(L320,L475),"-")</f>
        <v>-</v>
      </c>
      <c r="M538" s="13" t="str">
        <f t="shared" si="592"/>
        <v>-</v>
      </c>
      <c r="N538" s="13">
        <f t="shared" si="592"/>
        <v>0.45</v>
      </c>
      <c r="O538" s="13">
        <f t="shared" si="592"/>
        <v>0.4499999999999999</v>
      </c>
      <c r="P538" s="13">
        <f t="shared" si="586"/>
        <v>0.45000000000000012</v>
      </c>
      <c r="Q538" s="13">
        <f t="shared" si="586"/>
        <v>0.45000000000000023</v>
      </c>
      <c r="S538" s="3"/>
    </row>
    <row r="539" spans="1:19" x14ac:dyDescent="0.5">
      <c r="A539" s="5"/>
      <c r="B539" s="5" t="s">
        <v>6</v>
      </c>
      <c r="C539" s="5" t="s">
        <v>7</v>
      </c>
      <c r="D539" t="s">
        <v>259</v>
      </c>
      <c r="E539" s="5" t="s">
        <v>240</v>
      </c>
      <c r="F539" s="13">
        <f t="shared" si="583"/>
        <v>0.19829504422549118</v>
      </c>
      <c r="G539" s="13">
        <f t="shared" ref="G539:K539" si="593">IFERROR(G93/SUM(G321,G476),"-")</f>
        <v>0.29102250370108212</v>
      </c>
      <c r="H539" s="13">
        <f t="shared" si="593"/>
        <v>0.28552174215955634</v>
      </c>
      <c r="I539" s="13">
        <f t="shared" si="593"/>
        <v>0.29557314334858487</v>
      </c>
      <c r="J539" s="13">
        <f t="shared" si="593"/>
        <v>0.2952214566510431</v>
      </c>
      <c r="K539" s="13">
        <f t="shared" si="593"/>
        <v>0.30064479869384203</v>
      </c>
      <c r="L539" s="13" t="str">
        <f t="shared" ref="L539:O539" si="594">IFERROR(L93/SUM(L321,L476),"-")</f>
        <v>-</v>
      </c>
      <c r="M539" s="13" t="str">
        <f t="shared" si="594"/>
        <v>-</v>
      </c>
      <c r="N539" s="13">
        <f t="shared" si="594"/>
        <v>0.29450544397153627</v>
      </c>
      <c r="O539" s="13">
        <f t="shared" si="594"/>
        <v>0.30682087549034925</v>
      </c>
      <c r="P539" s="13">
        <f t="shared" si="586"/>
        <v>0.30673030028381371</v>
      </c>
      <c r="Q539" s="13">
        <f t="shared" si="586"/>
        <v>0.306016664448374</v>
      </c>
      <c r="S539" s="3"/>
    </row>
    <row r="540" spans="1:19" x14ac:dyDescent="0.5">
      <c r="A540" s="5"/>
      <c r="B540" s="5" t="s">
        <v>6</v>
      </c>
      <c r="C540" s="5" t="s">
        <v>7</v>
      </c>
      <c r="D540" t="s">
        <v>260</v>
      </c>
      <c r="E540" s="5" t="s">
        <v>240</v>
      </c>
      <c r="F540" s="13" t="str">
        <f t="shared" si="583"/>
        <v>-</v>
      </c>
      <c r="G540" s="13" t="str">
        <f t="shared" ref="G540:K540" si="595">IFERROR(G94/SUM(G322,G477),"-")</f>
        <v>-</v>
      </c>
      <c r="H540" s="13" t="str">
        <f t="shared" si="595"/>
        <v>-</v>
      </c>
      <c r="I540" s="13" t="str">
        <f t="shared" si="595"/>
        <v>-</v>
      </c>
      <c r="J540" s="13" t="str">
        <f t="shared" si="595"/>
        <v>-</v>
      </c>
      <c r="K540" s="13" t="str">
        <f t="shared" si="595"/>
        <v>-</v>
      </c>
      <c r="L540" s="13" t="str">
        <f t="shared" ref="L540:O540" si="596">IFERROR(L94/SUM(L322,L477),"-")</f>
        <v>-</v>
      </c>
      <c r="M540" s="13" t="str">
        <f t="shared" si="596"/>
        <v>-</v>
      </c>
      <c r="N540" s="13">
        <f t="shared" si="596"/>
        <v>0.44999999999999951</v>
      </c>
      <c r="O540" s="13">
        <f t="shared" si="596"/>
        <v>0.45000000000000012</v>
      </c>
      <c r="P540" s="13">
        <f t="shared" si="586"/>
        <v>0.44999999999999996</v>
      </c>
      <c r="Q540" s="13">
        <f t="shared" si="586"/>
        <v>0.45000000000000012</v>
      </c>
      <c r="S540" s="3"/>
    </row>
    <row r="541" spans="1:19" x14ac:dyDescent="0.5">
      <c r="A541" s="5"/>
      <c r="B541" s="5" t="s">
        <v>6</v>
      </c>
      <c r="C541" s="5" t="s">
        <v>7</v>
      </c>
      <c r="D541" t="s">
        <v>261</v>
      </c>
      <c r="E541" s="5" t="s">
        <v>240</v>
      </c>
      <c r="F541" s="13">
        <f t="shared" si="583"/>
        <v>0.36266330916786288</v>
      </c>
      <c r="G541" s="13">
        <f t="shared" ref="G541:K541" si="597">IFERROR(G95/SUM(G323,G478),"-")</f>
        <v>0.36298963268934054</v>
      </c>
      <c r="H541" s="13">
        <f t="shared" si="597"/>
        <v>0.3633644897986929</v>
      </c>
      <c r="I541" s="13">
        <f t="shared" si="597"/>
        <v>0.36461943792644347</v>
      </c>
      <c r="J541" s="13">
        <f t="shared" si="597"/>
        <v>0.36831328183848705</v>
      </c>
      <c r="K541" s="13">
        <f t="shared" si="597"/>
        <v>0.37422546982110416</v>
      </c>
      <c r="L541" s="13">
        <f t="shared" ref="L541:O541" si="598">IFERROR(L95/SUM(L323,L478),"-")</f>
        <v>0.37933914881390335</v>
      </c>
      <c r="M541" s="13">
        <f t="shared" si="598"/>
        <v>0.38434499916601256</v>
      </c>
      <c r="N541" s="13">
        <f t="shared" si="598"/>
        <v>0.384140714659851</v>
      </c>
      <c r="O541" s="13">
        <f t="shared" si="598"/>
        <v>0.38440457292201285</v>
      </c>
      <c r="P541" s="13">
        <f t="shared" si="586"/>
        <v>0.38402701344248624</v>
      </c>
      <c r="Q541" s="13">
        <f t="shared" si="586"/>
        <v>0.38383433608991135</v>
      </c>
      <c r="S541" s="3"/>
    </row>
    <row r="542" spans="1:19" x14ac:dyDescent="0.5">
      <c r="A542" s="5"/>
      <c r="B542" s="5" t="s">
        <v>6</v>
      </c>
      <c r="C542" s="5" t="s">
        <v>7</v>
      </c>
      <c r="D542" t="s">
        <v>262</v>
      </c>
      <c r="E542" s="5" t="s">
        <v>240</v>
      </c>
      <c r="F542" s="13">
        <f t="shared" si="583"/>
        <v>0.34805806554641888</v>
      </c>
      <c r="G542" s="13">
        <f t="shared" ref="G542:K542" si="599">IFERROR(G96/SUM(G324,G479),"-")</f>
        <v>0.35995018853413391</v>
      </c>
      <c r="H542" s="13">
        <f t="shared" si="599"/>
        <v>0.3585991605426827</v>
      </c>
      <c r="I542" s="13">
        <f t="shared" si="599"/>
        <v>0.35931958042320106</v>
      </c>
      <c r="J542" s="13">
        <f t="shared" si="599"/>
        <v>0.35767044825352673</v>
      </c>
      <c r="K542" s="13">
        <f t="shared" si="599"/>
        <v>0.35923861738961999</v>
      </c>
      <c r="L542" s="13" t="str">
        <f t="shared" ref="L542:O542" si="600">IFERROR(L96/SUM(L324,L479),"-")</f>
        <v>-</v>
      </c>
      <c r="M542" s="13" t="str">
        <f t="shared" si="600"/>
        <v>-</v>
      </c>
      <c r="N542" s="13">
        <f t="shared" si="600"/>
        <v>0.3410872083697904</v>
      </c>
      <c r="O542" s="13">
        <f t="shared" si="600"/>
        <v>0.34214617649596435</v>
      </c>
      <c r="P542" s="13">
        <f t="shared" si="586"/>
        <v>0.34633385371497866</v>
      </c>
      <c r="Q542" s="13">
        <f t="shared" si="586"/>
        <v>0.34246117386399655</v>
      </c>
      <c r="S542" s="3"/>
    </row>
    <row r="543" spans="1:19" x14ac:dyDescent="0.5">
      <c r="A543" s="5"/>
      <c r="B543" s="5" t="s">
        <v>6</v>
      </c>
      <c r="C543" s="5" t="s">
        <v>7</v>
      </c>
      <c r="D543" t="s">
        <v>263</v>
      </c>
      <c r="E543" s="5" t="s">
        <v>240</v>
      </c>
      <c r="F543" s="13" t="str">
        <f t="shared" si="583"/>
        <v>-</v>
      </c>
      <c r="G543" s="13" t="str">
        <f t="shared" ref="G543:K543" si="601">IFERROR(G97/SUM(G325,G480),"-")</f>
        <v>-</v>
      </c>
      <c r="H543" s="13" t="str">
        <f t="shared" si="601"/>
        <v>-</v>
      </c>
      <c r="I543" s="13" t="str">
        <f t="shared" si="601"/>
        <v>-</v>
      </c>
      <c r="J543" s="13" t="str">
        <f t="shared" si="601"/>
        <v>-</v>
      </c>
      <c r="K543" s="13" t="str">
        <f t="shared" si="601"/>
        <v>-</v>
      </c>
      <c r="L543" s="13" t="str">
        <f t="shared" ref="L543:O543" si="602">IFERROR(L97/SUM(L325,L480),"-")</f>
        <v>-</v>
      </c>
      <c r="M543" s="13" t="str">
        <f t="shared" si="602"/>
        <v>-</v>
      </c>
      <c r="N543" s="13">
        <f t="shared" si="602"/>
        <v>0.62000000000000044</v>
      </c>
      <c r="O543" s="13">
        <f t="shared" si="602"/>
        <v>0.61999999999999988</v>
      </c>
      <c r="P543" s="13">
        <f t="shared" si="586"/>
        <v>0.61999999999999988</v>
      </c>
      <c r="Q543" s="13">
        <f t="shared" si="586"/>
        <v>0.62000000000000011</v>
      </c>
      <c r="S543" s="3"/>
    </row>
    <row r="544" spans="1:19" x14ac:dyDescent="0.5">
      <c r="B544" s="5" t="s">
        <v>6</v>
      </c>
      <c r="C544" s="5" t="s">
        <v>7</v>
      </c>
      <c r="D544" t="s">
        <v>264</v>
      </c>
      <c r="E544" s="5" t="s">
        <v>240</v>
      </c>
      <c r="F544" s="13">
        <f>IFERROR(F131/F359,"-")</f>
        <v>0.35745695376016601</v>
      </c>
      <c r="G544" s="13">
        <f t="shared" ref="G544:K544" si="603">IFERROR(G131/G359,"-")</f>
        <v>0.35745695376016634</v>
      </c>
      <c r="H544" s="13">
        <f t="shared" si="603"/>
        <v>0.35745695376016595</v>
      </c>
      <c r="I544" s="13">
        <f t="shared" si="603"/>
        <v>0.35745695376016612</v>
      </c>
      <c r="J544" s="13">
        <f t="shared" si="603"/>
        <v>0.35745695376016606</v>
      </c>
      <c r="K544" s="13">
        <f t="shared" si="603"/>
        <v>0.35745695376016656</v>
      </c>
      <c r="L544" s="13">
        <f t="shared" ref="L544:O544" si="604">IFERROR(L131/L359,"-")</f>
        <v>0.35745695376016612</v>
      </c>
      <c r="M544" s="13">
        <f t="shared" si="604"/>
        <v>0.35745695376016595</v>
      </c>
      <c r="N544" s="13">
        <f t="shared" si="604"/>
        <v>0.35745695376016612</v>
      </c>
      <c r="O544" s="13">
        <f t="shared" si="604"/>
        <v>0.35745695376016601</v>
      </c>
      <c r="P544" s="13">
        <f>IFERROR(P131/P359,"-")</f>
        <v>0.35745695376016567</v>
      </c>
      <c r="Q544" s="13">
        <f>IFERROR(Q131/Q359,"-")</f>
        <v>0.35745695376016584</v>
      </c>
      <c r="S544" s="3"/>
    </row>
    <row r="545" spans="2:19" x14ac:dyDescent="0.5">
      <c r="B545" s="5" t="s">
        <v>6</v>
      </c>
      <c r="C545" s="5" t="s">
        <v>7</v>
      </c>
      <c r="D545" t="s">
        <v>265</v>
      </c>
      <c r="E545" s="5" t="s">
        <v>240</v>
      </c>
      <c r="F545" s="13" t="str">
        <f>IFERROR(F132/F360,"-")</f>
        <v>-</v>
      </c>
      <c r="G545" s="13" t="str">
        <f t="shared" ref="G545:K545" si="605">IFERROR(G132/G360,"-")</f>
        <v>-</v>
      </c>
      <c r="H545" s="13" t="str">
        <f t="shared" si="605"/>
        <v>-</v>
      </c>
      <c r="I545" s="13" t="str">
        <f t="shared" si="605"/>
        <v>-</v>
      </c>
      <c r="J545" s="13" t="str">
        <f t="shared" si="605"/>
        <v>-</v>
      </c>
      <c r="K545" s="13">
        <f t="shared" si="605"/>
        <v>0.33470839322286855</v>
      </c>
      <c r="L545" s="13">
        <f t="shared" ref="L545:O545" si="606">IFERROR(L132/L360,"-")</f>
        <v>0.33805547715509804</v>
      </c>
      <c r="M545" s="13">
        <f t="shared" si="606"/>
        <v>0.34140256108732647</v>
      </c>
      <c r="N545" s="13">
        <f t="shared" si="606"/>
        <v>0.34140256108732586</v>
      </c>
      <c r="O545" s="13">
        <f t="shared" si="606"/>
        <v>0.34140256108732586</v>
      </c>
      <c r="P545" s="13">
        <f>IFERROR(P132/P360,"-")</f>
        <v>0.34140256108732586</v>
      </c>
      <c r="Q545" s="13">
        <f>IFERROR(Q132/Q360,"-")</f>
        <v>0.34140256108732625</v>
      </c>
      <c r="S545" s="3"/>
    </row>
    <row r="546" spans="2:19" x14ac:dyDescent="0.5">
      <c r="B546" s="5" t="s">
        <v>6</v>
      </c>
      <c r="C546" s="5" t="s">
        <v>7</v>
      </c>
      <c r="D546" t="s">
        <v>266</v>
      </c>
      <c r="E546" s="5" t="s">
        <v>240</v>
      </c>
      <c r="F546" s="13">
        <f>IFERROR(F133/SUM(F361,F428),"-")</f>
        <v>3.8383748085092304E-2</v>
      </c>
      <c r="G546" s="13">
        <f t="shared" ref="G546:K546" si="607">IFERROR(G133/SUM(G361,G428),"-")</f>
        <v>3.7629739144839164E-2</v>
      </c>
      <c r="H546" s="13">
        <f t="shared" si="607"/>
        <v>3.7826529255266854E-2</v>
      </c>
      <c r="I546" s="13">
        <f t="shared" si="607"/>
        <v>3.7472573257851291E-2</v>
      </c>
      <c r="J546" s="13">
        <f t="shared" si="607"/>
        <v>3.7431718845959902E-2</v>
      </c>
      <c r="K546" s="13">
        <f t="shared" si="607"/>
        <v>3.402801175437549E-2</v>
      </c>
      <c r="L546" s="13">
        <f t="shared" ref="L546:O546" si="608">IFERROR(L133/SUM(L361,L428),"-")</f>
        <v>2.884606434325299E-2</v>
      </c>
      <c r="M546" s="13">
        <f t="shared" si="608"/>
        <v>2.6104490693398878E-2</v>
      </c>
      <c r="N546" s="13">
        <f t="shared" si="608"/>
        <v>2.5085020986636685E-2</v>
      </c>
      <c r="O546" s="13">
        <f t="shared" si="608"/>
        <v>2.4367052032201506E-2</v>
      </c>
      <c r="P546" s="13">
        <f>IFERROR(P133/SUM(P361,P428),"-")</f>
        <v>2.4293278942015252E-2</v>
      </c>
      <c r="Q546" s="13">
        <f>IFERROR(Q133/SUM(Q361,Q428),"-")</f>
        <v>2.4296301396886637E-2</v>
      </c>
      <c r="S546" s="3"/>
    </row>
    <row r="547" spans="2:19" x14ac:dyDescent="0.5">
      <c r="B547" s="5" t="s">
        <v>6</v>
      </c>
      <c r="C547" s="5" t="s">
        <v>7</v>
      </c>
      <c r="D547" t="s">
        <v>267</v>
      </c>
      <c r="E547" s="5" t="s">
        <v>240</v>
      </c>
      <c r="F547" s="13" t="str">
        <f>IFERROR(F134/SUM(F362,F429),"-")</f>
        <v>-</v>
      </c>
      <c r="G547" s="13" t="str">
        <f t="shared" ref="G547:K547" si="609">IFERROR(G134/SUM(G362,G429),"-")</f>
        <v>-</v>
      </c>
      <c r="H547" s="13" t="str">
        <f t="shared" si="609"/>
        <v>-</v>
      </c>
      <c r="I547" s="13" t="str">
        <f t="shared" si="609"/>
        <v>-</v>
      </c>
      <c r="J547" s="13" t="str">
        <f t="shared" si="609"/>
        <v>-</v>
      </c>
      <c r="K547" s="13">
        <f t="shared" si="609"/>
        <v>4.8242849883234851E-2</v>
      </c>
      <c r="L547" s="13">
        <f t="shared" ref="L547:O547" si="610">IFERROR(L134/SUM(L362,L429),"-")</f>
        <v>5.1121424941617359E-2</v>
      </c>
      <c r="M547" s="13">
        <f t="shared" si="610"/>
        <v>5.4000000000000006E-2</v>
      </c>
      <c r="N547" s="13">
        <f t="shared" si="610"/>
        <v>5.3999999999999965E-2</v>
      </c>
      <c r="O547" s="13">
        <f t="shared" si="610"/>
        <v>5.4000000000000013E-2</v>
      </c>
      <c r="P547" s="13">
        <f>IFERROR(P134/SUM(P362,P429),"-")</f>
        <v>5.4000000000000027E-2</v>
      </c>
      <c r="Q547" s="13">
        <f>IFERROR(Q134/SUM(Q362,Q429),"-")</f>
        <v>5.3999999999999923E-2</v>
      </c>
      <c r="S547" s="3"/>
    </row>
    <row r="548" spans="2:19" x14ac:dyDescent="0.5">
      <c r="B548" s="5" t="s">
        <v>6</v>
      </c>
      <c r="C548" s="5" t="s">
        <v>7</v>
      </c>
      <c r="D548" t="s">
        <v>268</v>
      </c>
      <c r="E548" s="5" t="s">
        <v>240</v>
      </c>
      <c r="F548" s="13">
        <f>IFERROR(F135/SUM(F363,F504),"-")</f>
        <v>6.1980306486842301E-2</v>
      </c>
      <c r="G548" s="13">
        <f t="shared" ref="G548:K548" si="611">IFERROR(G135/SUM(G363,G504),"-")</f>
        <v>6.1979882036222692E-2</v>
      </c>
      <c r="H548" s="13">
        <f t="shared" si="611"/>
        <v>6.1972650567355229E-2</v>
      </c>
      <c r="I548" s="13">
        <f t="shared" si="611"/>
        <v>6.1972650567355285E-2</v>
      </c>
      <c r="J548" s="13">
        <f t="shared" si="611"/>
        <v>6.1972650567355389E-2</v>
      </c>
      <c r="K548" s="13">
        <f t="shared" si="611"/>
        <v>6.1972650567355222E-2</v>
      </c>
      <c r="L548" s="13">
        <f t="shared" ref="L548:O548" si="612">IFERROR(L135/SUM(L363,L504),"-")</f>
        <v>6.1972650567355222E-2</v>
      </c>
      <c r="M548" s="13">
        <f t="shared" si="612"/>
        <v>6.1972650567355354E-2</v>
      </c>
      <c r="N548" s="13">
        <f t="shared" si="612"/>
        <v>6.1972650567355222E-2</v>
      </c>
      <c r="O548" s="13">
        <f t="shared" si="612"/>
        <v>6.1972650567355222E-2</v>
      </c>
      <c r="P548" s="13">
        <f>IFERROR(P135/SUM(P363,P504),"-")</f>
        <v>6.1972650567355278E-2</v>
      </c>
      <c r="Q548" s="13">
        <f>IFERROR(Q135/SUM(Q363,Q504),"-")</f>
        <v>6.1972650567355257E-2</v>
      </c>
      <c r="S548" s="3"/>
    </row>
    <row r="549" spans="2:19" x14ac:dyDescent="0.5">
      <c r="B549" s="5" t="s">
        <v>6</v>
      </c>
      <c r="C549" s="5" t="s">
        <v>7</v>
      </c>
      <c r="D549" t="s">
        <v>269</v>
      </c>
      <c r="E549" s="5" t="s">
        <v>240</v>
      </c>
      <c r="F549" s="13" t="str">
        <f>IFERROR(F136/SUM(F364,F505),"-")</f>
        <v>-</v>
      </c>
      <c r="G549" s="13" t="str">
        <f t="shared" ref="G549:K549" si="613">IFERROR(G136/SUM(G364,G505),"-")</f>
        <v>-</v>
      </c>
      <c r="H549" s="13" t="str">
        <f t="shared" si="613"/>
        <v>-</v>
      </c>
      <c r="I549" s="13" t="str">
        <f t="shared" si="613"/>
        <v>-</v>
      </c>
      <c r="J549" s="13" t="str">
        <f t="shared" si="613"/>
        <v>-</v>
      </c>
      <c r="K549" s="13">
        <f t="shared" si="613"/>
        <v>4.7880823847050433E-2</v>
      </c>
      <c r="L549" s="13">
        <f t="shared" ref="L549:O549" si="614">IFERROR(L136/SUM(L364,L505),"-")</f>
        <v>4.6820724841429649E-2</v>
      </c>
      <c r="M549" s="13">
        <f t="shared" si="614"/>
        <v>4.5431760215214285E-2</v>
      </c>
      <c r="N549" s="13">
        <f t="shared" si="614"/>
        <v>4.5431760215214285E-2</v>
      </c>
      <c r="O549" s="13">
        <f t="shared" si="614"/>
        <v>4.543176021521432E-2</v>
      </c>
      <c r="P549" s="13">
        <f>IFERROR(P136/SUM(P364,P505),"-")</f>
        <v>4.5431760215214265E-2</v>
      </c>
      <c r="Q549" s="13">
        <f>IFERROR(Q136/SUM(Q364,Q505),"-")</f>
        <v>4.5431760215214272E-2</v>
      </c>
      <c r="S549" s="3"/>
    </row>
    <row r="550" spans="2:19" x14ac:dyDescent="0.5">
      <c r="B550" s="5" t="s">
        <v>6</v>
      </c>
      <c r="C550" s="5" t="s">
        <v>7</v>
      </c>
      <c r="D550" t="s">
        <v>270</v>
      </c>
      <c r="E550" s="5" t="s">
        <v>240</v>
      </c>
      <c r="F550" s="13">
        <f>IFERROR(F152/SUM(F380,F437),"-")</f>
        <v>0.24383525357926697</v>
      </c>
      <c r="G550" s="13">
        <f t="shared" ref="G550:K550" si="615">IFERROR(G152/SUM(G380,G437),"-")</f>
        <v>0.20054920876879614</v>
      </c>
      <c r="H550" s="13">
        <f t="shared" si="615"/>
        <v>0.25870758687102263</v>
      </c>
      <c r="I550" s="13">
        <f t="shared" si="615"/>
        <v>0.22014369568864578</v>
      </c>
      <c r="J550" s="13">
        <f t="shared" si="615"/>
        <v>0.22517319160809265</v>
      </c>
      <c r="K550" s="13">
        <f t="shared" si="615"/>
        <v>0.30510413959982524</v>
      </c>
      <c r="L550" s="13">
        <f t="shared" ref="L550:O550" si="616">IFERROR(L152/SUM(L380,L437),"-")</f>
        <v>0.30610716134607824</v>
      </c>
      <c r="M550" s="13">
        <f t="shared" si="616"/>
        <v>0.30608434258735095</v>
      </c>
      <c r="N550" s="13">
        <f t="shared" si="616"/>
        <v>0.30548343843375769</v>
      </c>
      <c r="O550" s="13">
        <f t="shared" si="616"/>
        <v>0.30581826892658448</v>
      </c>
      <c r="P550" s="13">
        <f>IFERROR(P152/SUM(P380,P437),"-")</f>
        <v>0.30587767578051217</v>
      </c>
      <c r="Q550" s="13">
        <f>IFERROR(Q152/SUM(Q380,Q437),"-")</f>
        <v>0.30564314409729126</v>
      </c>
      <c r="S550" s="3"/>
    </row>
    <row r="551" spans="2:19" x14ac:dyDescent="0.5">
      <c r="B551" s="5" t="s">
        <v>6</v>
      </c>
      <c r="C551" s="5" t="s">
        <v>7</v>
      </c>
      <c r="D551" t="s">
        <v>271</v>
      </c>
      <c r="E551" s="5" t="s">
        <v>240</v>
      </c>
      <c r="F551" s="13" t="str">
        <f>IFERROR(F153/F381,"-")</f>
        <v>-</v>
      </c>
      <c r="G551" s="13" t="str">
        <f t="shared" ref="G551:K551" si="617">IFERROR(G153/G381,"-")</f>
        <v>-</v>
      </c>
      <c r="H551" s="13" t="str">
        <f t="shared" si="617"/>
        <v>-</v>
      </c>
      <c r="I551" s="13" t="str">
        <f t="shared" si="617"/>
        <v>-</v>
      </c>
      <c r="J551" s="13" t="str">
        <f t="shared" si="617"/>
        <v>-</v>
      </c>
      <c r="K551" s="13">
        <f t="shared" si="617"/>
        <v>9.2300924823449204E-2</v>
      </c>
      <c r="L551" s="13">
        <f t="shared" ref="L551:O551" si="618">IFERROR(L153/L381,"-")</f>
        <v>0.17519201256075692</v>
      </c>
      <c r="M551" s="13">
        <f t="shared" si="618"/>
        <v>0.24982484095978164</v>
      </c>
      <c r="N551" s="13">
        <f t="shared" si="618"/>
        <v>0.26318039082373945</v>
      </c>
      <c r="O551" s="13">
        <f t="shared" si="618"/>
        <v>0.26153033478032217</v>
      </c>
      <c r="P551" s="13">
        <f>IFERROR(P153/P381,"-")</f>
        <v>0.26174746308864116</v>
      </c>
      <c r="Q551" s="13">
        <f>IFERROR(Q153/Q381,"-")</f>
        <v>0.26078232183587896</v>
      </c>
      <c r="S551" s="3"/>
    </row>
    <row r="552" spans="2:19" x14ac:dyDescent="0.5">
      <c r="B552" s="5" t="s">
        <v>6</v>
      </c>
      <c r="C552" s="5" t="s">
        <v>7</v>
      </c>
      <c r="D552" t="s">
        <v>272</v>
      </c>
      <c r="E552" s="5" t="s">
        <v>240</v>
      </c>
      <c r="F552" s="13">
        <f>IFERROR(F154/SUM(F382,F513),"-")</f>
        <v>0.19756258987841871</v>
      </c>
      <c r="G552" s="13">
        <f t="shared" ref="G552:K552" si="619">IFERROR(G154/SUM(G382,G513),"-")</f>
        <v>0.22579758735169611</v>
      </c>
      <c r="H552" s="13">
        <f t="shared" si="619"/>
        <v>0.25023621038741339</v>
      </c>
      <c r="I552" s="13">
        <f t="shared" si="619"/>
        <v>0.27924118666832171</v>
      </c>
      <c r="J552" s="13">
        <f t="shared" si="619"/>
        <v>0.28958874941829776</v>
      </c>
      <c r="K552" s="13">
        <f t="shared" si="619"/>
        <v>0.35274765054200724</v>
      </c>
      <c r="L552" s="13">
        <f t="shared" ref="L552:O552" si="620">IFERROR(L154/SUM(L382,L513),"-")</f>
        <v>0.35968731069055881</v>
      </c>
      <c r="M552" s="13">
        <f t="shared" si="620"/>
        <v>0.3670955381527507</v>
      </c>
      <c r="N552" s="13">
        <f t="shared" si="620"/>
        <v>0.33829965666572642</v>
      </c>
      <c r="O552" s="13">
        <f t="shared" si="620"/>
        <v>0.30558561172405874</v>
      </c>
      <c r="P552" s="13">
        <f t="shared" ref="P552:Q556" si="621">IFERROR(P154/SUM(P382,P513),"-")</f>
        <v>0.32420941681967874</v>
      </c>
      <c r="Q552" s="13">
        <f t="shared" si="621"/>
        <v>0.27454783909935787</v>
      </c>
      <c r="S552" s="3"/>
    </row>
    <row r="553" spans="2:19" x14ac:dyDescent="0.5">
      <c r="B553" s="5" t="s">
        <v>6</v>
      </c>
      <c r="C553" s="5" t="s">
        <v>7</v>
      </c>
      <c r="D553" t="s">
        <v>273</v>
      </c>
      <c r="E553" s="5" t="s">
        <v>240</v>
      </c>
      <c r="F553" s="13" t="str">
        <f>IFERROR(F155/SUM(F383,F514),"-")</f>
        <v>-</v>
      </c>
      <c r="G553" s="13" t="str">
        <f t="shared" ref="G553:K553" si="622">IFERROR(G155/SUM(G383,G514),"-")</f>
        <v>-</v>
      </c>
      <c r="H553" s="13" t="str">
        <f t="shared" si="622"/>
        <v>-</v>
      </c>
      <c r="I553" s="13" t="str">
        <f t="shared" si="622"/>
        <v>-</v>
      </c>
      <c r="J553" s="13" t="str">
        <f t="shared" si="622"/>
        <v>-</v>
      </c>
      <c r="K553" s="13">
        <f t="shared" si="622"/>
        <v>0.3353766242154706</v>
      </c>
      <c r="L553" s="13">
        <f t="shared" ref="L553:O553" si="623">IFERROR(L155/SUM(L383,L514),"-")</f>
        <v>0.34209562095952745</v>
      </c>
      <c r="M553" s="13">
        <f t="shared" si="623"/>
        <v>0.34885449036072425</v>
      </c>
      <c r="N553" s="13">
        <f t="shared" si="623"/>
        <v>0.34845439239531695</v>
      </c>
      <c r="O553" s="13">
        <f t="shared" si="623"/>
        <v>0.34889612394266833</v>
      </c>
      <c r="P553" s="13">
        <f t="shared" si="621"/>
        <v>0.34889005355392155</v>
      </c>
      <c r="Q553" s="13">
        <f t="shared" si="621"/>
        <v>0.34876483658793378</v>
      </c>
      <c r="S553" s="3"/>
    </row>
    <row r="554" spans="2:19" x14ac:dyDescent="0.5">
      <c r="B554" s="5" t="s">
        <v>6</v>
      </c>
      <c r="C554" s="5" t="s">
        <v>7</v>
      </c>
      <c r="D554" t="s">
        <v>274</v>
      </c>
      <c r="E554" s="5" t="s">
        <v>240</v>
      </c>
      <c r="F554" s="13" t="str">
        <f>IFERROR(F156/SUM(F384,F515),"-")</f>
        <v>-</v>
      </c>
      <c r="G554" s="13" t="str">
        <f t="shared" ref="G554:K554" si="624">IFERROR(G156/SUM(G384,G515),"-")</f>
        <v>-</v>
      </c>
      <c r="H554" s="13" t="str">
        <f t="shared" si="624"/>
        <v>-</v>
      </c>
      <c r="I554" s="13">
        <f t="shared" si="624"/>
        <v>0.16558527492407196</v>
      </c>
      <c r="J554" s="13">
        <f t="shared" si="624"/>
        <v>0.17809901746566628</v>
      </c>
      <c r="K554" s="13">
        <f t="shared" si="624"/>
        <v>0.23538224984724274</v>
      </c>
      <c r="L554" s="13">
        <f t="shared" ref="L554:O554" si="625">IFERROR(L156/SUM(L384,L515),"-")</f>
        <v>0.24279801063732628</v>
      </c>
      <c r="M554" s="13">
        <f t="shared" si="625"/>
        <v>0.25548921877509273</v>
      </c>
      <c r="N554" s="13">
        <f t="shared" si="625"/>
        <v>0.24776550191564917</v>
      </c>
      <c r="O554" s="13">
        <f t="shared" si="625"/>
        <v>0.23538157148721367</v>
      </c>
      <c r="P554" s="13">
        <f t="shared" si="621"/>
        <v>0.24831987053100033</v>
      </c>
      <c r="Q554" s="13">
        <f t="shared" si="621"/>
        <v>0.22399327323759094</v>
      </c>
      <c r="S554" s="3"/>
    </row>
    <row r="555" spans="2:19" x14ac:dyDescent="0.5">
      <c r="B555" s="5" t="s">
        <v>6</v>
      </c>
      <c r="C555" s="5" t="s">
        <v>7</v>
      </c>
      <c r="D555" t="s">
        <v>275</v>
      </c>
      <c r="E555" s="5" t="s">
        <v>240</v>
      </c>
      <c r="F555" s="13" t="str">
        <f>IFERROR(F157/SUM(F385,F516),"-")</f>
        <v>-</v>
      </c>
      <c r="G555" s="13" t="str">
        <f t="shared" ref="G555:K555" si="626">IFERROR(G157/SUM(G385,G516),"-")</f>
        <v>-</v>
      </c>
      <c r="H555" s="13" t="str">
        <f t="shared" si="626"/>
        <v>-</v>
      </c>
      <c r="I555" s="13">
        <f t="shared" si="626"/>
        <v>0.19453554306202431</v>
      </c>
      <c r="J555" s="13">
        <f t="shared" si="626"/>
        <v>0.21702341828705196</v>
      </c>
      <c r="K555" s="13">
        <f t="shared" si="626"/>
        <v>0.27011135961891081</v>
      </c>
      <c r="L555" s="13">
        <f t="shared" ref="L555:O555" si="627">IFERROR(L157/SUM(L385,L516),"-")</f>
        <v>0.27765099534278531</v>
      </c>
      <c r="M555" s="13">
        <f t="shared" si="627"/>
        <v>0.28425756549580411</v>
      </c>
      <c r="N555" s="13">
        <f t="shared" si="627"/>
        <v>0.28366304138771781</v>
      </c>
      <c r="O555" s="13">
        <f t="shared" si="627"/>
        <v>0.28283072404412918</v>
      </c>
      <c r="P555" s="13">
        <f t="shared" si="621"/>
        <v>0.28300806993064581</v>
      </c>
      <c r="Q555" s="13">
        <f t="shared" si="621"/>
        <v>0.26658515309132319</v>
      </c>
      <c r="S555" s="3"/>
    </row>
    <row r="556" spans="2:19" x14ac:dyDescent="0.5">
      <c r="B556" s="5" t="s">
        <v>6</v>
      </c>
      <c r="C556" s="5" t="s">
        <v>7</v>
      </c>
      <c r="D556" t="s">
        <v>293</v>
      </c>
      <c r="E556" s="5" t="s">
        <v>240</v>
      </c>
      <c r="F556" s="13" t="str">
        <f>IFERROR(F158/SUM(F386,F517),"-")</f>
        <v>-</v>
      </c>
      <c r="G556" s="13" t="str">
        <f t="shared" ref="G556:K556" si="628">IFERROR(G158/SUM(G386,G517),"-")</f>
        <v>-</v>
      </c>
      <c r="H556" s="13" t="str">
        <f t="shared" si="628"/>
        <v>-</v>
      </c>
      <c r="I556" s="13">
        <f t="shared" si="628"/>
        <v>0.23479810205536025</v>
      </c>
      <c r="J556" s="13">
        <f t="shared" si="628"/>
        <v>0.24342531764428524</v>
      </c>
      <c r="K556" s="13">
        <f t="shared" si="628"/>
        <v>0.32752444378622209</v>
      </c>
      <c r="L556" s="13">
        <f t="shared" ref="L556:O556" si="629">IFERROR(L158/SUM(L386,L517),"-")</f>
        <v>0.33313670274501972</v>
      </c>
      <c r="M556" s="13">
        <f t="shared" si="629"/>
        <v>0.34954961122282763</v>
      </c>
      <c r="N556" s="13">
        <f t="shared" si="629"/>
        <v>0.33761095264208796</v>
      </c>
      <c r="O556" s="13">
        <f t="shared" si="629"/>
        <v>0.31763024450830141</v>
      </c>
      <c r="P556" s="13">
        <f t="shared" si="621"/>
        <v>0.34848901561161777</v>
      </c>
      <c r="Q556" s="13">
        <f t="shared" si="621"/>
        <v>0.31539244150699197</v>
      </c>
      <c r="S556" s="3"/>
    </row>
    <row r="557" spans="2:19" x14ac:dyDescent="0.5">
      <c r="B557" s="5" t="s">
        <v>6</v>
      </c>
      <c r="C557" s="5" t="s">
        <v>7</v>
      </c>
      <c r="D557" t="s">
        <v>276</v>
      </c>
      <c r="E557" s="5" t="s">
        <v>240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  <c r="L557" s="13">
        <v>1</v>
      </c>
      <c r="M557" s="13">
        <v>1</v>
      </c>
      <c r="N557" s="13">
        <v>1</v>
      </c>
      <c r="O557" s="13">
        <v>1</v>
      </c>
      <c r="P557" s="13">
        <v>1</v>
      </c>
      <c r="Q557" s="13">
        <v>1</v>
      </c>
      <c r="S557" s="3"/>
    </row>
    <row r="558" spans="2:19" x14ac:dyDescent="0.5">
      <c r="B558" s="5" t="s">
        <v>6</v>
      </c>
      <c r="C558" s="5" t="s">
        <v>7</v>
      </c>
      <c r="D558" t="s">
        <v>277</v>
      </c>
      <c r="E558" s="5" t="s">
        <v>240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  <c r="L558" s="13">
        <v>1</v>
      </c>
      <c r="M558" s="13">
        <v>1</v>
      </c>
      <c r="N558" s="13">
        <v>1</v>
      </c>
      <c r="O558" s="13">
        <v>1</v>
      </c>
      <c r="P558" s="13">
        <v>1</v>
      </c>
      <c r="Q558" s="13">
        <v>1</v>
      </c>
      <c r="S558" s="3"/>
    </row>
    <row r="559" spans="2:19" x14ac:dyDescent="0.5">
      <c r="B559" s="5" t="s">
        <v>6</v>
      </c>
      <c r="C559" s="5" t="s">
        <v>7</v>
      </c>
      <c r="D559" t="s">
        <v>278</v>
      </c>
      <c r="E559" s="5" t="s">
        <v>240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  <c r="L559" s="13">
        <v>1</v>
      </c>
      <c r="M559" s="13">
        <v>1</v>
      </c>
      <c r="N559" s="13">
        <v>1</v>
      </c>
      <c r="O559" s="13">
        <v>1</v>
      </c>
      <c r="P559" s="13">
        <v>1</v>
      </c>
      <c r="Q559" s="13">
        <v>1</v>
      </c>
      <c r="S559" s="3"/>
    </row>
    <row r="560" spans="2:19" x14ac:dyDescent="0.5">
      <c r="B560" s="5" t="s">
        <v>6</v>
      </c>
      <c r="C560" s="5" t="s">
        <v>7</v>
      </c>
      <c r="D560" t="s">
        <v>279</v>
      </c>
      <c r="E560" s="5" t="s">
        <v>240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  <c r="L560" s="13">
        <v>1</v>
      </c>
      <c r="M560" s="13">
        <v>1</v>
      </c>
      <c r="N560" s="13">
        <v>1</v>
      </c>
      <c r="O560" s="13">
        <v>1</v>
      </c>
      <c r="P560" s="13">
        <v>1</v>
      </c>
      <c r="Q560" s="13">
        <v>1</v>
      </c>
      <c r="S560" s="3"/>
    </row>
    <row r="561" spans="2:19" x14ac:dyDescent="0.5">
      <c r="B561" s="5" t="s">
        <v>6</v>
      </c>
      <c r="C561" s="5" t="s">
        <v>7</v>
      </c>
      <c r="D561" t="s">
        <v>280</v>
      </c>
      <c r="E561" s="5" t="s">
        <v>240</v>
      </c>
      <c r="F561" s="13">
        <v>1</v>
      </c>
      <c r="G561" s="13">
        <v>1</v>
      </c>
      <c r="H561" s="13">
        <v>1</v>
      </c>
      <c r="I561" s="13">
        <v>1</v>
      </c>
      <c r="J561" s="13">
        <v>1</v>
      </c>
      <c r="K561" s="13">
        <v>1</v>
      </c>
      <c r="L561" s="13">
        <v>1</v>
      </c>
      <c r="M561" s="13">
        <v>1</v>
      </c>
      <c r="N561" s="13">
        <v>1</v>
      </c>
      <c r="O561" s="13">
        <v>1</v>
      </c>
      <c r="P561" s="13">
        <v>1</v>
      </c>
      <c r="Q561" s="13">
        <v>1</v>
      </c>
      <c r="S561" s="3"/>
    </row>
    <row r="562" spans="2:19" x14ac:dyDescent="0.5">
      <c r="B562" s="5" t="s">
        <v>6</v>
      </c>
      <c r="C562" s="5" t="s">
        <v>7</v>
      </c>
      <c r="D562" t="s">
        <v>281</v>
      </c>
      <c r="E562" s="5" t="s">
        <v>240</v>
      </c>
      <c r="F562" s="13">
        <v>1</v>
      </c>
      <c r="G562" s="13">
        <v>1</v>
      </c>
      <c r="H562" s="13">
        <v>1</v>
      </c>
      <c r="I562" s="13">
        <v>1</v>
      </c>
      <c r="J562" s="13">
        <v>1</v>
      </c>
      <c r="K562" s="13">
        <v>1</v>
      </c>
      <c r="L562" s="13">
        <v>1</v>
      </c>
      <c r="M562" s="13">
        <v>1</v>
      </c>
      <c r="N562" s="13">
        <v>1</v>
      </c>
      <c r="O562" s="13">
        <v>1</v>
      </c>
      <c r="P562" s="13">
        <v>1</v>
      </c>
      <c r="Q562" s="13">
        <v>1</v>
      </c>
      <c r="S562" s="3"/>
    </row>
    <row r="563" spans="2:19" x14ac:dyDescent="0.5">
      <c r="B563" s="5" t="s">
        <v>6</v>
      </c>
      <c r="C563" s="5" t="s">
        <v>7</v>
      </c>
      <c r="D563" t="s">
        <v>282</v>
      </c>
      <c r="E563" s="5" t="s">
        <v>240</v>
      </c>
      <c r="F563" s="13" t="str">
        <f>IFERROR(F168/F396,"-")</f>
        <v>-</v>
      </c>
      <c r="G563" s="13" t="str">
        <f t="shared" ref="G563:K563" si="630">IFERROR(G168/G396,"-")</f>
        <v>-</v>
      </c>
      <c r="H563" s="13" t="str">
        <f t="shared" si="630"/>
        <v>-</v>
      </c>
      <c r="I563" s="13" t="str">
        <f t="shared" si="630"/>
        <v>-</v>
      </c>
      <c r="J563" s="13" t="str">
        <f t="shared" si="630"/>
        <v>-</v>
      </c>
      <c r="K563" s="13" t="str">
        <f t="shared" si="630"/>
        <v>-</v>
      </c>
      <c r="L563" s="13">
        <f t="shared" ref="L563:O563" si="631">IFERROR(L168/L396,"-")</f>
        <v>0.14999999999999983</v>
      </c>
      <c r="M563" s="13">
        <f t="shared" si="631"/>
        <v>0.14999999999999988</v>
      </c>
      <c r="N563" s="13">
        <f t="shared" si="631"/>
        <v>0.15000000000000005</v>
      </c>
      <c r="O563" s="13">
        <f t="shared" si="631"/>
        <v>0.14999999999999997</v>
      </c>
      <c r="P563" s="13">
        <f>IFERROR(P168/P396,"-")</f>
        <v>0.15</v>
      </c>
      <c r="Q563" s="13">
        <f>IFERROR(Q168/Q396,"-")</f>
        <v>0.14999999999999991</v>
      </c>
      <c r="S563" s="3"/>
    </row>
    <row r="564" spans="2:19" x14ac:dyDescent="0.5">
      <c r="B564" s="5" t="s">
        <v>6</v>
      </c>
      <c r="C564" s="5" t="s">
        <v>7</v>
      </c>
      <c r="D564" t="s">
        <v>283</v>
      </c>
      <c r="E564" s="5" t="s">
        <v>240</v>
      </c>
      <c r="F564" s="13" t="str">
        <f>IFERROR(F170/SUM(F398,F439),"-")</f>
        <v>-</v>
      </c>
      <c r="G564" s="13" t="str">
        <f t="shared" ref="G564:K564" si="632">IFERROR(G170/SUM(G398,G439),"-")</f>
        <v>-</v>
      </c>
      <c r="H564" s="13" t="str">
        <f t="shared" si="632"/>
        <v>-</v>
      </c>
      <c r="I564" s="13" t="str">
        <f t="shared" si="632"/>
        <v>-</v>
      </c>
      <c r="J564" s="13" t="str">
        <f t="shared" si="632"/>
        <v>-</v>
      </c>
      <c r="K564" s="13">
        <f t="shared" si="632"/>
        <v>0.42</v>
      </c>
      <c r="L564" s="13">
        <f t="shared" ref="L564:O564" si="633">IFERROR(L170/SUM(L398,L439),"-")</f>
        <v>0.41999999999999976</v>
      </c>
      <c r="M564" s="13">
        <f t="shared" si="633"/>
        <v>0.42000000000000015</v>
      </c>
      <c r="N564" s="13">
        <f t="shared" si="633"/>
        <v>0.42000000000000037</v>
      </c>
      <c r="O564" s="13">
        <f t="shared" si="633"/>
        <v>0.42000000000000054</v>
      </c>
      <c r="P564" s="13">
        <f>IFERROR(P170/SUM(P398,P439),"-")</f>
        <v>0.41999999999999965</v>
      </c>
      <c r="Q564" s="13">
        <f>IFERROR(Q170/SUM(Q398,Q439),"-")</f>
        <v>0.42000000000000015</v>
      </c>
      <c r="S564" s="3"/>
    </row>
    <row r="565" spans="2:19" x14ac:dyDescent="0.5">
      <c r="B565" s="5" t="s">
        <v>6</v>
      </c>
      <c r="C565" s="5" t="s">
        <v>7</v>
      </c>
      <c r="D565" t="s">
        <v>284</v>
      </c>
      <c r="E565" s="5" t="s">
        <v>240</v>
      </c>
      <c r="F565" s="13" t="str">
        <f>IFERROR(F171/SUM(F399,F519),"-")</f>
        <v>-</v>
      </c>
      <c r="G565" s="13" t="str">
        <f t="shared" ref="G565:K565" si="634">IFERROR(G171/SUM(G399,G519),"-")</f>
        <v>-</v>
      </c>
      <c r="H565" s="13" t="str">
        <f t="shared" si="634"/>
        <v>-</v>
      </c>
      <c r="I565" s="13" t="str">
        <f t="shared" si="634"/>
        <v>-</v>
      </c>
      <c r="J565" s="13">
        <f t="shared" si="634"/>
        <v>0.52249999999999963</v>
      </c>
      <c r="K565" s="13">
        <f t="shared" si="634"/>
        <v>0.54999999999999982</v>
      </c>
      <c r="L565" s="13">
        <f t="shared" ref="L565:O565" si="635">IFERROR(L171/SUM(L399,L519),"-")</f>
        <v>0.57499999999999907</v>
      </c>
      <c r="M565" s="13">
        <f t="shared" si="635"/>
        <v>0.59999999999999964</v>
      </c>
      <c r="N565" s="13">
        <f t="shared" si="635"/>
        <v>0.59999999999999987</v>
      </c>
      <c r="O565" s="13">
        <f t="shared" si="635"/>
        <v>0.60000000000000042</v>
      </c>
      <c r="P565" s="13">
        <f>IFERROR(P171/SUM(P399,P519),"-")</f>
        <v>0.6000000000000002</v>
      </c>
      <c r="Q565" s="13">
        <f>IFERROR(Q171/SUM(Q399,Q519),"-")</f>
        <v>0.6000000000000002</v>
      </c>
      <c r="S565" s="3"/>
    </row>
    <row r="566" spans="2:19" x14ac:dyDescent="0.5">
      <c r="B566" s="5" t="s">
        <v>6</v>
      </c>
      <c r="C566" s="5" t="s">
        <v>7</v>
      </c>
      <c r="D566" t="s">
        <v>285</v>
      </c>
      <c r="E566" s="5" t="s">
        <v>240</v>
      </c>
      <c r="F566" s="13" t="str">
        <f>IFERROR(F172/SUM(F400,F520),"-")</f>
        <v>-</v>
      </c>
      <c r="G566" s="13" t="str">
        <f t="shared" ref="G566:K566" si="636">IFERROR(G172/SUM(G400,G520),"-")</f>
        <v>-</v>
      </c>
      <c r="H566" s="13" t="str">
        <f t="shared" si="636"/>
        <v>-</v>
      </c>
      <c r="I566" s="13">
        <f t="shared" si="636"/>
        <v>0.4750000000000002</v>
      </c>
      <c r="J566" s="13">
        <f t="shared" si="636"/>
        <v>0.50749999999999995</v>
      </c>
      <c r="K566" s="13">
        <f t="shared" si="636"/>
        <v>0.54000000000000026</v>
      </c>
      <c r="L566" s="13">
        <f t="shared" ref="L566:O566" si="637">IFERROR(L172/SUM(L400,L520),"-")</f>
        <v>0.55749999999999966</v>
      </c>
      <c r="M566" s="13">
        <f t="shared" si="637"/>
        <v>0.57500000000000062</v>
      </c>
      <c r="N566" s="13">
        <f t="shared" si="637"/>
        <v>0.57500000000000029</v>
      </c>
      <c r="O566" s="13">
        <f t="shared" si="637"/>
        <v>0.57500000000000062</v>
      </c>
      <c r="P566" s="13">
        <f>IFERROR(P172/SUM(P400,P520),"-")</f>
        <v>0.5749999999999994</v>
      </c>
      <c r="Q566" s="13">
        <f>IFERROR(Q172/SUM(Q400,Q520),"-")</f>
        <v>0.57500000000000018</v>
      </c>
      <c r="S566" s="3"/>
    </row>
    <row r="567" spans="2:19" x14ac:dyDescent="0.5">
      <c r="B567" s="5" t="s">
        <v>6</v>
      </c>
      <c r="C567" s="5" t="s">
        <v>7</v>
      </c>
      <c r="D567" t="s">
        <v>286</v>
      </c>
      <c r="E567" s="5" t="s">
        <v>240</v>
      </c>
      <c r="F567" s="13">
        <f t="shared" ref="F567:K573" si="638">IFERROR(F174/F402,"-")</f>
        <v>0.69995098773371445</v>
      </c>
      <c r="G567" s="13">
        <f t="shared" si="638"/>
        <v>0.69968851243061969</v>
      </c>
      <c r="H567" s="13">
        <f t="shared" si="638"/>
        <v>0.6998536415723583</v>
      </c>
      <c r="I567" s="13">
        <f t="shared" si="638"/>
        <v>0.69995086728876554</v>
      </c>
      <c r="J567" s="13">
        <f t="shared" si="638"/>
        <v>0.69994611011013197</v>
      </c>
      <c r="K567" s="13">
        <f t="shared" si="638"/>
        <v>0.69993349042591357</v>
      </c>
      <c r="L567" s="13">
        <f t="shared" ref="L567:O567" si="639">IFERROR(L174/L402,"-")</f>
        <v>0.69995087092979613</v>
      </c>
      <c r="M567" s="13">
        <f t="shared" si="639"/>
        <v>0.69993923383989798</v>
      </c>
      <c r="N567" s="13">
        <f t="shared" si="639"/>
        <v>0.69995088498507063</v>
      </c>
      <c r="O567" s="13">
        <f t="shared" si="639"/>
        <v>0.69995088880107725</v>
      </c>
      <c r="P567" s="13">
        <f t="shared" ref="P567:Q573" si="640">IFERROR(P174/P402,"-")</f>
        <v>0.69995088361224678</v>
      </c>
      <c r="Q567" s="13">
        <f t="shared" si="640"/>
        <v>0.69995073071846181</v>
      </c>
      <c r="S567" s="3"/>
    </row>
    <row r="568" spans="2:19" x14ac:dyDescent="0.5">
      <c r="B568" s="5" t="s">
        <v>6</v>
      </c>
      <c r="C568" s="5" t="s">
        <v>7</v>
      </c>
      <c r="D568" t="s">
        <v>287</v>
      </c>
      <c r="E568" s="5" t="s">
        <v>240</v>
      </c>
      <c r="F568" s="13">
        <f t="shared" si="638"/>
        <v>0.86654825824221671</v>
      </c>
      <c r="G568" s="13">
        <f t="shared" si="638"/>
        <v>0.86641055647788279</v>
      </c>
      <c r="H568" s="13">
        <f t="shared" si="638"/>
        <v>0.86661471915753763</v>
      </c>
      <c r="I568" s="13">
        <f t="shared" si="638"/>
        <v>0.86665476942945385</v>
      </c>
      <c r="J568" s="13">
        <f t="shared" si="638"/>
        <v>0.86703013321178812</v>
      </c>
      <c r="K568" s="13">
        <f t="shared" si="638"/>
        <v>0.86702746581635304</v>
      </c>
      <c r="L568" s="13">
        <f t="shared" ref="L568:O568" si="641">IFERROR(L175/L403,"-")</f>
        <v>0.86703082889256555</v>
      </c>
      <c r="M568" s="13">
        <f t="shared" si="641"/>
        <v>0.86703066705295995</v>
      </c>
      <c r="N568" s="13">
        <f t="shared" si="641"/>
        <v>0.86703469382907283</v>
      </c>
      <c r="O568" s="13">
        <f t="shared" si="641"/>
        <v>0.8670346966679664</v>
      </c>
      <c r="P568" s="13">
        <f t="shared" si="640"/>
        <v>0.86703470318512921</v>
      </c>
      <c r="Q568" s="13">
        <f t="shared" si="640"/>
        <v>0.86703461965545681</v>
      </c>
      <c r="S568" s="3"/>
    </row>
    <row r="569" spans="2:19" x14ac:dyDescent="0.5">
      <c r="B569" s="5" t="s">
        <v>6</v>
      </c>
      <c r="C569" s="5" t="s">
        <v>7</v>
      </c>
      <c r="D569" t="s">
        <v>288</v>
      </c>
      <c r="E569" s="5" t="s">
        <v>240</v>
      </c>
      <c r="F569" s="13">
        <f t="shared" si="638"/>
        <v>0.89370126640519854</v>
      </c>
      <c r="G569" s="13">
        <f t="shared" si="638"/>
        <v>0.89354279242883683</v>
      </c>
      <c r="H569" s="13">
        <f t="shared" si="638"/>
        <v>0.89373072964753153</v>
      </c>
      <c r="I569" s="13">
        <f t="shared" si="638"/>
        <v>0.89379103997641896</v>
      </c>
      <c r="J569" s="13">
        <f t="shared" si="638"/>
        <v>0.8942213919619012</v>
      </c>
      <c r="K569" s="13">
        <f t="shared" si="638"/>
        <v>0.89426692609023151</v>
      </c>
      <c r="L569" s="13">
        <f t="shared" ref="L569:O569" si="642">IFERROR(L176/L404,"-")</f>
        <v>0.89426879149973981</v>
      </c>
      <c r="M569" s="13">
        <f t="shared" si="642"/>
        <v>0.89426893256794315</v>
      </c>
      <c r="N569" s="13">
        <f t="shared" si="642"/>
        <v>0.89426924196962654</v>
      </c>
      <c r="O569" s="13">
        <f t="shared" si="642"/>
        <v>0.89426930515972258</v>
      </c>
      <c r="P569" s="13">
        <f t="shared" si="640"/>
        <v>0.8942692798518439</v>
      </c>
      <c r="Q569" s="13">
        <f t="shared" si="640"/>
        <v>0.8942692768854954</v>
      </c>
      <c r="S569" s="3"/>
    </row>
    <row r="570" spans="2:19" x14ac:dyDescent="0.5">
      <c r="B570" s="5" t="s">
        <v>6</v>
      </c>
      <c r="C570" s="5" t="s">
        <v>7</v>
      </c>
      <c r="D570" t="s">
        <v>289</v>
      </c>
      <c r="E570" s="5" t="s">
        <v>240</v>
      </c>
      <c r="F570" s="13">
        <f t="shared" si="638"/>
        <v>0.90237672809451053</v>
      </c>
      <c r="G570" s="13">
        <f t="shared" si="638"/>
        <v>0.90237983481181094</v>
      </c>
      <c r="H570" s="13">
        <f t="shared" si="638"/>
        <v>0.9028008228827763</v>
      </c>
      <c r="I570" s="13">
        <f t="shared" si="638"/>
        <v>0.90416286613511465</v>
      </c>
      <c r="J570" s="13">
        <f t="shared" si="638"/>
        <v>0.90421265657402683</v>
      </c>
      <c r="K570" s="13">
        <f t="shared" si="638"/>
        <v>0.90423199587914471</v>
      </c>
      <c r="L570" s="13">
        <f t="shared" ref="L570:O570" si="643">IFERROR(L177/L405,"-")</f>
        <v>0.9042252509304326</v>
      </c>
      <c r="M570" s="13">
        <f t="shared" si="643"/>
        <v>0.90423916132161974</v>
      </c>
      <c r="N570" s="13">
        <f t="shared" si="643"/>
        <v>0.90424233268593546</v>
      </c>
      <c r="O570" s="13">
        <f t="shared" si="643"/>
        <v>0.90424647385143697</v>
      </c>
      <c r="P570" s="13">
        <f t="shared" si="640"/>
        <v>0.90424732586223699</v>
      </c>
      <c r="Q570" s="13">
        <f t="shared" si="640"/>
        <v>0.90424443898608009</v>
      </c>
      <c r="S570" s="3"/>
    </row>
    <row r="571" spans="2:19" x14ac:dyDescent="0.5">
      <c r="B571" s="5" t="s">
        <v>6</v>
      </c>
      <c r="C571" s="5" t="s">
        <v>7</v>
      </c>
      <c r="D571" t="s">
        <v>1854</v>
      </c>
      <c r="E571" s="5" t="s">
        <v>240</v>
      </c>
      <c r="F571" s="13">
        <f t="shared" si="638"/>
        <v>0.90259315353443326</v>
      </c>
      <c r="G571" s="13">
        <f t="shared" si="638"/>
        <v>0.90259731750530969</v>
      </c>
      <c r="H571" s="13">
        <f t="shared" si="638"/>
        <v>0.90296621345318662</v>
      </c>
      <c r="I571" s="13">
        <f t="shared" si="638"/>
        <v>0.90412960775604012</v>
      </c>
      <c r="J571" s="13">
        <f t="shared" si="638"/>
        <v>0.90417324274962718</v>
      </c>
      <c r="K571" s="13">
        <f t="shared" si="638"/>
        <v>0.90418784794914187</v>
      </c>
      <c r="L571" s="13">
        <f t="shared" ref="L571:O571" si="644">IFERROR(L178/L406,"-")</f>
        <v>0.90421602224648501</v>
      </c>
      <c r="M571" s="13">
        <f t="shared" si="644"/>
        <v>0.9042217070147035</v>
      </c>
      <c r="N571" s="13">
        <f t="shared" si="644"/>
        <v>0.90422801461435032</v>
      </c>
      <c r="O571" s="13">
        <f t="shared" si="644"/>
        <v>0.90422995214362156</v>
      </c>
      <c r="P571" s="13">
        <f t="shared" si="640"/>
        <v>0.90423127413238669</v>
      </c>
      <c r="Q571" s="13">
        <f t="shared" si="640"/>
        <v>0.90422963383741939</v>
      </c>
      <c r="S571" s="3"/>
    </row>
    <row r="572" spans="2:19" x14ac:dyDescent="0.5">
      <c r="B572" s="5" t="s">
        <v>6</v>
      </c>
      <c r="C572" s="5" t="s">
        <v>7</v>
      </c>
      <c r="D572" t="s">
        <v>290</v>
      </c>
      <c r="E572" s="5" t="s">
        <v>240</v>
      </c>
      <c r="F572" s="13">
        <f t="shared" si="638"/>
        <v>0.90259248703830819</v>
      </c>
      <c r="G572" s="13">
        <f t="shared" si="638"/>
        <v>0.90259659020121774</v>
      </c>
      <c r="H572" s="13">
        <f t="shared" si="638"/>
        <v>0.90296627797287421</v>
      </c>
      <c r="I572" s="13">
        <f t="shared" si="638"/>
        <v>0.90413220229585944</v>
      </c>
      <c r="J572" s="13">
        <f t="shared" si="638"/>
        <v>0.90419062924099902</v>
      </c>
      <c r="K572" s="13">
        <f t="shared" si="638"/>
        <v>0.90421974017337359</v>
      </c>
      <c r="L572" s="13">
        <f t="shared" ref="L572:O572" si="645">IFERROR(L179/L407,"-")</f>
        <v>0.90423018021237656</v>
      </c>
      <c r="M572" s="13">
        <f t="shared" si="645"/>
        <v>0.90422233021404264</v>
      </c>
      <c r="N572" s="13">
        <f t="shared" si="645"/>
        <v>0.90422943272991296</v>
      </c>
      <c r="O572" s="13">
        <f t="shared" si="645"/>
        <v>0.90423039280434836</v>
      </c>
      <c r="P572" s="13">
        <f t="shared" si="640"/>
        <v>0.90423169623867405</v>
      </c>
      <c r="Q572" s="13">
        <f t="shared" si="640"/>
        <v>0.90423008353939971</v>
      </c>
      <c r="S572" s="3"/>
    </row>
    <row r="573" spans="2:19" x14ac:dyDescent="0.5">
      <c r="B573" s="5" t="s">
        <v>6</v>
      </c>
      <c r="C573" s="5" t="s">
        <v>7</v>
      </c>
      <c r="D573" t="s">
        <v>291</v>
      </c>
      <c r="E573" s="5" t="s">
        <v>240</v>
      </c>
      <c r="F573" s="13">
        <f t="shared" si="638"/>
        <v>0.90230246925885771</v>
      </c>
      <c r="G573" s="13">
        <f t="shared" si="638"/>
        <v>0.9023049492728844</v>
      </c>
      <c r="H573" s="13">
        <f t="shared" si="638"/>
        <v>0.90274224182957219</v>
      </c>
      <c r="I573" s="13">
        <f t="shared" si="638"/>
        <v>0.90418697269636705</v>
      </c>
      <c r="J573" s="13">
        <f t="shared" si="638"/>
        <v>0.90421263777807193</v>
      </c>
      <c r="K573" s="13">
        <f t="shared" si="638"/>
        <v>0.90423432476140719</v>
      </c>
      <c r="L573" s="13">
        <f t="shared" ref="L573:O573" si="646">IFERROR(L180/L408,"-")</f>
        <v>0.90424069909790139</v>
      </c>
      <c r="M573" s="13">
        <f t="shared" si="646"/>
        <v>0.90423463058296194</v>
      </c>
      <c r="N573" s="13">
        <f t="shared" si="646"/>
        <v>0.90423959539472998</v>
      </c>
      <c r="O573" s="13">
        <f t="shared" si="646"/>
        <v>0.9042405398316099</v>
      </c>
      <c r="P573" s="13">
        <f t="shared" si="640"/>
        <v>0.90424135864099375</v>
      </c>
      <c r="Q573" s="13">
        <f t="shared" si="640"/>
        <v>0.90424066228592792</v>
      </c>
      <c r="S573" s="3"/>
    </row>
    <row r="574" spans="2:19" x14ac:dyDescent="0.5">
      <c r="B574" s="9" t="s">
        <v>6</v>
      </c>
      <c r="C574" s="9" t="s">
        <v>7</v>
      </c>
      <c r="D574" s="2" t="s">
        <v>296</v>
      </c>
      <c r="E574" s="5" t="s">
        <v>240</v>
      </c>
      <c r="F574" t="s">
        <v>292</v>
      </c>
      <c r="G574" t="s">
        <v>292</v>
      </c>
      <c r="H574" t="s">
        <v>292</v>
      </c>
      <c r="I574" t="s">
        <v>292</v>
      </c>
      <c r="J574" t="s">
        <v>292</v>
      </c>
      <c r="K574" t="s">
        <v>292</v>
      </c>
      <c r="L574" t="s">
        <v>292</v>
      </c>
      <c r="M574" t="s">
        <v>292</v>
      </c>
      <c r="N574" t="s">
        <v>292</v>
      </c>
      <c r="O574" t="s">
        <v>292</v>
      </c>
      <c r="P574" t="s">
        <v>292</v>
      </c>
      <c r="Q574" t="s">
        <v>292</v>
      </c>
      <c r="S574" s="3"/>
    </row>
    <row r="575" spans="2:19" x14ac:dyDescent="0.5">
      <c r="B575" s="5" t="s">
        <v>6</v>
      </c>
      <c r="C575" s="5" t="s">
        <v>7</v>
      </c>
      <c r="D575" t="s">
        <v>297</v>
      </c>
      <c r="E575" s="5" t="s">
        <v>240</v>
      </c>
      <c r="F575" s="4">
        <f>IFERROR(F212/F442,"-")</f>
        <v>0.59933583182169359</v>
      </c>
      <c r="G575" s="4">
        <f t="shared" ref="G575:K575" si="647">IFERROR(G212/G442,"-")</f>
        <v>0.62435158482855302</v>
      </c>
      <c r="H575" s="4">
        <f t="shared" si="647"/>
        <v>0.54984899457776137</v>
      </c>
      <c r="I575" s="4">
        <f t="shared" si="647"/>
        <v>0.38083293048419858</v>
      </c>
      <c r="J575" s="4">
        <f t="shared" si="647"/>
        <v>0.3808329304841987</v>
      </c>
      <c r="K575" s="4">
        <f t="shared" si="647"/>
        <v>0.38083293048419931</v>
      </c>
      <c r="L575" s="4">
        <f t="shared" ref="L575:O575" si="648">IFERROR(L212/L442,"-")</f>
        <v>0.38083293048419858</v>
      </c>
      <c r="M575" s="4">
        <f t="shared" si="648"/>
        <v>0.38083293048419914</v>
      </c>
      <c r="N575" s="4">
        <f t="shared" si="648"/>
        <v>0.38083293048419903</v>
      </c>
      <c r="O575" s="4">
        <f t="shared" si="648"/>
        <v>0.38083293048419947</v>
      </c>
      <c r="P575" s="4">
        <f>IFERROR(P212/P442,"-")</f>
        <v>0.38083293048419881</v>
      </c>
      <c r="Q575" s="4">
        <f>IFERROR(Q212/Q442,"-")</f>
        <v>0.38083293048419875</v>
      </c>
      <c r="S575" s="3"/>
    </row>
    <row r="576" spans="2:19" x14ac:dyDescent="0.5">
      <c r="B576" s="5" t="s">
        <v>6</v>
      </c>
      <c r="C576" s="5" t="s">
        <v>7</v>
      </c>
      <c r="D576" t="s">
        <v>298</v>
      </c>
      <c r="E576" s="5" t="s">
        <v>240</v>
      </c>
      <c r="F576" s="4">
        <f>IFERROR(F218/F448,"-")</f>
        <v>2</v>
      </c>
      <c r="G576" s="4">
        <f t="shared" ref="G576:K576" si="649">IFERROR(G218/G448,"-")</f>
        <v>2</v>
      </c>
      <c r="H576" s="4">
        <f t="shared" si="649"/>
        <v>2</v>
      </c>
      <c r="I576" s="4">
        <f t="shared" si="649"/>
        <v>2</v>
      </c>
      <c r="J576" s="4">
        <f t="shared" si="649"/>
        <v>2</v>
      </c>
      <c r="K576" s="4" t="str">
        <f t="shared" si="649"/>
        <v>-</v>
      </c>
      <c r="L576" s="4" t="str">
        <f t="shared" ref="L576:O576" si="650">IFERROR(L218/L448,"-")</f>
        <v>-</v>
      </c>
      <c r="M576" s="4" t="str">
        <f t="shared" si="650"/>
        <v>-</v>
      </c>
      <c r="N576" s="4" t="str">
        <f t="shared" si="650"/>
        <v>-</v>
      </c>
      <c r="O576" s="4" t="str">
        <f t="shared" si="650"/>
        <v>-</v>
      </c>
      <c r="P576" s="4" t="str">
        <f>IFERROR(P218/P448,"-")</f>
        <v>-</v>
      </c>
      <c r="Q576" s="4" t="str">
        <f>IFERROR(Q218/Q448,"-")</f>
        <v>-</v>
      </c>
      <c r="S576" s="3"/>
    </row>
    <row r="577" spans="2:19" x14ac:dyDescent="0.5">
      <c r="B577" s="5" t="s">
        <v>6</v>
      </c>
      <c r="C577" s="5" t="s">
        <v>7</v>
      </c>
      <c r="D577" t="s">
        <v>299</v>
      </c>
      <c r="E577" s="5" t="s">
        <v>240</v>
      </c>
      <c r="F577" s="4">
        <f>IFERROR(F220/F450,"-")</f>
        <v>0.85445501111132527</v>
      </c>
      <c r="G577" s="4">
        <f t="shared" ref="G577:K577" si="651">IFERROR(G220/G450,"-")</f>
        <v>0.85445501111132516</v>
      </c>
      <c r="H577" s="4">
        <f t="shared" si="651"/>
        <v>0.85445501111132471</v>
      </c>
      <c r="I577" s="4">
        <f t="shared" si="651"/>
        <v>0.85445501111132605</v>
      </c>
      <c r="J577" s="4">
        <f t="shared" si="651"/>
        <v>0.85445501111132482</v>
      </c>
      <c r="K577" s="4">
        <f t="shared" si="651"/>
        <v>0.85445501111132571</v>
      </c>
      <c r="L577" s="4">
        <f t="shared" ref="L577:O577" si="652">IFERROR(L220/L450,"-")</f>
        <v>0.8544550111113246</v>
      </c>
      <c r="M577" s="4">
        <f t="shared" si="652"/>
        <v>0.85445501111132527</v>
      </c>
      <c r="N577" s="4">
        <f t="shared" si="652"/>
        <v>0.85445501111132494</v>
      </c>
      <c r="O577" s="4">
        <f t="shared" si="652"/>
        <v>0.85445501111132505</v>
      </c>
      <c r="P577" s="4">
        <f>IFERROR(P220/P450,"-")</f>
        <v>0.85445501111132494</v>
      </c>
      <c r="Q577" s="4">
        <f>IFERROR(Q220/Q450,"-")</f>
        <v>0.8544550111113246</v>
      </c>
      <c r="S577" s="3"/>
    </row>
    <row r="578" spans="2:19" x14ac:dyDescent="0.5">
      <c r="B578" s="5" t="s">
        <v>6</v>
      </c>
      <c r="C578" s="5" t="s">
        <v>7</v>
      </c>
      <c r="D578" t="s">
        <v>300</v>
      </c>
      <c r="E578" s="5" t="s">
        <v>240</v>
      </c>
      <c r="F578" s="4">
        <f>IFERROR(F226/F456,"-")</f>
        <v>0.70000000000000007</v>
      </c>
      <c r="G578" s="4">
        <f t="shared" ref="G578:K578" si="653">IFERROR(G226/G456,"-")</f>
        <v>0.69999999999999962</v>
      </c>
      <c r="H578" s="4">
        <f t="shared" si="653"/>
        <v>0.69999999999999973</v>
      </c>
      <c r="I578" s="4">
        <f t="shared" si="653"/>
        <v>0.69999999999999951</v>
      </c>
      <c r="J578" s="4">
        <f t="shared" si="653"/>
        <v>0.7</v>
      </c>
      <c r="K578" s="4">
        <f t="shared" si="653"/>
        <v>0.69999999999999962</v>
      </c>
      <c r="L578" s="4">
        <f t="shared" ref="L578:O578" si="654">IFERROR(L226/L456,"-")</f>
        <v>0.70000000000000129</v>
      </c>
      <c r="M578" s="4">
        <f t="shared" si="654"/>
        <v>0.70000000000000007</v>
      </c>
      <c r="N578" s="4">
        <f t="shared" si="654"/>
        <v>0.69999999999999962</v>
      </c>
      <c r="O578" s="4">
        <f t="shared" si="654"/>
        <v>0.69999999999999984</v>
      </c>
      <c r="P578" s="4">
        <f>IFERROR(P226/P456,"-")</f>
        <v>0.70000000000000029</v>
      </c>
      <c r="Q578" s="4">
        <f>IFERROR(Q226/Q456,"-")</f>
        <v>0.7</v>
      </c>
      <c r="S578" s="3"/>
    </row>
    <row r="579" spans="2:19" x14ac:dyDescent="0.5">
      <c r="B579" s="5" t="s">
        <v>6</v>
      </c>
      <c r="C579" s="5" t="s">
        <v>7</v>
      </c>
      <c r="D579" t="s">
        <v>301</v>
      </c>
      <c r="E579" s="5" t="s">
        <v>240</v>
      </c>
      <c r="F579" t="str">
        <f>IFERROR(F228/F458,"-")</f>
        <v>-</v>
      </c>
      <c r="G579" t="str">
        <f t="shared" ref="G579:K579" si="655">IFERROR(G228/G458,"-")</f>
        <v>-</v>
      </c>
      <c r="H579" t="str">
        <f t="shared" si="655"/>
        <v>-</v>
      </c>
      <c r="I579">
        <f t="shared" si="655"/>
        <v>0.50000000000000056</v>
      </c>
      <c r="J579">
        <f t="shared" si="655"/>
        <v>0.5</v>
      </c>
      <c r="K579">
        <f t="shared" si="655"/>
        <v>0.5</v>
      </c>
      <c r="L579">
        <f t="shared" ref="L579:O579" si="656">IFERROR(L228/L458,"-")</f>
        <v>0.50000000000000022</v>
      </c>
      <c r="M579">
        <f t="shared" si="656"/>
        <v>0.5</v>
      </c>
      <c r="N579">
        <f t="shared" si="656"/>
        <v>0.49999999999999978</v>
      </c>
      <c r="O579">
        <f t="shared" si="656"/>
        <v>0.5</v>
      </c>
      <c r="P579">
        <f>IFERROR(P228/P458,"-")</f>
        <v>0.49999999999999989</v>
      </c>
      <c r="Q579">
        <f>IFERROR(Q228/Q458,"-")</f>
        <v>0.50000000000000011</v>
      </c>
      <c r="S579" s="3"/>
    </row>
    <row r="580" spans="2:19" x14ac:dyDescent="0.5">
      <c r="B580" s="5" t="s">
        <v>6</v>
      </c>
      <c r="C580" s="5" t="s">
        <v>7</v>
      </c>
      <c r="D580" t="s">
        <v>302</v>
      </c>
      <c r="E580" s="5" t="s">
        <v>240</v>
      </c>
      <c r="F580" t="str">
        <f>IFERROR(F230/F460,"-")</f>
        <v>-</v>
      </c>
      <c r="G580" t="str">
        <f t="shared" ref="G580:K580" si="657">IFERROR(G230/G460,"-")</f>
        <v>-</v>
      </c>
      <c r="H580" t="str">
        <f t="shared" si="657"/>
        <v>-</v>
      </c>
      <c r="I580" t="str">
        <f t="shared" si="657"/>
        <v>-</v>
      </c>
      <c r="J580" t="str">
        <f t="shared" si="657"/>
        <v>-</v>
      </c>
      <c r="K580">
        <f t="shared" si="657"/>
        <v>0.8500000000000002</v>
      </c>
      <c r="L580">
        <f t="shared" ref="L580:O580" si="658">IFERROR(L230/L460,"-")</f>
        <v>0.85000000000000075</v>
      </c>
      <c r="M580">
        <f t="shared" si="658"/>
        <v>0.84999999999999931</v>
      </c>
      <c r="N580">
        <f t="shared" si="658"/>
        <v>0.84999999999999987</v>
      </c>
      <c r="O580">
        <f t="shared" si="658"/>
        <v>0.8500000000000002</v>
      </c>
      <c r="P580">
        <f>IFERROR(P230/P460,"-")</f>
        <v>0.84999999999999942</v>
      </c>
      <c r="Q580">
        <f>IFERROR(Q230/Q460,"-")</f>
        <v>0.84999999999999942</v>
      </c>
      <c r="S580" s="3"/>
    </row>
    <row r="581" spans="2:19" x14ac:dyDescent="0.5">
      <c r="B581" s="5" t="s">
        <v>6</v>
      </c>
      <c r="C581" s="5" t="s">
        <v>7</v>
      </c>
      <c r="D581" t="s">
        <v>720</v>
      </c>
      <c r="E581" s="5" t="s">
        <v>240</v>
      </c>
      <c r="F581" s="4" t="str">
        <f>IFERROR(F232/F462,"-")</f>
        <v>-</v>
      </c>
      <c r="G581" s="4">
        <f t="shared" ref="G581:K581" si="659">IFERROR(G232/G462,"-")</f>
        <v>2.9999999999999964</v>
      </c>
      <c r="H581" s="4">
        <f t="shared" si="659"/>
        <v>2.9999999999999987</v>
      </c>
      <c r="I581" s="4">
        <f t="shared" si="659"/>
        <v>3.0000000000000031</v>
      </c>
      <c r="J581" s="4">
        <f t="shared" si="659"/>
        <v>3.0000000000000004</v>
      </c>
      <c r="K581" s="4">
        <f t="shared" si="659"/>
        <v>2.9999999999999996</v>
      </c>
      <c r="L581" s="4">
        <f t="shared" ref="L581:O581" si="660">IFERROR(L232/L462,"-")</f>
        <v>2.9999999999999978</v>
      </c>
      <c r="M581" s="4">
        <f t="shared" si="660"/>
        <v>3.0000000000000036</v>
      </c>
      <c r="N581" s="4">
        <f t="shared" si="660"/>
        <v>2.9999999999999951</v>
      </c>
      <c r="O581" s="4">
        <f t="shared" si="660"/>
        <v>2.9999999999999991</v>
      </c>
      <c r="P581" s="4">
        <f>IFERROR(P232/P462,"-")</f>
        <v>2.9999999999999964</v>
      </c>
      <c r="Q581" s="4">
        <f>IFERROR(Q232/Q462,"-")</f>
        <v>3.0000000000000022</v>
      </c>
      <c r="S581" s="3"/>
    </row>
    <row r="582" spans="2:19" x14ac:dyDescent="0.5">
      <c r="B582" s="9" t="s">
        <v>6</v>
      </c>
      <c r="C582" s="9" t="s">
        <v>7</v>
      </c>
      <c r="D582" s="2" t="s">
        <v>303</v>
      </c>
      <c r="E582" s="9" t="s">
        <v>8</v>
      </c>
      <c r="F582" s="3">
        <f>[1]Other_transformation!B$5</f>
        <v>1.2032855978345156</v>
      </c>
      <c r="G582" s="3">
        <f>[1]Other_transformation!C$5</f>
        <v>1.2026178308673523</v>
      </c>
      <c r="H582" s="3">
        <f>[1]Other_transformation!D$5</f>
        <v>1.8766746621706886E-5</v>
      </c>
      <c r="I582" s="3">
        <f>[1]Other_transformation!E$5</f>
        <v>3.9398519567567349E-3</v>
      </c>
      <c r="J582" s="3">
        <f>[1]Other_transformation!F$5</f>
        <v>3.0612861726733139E-3</v>
      </c>
      <c r="K582" s="3">
        <f>[1]Other_transformation!G$5</f>
        <v>2.9296734679404492E-3</v>
      </c>
      <c r="L582" s="3">
        <f>[1]Other_transformation!H$5</f>
        <v>2.805564916149964E-3</v>
      </c>
      <c r="M582" s="3">
        <f>[1]Other_transformation!I$5</f>
        <v>3.0342091646207994</v>
      </c>
      <c r="N582" s="3">
        <f>[1]Other_transformation!J$5</f>
        <v>4.015153940255602</v>
      </c>
      <c r="O582" s="3">
        <f>[1]Other_transformation!K$5</f>
        <v>3.3825815747197612</v>
      </c>
      <c r="P582" s="3">
        <f>[1]Other_transformation!L$5</f>
        <v>3.9720731872956372</v>
      </c>
      <c r="Q582" s="3">
        <f>[1]Other_transformation!M$5</f>
        <v>3.9685098015490943</v>
      </c>
      <c r="S582" s="3"/>
    </row>
    <row r="583" spans="2:19" x14ac:dyDescent="0.5">
      <c r="B583" s="5" t="s">
        <v>6</v>
      </c>
      <c r="C583" s="5" t="s">
        <v>7</v>
      </c>
      <c r="D583" t="s">
        <v>902</v>
      </c>
      <c r="E583" s="5" t="s">
        <v>8</v>
      </c>
      <c r="F583" s="1">
        <f>F582</f>
        <v>1.2032855978345156</v>
      </c>
      <c r="G583" s="1">
        <f t="shared" ref="G583:K583" si="661">G582</f>
        <v>1.2026178308673523</v>
      </c>
      <c r="H583" s="1">
        <f t="shared" si="661"/>
        <v>1.8766746621706886E-5</v>
      </c>
      <c r="I583" s="1">
        <f t="shared" si="661"/>
        <v>3.9398519567567349E-3</v>
      </c>
      <c r="J583" s="1">
        <f t="shared" si="661"/>
        <v>3.0612861726733139E-3</v>
      </c>
      <c r="K583" s="1">
        <f t="shared" si="661"/>
        <v>2.9296734679404492E-3</v>
      </c>
      <c r="L583" s="1">
        <f t="shared" ref="L583:O583" si="662">L582</f>
        <v>2.805564916149964E-3</v>
      </c>
      <c r="M583" s="1">
        <f t="shared" si="662"/>
        <v>3.0342091646207994</v>
      </c>
      <c r="N583" s="1">
        <f t="shared" si="662"/>
        <v>4.015153940255602</v>
      </c>
      <c r="O583" s="1">
        <f t="shared" si="662"/>
        <v>3.3825815747197612</v>
      </c>
      <c r="P583" s="1">
        <f>P582</f>
        <v>3.9720731872956372</v>
      </c>
      <c r="Q583" s="1">
        <f>Q582</f>
        <v>3.9685098015490943</v>
      </c>
      <c r="S583" s="3"/>
    </row>
    <row r="584" spans="2:19" x14ac:dyDescent="0.5">
      <c r="B584" s="5" t="s">
        <v>6</v>
      </c>
      <c r="C584" s="5" t="s">
        <v>7</v>
      </c>
      <c r="D584" t="s">
        <v>304</v>
      </c>
      <c r="E584" s="5" t="s">
        <v>8</v>
      </c>
      <c r="F584" s="1" cm="1">
        <f t="array" ref="F584">SUMPRODUCT(("CT_CWODBDS"=[1]OUT_SyntheticFuels!$C$4:$C$1000)*1,("BDS"=[1]OUT_SyntheticFuels!$A$4:$A$1000)*1,("Var_Fout"=[1]OUT_SyntheticFuels!$B$4:$B$1000)*1,[1]OUT_SyntheticFuels!E$4:E$1000)</f>
        <v>1.2032855978345156</v>
      </c>
      <c r="G584" s="1" cm="1">
        <f t="array" ref="G584">SUMPRODUCT(("CT_CWODBDS"=[1]OUT_SyntheticFuels!$C$4:$C$1000)*1,("BDS"=[1]OUT_SyntheticFuels!$A$4:$A$1000)*1,("Var_Fout"=[1]OUT_SyntheticFuels!$B$4:$B$1000)*1,[1]OUT_SyntheticFuels!F$4:F$1000)</f>
        <v>1.2026178308673523</v>
      </c>
      <c r="H584" s="1" cm="1">
        <f t="array" ref="H584">SUMPRODUCT(("CT_CWODBDS"=[1]OUT_SyntheticFuels!$C$4:$C$1000)*1,("BDS"=[1]OUT_SyntheticFuels!$A$4:$A$1000)*1,("Var_Fout"=[1]OUT_SyntheticFuels!$B$4:$B$1000)*1,[1]OUT_SyntheticFuels!G$4:G$1000)</f>
        <v>1.8766746621706886E-5</v>
      </c>
      <c r="I584" s="1" cm="1">
        <f t="array" ref="I584">SUMPRODUCT(("CT_CWODBDS"=[1]OUT_SyntheticFuels!$C$4:$C$1000)*1,("BDS"=[1]OUT_SyntheticFuels!$A$4:$A$1000)*1,("Var_Fout"=[1]OUT_SyntheticFuels!$B$4:$B$1000)*1,[1]OUT_SyntheticFuels!H$4:H$1000)</f>
        <v>3.9398519567567349E-3</v>
      </c>
      <c r="J584" s="1" cm="1">
        <f t="array" ref="J584">SUMPRODUCT(("CT_CWODBDS"=[1]OUT_SyntheticFuels!$C$4:$C$1000)*1,("BDS"=[1]OUT_SyntheticFuels!$A$4:$A$1000)*1,("Var_Fout"=[1]OUT_SyntheticFuels!$B$4:$B$1000)*1,[1]OUT_SyntheticFuels!I$4:I$1000)</f>
        <v>3.0612861726733139E-3</v>
      </c>
      <c r="K584" s="1" cm="1">
        <f t="array" ref="K584">SUMPRODUCT(("CT_CWODBDS"=[1]OUT_SyntheticFuels!$C$4:$C$1000)*1,("BDS"=[1]OUT_SyntheticFuels!$A$4:$A$1000)*1,("Var_Fout"=[1]OUT_SyntheticFuels!$B$4:$B$1000)*1,[1]OUT_SyntheticFuels!J$4:J$1000)</f>
        <v>2.2093813182928555E-3</v>
      </c>
      <c r="L584" s="1" cm="1">
        <f t="array" ref="L584">SUMPRODUCT(("CT_CWODBDS"=[1]OUT_SyntheticFuels!$C$4:$C$1000)*1,("BDS"=[1]OUT_SyntheticFuels!$A$4:$A$1000)*1,("Var_Fout"=[1]OUT_SyntheticFuels!$B$4:$B$1000)*1,[1]OUT_SyntheticFuels!K$4:K$1000)</f>
        <v>1.6865557489389885E-3</v>
      </c>
      <c r="M584" s="1" cm="1">
        <f t="array" ref="M584">SUMPRODUCT(("CT_CWODBDS"=[1]OUT_SyntheticFuels!$C$4:$C$1000)*1,("BDS"=[1]OUT_SyntheticFuels!$A$4:$A$1000)*1,("Var_Fout"=[1]OUT_SyntheticFuels!$B$4:$B$1000)*1,[1]OUT_SyntheticFuels!L$4:L$1000)</f>
        <v>6.713932406667173E-4</v>
      </c>
      <c r="N584" s="1" cm="1">
        <f t="array" ref="N584">SUMPRODUCT(("CT_CWODBDS"=[1]OUT_SyntheticFuels!$C$4:$C$1000)*1,("BDS"=[1]OUT_SyntheticFuels!$A$4:$A$1000)*1,("Var_Fout"=[1]OUT_SyntheticFuels!$B$4:$B$1000)*1,[1]OUT_SyntheticFuels!M$4:M$1000)</f>
        <v>2.8666831356887504E-4</v>
      </c>
      <c r="O584" s="1" cm="1">
        <f t="array" ref="O584">SUMPRODUCT(("CT_CWODBDS"=[1]OUT_SyntheticFuels!$C$4:$C$1000)*1,("BDS"=[1]OUT_SyntheticFuels!$A$4:$A$1000)*1,("Var_Fout"=[1]OUT_SyntheticFuels!$B$4:$B$1000)*1,[1]OUT_SyntheticFuels!N$4:N$1000)</f>
        <v>1.2376244169682311E-3</v>
      </c>
      <c r="P584" s="1" cm="1">
        <f t="array" ref="P584">SUMPRODUCT(("CT_CWODBDS"=[1]OUT_SyntheticFuels!$C$4:$C$1000)*1,("BDS"=[1]OUT_SyntheticFuels!$A$4:$A$1000)*1,("Var_Fout"=[1]OUT_SyntheticFuels!$B$4:$B$1000)*1,[1]OUT_SyntheticFuels!O$4:O$1000)</f>
        <v>3.6687510547266366E-4</v>
      </c>
      <c r="Q584" s="1" cm="1">
        <f t="array" ref="Q584">SUMPRODUCT(("CT_CWODBDS"=[1]OUT_SyntheticFuels!$C$4:$C$1000)*1,("BDS"=[1]OUT_SyntheticFuels!$A$4:$A$1000)*1,("Var_Fout"=[1]OUT_SyntheticFuels!$B$4:$B$1000)*1,[1]OUT_SyntheticFuels!P$4:P$1000)</f>
        <v>1.0616747159845783E-3</v>
      </c>
      <c r="S584" s="3"/>
    </row>
    <row r="585" spans="2:19" x14ac:dyDescent="0.5">
      <c r="B585" s="5" t="s">
        <v>6</v>
      </c>
      <c r="C585" s="5" t="s">
        <v>7</v>
      </c>
      <c r="D585" t="s">
        <v>305</v>
      </c>
      <c r="E585" s="5" t="s">
        <v>8</v>
      </c>
      <c r="F585" s="1" cm="1">
        <f t="array" ref="F585">SUMPRODUCT(("CT_CWODBDSCCS"=[1]OUT_SyntheticFuels!$C$4:$C$1000)*1,("BDS"=[1]OUT_SyntheticFuels!$A$4:$A$1000)*1,("Var_Fout"=[1]OUT_SyntheticFuels!$B$4:$B$1000)*1,[1]OUT_SyntheticFuels!E$4:E$1000)</f>
        <v>0</v>
      </c>
      <c r="G585" s="1" cm="1">
        <f t="array" ref="G585">SUMPRODUCT(("CT_CWODBDSCCS"=[1]OUT_SyntheticFuels!$C$4:$C$1000)*1,("BDS"=[1]OUT_SyntheticFuels!$A$4:$A$1000)*1,("Var_Fout"=[1]OUT_SyntheticFuels!$B$4:$B$1000)*1,[1]OUT_SyntheticFuels!F$4:F$1000)</f>
        <v>0</v>
      </c>
      <c r="H585" s="1" cm="1">
        <f t="array" ref="H585">SUMPRODUCT(("CT_CWODBDSCCS"=[1]OUT_SyntheticFuels!$C$4:$C$1000)*1,("BDS"=[1]OUT_SyntheticFuels!$A$4:$A$1000)*1,("Var_Fout"=[1]OUT_SyntheticFuels!$B$4:$B$1000)*1,[1]OUT_SyntheticFuels!G$4:G$1000)</f>
        <v>0</v>
      </c>
      <c r="I585" s="1" cm="1">
        <f t="array" ref="I585">SUMPRODUCT(("CT_CWODBDSCCS"=[1]OUT_SyntheticFuels!$C$4:$C$1000)*1,("BDS"=[1]OUT_SyntheticFuels!$A$4:$A$1000)*1,("Var_Fout"=[1]OUT_SyntheticFuels!$B$4:$B$1000)*1,[1]OUT_SyntheticFuels!H$4:H$1000)</f>
        <v>0</v>
      </c>
      <c r="J585" s="1" cm="1">
        <f t="array" ref="J585">SUMPRODUCT(("CT_CWODBDSCCS"=[1]OUT_SyntheticFuels!$C$4:$C$1000)*1,("BDS"=[1]OUT_SyntheticFuels!$A$4:$A$1000)*1,("Var_Fout"=[1]OUT_SyntheticFuels!$B$4:$B$1000)*1,[1]OUT_SyntheticFuels!I$4:I$1000)</f>
        <v>0</v>
      </c>
      <c r="K585" s="1" cm="1">
        <f t="array" ref="K585">SUMPRODUCT(("CT_CWODBDSCCS"=[1]OUT_SyntheticFuels!$C$4:$C$1000)*1,("BDS"=[1]OUT_SyntheticFuels!$A$4:$A$1000)*1,("Var_Fout"=[1]OUT_SyntheticFuels!$B$4:$B$1000)*1,[1]OUT_SyntheticFuels!J$4:J$1000)</f>
        <v>7.2029214964759367E-4</v>
      </c>
      <c r="L585" s="1" cm="1">
        <f t="array" ref="L585">SUMPRODUCT(("CT_CWODBDSCCS"=[1]OUT_SyntheticFuels!$C$4:$C$1000)*1,("BDS"=[1]OUT_SyntheticFuels!$A$4:$A$1000)*1,("Var_Fout"=[1]OUT_SyntheticFuels!$B$4:$B$1000)*1,[1]OUT_SyntheticFuels!K$4:K$1000)</f>
        <v>1.1190091672109758E-3</v>
      </c>
      <c r="M585" s="1" cm="1">
        <f t="array" ref="M585">SUMPRODUCT(("CT_CWODBDSCCS"=[1]OUT_SyntheticFuels!$C$4:$C$1000)*1,("BDS"=[1]OUT_SyntheticFuels!$A$4:$A$1000)*1,("Var_Fout"=[1]OUT_SyntheticFuels!$B$4:$B$1000)*1,[1]OUT_SyntheticFuels!L$4:L$1000)</f>
        <v>3.0335377713801326</v>
      </c>
      <c r="N585" s="1" cm="1">
        <f t="array" ref="N585">SUMPRODUCT(("CT_CWODBDSCCS"=[1]OUT_SyntheticFuels!$C$4:$C$1000)*1,("BDS"=[1]OUT_SyntheticFuels!$A$4:$A$1000)*1,("Var_Fout"=[1]OUT_SyntheticFuels!$B$4:$B$1000)*1,[1]OUT_SyntheticFuels!M$4:M$1000)</f>
        <v>4.0148672719420331</v>
      </c>
      <c r="O585" s="1" cm="1">
        <f t="array" ref="O585">SUMPRODUCT(("CT_CWODBDSCCS"=[1]OUT_SyntheticFuels!$C$4:$C$1000)*1,("BDS"=[1]OUT_SyntheticFuels!$A$4:$A$1000)*1,("Var_Fout"=[1]OUT_SyntheticFuels!$B$4:$B$1000)*1,[1]OUT_SyntheticFuels!N$4:N$1000)</f>
        <v>3.3813439503027931</v>
      </c>
      <c r="P585" s="1" cm="1">
        <f t="array" ref="P585">SUMPRODUCT(("CT_CWODBDSCCS"=[1]OUT_SyntheticFuels!$C$4:$C$1000)*1,("BDS"=[1]OUT_SyntheticFuels!$A$4:$A$1000)*1,("Var_Fout"=[1]OUT_SyntheticFuels!$B$4:$B$1000)*1,[1]OUT_SyntheticFuels!O$4:O$1000)</f>
        <v>3.9717063121901646</v>
      </c>
      <c r="Q585" s="1" cm="1">
        <f t="array" ref="Q585">SUMPRODUCT(("CT_CWODBDSCCS"=[1]OUT_SyntheticFuels!$C$4:$C$1000)*1,("BDS"=[1]OUT_SyntheticFuels!$A$4:$A$1000)*1,("Var_Fout"=[1]OUT_SyntheticFuels!$B$4:$B$1000)*1,[1]OUT_SyntheticFuels!P$4:P$1000)</f>
        <v>3.9674481268331099</v>
      </c>
      <c r="S585" s="3"/>
    </row>
    <row r="586" spans="2:19" x14ac:dyDescent="0.5">
      <c r="B586" s="9" t="s">
        <v>6</v>
      </c>
      <c r="C586" s="9" t="s">
        <v>7</v>
      </c>
      <c r="D586" s="2" t="s">
        <v>370</v>
      </c>
      <c r="E586" s="9" t="s">
        <v>8</v>
      </c>
      <c r="F586" s="3">
        <f>F587</f>
        <v>0.4692813831554607</v>
      </c>
      <c r="G586" s="3">
        <f t="shared" ref="G586:O586" si="663">G587</f>
        <v>0.46902095403826621</v>
      </c>
      <c r="H586" s="3">
        <f t="shared" si="663"/>
        <v>7.3190311824656728E-6</v>
      </c>
      <c r="I586" s="3">
        <f t="shared" si="663"/>
        <v>1.5365422631351232E-3</v>
      </c>
      <c r="J586" s="3">
        <f t="shared" si="663"/>
        <v>1.1939016073425916E-3</v>
      </c>
      <c r="K586" s="3">
        <f t="shared" si="663"/>
        <v>1.1425726524967729E-3</v>
      </c>
      <c r="L586" s="3">
        <f t="shared" si="663"/>
        <v>1.0941703172984844E-3</v>
      </c>
      <c r="M586" s="3">
        <f t="shared" si="663"/>
        <v>1.1833415742021112</v>
      </c>
      <c r="N586" s="3">
        <f t="shared" si="663"/>
        <v>1.5659100366996834</v>
      </c>
      <c r="O586" s="3">
        <f t="shared" si="663"/>
        <v>1.319206814140705</v>
      </c>
      <c r="P586" s="3">
        <f>P587</f>
        <v>1.5491085430452971</v>
      </c>
      <c r="Q586" s="3">
        <f>Q587</f>
        <v>1.5477188226041436</v>
      </c>
      <c r="S586" s="3"/>
    </row>
    <row r="587" spans="2:19" x14ac:dyDescent="0.5">
      <c r="B587" s="5" t="s">
        <v>6</v>
      </c>
      <c r="C587" s="5" t="s">
        <v>7</v>
      </c>
      <c r="D587" t="s">
        <v>903</v>
      </c>
      <c r="E587" s="5" t="s">
        <v>8</v>
      </c>
      <c r="F587" s="1">
        <f>SUM(F588:F589)</f>
        <v>0.4692813831554607</v>
      </c>
      <c r="G587" s="1">
        <f t="shared" ref="G587:K587" si="664">SUM(G588:G589)</f>
        <v>0.46902095403826621</v>
      </c>
      <c r="H587" s="1">
        <f t="shared" si="664"/>
        <v>7.3190311824656728E-6</v>
      </c>
      <c r="I587" s="1">
        <f t="shared" si="664"/>
        <v>1.5365422631351232E-3</v>
      </c>
      <c r="J587" s="1">
        <f t="shared" si="664"/>
        <v>1.1939016073425916E-3</v>
      </c>
      <c r="K587" s="1">
        <f t="shared" si="664"/>
        <v>1.1425726524967729E-3</v>
      </c>
      <c r="L587" s="1">
        <f t="shared" ref="L587:O587" si="665">SUM(L588:L589)</f>
        <v>1.0941703172984844E-3</v>
      </c>
      <c r="M587" s="1">
        <f t="shared" si="665"/>
        <v>1.1833415742021112</v>
      </c>
      <c r="N587" s="1">
        <f t="shared" si="665"/>
        <v>1.5659100366996834</v>
      </c>
      <c r="O587" s="1">
        <f t="shared" si="665"/>
        <v>1.319206814140705</v>
      </c>
      <c r="P587" s="1">
        <f>SUM(P588:P589)</f>
        <v>1.5491085430452971</v>
      </c>
      <c r="Q587" s="1">
        <f>SUM(Q588:Q589)</f>
        <v>1.5477188226041436</v>
      </c>
      <c r="S587" s="3"/>
    </row>
    <row r="588" spans="2:19" x14ac:dyDescent="0.5">
      <c r="B588" s="5" t="s">
        <v>6</v>
      </c>
      <c r="C588" s="5" t="s">
        <v>7</v>
      </c>
      <c r="D588" t="s">
        <v>307</v>
      </c>
      <c r="E588" s="5" t="s">
        <v>8</v>
      </c>
      <c r="F588" s="1" cm="1">
        <f t="array" ref="F588">SUMPRODUCT(("CT_CWODBDS"=[1]OUT_SyntheticFuels!$C$4:$C$1000)*1,("LTH"=[1]OUT_SyntheticFuels!$A$4:$A$1000)*1,("Var_Fout"=[1]OUT_SyntheticFuels!$B$4:$B$1000)*1,[1]OUT_SyntheticFuels!E$4:E$1000)</f>
        <v>0.4692813831554607</v>
      </c>
      <c r="G588" s="1" cm="1">
        <f t="array" ref="G588">SUMPRODUCT(("CT_CWODBDS"=[1]OUT_SyntheticFuels!$C$4:$C$1000)*1,("LTH"=[1]OUT_SyntheticFuels!$A$4:$A$1000)*1,("Var_Fout"=[1]OUT_SyntheticFuels!$B$4:$B$1000)*1,[1]OUT_SyntheticFuels!F$4:F$1000)</f>
        <v>0.46902095403826621</v>
      </c>
      <c r="H588" s="1" cm="1">
        <f t="array" ref="H588">SUMPRODUCT(("CT_CWODBDS"=[1]OUT_SyntheticFuels!$C$4:$C$1000)*1,("LTH"=[1]OUT_SyntheticFuels!$A$4:$A$1000)*1,("Var_Fout"=[1]OUT_SyntheticFuels!$B$4:$B$1000)*1,[1]OUT_SyntheticFuels!G$4:G$1000)</f>
        <v>7.3190311824656728E-6</v>
      </c>
      <c r="I588" s="1" cm="1">
        <f t="array" ref="I588">SUMPRODUCT(("CT_CWODBDS"=[1]OUT_SyntheticFuels!$C$4:$C$1000)*1,("LTH"=[1]OUT_SyntheticFuels!$A$4:$A$1000)*1,("Var_Fout"=[1]OUT_SyntheticFuels!$B$4:$B$1000)*1,[1]OUT_SyntheticFuels!H$4:H$1000)</f>
        <v>1.5365422631351232E-3</v>
      </c>
      <c r="J588" s="1" cm="1">
        <f t="array" ref="J588">SUMPRODUCT(("CT_CWODBDS"=[1]OUT_SyntheticFuels!$C$4:$C$1000)*1,("LTH"=[1]OUT_SyntheticFuels!$A$4:$A$1000)*1,("Var_Fout"=[1]OUT_SyntheticFuels!$B$4:$B$1000)*1,[1]OUT_SyntheticFuels!I$4:I$1000)</f>
        <v>1.1939016073425916E-3</v>
      </c>
      <c r="K588" s="1" cm="1">
        <f t="array" ref="K588">SUMPRODUCT(("CT_CWODBDS"=[1]OUT_SyntheticFuels!$C$4:$C$1000)*1,("LTH"=[1]OUT_SyntheticFuels!$A$4:$A$1000)*1,("Var_Fout"=[1]OUT_SyntheticFuels!$B$4:$B$1000)*1,[1]OUT_SyntheticFuels!J$4:J$1000)</f>
        <v>8.6165871413421179E-4</v>
      </c>
      <c r="L588" s="1" cm="1">
        <f t="array" ref="L588">SUMPRODUCT(("CT_CWODBDS"=[1]OUT_SyntheticFuels!$C$4:$C$1000)*1,("LTH"=[1]OUT_SyntheticFuels!$A$4:$A$1000)*1,("Var_Fout"=[1]OUT_SyntheticFuels!$B$4:$B$1000)*1,[1]OUT_SyntheticFuels!K$4:K$1000)</f>
        <v>6.5775674208620478E-4</v>
      </c>
      <c r="M588" s="1" cm="1">
        <f t="array" ref="M588">SUMPRODUCT(("CT_CWODBDS"=[1]OUT_SyntheticFuels!$C$4:$C$1000)*1,("LTH"=[1]OUT_SyntheticFuels!$A$4:$A$1000)*1,("Var_Fout"=[1]OUT_SyntheticFuels!$B$4:$B$1000)*1,[1]OUT_SyntheticFuels!L$4:L$1000)</f>
        <v>2.6184336386001958E-4</v>
      </c>
      <c r="N588" s="1" cm="1">
        <f t="array" ref="N588">SUMPRODUCT(("CT_CWODBDS"=[1]OUT_SyntheticFuels!$C$4:$C$1000)*1,("LTH"=[1]OUT_SyntheticFuels!$A$4:$A$1000)*1,("Var_Fout"=[1]OUT_SyntheticFuels!$B$4:$B$1000)*1,[1]OUT_SyntheticFuels!M$4:M$1000)</f>
        <v>1.1180064229186109E-4</v>
      </c>
      <c r="O588" s="1" cm="1">
        <f t="array" ref="O588">SUMPRODUCT(("CT_CWODBDS"=[1]OUT_SyntheticFuels!$C$4:$C$1000)*1,("LTH"=[1]OUT_SyntheticFuels!$A$4:$A$1000)*1,("Var_Fout"=[1]OUT_SyntheticFuels!$B$4:$B$1000)*1,[1]OUT_SyntheticFuels!N$4:N$1000)</f>
        <v>4.8267352261760943E-4</v>
      </c>
      <c r="P588" s="1" cm="1">
        <f t="array" ref="P588">SUMPRODUCT(("CT_CWODBDS"=[1]OUT_SyntheticFuels!$C$4:$C$1000)*1,("LTH"=[1]OUT_SyntheticFuels!$A$4:$A$1000)*1,("Var_Fout"=[1]OUT_SyntheticFuels!$B$4:$B$1000)*1,[1]OUT_SyntheticFuels!O$4:O$1000)</f>
        <v>1.430812911343386E-4</v>
      </c>
      <c r="Q588" s="1" cm="1">
        <f t="array" ref="Q588">SUMPRODUCT(("CT_CWODBDS"=[1]OUT_SyntheticFuels!$C$4:$C$1000)*1,("LTH"=[1]OUT_SyntheticFuels!$A$4:$A$1000)*1,("Var_Fout"=[1]OUT_SyntheticFuels!$B$4:$B$1000)*1,[1]OUT_SyntheticFuels!P$4:P$1000)</f>
        <v>4.1405313923398464E-4</v>
      </c>
      <c r="S588" s="3"/>
    </row>
    <row r="589" spans="2:19" x14ac:dyDescent="0.5">
      <c r="B589" s="5" t="s">
        <v>6</v>
      </c>
      <c r="C589" s="5" t="s">
        <v>7</v>
      </c>
      <c r="D589" t="s">
        <v>308</v>
      </c>
      <c r="E589" s="5" t="s">
        <v>8</v>
      </c>
      <c r="F589" s="1" cm="1">
        <f t="array" ref="F589">SUMPRODUCT(("CT_CWODBDSCCS"=[1]OUT_SyntheticFuels!$C$4:$C$1000)*1,("LTH"=[1]OUT_SyntheticFuels!$A$4:$A$1000)*1,("Var_Fout"=[1]OUT_SyntheticFuels!$B$4:$B$1000)*1,[1]OUT_SyntheticFuels!E$4:E$1000)</f>
        <v>0</v>
      </c>
      <c r="G589" s="1" cm="1">
        <f t="array" ref="G589">SUMPRODUCT(("CT_CWODBDSCCS"=[1]OUT_SyntheticFuels!$C$4:$C$1000)*1,("LTH"=[1]OUT_SyntheticFuels!$A$4:$A$1000)*1,("Var_Fout"=[1]OUT_SyntheticFuels!$B$4:$B$1000)*1,[1]OUT_SyntheticFuels!F$4:F$1000)</f>
        <v>0</v>
      </c>
      <c r="H589" s="1" cm="1">
        <f t="array" ref="H589">SUMPRODUCT(("CT_CWODBDSCCS"=[1]OUT_SyntheticFuels!$C$4:$C$1000)*1,("LTH"=[1]OUT_SyntheticFuels!$A$4:$A$1000)*1,("Var_Fout"=[1]OUT_SyntheticFuels!$B$4:$B$1000)*1,[1]OUT_SyntheticFuels!G$4:G$1000)</f>
        <v>0</v>
      </c>
      <c r="I589" s="1" cm="1">
        <f t="array" ref="I589">SUMPRODUCT(("CT_CWODBDSCCS"=[1]OUT_SyntheticFuels!$C$4:$C$1000)*1,("LTH"=[1]OUT_SyntheticFuels!$A$4:$A$1000)*1,("Var_Fout"=[1]OUT_SyntheticFuels!$B$4:$B$1000)*1,[1]OUT_SyntheticFuels!H$4:H$1000)</f>
        <v>0</v>
      </c>
      <c r="J589" s="1" cm="1">
        <f t="array" ref="J589">SUMPRODUCT(("CT_CWODBDSCCS"=[1]OUT_SyntheticFuels!$C$4:$C$1000)*1,("LTH"=[1]OUT_SyntheticFuels!$A$4:$A$1000)*1,("Var_Fout"=[1]OUT_SyntheticFuels!$B$4:$B$1000)*1,[1]OUT_SyntheticFuels!I$4:I$1000)</f>
        <v>0</v>
      </c>
      <c r="K589" s="1" cm="1">
        <f t="array" ref="K589">SUMPRODUCT(("CT_CWODBDSCCS"=[1]OUT_SyntheticFuels!$C$4:$C$1000)*1,("LTH"=[1]OUT_SyntheticFuels!$A$4:$A$1000)*1,("Var_Fout"=[1]OUT_SyntheticFuels!$B$4:$B$1000)*1,[1]OUT_SyntheticFuels!J$4:J$1000)</f>
        <v>2.8091393836256109E-4</v>
      </c>
      <c r="L589" s="1" cm="1">
        <f t="array" ref="L589">SUMPRODUCT(("CT_CWODBDSCCS"=[1]OUT_SyntheticFuels!$C$4:$C$1000)*1,("LTH"=[1]OUT_SyntheticFuels!$A$4:$A$1000)*1,("Var_Fout"=[1]OUT_SyntheticFuels!$B$4:$B$1000)*1,[1]OUT_SyntheticFuels!K$4:K$1000)</f>
        <v>4.3641357521227958E-4</v>
      </c>
      <c r="M589" s="1" cm="1">
        <f t="array" ref="M589">SUMPRODUCT(("CT_CWODBDSCCS"=[1]OUT_SyntheticFuels!$C$4:$C$1000)*1,("LTH"=[1]OUT_SyntheticFuels!$A$4:$A$1000)*1,("Var_Fout"=[1]OUT_SyntheticFuels!$B$4:$B$1000)*1,[1]OUT_SyntheticFuels!L$4:L$1000)</f>
        <v>1.1830797308382512</v>
      </c>
      <c r="N589" s="1" cm="1">
        <f t="array" ref="N589">SUMPRODUCT(("CT_CWODBDSCCS"=[1]OUT_SyntheticFuels!$C$4:$C$1000)*1,("LTH"=[1]OUT_SyntheticFuels!$A$4:$A$1000)*1,("Var_Fout"=[1]OUT_SyntheticFuels!$B$4:$B$1000)*1,[1]OUT_SyntheticFuels!M$4:M$1000)</f>
        <v>1.5657982360573917</v>
      </c>
      <c r="O589" s="1" cm="1">
        <f t="array" ref="O589">SUMPRODUCT(("CT_CWODBDSCCS"=[1]OUT_SyntheticFuels!$C$4:$C$1000)*1,("LTH"=[1]OUT_SyntheticFuels!$A$4:$A$1000)*1,("Var_Fout"=[1]OUT_SyntheticFuels!$B$4:$B$1000)*1,[1]OUT_SyntheticFuels!N$4:N$1000)</f>
        <v>1.3187241406180874</v>
      </c>
      <c r="P589" s="1" cm="1">
        <f t="array" ref="P589">SUMPRODUCT(("CT_CWODBDSCCS"=[1]OUT_SyntheticFuels!$C$4:$C$1000)*1,("LTH"=[1]OUT_SyntheticFuels!$A$4:$A$1000)*1,("Var_Fout"=[1]OUT_SyntheticFuels!$B$4:$B$1000)*1,[1]OUT_SyntheticFuels!O$4:O$1000)</f>
        <v>1.5489654617541628</v>
      </c>
      <c r="Q589" s="1" cm="1">
        <f t="array" ref="Q589">SUMPRODUCT(("CT_CWODBDSCCS"=[1]OUT_SyntheticFuels!$C$4:$C$1000)*1,("LTH"=[1]OUT_SyntheticFuels!$A$4:$A$1000)*1,("Var_Fout"=[1]OUT_SyntheticFuels!$B$4:$B$1000)*1,[1]OUT_SyntheticFuels!P$4:P$1000)</f>
        <v>1.5473047694649096</v>
      </c>
      <c r="S589" s="3"/>
    </row>
    <row r="590" spans="2:19" x14ac:dyDescent="0.5">
      <c r="B590" s="9" t="s">
        <v>6</v>
      </c>
      <c r="C590" s="9" t="s">
        <v>7</v>
      </c>
      <c r="D590" s="2" t="s">
        <v>373</v>
      </c>
      <c r="E590" s="9" t="s">
        <v>8</v>
      </c>
      <c r="F590" s="3">
        <f>F591+F594</f>
        <v>3.5123906600789514</v>
      </c>
      <c r="G590" s="3">
        <f t="shared" ref="G590:K590" si="666">G591+G594</f>
        <v>3.5104414483017994</v>
      </c>
      <c r="H590" s="3">
        <f t="shared" si="666"/>
        <v>5.4780133388762384E-5</v>
      </c>
      <c r="I590" s="3">
        <f t="shared" si="666"/>
        <v>1.1500427861772898E-2</v>
      </c>
      <c r="J590" s="3">
        <f t="shared" si="666"/>
        <v>8.9358943380334014E-3</v>
      </c>
      <c r="K590" s="3">
        <f t="shared" si="666"/>
        <v>8.5946256852614568E-3</v>
      </c>
      <c r="L590" s="3">
        <f t="shared" ref="L590:O590" si="667">L591+L594</f>
        <v>8.2561049649170215E-3</v>
      </c>
      <c r="M590" s="3">
        <f t="shared" si="667"/>
        <v>9.0375687301946162</v>
      </c>
      <c r="N590" s="3">
        <f t="shared" si="667"/>
        <v>11.959405730520352</v>
      </c>
      <c r="O590" s="3">
        <f t="shared" si="667"/>
        <v>10.075187106217875</v>
      </c>
      <c r="P590" s="3">
        <f>P591+P594</f>
        <v>11.831081852599283</v>
      </c>
      <c r="Q590" s="3">
        <f>Q591+Q594</f>
        <v>11.820426663420289</v>
      </c>
      <c r="S590" s="3"/>
    </row>
    <row r="591" spans="2:19" x14ac:dyDescent="0.5">
      <c r="B591" s="5" t="s">
        <v>6</v>
      </c>
      <c r="C591" s="5" t="s">
        <v>7</v>
      </c>
      <c r="D591" t="s">
        <v>904</v>
      </c>
      <c r="E591" s="5" t="s">
        <v>8</v>
      </c>
      <c r="F591" s="1">
        <f>SUM(F592:F593)</f>
        <v>3.4287623110294527</v>
      </c>
      <c r="G591" s="1">
        <f t="shared" ref="G591:K591" si="668">SUM(G592:G593)</f>
        <v>3.4268595090565181</v>
      </c>
      <c r="H591" s="1">
        <f t="shared" si="668"/>
        <v>5.3475844498553755E-5</v>
      </c>
      <c r="I591" s="1">
        <f t="shared" si="668"/>
        <v>1.1226608150778306E-2</v>
      </c>
      <c r="J591" s="1">
        <f t="shared" si="668"/>
        <v>8.7231349490326064E-3</v>
      </c>
      <c r="K591" s="1">
        <f t="shared" si="668"/>
        <v>8.3481045468963028E-3</v>
      </c>
      <c r="L591" s="1">
        <f t="shared" ref="L591:O591" si="669">SUM(L592:L593)</f>
        <v>7.9944572285693162E-3</v>
      </c>
      <c r="M591" s="1">
        <f t="shared" si="669"/>
        <v>8.6459790145869686</v>
      </c>
      <c r="N591" s="1">
        <f t="shared" si="669"/>
        <v>11.441181152758327</v>
      </c>
      <c r="O591" s="1">
        <f t="shared" si="669"/>
        <v>9.6386661971639569</v>
      </c>
      <c r="P591" s="1">
        <f>SUM(P592:P593)</f>
        <v>11.318422547198907</v>
      </c>
      <c r="Q591" s="1">
        <f>SUM(Q592:Q593)</f>
        <v>11.308268679514141</v>
      </c>
      <c r="S591" s="3"/>
    </row>
    <row r="592" spans="2:19" x14ac:dyDescent="0.5">
      <c r="B592" s="5" t="s">
        <v>6</v>
      </c>
      <c r="C592" s="5" t="s">
        <v>7</v>
      </c>
      <c r="D592" t="s">
        <v>325</v>
      </c>
      <c r="E592" s="5" t="s">
        <v>8</v>
      </c>
      <c r="F592" s="1" cm="1">
        <f t="array" ref="F592">SUMPRODUCT(("CT_CWODBDS"=[1]OUT_SyntheticFuels!$C$4:$C$1000)*1,("CWOD"=[1]OUT_SyntheticFuels!$A$4:$A$1000)*1,("Var_Fin"=[1]OUT_SyntheticFuels!$B$4:$B$1000)*1,[1]OUT_SyntheticFuels!E$4:E$1000)</f>
        <v>3.4287623110294527</v>
      </c>
      <c r="G592" s="1" cm="1">
        <f t="array" ref="G592">SUMPRODUCT(("CT_CWODBDS"=[1]OUT_SyntheticFuels!$C$4:$C$1000)*1,("CWOD"=[1]OUT_SyntheticFuels!$A$4:$A$1000)*1,("Var_Fin"=[1]OUT_SyntheticFuels!$B$4:$B$1000)*1,[1]OUT_SyntheticFuels!F$4:F$1000)</f>
        <v>3.4268595090565181</v>
      </c>
      <c r="H592" s="1" cm="1">
        <f t="array" ref="H592">SUMPRODUCT(("CT_CWODBDS"=[1]OUT_SyntheticFuels!$C$4:$C$1000)*1,("CWOD"=[1]OUT_SyntheticFuels!$A$4:$A$1000)*1,("Var_Fin"=[1]OUT_SyntheticFuels!$B$4:$B$1000)*1,[1]OUT_SyntheticFuels!G$4:G$1000)</f>
        <v>5.3475844498553755E-5</v>
      </c>
      <c r="I592" s="1" cm="1">
        <f t="array" ref="I592">SUMPRODUCT(("CT_CWODBDS"=[1]OUT_SyntheticFuels!$C$4:$C$1000)*1,("CWOD"=[1]OUT_SyntheticFuels!$A$4:$A$1000)*1,("Var_Fin"=[1]OUT_SyntheticFuels!$B$4:$B$1000)*1,[1]OUT_SyntheticFuels!H$4:H$1000)</f>
        <v>1.1226608150778306E-2</v>
      </c>
      <c r="J592" s="1" cm="1">
        <f t="array" ref="J592">SUMPRODUCT(("CT_CWODBDS"=[1]OUT_SyntheticFuels!$C$4:$C$1000)*1,("CWOD"=[1]OUT_SyntheticFuels!$A$4:$A$1000)*1,("Var_Fin"=[1]OUT_SyntheticFuels!$B$4:$B$1000)*1,[1]OUT_SyntheticFuels!I$4:I$1000)</f>
        <v>8.7231349490326064E-3</v>
      </c>
      <c r="K592" s="1" cm="1">
        <f t="array" ref="K592">SUMPRODUCT(("CT_CWODBDS"=[1]OUT_SyntheticFuels!$C$4:$C$1000)*1,("CWOD"=[1]OUT_SyntheticFuels!$A$4:$A$1000)*1,("Var_Fin"=[1]OUT_SyntheticFuels!$B$4:$B$1000)*1,[1]OUT_SyntheticFuels!J$4:J$1000)</f>
        <v>6.2956320664754855E-3</v>
      </c>
      <c r="L592" s="1" cm="1">
        <f t="array" ref="L592">SUMPRODUCT(("CT_CWODBDS"=[1]OUT_SyntheticFuels!$C$4:$C$1000)*1,("CWOD"=[1]OUT_SyntheticFuels!$A$4:$A$1000)*1,("Var_Fin"=[1]OUT_SyntheticFuels!$B$4:$B$1000)*1,[1]OUT_SyntheticFuels!K$4:K$1000)</f>
        <v>4.8058406066016426E-3</v>
      </c>
      <c r="M592" s="1" cm="1">
        <f t="array" ref="M592">SUMPRODUCT(("CT_CWODBDS"=[1]OUT_SyntheticFuels!$C$4:$C$1000)*1,("CWOD"=[1]OUT_SyntheticFuels!$A$4:$A$1000)*1,("Var_Fin"=[1]OUT_SyntheticFuels!$B$4:$B$1000)*1,[1]OUT_SyntheticFuels!L$4:L$1000)</f>
        <v>1.9131350392798104E-3</v>
      </c>
      <c r="N592" s="1" cm="1">
        <f t="array" ref="N592">SUMPRODUCT(("CT_CWODBDS"=[1]OUT_SyntheticFuels!$C$4:$C$1000)*1,("CWOD"=[1]OUT_SyntheticFuels!$A$4:$A$1000)*1,("Var_Fin"=[1]OUT_SyntheticFuels!$B$4:$B$1000)*1,[1]OUT_SyntheticFuels!M$4:M$1000)</f>
        <v>8.1686135951450887E-4</v>
      </c>
      <c r="O592" s="1" cm="1">
        <f t="array" ref="O592">SUMPRODUCT(("CT_CWODBDS"=[1]OUT_SyntheticFuels!$C$4:$C$1000)*1,("CWOD"=[1]OUT_SyntheticFuels!$A$4:$A$1000)*1,("Var_Fin"=[1]OUT_SyntheticFuels!$B$4:$B$1000)*1,[1]OUT_SyntheticFuels!N$4:N$1000)</f>
        <v>3.526610776150975E-3</v>
      </c>
      <c r="P592" s="1" cm="1">
        <f t="array" ref="P592">SUMPRODUCT(("CT_CWODBDS"=[1]OUT_SyntheticFuels!$C$4:$C$1000)*1,("CWOD"=[1]OUT_SyntheticFuels!$A$4:$A$1000)*1,("Var_Fin"=[1]OUT_SyntheticFuels!$B$4:$B$1000)*1,[1]OUT_SyntheticFuels!O$4:O$1000)</f>
        <v>1.0454106130443537E-3</v>
      </c>
      <c r="Q592" s="1" cm="1">
        <f t="array" ref="Q592">SUMPRODUCT(("CT_CWODBDS"=[1]OUT_SyntheticFuels!$C$4:$C$1000)*1,("CWOD"=[1]OUT_SyntheticFuels!$A$4:$A$1000)*1,("Var_Fin"=[1]OUT_SyntheticFuels!$B$4:$B$1000)*1,[1]OUT_SyntheticFuels!P$4:P$1000)</f>
        <v>3.0252421031980565E-3</v>
      </c>
      <c r="S592" s="3"/>
    </row>
    <row r="593" spans="2:19" x14ac:dyDescent="0.5">
      <c r="B593" s="5" t="s">
        <v>6</v>
      </c>
      <c r="C593" s="5" t="s">
        <v>7</v>
      </c>
      <c r="D593" t="s">
        <v>326</v>
      </c>
      <c r="E593" s="5" t="s">
        <v>8</v>
      </c>
      <c r="F593" s="1" cm="1">
        <f t="array" ref="F593">SUMPRODUCT(("CT_CWODBDSCCS"=[1]OUT_SyntheticFuels!$C$4:$C$1000)*1,("CWOD"=[1]OUT_SyntheticFuels!$A$4:$A$1000)*1,("Var_Fin"=[1]OUT_SyntheticFuels!$B$4:$B$1000)*1,[1]OUT_SyntheticFuels!E$4:E$1000)</f>
        <v>0</v>
      </c>
      <c r="G593" s="1" cm="1">
        <f t="array" ref="G593">SUMPRODUCT(("CT_CWODBDSCCS"=[1]OUT_SyntheticFuels!$C$4:$C$1000)*1,("CWOD"=[1]OUT_SyntheticFuels!$A$4:$A$1000)*1,("Var_Fin"=[1]OUT_SyntheticFuels!$B$4:$B$1000)*1,[1]OUT_SyntheticFuels!F$4:F$1000)</f>
        <v>0</v>
      </c>
      <c r="H593" s="1" cm="1">
        <f t="array" ref="H593">SUMPRODUCT(("CT_CWODBDSCCS"=[1]OUT_SyntheticFuels!$C$4:$C$1000)*1,("CWOD"=[1]OUT_SyntheticFuels!$A$4:$A$1000)*1,("Var_Fin"=[1]OUT_SyntheticFuels!$B$4:$B$1000)*1,[1]OUT_SyntheticFuels!G$4:G$1000)</f>
        <v>0</v>
      </c>
      <c r="I593" s="1" cm="1">
        <f t="array" ref="I593">SUMPRODUCT(("CT_CWODBDSCCS"=[1]OUT_SyntheticFuels!$C$4:$C$1000)*1,("CWOD"=[1]OUT_SyntheticFuels!$A$4:$A$1000)*1,("Var_Fin"=[1]OUT_SyntheticFuels!$B$4:$B$1000)*1,[1]OUT_SyntheticFuels!H$4:H$1000)</f>
        <v>0</v>
      </c>
      <c r="J593" s="1" cm="1">
        <f t="array" ref="J593">SUMPRODUCT(("CT_CWODBDSCCS"=[1]OUT_SyntheticFuels!$C$4:$C$1000)*1,("CWOD"=[1]OUT_SyntheticFuels!$A$4:$A$1000)*1,("Var_Fin"=[1]OUT_SyntheticFuels!$B$4:$B$1000)*1,[1]OUT_SyntheticFuels!I$4:I$1000)</f>
        <v>0</v>
      </c>
      <c r="K593" s="1" cm="1">
        <f t="array" ref="K593">SUMPRODUCT(("CT_CWODBDSCCS"=[1]OUT_SyntheticFuels!$C$4:$C$1000)*1,("CWOD"=[1]OUT_SyntheticFuels!$A$4:$A$1000)*1,("Var_Fin"=[1]OUT_SyntheticFuels!$B$4:$B$1000)*1,[1]OUT_SyntheticFuels!J$4:J$1000)</f>
        <v>2.0524724804208178E-3</v>
      </c>
      <c r="L593" s="1" cm="1">
        <f t="array" ref="L593">SUMPRODUCT(("CT_CWODBDSCCS"=[1]OUT_SyntheticFuels!$C$4:$C$1000)*1,("CWOD"=[1]OUT_SyntheticFuels!$A$4:$A$1000)*1,("Var_Fin"=[1]OUT_SyntheticFuels!$B$4:$B$1000)*1,[1]OUT_SyntheticFuels!K$4:K$1000)</f>
        <v>3.1886166219676731E-3</v>
      </c>
      <c r="M593" s="1" cm="1">
        <f t="array" ref="M593">SUMPRODUCT(("CT_CWODBDSCCS"=[1]OUT_SyntheticFuels!$C$4:$C$1000)*1,("CWOD"=[1]OUT_SyntheticFuels!$A$4:$A$1000)*1,("Var_Fin"=[1]OUT_SyntheticFuels!$B$4:$B$1000)*1,[1]OUT_SyntheticFuels!L$4:L$1000)</f>
        <v>8.6440658795476892</v>
      </c>
      <c r="N593" s="1" cm="1">
        <f t="array" ref="N593">SUMPRODUCT(("CT_CWODBDSCCS"=[1]OUT_SyntheticFuels!$C$4:$C$1000)*1,("CWOD"=[1]OUT_SyntheticFuels!$A$4:$A$1000)*1,("Var_Fin"=[1]OUT_SyntheticFuels!$B$4:$B$1000)*1,[1]OUT_SyntheticFuels!M$4:M$1000)</f>
        <v>11.440364291398813</v>
      </c>
      <c r="O593" s="1" cm="1">
        <f t="array" ref="O593">SUMPRODUCT(("CT_CWODBDSCCS"=[1]OUT_SyntheticFuels!$C$4:$C$1000)*1,("CWOD"=[1]OUT_SyntheticFuels!$A$4:$A$1000)*1,("Var_Fin"=[1]OUT_SyntheticFuels!$B$4:$B$1000)*1,[1]OUT_SyntheticFuels!N$4:N$1000)</f>
        <v>9.6351395863878064</v>
      </c>
      <c r="P593" s="1" cm="1">
        <f t="array" ref="P593">SUMPRODUCT(("CT_CWODBDSCCS"=[1]OUT_SyntheticFuels!$C$4:$C$1000)*1,("CWOD"=[1]OUT_SyntheticFuels!$A$4:$A$1000)*1,("Var_Fin"=[1]OUT_SyntheticFuels!$B$4:$B$1000)*1,[1]OUT_SyntheticFuels!O$4:O$1000)</f>
        <v>11.317377136585863</v>
      </c>
      <c r="Q593" s="1" cm="1">
        <f t="array" ref="Q593">SUMPRODUCT(("CT_CWODBDSCCS"=[1]OUT_SyntheticFuels!$C$4:$C$1000)*1,("CWOD"=[1]OUT_SyntheticFuels!$A$4:$A$1000)*1,("Var_Fin"=[1]OUT_SyntheticFuels!$B$4:$B$1000)*1,[1]OUT_SyntheticFuels!P$4:P$1000)</f>
        <v>11.305243437410942</v>
      </c>
      <c r="S593" s="3"/>
    </row>
    <row r="594" spans="2:19" x14ac:dyDescent="0.5">
      <c r="B594" s="5" t="s">
        <v>6</v>
      </c>
      <c r="C594" s="5" t="s">
        <v>7</v>
      </c>
      <c r="D594" t="s">
        <v>905</v>
      </c>
      <c r="E594" s="5" t="s">
        <v>8</v>
      </c>
      <c r="F594" s="1">
        <f>SUM(F595:F596)</f>
        <v>8.3628349049498812E-2</v>
      </c>
      <c r="G594" s="1">
        <f t="shared" ref="G594:K594" si="670">SUM(G595:G596)</f>
        <v>8.3581939245281026E-2</v>
      </c>
      <c r="H594" s="1">
        <f t="shared" si="670"/>
        <v>1.3042888902086279E-6</v>
      </c>
      <c r="I594" s="1">
        <f t="shared" si="670"/>
        <v>2.7381971099459281E-4</v>
      </c>
      <c r="J594" s="1">
        <f t="shared" si="670"/>
        <v>2.1275938900079528E-4</v>
      </c>
      <c r="K594" s="1">
        <f t="shared" si="670"/>
        <v>2.465211383651533E-4</v>
      </c>
      <c r="L594" s="1">
        <f t="shared" ref="L594:O594" si="671">SUM(L595:L596)</f>
        <v>2.6164773634770503E-4</v>
      </c>
      <c r="M594" s="1">
        <f t="shared" si="671"/>
        <v>0.39158971560764821</v>
      </c>
      <c r="N594" s="1">
        <f t="shared" si="671"/>
        <v>0.51822457776202457</v>
      </c>
      <c r="O594" s="1">
        <f t="shared" si="671"/>
        <v>0.43652090905391872</v>
      </c>
      <c r="P594" s="1">
        <f>SUM(P595:P596)</f>
        <v>0.51265930540037541</v>
      </c>
      <c r="Q594" s="1">
        <f>SUM(Q595:Q596)</f>
        <v>0.51215798390614842</v>
      </c>
      <c r="S594" s="3"/>
    </row>
    <row r="595" spans="2:19" x14ac:dyDescent="0.5">
      <c r="B595" s="5" t="s">
        <v>6</v>
      </c>
      <c r="C595" s="5" t="s">
        <v>7</v>
      </c>
      <c r="D595" t="s">
        <v>327</v>
      </c>
      <c r="E595" s="5" t="s">
        <v>8</v>
      </c>
      <c r="F595" s="1" cm="1">
        <f t="array" ref="F595">SUMPRODUCT(("CT_CWODBDS"=[1]OUT_SyntheticFuels!$C$4:$C$1000)*1,("Celc"=[1]OUT_SyntheticFuels!$A$4:$A$1000)*1,("Var_Fin"=[1]OUT_SyntheticFuels!$B$4:$B$1000)*1,[1]OUT_SyntheticFuels!E$4:E$1000)</f>
        <v>8.3628349049498812E-2</v>
      </c>
      <c r="G595" s="1" cm="1">
        <f t="array" ref="G595">SUMPRODUCT(("CT_CWODBDS"=[1]OUT_SyntheticFuels!$C$4:$C$1000)*1,("Celc"=[1]OUT_SyntheticFuels!$A$4:$A$1000)*1,("Var_Fin"=[1]OUT_SyntheticFuels!$B$4:$B$1000)*1,[1]OUT_SyntheticFuels!F$4:F$1000)</f>
        <v>8.3581939245281026E-2</v>
      </c>
      <c r="H595" s="1" cm="1">
        <f t="array" ref="H595">SUMPRODUCT(("CT_CWODBDS"=[1]OUT_SyntheticFuels!$C$4:$C$1000)*1,("Celc"=[1]OUT_SyntheticFuels!$A$4:$A$1000)*1,("Var_Fin"=[1]OUT_SyntheticFuels!$B$4:$B$1000)*1,[1]OUT_SyntheticFuels!G$4:G$1000)</f>
        <v>1.3042888902086279E-6</v>
      </c>
      <c r="I595" s="1" cm="1">
        <f t="array" ref="I595">SUMPRODUCT(("CT_CWODBDS"=[1]OUT_SyntheticFuels!$C$4:$C$1000)*1,("Celc"=[1]OUT_SyntheticFuels!$A$4:$A$1000)*1,("Var_Fin"=[1]OUT_SyntheticFuels!$B$4:$B$1000)*1,[1]OUT_SyntheticFuels!H$4:H$1000)</f>
        <v>2.7381971099459281E-4</v>
      </c>
      <c r="J595" s="1" cm="1">
        <f t="array" ref="J595">SUMPRODUCT(("CT_CWODBDS"=[1]OUT_SyntheticFuels!$C$4:$C$1000)*1,("Celc"=[1]OUT_SyntheticFuels!$A$4:$A$1000)*1,("Var_Fin"=[1]OUT_SyntheticFuels!$B$4:$B$1000)*1,[1]OUT_SyntheticFuels!I$4:I$1000)</f>
        <v>2.1275938900079528E-4</v>
      </c>
      <c r="K595" s="1" cm="1">
        <f t="array" ref="K595">SUMPRODUCT(("CT_CWODBDS"=[1]OUT_SyntheticFuels!$C$4:$C$1000)*1,("Celc"=[1]OUT_SyntheticFuels!$A$4:$A$1000)*1,("Var_Fin"=[1]OUT_SyntheticFuels!$B$4:$B$1000)*1,[1]OUT_SyntheticFuels!J$4:J$1000)</f>
        <v>1.5355200162135314E-4</v>
      </c>
      <c r="L595" s="1" cm="1">
        <f t="array" ref="L595">SUMPRODUCT(("CT_CWODBDS"=[1]OUT_SyntheticFuels!$C$4:$C$1000)*1,("Celc"=[1]OUT_SyntheticFuels!$A$4:$A$1000)*1,("Var_Fin"=[1]OUT_SyntheticFuels!$B$4:$B$1000)*1,[1]OUT_SyntheticFuels!K$4:K$1000)</f>
        <v>1.1721562455125972E-4</v>
      </c>
      <c r="M595" s="1" cm="1">
        <f t="array" ref="M595">SUMPRODUCT(("CT_CWODBDS"=[1]OUT_SyntheticFuels!$C$4:$C$1000)*1,("Celc"=[1]OUT_SyntheticFuels!$A$4:$A$1000)*1,("Var_Fin"=[1]OUT_SyntheticFuels!$B$4:$B$1000)*1,[1]OUT_SyntheticFuels!L$4:L$1000)</f>
        <v>4.6661830226336809E-5</v>
      </c>
      <c r="N595" s="1" cm="1">
        <f t="array" ref="N595">SUMPRODUCT(("CT_CWODBDS"=[1]OUT_SyntheticFuels!$C$4:$C$1000)*1,("Celc"=[1]OUT_SyntheticFuels!$A$4:$A$1000)*1,("Var_Fin"=[1]OUT_SyntheticFuels!$B$4:$B$1000)*1,[1]OUT_SyntheticFuels!M$4:M$1000)</f>
        <v>1.9923447793036814E-5</v>
      </c>
      <c r="O595" s="1" cm="1">
        <f t="array" ref="O595">SUMPRODUCT(("CT_CWODBDS"=[1]OUT_SyntheticFuels!$C$4:$C$1000)*1,("Celc"=[1]OUT_SyntheticFuels!$A$4:$A$1000)*1,("Var_Fin"=[1]OUT_SyntheticFuels!$B$4:$B$1000)*1,[1]OUT_SyntheticFuels!N$4:N$1000)</f>
        <v>8.6014896979292037E-5</v>
      </c>
      <c r="P595" s="1" cm="1">
        <f t="array" ref="P595">SUMPRODUCT(("CT_CWODBDS"=[1]OUT_SyntheticFuels!$C$4:$C$1000)*1,("Celc"=[1]OUT_SyntheticFuels!$A$4:$A$1000)*1,("Var_Fin"=[1]OUT_SyntheticFuels!$B$4:$B$1000)*1,[1]OUT_SyntheticFuels!O$4:O$1000)</f>
        <v>2.5497819830350122E-5</v>
      </c>
      <c r="Q595" s="1" cm="1">
        <f t="array" ref="Q595">SUMPRODUCT(("CT_CWODBDS"=[1]OUT_SyntheticFuels!$C$4:$C$1000)*1,("Celc"=[1]OUT_SyntheticFuels!$A$4:$A$1000)*1,("Var_Fin"=[1]OUT_SyntheticFuels!$B$4:$B$1000)*1,[1]OUT_SyntheticFuels!P$4:P$1000)</f>
        <v>7.3786392760928111E-5</v>
      </c>
      <c r="S595" s="3"/>
    </row>
    <row r="596" spans="2:19" x14ac:dyDescent="0.5">
      <c r="B596" s="5" t="s">
        <v>6</v>
      </c>
      <c r="C596" s="5" t="s">
        <v>7</v>
      </c>
      <c r="D596" t="s">
        <v>328</v>
      </c>
      <c r="E596" s="5" t="s">
        <v>8</v>
      </c>
      <c r="F596" s="1" cm="1">
        <f t="array" ref="F596">SUMPRODUCT(("CT_CWODBDSCCS"=[1]OUT_SyntheticFuels!$C$4:$C$1000)*1,("Celc"=[1]OUT_SyntheticFuels!$A$4:$A$1000)*1,("Var_Fin"=[1]OUT_SyntheticFuels!$B$4:$B$1000)*1,[1]OUT_SyntheticFuels!E$4:E$1000)</f>
        <v>0</v>
      </c>
      <c r="G596" s="1" cm="1">
        <f t="array" ref="G596">SUMPRODUCT(("CT_CWODBDSCCS"=[1]OUT_SyntheticFuels!$C$4:$C$1000)*1,("Celc"=[1]OUT_SyntheticFuels!$A$4:$A$1000)*1,("Var_Fin"=[1]OUT_SyntheticFuels!$B$4:$B$1000)*1,[1]OUT_SyntheticFuels!F$4:F$1000)</f>
        <v>0</v>
      </c>
      <c r="H596" s="1" cm="1">
        <f t="array" ref="H596">SUMPRODUCT(("CT_CWODBDSCCS"=[1]OUT_SyntheticFuels!$C$4:$C$1000)*1,("Celc"=[1]OUT_SyntheticFuels!$A$4:$A$1000)*1,("Var_Fin"=[1]OUT_SyntheticFuels!$B$4:$B$1000)*1,[1]OUT_SyntheticFuels!G$4:G$1000)</f>
        <v>0</v>
      </c>
      <c r="I596" s="1" cm="1">
        <f t="array" ref="I596">SUMPRODUCT(("CT_CWODBDSCCS"=[1]OUT_SyntheticFuels!$C$4:$C$1000)*1,("Celc"=[1]OUT_SyntheticFuels!$A$4:$A$1000)*1,("Var_Fin"=[1]OUT_SyntheticFuels!$B$4:$B$1000)*1,[1]OUT_SyntheticFuels!H$4:H$1000)</f>
        <v>0</v>
      </c>
      <c r="J596" s="1" cm="1">
        <f t="array" ref="J596">SUMPRODUCT(("CT_CWODBDSCCS"=[1]OUT_SyntheticFuels!$C$4:$C$1000)*1,("Celc"=[1]OUT_SyntheticFuels!$A$4:$A$1000)*1,("Var_Fin"=[1]OUT_SyntheticFuels!$B$4:$B$1000)*1,[1]OUT_SyntheticFuels!I$4:I$1000)</f>
        <v>0</v>
      </c>
      <c r="K596" s="1" cm="1">
        <f t="array" ref="K596">SUMPRODUCT(("CT_CWODBDSCCS"=[1]OUT_SyntheticFuels!$C$4:$C$1000)*1,("Celc"=[1]OUT_SyntheticFuels!$A$4:$A$1000)*1,("Var_Fin"=[1]OUT_SyntheticFuels!$B$4:$B$1000)*1,[1]OUT_SyntheticFuels!J$4:J$1000)</f>
        <v>9.2969136743800132E-5</v>
      </c>
      <c r="L596" s="1" cm="1">
        <f t="array" ref="L596">SUMPRODUCT(("CT_CWODBDSCCS"=[1]OUT_SyntheticFuels!$C$4:$C$1000)*1,("Celc"=[1]OUT_SyntheticFuels!$A$4:$A$1000)*1,("Var_Fin"=[1]OUT_SyntheticFuels!$B$4:$B$1000)*1,[1]OUT_SyntheticFuels!K$4:K$1000)</f>
        <v>1.4443211179644531E-4</v>
      </c>
      <c r="M596" s="1" cm="1">
        <f t="array" ref="M596">SUMPRODUCT(("CT_CWODBDSCCS"=[1]OUT_SyntheticFuels!$C$4:$C$1000)*1,("Celc"=[1]OUT_SyntheticFuels!$A$4:$A$1000)*1,("Var_Fin"=[1]OUT_SyntheticFuels!$B$4:$B$1000)*1,[1]OUT_SyntheticFuels!L$4:L$1000)</f>
        <v>0.39154305377742188</v>
      </c>
      <c r="N596" s="1" cm="1">
        <f t="array" ref="N596">SUMPRODUCT(("CT_CWODBDSCCS"=[1]OUT_SyntheticFuels!$C$4:$C$1000)*1,("Celc"=[1]OUT_SyntheticFuels!$A$4:$A$1000)*1,("Var_Fin"=[1]OUT_SyntheticFuels!$B$4:$B$1000)*1,[1]OUT_SyntheticFuels!M$4:M$1000)</f>
        <v>0.51820465431423157</v>
      </c>
      <c r="O596" s="1" cm="1">
        <f t="array" ref="O596">SUMPRODUCT(("CT_CWODBDSCCS"=[1]OUT_SyntheticFuels!$C$4:$C$1000)*1,("Celc"=[1]OUT_SyntheticFuels!$A$4:$A$1000)*1,("Var_Fin"=[1]OUT_SyntheticFuels!$B$4:$B$1000)*1,[1]OUT_SyntheticFuels!N$4:N$1000)</f>
        <v>0.43643489415693942</v>
      </c>
      <c r="P596" s="1" cm="1">
        <f t="array" ref="P596">SUMPRODUCT(("CT_CWODBDSCCS"=[1]OUT_SyntheticFuels!$C$4:$C$1000)*1,("Celc"=[1]OUT_SyntheticFuels!$A$4:$A$1000)*1,("Var_Fin"=[1]OUT_SyntheticFuels!$B$4:$B$1000)*1,[1]OUT_SyntheticFuels!O$4:O$1000)</f>
        <v>0.51263380758054511</v>
      </c>
      <c r="Q596" s="1" cm="1">
        <f t="array" ref="Q596">SUMPRODUCT(("CT_CWODBDSCCS"=[1]OUT_SyntheticFuels!$C$4:$C$1000)*1,("Celc"=[1]OUT_SyntheticFuels!$A$4:$A$1000)*1,("Var_Fin"=[1]OUT_SyntheticFuels!$B$4:$B$1000)*1,[1]OUT_SyntheticFuels!P$4:P$1000)</f>
        <v>0.51208419751338752</v>
      </c>
      <c r="S596" s="3"/>
    </row>
    <row r="597" spans="2:19" x14ac:dyDescent="0.5">
      <c r="B597" s="9" t="s">
        <v>6</v>
      </c>
      <c r="C597" s="9" t="s">
        <v>7</v>
      </c>
      <c r="D597" s="2" t="s">
        <v>306</v>
      </c>
      <c r="E597" s="9" t="s">
        <v>240</v>
      </c>
      <c r="F597" t="s">
        <v>292</v>
      </c>
      <c r="G597" t="s">
        <v>292</v>
      </c>
      <c r="H597" t="s">
        <v>292</v>
      </c>
      <c r="I597" t="s">
        <v>292</v>
      </c>
      <c r="J597" t="s">
        <v>292</v>
      </c>
      <c r="K597" t="s">
        <v>292</v>
      </c>
      <c r="L597" t="s">
        <v>292</v>
      </c>
      <c r="M597" t="s">
        <v>292</v>
      </c>
      <c r="N597" t="s">
        <v>292</v>
      </c>
      <c r="O597" t="s">
        <v>292</v>
      </c>
      <c r="P597" t="s">
        <v>292</v>
      </c>
      <c r="Q597" t="s">
        <v>292</v>
      </c>
      <c r="S597" s="3"/>
    </row>
    <row r="598" spans="2:19" x14ac:dyDescent="0.5">
      <c r="B598" s="5" t="s">
        <v>6</v>
      </c>
      <c r="C598" s="5" t="s">
        <v>7</v>
      </c>
      <c r="D598" t="s">
        <v>309</v>
      </c>
      <c r="E598" s="5" t="s">
        <v>240</v>
      </c>
      <c r="F598" s="4">
        <f>IFERROR(SUM(F584,F588)/SUM(F592,F595),"-")</f>
        <v>0.47619047619047605</v>
      </c>
      <c r="G598" s="4">
        <f t="shared" ref="G598:K599" si="672">IFERROR(SUM(G584,G588)/SUM(G592,G595),"-")</f>
        <v>0.47619047619047611</v>
      </c>
      <c r="H598" s="4">
        <f t="shared" si="672"/>
        <v>0.47619047619047611</v>
      </c>
      <c r="I598" s="4">
        <f t="shared" si="672"/>
        <v>0.47619047619047633</v>
      </c>
      <c r="J598" s="4">
        <f t="shared" si="672"/>
        <v>0.47619047619047622</v>
      </c>
      <c r="K598" s="4">
        <f t="shared" si="672"/>
        <v>0.47619047619047639</v>
      </c>
      <c r="L598" s="4">
        <f t="shared" ref="L598:O598" si="673">IFERROR(SUM(L584,L588)/SUM(L592,L595),"-")</f>
        <v>0.47619047619047644</v>
      </c>
      <c r="M598" s="4">
        <f t="shared" si="673"/>
        <v>0.47619047619047633</v>
      </c>
      <c r="N598" s="4">
        <f t="shared" si="673"/>
        <v>0.47619047619047628</v>
      </c>
      <c r="O598" s="4">
        <f t="shared" si="673"/>
        <v>0.47619047619047594</v>
      </c>
      <c r="P598" s="4">
        <f>IFERROR(SUM(P584,P588)/SUM(P592,P595),"-")</f>
        <v>0.47619047619047661</v>
      </c>
      <c r="Q598" s="4">
        <f>IFERROR(SUM(Q584,Q588)/SUM(Q592,Q595),"-")</f>
        <v>0.47619047619047589</v>
      </c>
      <c r="S598" s="3"/>
    </row>
    <row r="599" spans="2:19" x14ac:dyDescent="0.5">
      <c r="B599" s="5" t="s">
        <v>6</v>
      </c>
      <c r="C599" s="5" t="s">
        <v>7</v>
      </c>
      <c r="D599" t="s">
        <v>310</v>
      </c>
      <c r="E599" s="5" t="s">
        <v>240</v>
      </c>
      <c r="F599" s="4" t="str">
        <f>IFERROR(SUM(F585,F589)/SUM(F593,F596),"-")</f>
        <v>-</v>
      </c>
      <c r="G599" s="4" t="str">
        <f t="shared" si="672"/>
        <v>-</v>
      </c>
      <c r="H599" s="4" t="str">
        <f t="shared" si="672"/>
        <v>-</v>
      </c>
      <c r="I599" s="4" t="str">
        <f t="shared" si="672"/>
        <v>-</v>
      </c>
      <c r="J599" s="4" t="str">
        <f t="shared" si="672"/>
        <v>-</v>
      </c>
      <c r="K599" s="4">
        <f t="shared" si="672"/>
        <v>0.46666666666666662</v>
      </c>
      <c r="L599" s="4">
        <f t="shared" ref="L599:O599" si="674">IFERROR(SUM(L585,L589)/SUM(L593,L596),"-")</f>
        <v>0.46666666666666667</v>
      </c>
      <c r="M599" s="4">
        <f t="shared" si="674"/>
        <v>0.46666666666666651</v>
      </c>
      <c r="N599" s="4">
        <f t="shared" si="674"/>
        <v>0.46666666666666695</v>
      </c>
      <c r="O599" s="4">
        <f t="shared" si="674"/>
        <v>0.46666666666666662</v>
      </c>
      <c r="P599" s="4">
        <f>IFERROR(SUM(P585,P589)/SUM(P593,P596),"-")</f>
        <v>0.46666666666666695</v>
      </c>
      <c r="Q599" s="4">
        <f>IFERROR(SUM(Q585,Q589)/SUM(Q593,Q596),"-")</f>
        <v>0.46666666666666662</v>
      </c>
      <c r="S599" s="3"/>
    </row>
    <row r="600" spans="2:19" x14ac:dyDescent="0.5">
      <c r="B600" s="9" t="s">
        <v>6</v>
      </c>
      <c r="C600" s="9" t="s">
        <v>7</v>
      </c>
      <c r="D600" s="2" t="s">
        <v>376</v>
      </c>
      <c r="E600" s="9" t="s">
        <v>8</v>
      </c>
      <c r="F600" s="1">
        <f>[1]Other_transformation!B$12</f>
        <v>0.27435500252538908</v>
      </c>
      <c r="G600" s="1">
        <f>[1]Other_transformation!C$12</f>
        <v>5.6036406398312276E-2</v>
      </c>
      <c r="H600" s="1">
        <f>[1]Other_transformation!D$12</f>
        <v>1.037098666998759</v>
      </c>
      <c r="I600" s="1">
        <f>[1]Other_transformation!E$12</f>
        <v>0.30728353878528752</v>
      </c>
      <c r="J600" s="1">
        <f>[1]Other_transformation!F$12</f>
        <v>7.2127084922540938E-4</v>
      </c>
      <c r="K600" s="1">
        <f>[1]Other_transformation!G$12</f>
        <v>8.5438011048155171E-4</v>
      </c>
      <c r="L600" s="1">
        <f>[1]Other_transformation!H$12</f>
        <v>9.1197554610606768E-4</v>
      </c>
      <c r="M600" s="1">
        <f>[1]Other_transformation!I$12</f>
        <v>1.0961712920056444E-3</v>
      </c>
      <c r="N600" s="1">
        <f>[1]Other_transformation!J$12</f>
        <v>9.3179733668944135E-4</v>
      </c>
      <c r="O600" s="1">
        <f>[1]Other_transformation!K$12</f>
        <v>2.9053872424370485E-3</v>
      </c>
      <c r="P600" s="1">
        <f>[1]Other_transformation!L$12</f>
        <v>9.6185531556501743E-4</v>
      </c>
      <c r="Q600" s="1">
        <f>[1]Other_transformation!M$12</f>
        <v>2.9765559210304226E-3</v>
      </c>
      <c r="S600" s="3"/>
    </row>
    <row r="601" spans="2:19" x14ac:dyDescent="0.5">
      <c r="B601" s="5" t="s">
        <v>6</v>
      </c>
      <c r="C601" s="5" t="s">
        <v>7</v>
      </c>
      <c r="D601" t="s">
        <v>2164</v>
      </c>
      <c r="E601" t="str">
        <f>E600</f>
        <v>PJ/yr.</v>
      </c>
      <c r="F601" s="1">
        <f>SUM(F602:F603)</f>
        <v>0.27435500252538908</v>
      </c>
      <c r="G601" s="1">
        <f t="shared" ref="G601:K601" si="675">SUM(G602:G603)</f>
        <v>5.6036406398312276E-2</v>
      </c>
      <c r="H601" s="1">
        <f t="shared" si="675"/>
        <v>1.037098666998759</v>
      </c>
      <c r="I601" s="1">
        <f t="shared" si="675"/>
        <v>0.30728353878528752</v>
      </c>
      <c r="J601" s="1">
        <f t="shared" si="675"/>
        <v>7.2127084922540938E-4</v>
      </c>
      <c r="K601" s="1">
        <f t="shared" si="675"/>
        <v>8.5438011048155171E-4</v>
      </c>
      <c r="L601" s="1">
        <f t="shared" ref="L601:O601" si="676">SUM(L602:L603)</f>
        <v>9.1197554610606768E-4</v>
      </c>
      <c r="M601" s="1">
        <f t="shared" si="676"/>
        <v>1.0961712920056444E-3</v>
      </c>
      <c r="N601" s="1">
        <f t="shared" si="676"/>
        <v>9.3179733668944135E-4</v>
      </c>
      <c r="O601" s="1">
        <f t="shared" si="676"/>
        <v>2.9053872424370485E-3</v>
      </c>
      <c r="P601" s="1">
        <f>SUM(P602:P603)</f>
        <v>9.6185531556501743E-4</v>
      </c>
      <c r="Q601" s="1">
        <f>SUM(Q602:Q603)</f>
        <v>2.9765559210304226E-3</v>
      </c>
      <c r="S601" s="3"/>
    </row>
    <row r="602" spans="2:19" x14ac:dyDescent="0.5">
      <c r="B602" s="5" t="s">
        <v>6</v>
      </c>
      <c r="C602" s="5" t="s">
        <v>7</v>
      </c>
      <c r="D602" t="s">
        <v>2165</v>
      </c>
      <c r="E602" t="str">
        <f t="shared" ref="E602:E603" si="677">E601</f>
        <v>PJ/yr.</v>
      </c>
      <c r="F602" s="1" cm="1">
        <f t="array" ref="F602">SUMPRODUCT(("CT_CWODETH"=[1]OUT_SyntheticFuels!$C$4:$C$1000)*1,("ETH"=[1]OUT_SyntheticFuels!$A$4:$A$1000)*1,("Var_Fout"=[1]OUT_SyntheticFuels!$B$4:$B$1000)*1,[1]OUT_SyntheticFuels!E$4:E$1000)</f>
        <v>0.27435500252538908</v>
      </c>
      <c r="G602" s="1" cm="1">
        <f t="array" ref="G602">SUMPRODUCT(("CT_CWODETH"=[1]OUT_SyntheticFuels!$C$4:$C$1000)*1,("ETH"=[1]OUT_SyntheticFuels!$A$4:$A$1000)*1,("Var_Fout"=[1]OUT_SyntheticFuels!$B$4:$B$1000)*1,[1]OUT_SyntheticFuels!F$4:F$1000)</f>
        <v>5.6036406398312276E-2</v>
      </c>
      <c r="H602" s="1" cm="1">
        <f t="array" ref="H602">SUMPRODUCT(("CT_CWODETH"=[1]OUT_SyntheticFuels!$C$4:$C$1000)*1,("ETH"=[1]OUT_SyntheticFuels!$A$4:$A$1000)*1,("Var_Fout"=[1]OUT_SyntheticFuels!$B$4:$B$1000)*1,[1]OUT_SyntheticFuels!G$4:G$1000)</f>
        <v>1.037098666998759</v>
      </c>
      <c r="I602" s="1" cm="1">
        <f t="array" ref="I602">SUMPRODUCT(("CT_CWODETH"=[1]OUT_SyntheticFuels!$C$4:$C$1000)*1,("ETH"=[1]OUT_SyntheticFuels!$A$4:$A$1000)*1,("Var_Fout"=[1]OUT_SyntheticFuels!$B$4:$B$1000)*1,[1]OUT_SyntheticFuels!H$4:H$1000)</f>
        <v>0.30728353878528752</v>
      </c>
      <c r="J602" s="1" cm="1">
        <f t="array" ref="J602">SUMPRODUCT(("CT_CWODETH"=[1]OUT_SyntheticFuels!$C$4:$C$1000)*1,("ETH"=[1]OUT_SyntheticFuels!$A$4:$A$1000)*1,("Var_Fout"=[1]OUT_SyntheticFuels!$B$4:$B$1000)*1,[1]OUT_SyntheticFuels!I$4:I$1000)</f>
        <v>7.2127084922540938E-4</v>
      </c>
      <c r="K602" s="1" cm="1">
        <f t="array" ref="K602">SUMPRODUCT(("CT_CWODETH"=[1]OUT_SyntheticFuels!$C$4:$C$1000)*1,("ETH"=[1]OUT_SyntheticFuels!$A$4:$A$1000)*1,("Var_Fout"=[1]OUT_SyntheticFuels!$B$4:$B$1000)*1,[1]OUT_SyntheticFuels!J$4:J$1000)</f>
        <v>5.1978416607809932E-4</v>
      </c>
      <c r="L602" s="1" cm="1">
        <f t="array" ref="L602">SUMPRODUCT(("CT_CWODETH"=[1]OUT_SyntheticFuels!$C$4:$C$1000)*1,("ETH"=[1]OUT_SyntheticFuels!$A$4:$A$1000)*1,("Var_Fout"=[1]OUT_SyntheticFuels!$B$4:$B$1000)*1,[1]OUT_SyntheticFuels!K$4:K$1000)</f>
        <v>4.5672533095413389E-4</v>
      </c>
      <c r="M602" s="1" cm="1">
        <f t="array" ref="M602">SUMPRODUCT(("CT_CWODETH"=[1]OUT_SyntheticFuels!$C$4:$C$1000)*1,("ETH"=[1]OUT_SyntheticFuels!$A$4:$A$1000)*1,("Var_Fout"=[1]OUT_SyntheticFuels!$B$4:$B$1000)*1,[1]OUT_SyntheticFuels!L$4:L$1000)</f>
        <v>4.2350404314482815E-4</v>
      </c>
      <c r="N602" s="1" cm="1">
        <f t="array" ref="N602">SUMPRODUCT(("CT_CWODETH"=[1]OUT_SyntheticFuels!$C$4:$C$1000)*1,("ETH"=[1]OUT_SyntheticFuels!$A$4:$A$1000)*1,("Var_Fout"=[1]OUT_SyntheticFuels!$B$4:$B$1000)*1,[1]OUT_SyntheticFuels!M$4:M$1000)</f>
        <v>3.9694195382215634E-4</v>
      </c>
      <c r="O602" s="1" cm="1">
        <f t="array" ref="O602">SUMPRODUCT(("CT_CWODETH"=[1]OUT_SyntheticFuels!$C$4:$C$1000)*1,("ETH"=[1]OUT_SyntheticFuels!$A$4:$A$1000)*1,("Var_Fout"=[1]OUT_SyntheticFuels!$B$4:$B$1000)*1,[1]OUT_SyntheticFuels!N$4:N$1000)</f>
        <v>1.0700214217870304E-3</v>
      </c>
      <c r="P602" s="1" cm="1">
        <f t="array" ref="P602">SUMPRODUCT(("CT_CWODETH"=[1]OUT_SyntheticFuels!$C$4:$C$1000)*1,("ETH"=[1]OUT_SyntheticFuels!$A$4:$A$1000)*1,("Var_Fout"=[1]OUT_SyntheticFuels!$B$4:$B$1000)*1,[1]OUT_SyntheticFuels!O$4:O$1000)</f>
        <v>4.1463655799957506E-4</v>
      </c>
      <c r="Q602" s="1" cm="1">
        <f t="array" ref="Q602">SUMPRODUCT(("CT_CWODETH"=[1]OUT_SyntheticFuels!$C$4:$C$1000)*1,("ETH"=[1]OUT_SyntheticFuels!$A$4:$A$1000)*1,("Var_Fout"=[1]OUT_SyntheticFuels!$B$4:$B$1000)*1,[1]OUT_SyntheticFuels!P$4:P$1000)</f>
        <v>1.1693354441361771E-3</v>
      </c>
      <c r="S602" s="3"/>
    </row>
    <row r="603" spans="2:19" x14ac:dyDescent="0.5">
      <c r="B603" s="5" t="s">
        <v>6</v>
      </c>
      <c r="C603" s="5" t="s">
        <v>7</v>
      </c>
      <c r="D603" t="s">
        <v>2166</v>
      </c>
      <c r="E603" t="str">
        <f t="shared" si="677"/>
        <v>PJ/yr.</v>
      </c>
      <c r="F603" s="1" cm="1">
        <f t="array" ref="F603">SUMPRODUCT(("CT_CWODETHCCS"=[1]OUT_SyntheticFuels!$C$4:$C$1000)*1,("ETH"=[1]OUT_SyntheticFuels!$A$4:$A$1000)*1,("Var_Fout"=[1]OUT_SyntheticFuels!$B$4:$B$1000)*1,[1]OUT_SyntheticFuels!E$4:E$1000)</f>
        <v>0</v>
      </c>
      <c r="G603" s="1" cm="1">
        <f t="array" ref="G603">SUMPRODUCT(("CT_CWODETHCCS"=[1]OUT_SyntheticFuels!$C$4:$C$1000)*1,("ETH"=[1]OUT_SyntheticFuels!$A$4:$A$1000)*1,("Var_Fout"=[1]OUT_SyntheticFuels!$B$4:$B$1000)*1,[1]OUT_SyntheticFuels!F$4:F$1000)</f>
        <v>0</v>
      </c>
      <c r="H603" s="1" cm="1">
        <f t="array" ref="H603">SUMPRODUCT(("CT_CWODETHCCS"=[1]OUT_SyntheticFuels!$C$4:$C$1000)*1,("ETH"=[1]OUT_SyntheticFuels!$A$4:$A$1000)*1,("Var_Fout"=[1]OUT_SyntheticFuels!$B$4:$B$1000)*1,[1]OUT_SyntheticFuels!G$4:G$1000)</f>
        <v>0</v>
      </c>
      <c r="I603" s="1" cm="1">
        <f t="array" ref="I603">SUMPRODUCT(("CT_CWODETHCCS"=[1]OUT_SyntheticFuels!$C$4:$C$1000)*1,("ETH"=[1]OUT_SyntheticFuels!$A$4:$A$1000)*1,("Var_Fout"=[1]OUT_SyntheticFuels!$B$4:$B$1000)*1,[1]OUT_SyntheticFuels!H$4:H$1000)</f>
        <v>0</v>
      </c>
      <c r="J603" s="1" cm="1">
        <f t="array" ref="J603">SUMPRODUCT(("CT_CWODETHCCS"=[1]OUT_SyntheticFuels!$C$4:$C$1000)*1,("ETH"=[1]OUT_SyntheticFuels!$A$4:$A$1000)*1,("Var_Fout"=[1]OUT_SyntheticFuels!$B$4:$B$1000)*1,[1]OUT_SyntheticFuels!I$4:I$1000)</f>
        <v>0</v>
      </c>
      <c r="K603" s="1" cm="1">
        <f t="array" ref="K603">SUMPRODUCT(("CT_CWODETHCCS"=[1]OUT_SyntheticFuels!$C$4:$C$1000)*1,("ETH"=[1]OUT_SyntheticFuels!$A$4:$A$1000)*1,("Var_Fout"=[1]OUT_SyntheticFuels!$B$4:$B$1000)*1,[1]OUT_SyntheticFuels!J$4:J$1000)</f>
        <v>3.3459594440345244E-4</v>
      </c>
      <c r="L603" s="1" cm="1">
        <f t="array" ref="L603">SUMPRODUCT(("CT_CWODETHCCS"=[1]OUT_SyntheticFuels!$C$4:$C$1000)*1,("ETH"=[1]OUT_SyntheticFuels!$A$4:$A$1000)*1,("Var_Fout"=[1]OUT_SyntheticFuels!$B$4:$B$1000)*1,[1]OUT_SyntheticFuels!K$4:K$1000)</f>
        <v>4.5525021515193374E-4</v>
      </c>
      <c r="M603" s="1" cm="1">
        <f t="array" ref="M603">SUMPRODUCT(("CT_CWODETHCCS"=[1]OUT_SyntheticFuels!$C$4:$C$1000)*1,("ETH"=[1]OUT_SyntheticFuels!$A$4:$A$1000)*1,("Var_Fout"=[1]OUT_SyntheticFuels!$B$4:$B$1000)*1,[1]OUT_SyntheticFuels!L$4:L$1000)</f>
        <v>6.7266724886081623E-4</v>
      </c>
      <c r="N603" s="1" cm="1">
        <f t="array" ref="N603">SUMPRODUCT(("CT_CWODETHCCS"=[1]OUT_SyntheticFuels!$C$4:$C$1000)*1,("ETH"=[1]OUT_SyntheticFuels!$A$4:$A$1000)*1,("Var_Fout"=[1]OUT_SyntheticFuels!$B$4:$B$1000)*1,[1]OUT_SyntheticFuels!M$4:M$1000)</f>
        <v>5.3485538286728506E-4</v>
      </c>
      <c r="O603" s="1" cm="1">
        <f t="array" ref="O603">SUMPRODUCT(("CT_CWODETHCCS"=[1]OUT_SyntheticFuels!$C$4:$C$1000)*1,("ETH"=[1]OUT_SyntheticFuels!$A$4:$A$1000)*1,("Var_Fout"=[1]OUT_SyntheticFuels!$B$4:$B$1000)*1,[1]OUT_SyntheticFuels!N$4:N$1000)</f>
        <v>1.8353658206500178E-3</v>
      </c>
      <c r="P603" s="1" cm="1">
        <f t="array" ref="P603">SUMPRODUCT(("CT_CWODETHCCS"=[1]OUT_SyntheticFuels!$C$4:$C$1000)*1,("ETH"=[1]OUT_SyntheticFuels!$A$4:$A$1000)*1,("Var_Fout"=[1]OUT_SyntheticFuels!$B$4:$B$1000)*1,[1]OUT_SyntheticFuels!O$4:O$1000)</f>
        <v>5.4721875756544238E-4</v>
      </c>
      <c r="Q603" s="1" cm="1">
        <f t="array" ref="Q603">SUMPRODUCT(("CT_CWODETHCCS"=[1]OUT_SyntheticFuels!$C$4:$C$1000)*1,("ETH"=[1]OUT_SyntheticFuels!$A$4:$A$1000)*1,("Var_Fout"=[1]OUT_SyntheticFuels!$B$4:$B$1000)*1,[1]OUT_SyntheticFuels!P$4:P$1000)</f>
        <v>1.8072204768942452E-3</v>
      </c>
      <c r="S603" s="3"/>
    </row>
    <row r="604" spans="2:19" x14ac:dyDescent="0.5">
      <c r="B604" s="9" t="s">
        <v>6</v>
      </c>
      <c r="C604" s="9" t="s">
        <v>7</v>
      </c>
      <c r="D604" s="2" t="s">
        <v>378</v>
      </c>
      <c r="E604" s="9" t="s">
        <v>8</v>
      </c>
      <c r="F604" s="3">
        <f>F605+F608</f>
        <v>1.0233441594197008</v>
      </c>
      <c r="G604" s="3">
        <f t="shared" ref="G604:K604" si="678">G605+G608</f>
        <v>0.20901579586570482</v>
      </c>
      <c r="H604" s="3">
        <f t="shared" si="678"/>
        <v>3.8683780279053712</v>
      </c>
      <c r="I604" s="3">
        <f t="shared" si="678"/>
        <v>1.1461675996691234</v>
      </c>
      <c r="J604" s="3">
        <f t="shared" si="678"/>
        <v>2.6903402676107767E-3</v>
      </c>
      <c r="K604" s="3">
        <f t="shared" si="678"/>
        <v>3.3407519465217745E-3</v>
      </c>
      <c r="L604" s="3">
        <f t="shared" ref="L604:O604" si="679">L605+L608</f>
        <v>3.6110838859455211E-3</v>
      </c>
      <c r="M604" s="3">
        <f t="shared" si="679"/>
        <v>4.3981458536570314E-3</v>
      </c>
      <c r="N604" s="3">
        <f t="shared" si="679"/>
        <v>3.7216375419705651E-3</v>
      </c>
      <c r="O604" s="3">
        <f t="shared" si="679"/>
        <v>1.1681362691789193E-2</v>
      </c>
      <c r="P604" s="3">
        <f>P605+P608</f>
        <v>3.8394409555376186E-3</v>
      </c>
      <c r="Q604" s="3">
        <f>Q605+Q608</f>
        <v>1.1933875004814829E-2</v>
      </c>
      <c r="S604" s="3"/>
    </row>
    <row r="605" spans="2:19" x14ac:dyDescent="0.5">
      <c r="B605" s="5" t="s">
        <v>6</v>
      </c>
      <c r="C605" s="5" t="s">
        <v>7</v>
      </c>
      <c r="D605" t="s">
        <v>906</v>
      </c>
      <c r="E605" s="5" t="s">
        <v>8</v>
      </c>
      <c r="F605" s="1">
        <f>SUM(F606:F607)</f>
        <v>0.57340195527806292</v>
      </c>
      <c r="G605" s="1">
        <f t="shared" ref="G605:K605" si="680">SUM(G606:G607)</f>
        <v>0.11711608937247268</v>
      </c>
      <c r="H605" s="1">
        <f t="shared" si="680"/>
        <v>2.1675362140274057</v>
      </c>
      <c r="I605" s="1">
        <f t="shared" si="680"/>
        <v>0.64222259606125165</v>
      </c>
      <c r="J605" s="1">
        <f t="shared" si="680"/>
        <v>1.5074560748811056E-3</v>
      </c>
      <c r="K605" s="1">
        <f t="shared" si="680"/>
        <v>1.7856544309064425E-3</v>
      </c>
      <c r="L605" s="1">
        <f t="shared" ref="L605:O605" si="681">SUM(L606:L607)</f>
        <v>1.9060288913616804E-3</v>
      </c>
      <c r="M605" s="1">
        <f t="shared" si="681"/>
        <v>2.2909980002917981E-3</v>
      </c>
      <c r="N605" s="1">
        <f t="shared" si="681"/>
        <v>1.9474564336809316E-3</v>
      </c>
      <c r="O605" s="1">
        <f t="shared" si="681"/>
        <v>6.0722593366934266E-3</v>
      </c>
      <c r="P605" s="1">
        <f>SUM(P606:P607)</f>
        <v>2.0102776095308863E-3</v>
      </c>
      <c r="Q605" s="1">
        <f>SUM(Q606:Q607)</f>
        <v>6.2210018749535847E-3</v>
      </c>
      <c r="S605" s="3"/>
    </row>
    <row r="606" spans="2:19" x14ac:dyDescent="0.5">
      <c r="B606" s="5" t="s">
        <v>6</v>
      </c>
      <c r="C606" s="5" t="s">
        <v>7</v>
      </c>
      <c r="D606" t="s">
        <v>321</v>
      </c>
      <c r="E606" s="5" t="s">
        <v>8</v>
      </c>
      <c r="F606" s="1" cm="1">
        <f t="array" ref="F606">SUMPRODUCT(("CT_CWODETH"=[1]OUT_SyntheticFuels!$C$4:$C$1000)*1,("cwod"=[1]OUT_SyntheticFuels!$A$4:$A$1000)*1,("Var_Fin"=[1]OUT_SyntheticFuels!$B$4:$B$1000)*1,[1]OUT_SyntheticFuels!E$4:E$1000)</f>
        <v>0.57340195527806292</v>
      </c>
      <c r="G606" s="1" cm="1">
        <f t="array" ref="G606">SUMPRODUCT(("CT_CWODETH"=[1]OUT_SyntheticFuels!$C$4:$C$1000)*1,("cwod"=[1]OUT_SyntheticFuels!$A$4:$A$1000)*1,("Var_Fin"=[1]OUT_SyntheticFuels!$B$4:$B$1000)*1,[1]OUT_SyntheticFuels!F$4:F$1000)</f>
        <v>0.11711608937247268</v>
      </c>
      <c r="H606" s="1" cm="1">
        <f t="array" ref="H606">SUMPRODUCT(("CT_CWODETH"=[1]OUT_SyntheticFuels!$C$4:$C$1000)*1,("cwod"=[1]OUT_SyntheticFuels!$A$4:$A$1000)*1,("Var_Fin"=[1]OUT_SyntheticFuels!$B$4:$B$1000)*1,[1]OUT_SyntheticFuels!G$4:G$1000)</f>
        <v>2.1675362140274057</v>
      </c>
      <c r="I606" s="1" cm="1">
        <f t="array" ref="I606">SUMPRODUCT(("CT_CWODETH"=[1]OUT_SyntheticFuels!$C$4:$C$1000)*1,("cwod"=[1]OUT_SyntheticFuels!$A$4:$A$1000)*1,("Var_Fin"=[1]OUT_SyntheticFuels!$B$4:$B$1000)*1,[1]OUT_SyntheticFuels!H$4:H$1000)</f>
        <v>0.64222259606125165</v>
      </c>
      <c r="J606" s="1" cm="1">
        <f t="array" ref="J606">SUMPRODUCT(("CT_CWODETH"=[1]OUT_SyntheticFuels!$C$4:$C$1000)*1,("cwod"=[1]OUT_SyntheticFuels!$A$4:$A$1000)*1,("Var_Fin"=[1]OUT_SyntheticFuels!$B$4:$B$1000)*1,[1]OUT_SyntheticFuels!I$4:I$1000)</f>
        <v>1.5074560748811056E-3</v>
      </c>
      <c r="K606" s="1" cm="1">
        <f t="array" ref="K606">SUMPRODUCT(("CT_CWODETH"=[1]OUT_SyntheticFuels!$C$4:$C$1000)*1,("cwod"=[1]OUT_SyntheticFuels!$A$4:$A$1000)*1,("Var_Fin"=[1]OUT_SyntheticFuels!$B$4:$B$1000)*1,[1]OUT_SyntheticFuels!J$4:J$1000)</f>
        <v>1.0863489071032276E-3</v>
      </c>
      <c r="L606" s="1" cm="1">
        <f t="array" ref="L606">SUMPRODUCT(("CT_CWODETH"=[1]OUT_SyntheticFuels!$C$4:$C$1000)*1,("cwod"=[1]OUT_SyntheticFuels!$A$4:$A$1000)*1,("Var_Fin"=[1]OUT_SyntheticFuels!$B$4:$B$1000)*1,[1]OUT_SyntheticFuels!K$4:K$1000)</f>
        <v>9.5455594169413993E-4</v>
      </c>
      <c r="M606" s="1" cm="1">
        <f t="array" ref="M606">SUMPRODUCT(("CT_CWODETH"=[1]OUT_SyntheticFuels!$C$4:$C$1000)*1,("cwod"=[1]OUT_SyntheticFuels!$A$4:$A$1000)*1,("Var_Fin"=[1]OUT_SyntheticFuels!$B$4:$B$1000)*1,[1]OUT_SyntheticFuels!L$4:L$1000)</f>
        <v>8.8512345017269136E-4</v>
      </c>
      <c r="N606" s="1" cm="1">
        <f t="array" ref="N606">SUMPRODUCT(("CT_CWODETH"=[1]OUT_SyntheticFuels!$C$4:$C$1000)*1,("cwod"=[1]OUT_SyntheticFuels!$A$4:$A$1000)*1,("Var_Fin"=[1]OUT_SyntheticFuels!$B$4:$B$1000)*1,[1]OUT_SyntheticFuels!M$4:M$1000)</f>
        <v>8.2960868348830644E-4</v>
      </c>
      <c r="O606" s="1" cm="1">
        <f t="array" ref="O606">SUMPRODUCT(("CT_CWODETH"=[1]OUT_SyntheticFuels!$C$4:$C$1000)*1,("cwod"=[1]OUT_SyntheticFuels!$A$4:$A$1000)*1,("Var_Fin"=[1]OUT_SyntheticFuels!$B$4:$B$1000)*1,[1]OUT_SyntheticFuels!N$4:N$1000)</f>
        <v>2.2363447715348923E-3</v>
      </c>
      <c r="P606" s="1" cm="1">
        <f t="array" ref="P606">SUMPRODUCT(("CT_CWODETH"=[1]OUT_SyntheticFuels!$C$4:$C$1000)*1,("cwod"=[1]OUT_SyntheticFuels!$A$4:$A$1000)*1,("Var_Fin"=[1]OUT_SyntheticFuels!$B$4:$B$1000)*1,[1]OUT_SyntheticFuels!O$4:O$1000)</f>
        <v>8.6659040621911215E-4</v>
      </c>
      <c r="Q606" s="1" cm="1">
        <f t="array" ref="Q606">SUMPRODUCT(("CT_CWODETH"=[1]OUT_SyntheticFuels!$C$4:$C$1000)*1,("cwod"=[1]OUT_SyntheticFuels!$A$4:$A$1000)*1,("Var_Fin"=[1]OUT_SyntheticFuels!$B$4:$B$1000)*1,[1]OUT_SyntheticFuels!P$4:P$1000)</f>
        <v>2.4439110782446126E-3</v>
      </c>
      <c r="S606" s="3"/>
    </row>
    <row r="607" spans="2:19" x14ac:dyDescent="0.5">
      <c r="B607" s="5" t="s">
        <v>6</v>
      </c>
      <c r="C607" s="5" t="s">
        <v>7</v>
      </c>
      <c r="D607" t="s">
        <v>322</v>
      </c>
      <c r="E607" s="5" t="s">
        <v>8</v>
      </c>
      <c r="F607" s="1" cm="1">
        <f t="array" ref="F607">SUMPRODUCT(("CT_CWODETHCCS"=[1]OUT_SyntheticFuels!$C$4:$C$1000)*1,("cwod"=[1]OUT_SyntheticFuels!$A$4:$A$1000)*1,("Var_Fin"=[1]OUT_SyntheticFuels!$B$4:$B$1000)*1,[1]OUT_SyntheticFuels!E$4:E$1000)</f>
        <v>0</v>
      </c>
      <c r="G607" s="1" cm="1">
        <f t="array" ref="G607">SUMPRODUCT(("CT_CWODETHCCS"=[1]OUT_SyntheticFuels!$C$4:$C$1000)*1,("cwod"=[1]OUT_SyntheticFuels!$A$4:$A$1000)*1,("Var_Fin"=[1]OUT_SyntheticFuels!$B$4:$B$1000)*1,[1]OUT_SyntheticFuels!F$4:F$1000)</f>
        <v>0</v>
      </c>
      <c r="H607" s="1" cm="1">
        <f t="array" ref="H607">SUMPRODUCT(("CT_CWODETHCCS"=[1]OUT_SyntheticFuels!$C$4:$C$1000)*1,("cwod"=[1]OUT_SyntheticFuels!$A$4:$A$1000)*1,("Var_Fin"=[1]OUT_SyntheticFuels!$B$4:$B$1000)*1,[1]OUT_SyntheticFuels!G$4:G$1000)</f>
        <v>0</v>
      </c>
      <c r="I607" s="1" cm="1">
        <f t="array" ref="I607">SUMPRODUCT(("CT_CWODETHCCS"=[1]OUT_SyntheticFuels!$C$4:$C$1000)*1,("cwod"=[1]OUT_SyntheticFuels!$A$4:$A$1000)*1,("Var_Fin"=[1]OUT_SyntheticFuels!$B$4:$B$1000)*1,[1]OUT_SyntheticFuels!H$4:H$1000)</f>
        <v>0</v>
      </c>
      <c r="J607" s="1" cm="1">
        <f t="array" ref="J607">SUMPRODUCT(("CT_CWODETHCCS"=[1]OUT_SyntheticFuels!$C$4:$C$1000)*1,("cwod"=[1]OUT_SyntheticFuels!$A$4:$A$1000)*1,("Var_Fin"=[1]OUT_SyntheticFuels!$B$4:$B$1000)*1,[1]OUT_SyntheticFuels!I$4:I$1000)</f>
        <v>0</v>
      </c>
      <c r="K607" s="1" cm="1">
        <f t="array" ref="K607">SUMPRODUCT(("CT_CWODETHCCS"=[1]OUT_SyntheticFuels!$C$4:$C$1000)*1,("cwod"=[1]OUT_SyntheticFuels!$A$4:$A$1000)*1,("Var_Fin"=[1]OUT_SyntheticFuels!$B$4:$B$1000)*1,[1]OUT_SyntheticFuels!J$4:J$1000)</f>
        <v>6.9930552380321489E-4</v>
      </c>
      <c r="L607" s="1" cm="1">
        <f t="array" ref="L607">SUMPRODUCT(("CT_CWODETHCCS"=[1]OUT_SyntheticFuels!$C$4:$C$1000)*1,("cwod"=[1]OUT_SyntheticFuels!$A$4:$A$1000)*1,("Var_Fin"=[1]OUT_SyntheticFuels!$B$4:$B$1000)*1,[1]OUT_SyntheticFuels!K$4:K$1000)</f>
        <v>9.5147294966754033E-4</v>
      </c>
      <c r="M607" s="1" cm="1">
        <f t="array" ref="M607">SUMPRODUCT(("CT_CWODETHCCS"=[1]OUT_SyntheticFuels!$C$4:$C$1000)*1,("cwod"=[1]OUT_SyntheticFuels!$A$4:$A$1000)*1,("Var_Fin"=[1]OUT_SyntheticFuels!$B$4:$B$1000)*1,[1]OUT_SyntheticFuels!L$4:L$1000)</f>
        <v>1.4058745501191068E-3</v>
      </c>
      <c r="N607" s="1" cm="1">
        <f t="array" ref="N607">SUMPRODUCT(("CT_CWODETHCCS"=[1]OUT_SyntheticFuels!$C$4:$C$1000)*1,("cwod"=[1]OUT_SyntheticFuels!$A$4:$A$1000)*1,("Var_Fin"=[1]OUT_SyntheticFuels!$B$4:$B$1000)*1,[1]OUT_SyntheticFuels!M$4:M$1000)</f>
        <v>1.1178477501926252E-3</v>
      </c>
      <c r="O607" s="1" cm="1">
        <f t="array" ref="O607">SUMPRODUCT(("CT_CWODETHCCS"=[1]OUT_SyntheticFuels!$C$4:$C$1000)*1,("cwod"=[1]OUT_SyntheticFuels!$A$4:$A$1000)*1,("Var_Fin"=[1]OUT_SyntheticFuels!$B$4:$B$1000)*1,[1]OUT_SyntheticFuels!N$4:N$1000)</f>
        <v>3.8359145651585339E-3</v>
      </c>
      <c r="P607" s="1" cm="1">
        <f t="array" ref="P607">SUMPRODUCT(("CT_CWODETHCCS"=[1]OUT_SyntheticFuels!$C$4:$C$1000)*1,("cwod"=[1]OUT_SyntheticFuels!$A$4:$A$1000)*1,("Var_Fin"=[1]OUT_SyntheticFuels!$B$4:$B$1000)*1,[1]OUT_SyntheticFuels!O$4:O$1000)</f>
        <v>1.1436872033117741E-3</v>
      </c>
      <c r="Q607" s="1" cm="1">
        <f t="array" ref="Q607">SUMPRODUCT(("CT_CWODETHCCS"=[1]OUT_SyntheticFuels!$C$4:$C$1000)*1,("cwod"=[1]OUT_SyntheticFuels!$A$4:$A$1000)*1,("Var_Fin"=[1]OUT_SyntheticFuels!$B$4:$B$1000)*1,[1]OUT_SyntheticFuels!P$4:P$1000)</f>
        <v>3.7770907967089721E-3</v>
      </c>
      <c r="S607" s="3"/>
    </row>
    <row r="608" spans="2:19" x14ac:dyDescent="0.5">
      <c r="B608" s="5" t="s">
        <v>6</v>
      </c>
      <c r="C608" s="5" t="s">
        <v>7</v>
      </c>
      <c r="D608" t="s">
        <v>907</v>
      </c>
      <c r="E608" s="5" t="s">
        <v>8</v>
      </c>
      <c r="F608" s="1">
        <f>SUM(F609:F610)</f>
        <v>0.44994220414163782</v>
      </c>
      <c r="G608" s="1">
        <f t="shared" ref="G608:K608" si="682">SUM(G609:G610)</f>
        <v>9.1899706493232133E-2</v>
      </c>
      <c r="H608" s="1">
        <f t="shared" si="682"/>
        <v>1.7008418138779655</v>
      </c>
      <c r="I608" s="1">
        <f t="shared" si="682"/>
        <v>0.50394500360787164</v>
      </c>
      <c r="J608" s="1">
        <f t="shared" si="682"/>
        <v>1.1828841927296711E-3</v>
      </c>
      <c r="K608" s="1">
        <f t="shared" si="682"/>
        <v>1.5550975156153322E-3</v>
      </c>
      <c r="L608" s="1">
        <f t="shared" ref="L608:O608" si="683">SUM(L609:L610)</f>
        <v>1.7050549945838405E-3</v>
      </c>
      <c r="M608" s="1">
        <f t="shared" si="683"/>
        <v>2.1071478533652328E-3</v>
      </c>
      <c r="N608" s="1">
        <f t="shared" si="683"/>
        <v>1.7741811082896334E-3</v>
      </c>
      <c r="O608" s="1">
        <f t="shared" si="683"/>
        <v>5.6091033550957651E-3</v>
      </c>
      <c r="P608" s="1">
        <f>SUM(P609:P610)</f>
        <v>1.8291633460067323E-3</v>
      </c>
      <c r="Q608" s="1">
        <f>SUM(Q609:Q610)</f>
        <v>5.7128731298612453E-3</v>
      </c>
      <c r="S608" s="3"/>
    </row>
    <row r="609" spans="2:19" x14ac:dyDescent="0.5">
      <c r="B609" s="5" t="s">
        <v>6</v>
      </c>
      <c r="C609" s="5" t="s">
        <v>7</v>
      </c>
      <c r="D609" t="s">
        <v>323</v>
      </c>
      <c r="E609" s="5" t="s">
        <v>8</v>
      </c>
      <c r="F609" s="1" cm="1">
        <f t="array" ref="F609">SUMPRODUCT(("CT_CWODETH"=[1]OUT_SyntheticFuels!$C$4:$C$1000)*1,("celc"=[1]OUT_SyntheticFuels!$A$4:$A$1000)*1,("Var_Fin"=[1]OUT_SyntheticFuels!$B$4:$B$1000)*1,[1]OUT_SyntheticFuels!E$4:E$1000)</f>
        <v>0.44994220414163782</v>
      </c>
      <c r="G609" s="1" cm="1">
        <f t="array" ref="G609">SUMPRODUCT(("CT_CWODETH"=[1]OUT_SyntheticFuels!$C$4:$C$1000)*1,("celc"=[1]OUT_SyntheticFuels!$A$4:$A$1000)*1,("Var_Fin"=[1]OUT_SyntheticFuels!$B$4:$B$1000)*1,[1]OUT_SyntheticFuels!F$4:F$1000)</f>
        <v>9.1899706493232133E-2</v>
      </c>
      <c r="H609" s="1" cm="1">
        <f t="array" ref="H609">SUMPRODUCT(("CT_CWODETH"=[1]OUT_SyntheticFuels!$C$4:$C$1000)*1,("celc"=[1]OUT_SyntheticFuels!$A$4:$A$1000)*1,("Var_Fin"=[1]OUT_SyntheticFuels!$B$4:$B$1000)*1,[1]OUT_SyntheticFuels!G$4:G$1000)</f>
        <v>1.7008418138779655</v>
      </c>
      <c r="I609" s="1" cm="1">
        <f t="array" ref="I609">SUMPRODUCT(("CT_CWODETH"=[1]OUT_SyntheticFuels!$C$4:$C$1000)*1,("celc"=[1]OUT_SyntheticFuels!$A$4:$A$1000)*1,("Var_Fin"=[1]OUT_SyntheticFuels!$B$4:$B$1000)*1,[1]OUT_SyntheticFuels!H$4:H$1000)</f>
        <v>0.50394500360787164</v>
      </c>
      <c r="J609" s="1" cm="1">
        <f t="array" ref="J609">SUMPRODUCT(("CT_CWODETH"=[1]OUT_SyntheticFuels!$C$4:$C$1000)*1,("celc"=[1]OUT_SyntheticFuels!$A$4:$A$1000)*1,("Var_Fin"=[1]OUT_SyntheticFuels!$B$4:$B$1000)*1,[1]OUT_SyntheticFuels!I$4:I$1000)</f>
        <v>1.1828841927296711E-3</v>
      </c>
      <c r="K609" s="1" cm="1">
        <f t="array" ref="K609">SUMPRODUCT(("CT_CWODETH"=[1]OUT_SyntheticFuels!$C$4:$C$1000)*1,("celc"=[1]OUT_SyntheticFuels!$A$4:$A$1000)*1,("Var_Fin"=[1]OUT_SyntheticFuels!$B$4:$B$1000)*1,[1]OUT_SyntheticFuels!J$4:J$1000)</f>
        <v>8.5244603236808291E-4</v>
      </c>
      <c r="L609" s="1" cm="1">
        <f t="array" ref="L609">SUMPRODUCT(("CT_CWODETH"=[1]OUT_SyntheticFuels!$C$4:$C$1000)*1,("celc"=[1]OUT_SyntheticFuels!$A$4:$A$1000)*1,("Var_Fin"=[1]OUT_SyntheticFuels!$B$4:$B$1000)*1,[1]OUT_SyntheticFuels!K$4:K$1000)</f>
        <v>7.4902954276478007E-4</v>
      </c>
      <c r="M609" s="1" cm="1">
        <f t="array" ref="M609">SUMPRODUCT(("CT_CWODETH"=[1]OUT_SyntheticFuels!$C$4:$C$1000)*1,("celc"=[1]OUT_SyntheticFuels!$A$4:$A$1000)*1,("Var_Fin"=[1]OUT_SyntheticFuels!$B$4:$B$1000)*1,[1]OUT_SyntheticFuels!L$4:L$1000)</f>
        <v>6.9454663075751879E-4</v>
      </c>
      <c r="N609" s="1" cm="1">
        <f t="array" ref="N609">SUMPRODUCT(("CT_CWODETH"=[1]OUT_SyntheticFuels!$C$4:$C$1000)*1,("celc"=[1]OUT_SyntheticFuels!$A$4:$A$1000)*1,("Var_Fin"=[1]OUT_SyntheticFuels!$B$4:$B$1000)*1,[1]OUT_SyntheticFuels!M$4:M$1000)</f>
        <v>6.5098480426833635E-4</v>
      </c>
      <c r="O609" s="1" cm="1">
        <f t="array" ref="O609">SUMPRODUCT(("CT_CWODETH"=[1]OUT_SyntheticFuels!$C$4:$C$1000)*1,("celc"=[1]OUT_SyntheticFuels!$A$4:$A$1000)*1,("Var_Fin"=[1]OUT_SyntheticFuels!$B$4:$B$1000)*1,[1]OUT_SyntheticFuels!N$4:N$1000)</f>
        <v>1.7548351317307294E-3</v>
      </c>
      <c r="P609" s="1" cm="1">
        <f t="array" ref="P609">SUMPRODUCT(("CT_CWODETH"=[1]OUT_SyntheticFuels!$C$4:$C$1000)*1,("celc"=[1]OUT_SyntheticFuels!$A$4:$A$1000)*1,("Var_Fin"=[1]OUT_SyntheticFuels!$B$4:$B$1000)*1,[1]OUT_SyntheticFuels!O$4:O$1000)</f>
        <v>6.8000395511930319E-4</v>
      </c>
      <c r="Q609" s="1" cm="1">
        <f t="array" ref="Q609">SUMPRODUCT(("CT_CWODETH"=[1]OUT_SyntheticFuels!$C$4:$C$1000)*1,("celc"=[1]OUT_SyntheticFuels!$A$4:$A$1000)*1,("Var_Fin"=[1]OUT_SyntheticFuels!$B$4:$B$1000)*1,[1]OUT_SyntheticFuels!P$4:P$1000)</f>
        <v>1.9177101283833324E-3</v>
      </c>
      <c r="S609" s="3"/>
    </row>
    <row r="610" spans="2:19" x14ac:dyDescent="0.5">
      <c r="B610" s="5" t="s">
        <v>6</v>
      </c>
      <c r="C610" s="5" t="s">
        <v>7</v>
      </c>
      <c r="D610" t="s">
        <v>324</v>
      </c>
      <c r="E610" s="5" t="s">
        <v>8</v>
      </c>
      <c r="F610" s="1" cm="1">
        <f t="array" ref="F610">SUMPRODUCT(("CT_CWODETHCCS"=[1]OUT_SyntheticFuels!$C$4:$C$1000)*1,("celc"=[1]OUT_SyntheticFuels!$A$4:$A$1000)*1,("Var_Fin"=[1]OUT_SyntheticFuels!$B$4:$B$1000)*1,[1]OUT_SyntheticFuels!E$4:E$1000)</f>
        <v>0</v>
      </c>
      <c r="G610" s="1" cm="1">
        <f t="array" ref="G610">SUMPRODUCT(("CT_CWODETHCCS"=[1]OUT_SyntheticFuels!$C$4:$C$1000)*1,("celc"=[1]OUT_SyntheticFuels!$A$4:$A$1000)*1,("Var_Fin"=[1]OUT_SyntheticFuels!$B$4:$B$1000)*1,[1]OUT_SyntheticFuels!F$4:F$1000)</f>
        <v>0</v>
      </c>
      <c r="H610" s="1" cm="1">
        <f t="array" ref="H610">SUMPRODUCT(("CT_CWODETHCCS"=[1]OUT_SyntheticFuels!$C$4:$C$1000)*1,("celc"=[1]OUT_SyntheticFuels!$A$4:$A$1000)*1,("Var_Fin"=[1]OUT_SyntheticFuels!$B$4:$B$1000)*1,[1]OUT_SyntheticFuels!G$4:G$1000)</f>
        <v>0</v>
      </c>
      <c r="I610" s="1" cm="1">
        <f t="array" ref="I610">SUMPRODUCT(("CT_CWODETHCCS"=[1]OUT_SyntheticFuels!$C$4:$C$1000)*1,("celc"=[1]OUT_SyntheticFuels!$A$4:$A$1000)*1,("Var_Fin"=[1]OUT_SyntheticFuels!$B$4:$B$1000)*1,[1]OUT_SyntheticFuels!H$4:H$1000)</f>
        <v>0</v>
      </c>
      <c r="J610" s="1" cm="1">
        <f t="array" ref="J610">SUMPRODUCT(("CT_CWODETHCCS"=[1]OUT_SyntheticFuels!$C$4:$C$1000)*1,("celc"=[1]OUT_SyntheticFuels!$A$4:$A$1000)*1,("Var_Fin"=[1]OUT_SyntheticFuels!$B$4:$B$1000)*1,[1]OUT_SyntheticFuels!I$4:I$1000)</f>
        <v>0</v>
      </c>
      <c r="K610" s="1" cm="1">
        <f t="array" ref="K610">SUMPRODUCT(("CT_CWODETHCCS"=[1]OUT_SyntheticFuels!$C$4:$C$1000)*1,("celc"=[1]OUT_SyntheticFuels!$A$4:$A$1000)*1,("Var_Fin"=[1]OUT_SyntheticFuels!$B$4:$B$1000)*1,[1]OUT_SyntheticFuels!J$4:J$1000)</f>
        <v>7.0265148324724939E-4</v>
      </c>
      <c r="L610" s="1" cm="1">
        <f t="array" ref="L610">SUMPRODUCT(("CT_CWODETHCCS"=[1]OUT_SyntheticFuels!$C$4:$C$1000)*1,("celc"=[1]OUT_SyntheticFuels!$A$4:$A$1000)*1,("Var_Fin"=[1]OUT_SyntheticFuels!$B$4:$B$1000)*1,[1]OUT_SyntheticFuels!K$4:K$1000)</f>
        <v>9.5602545181906046E-4</v>
      </c>
      <c r="M610" s="1" cm="1">
        <f t="array" ref="M610">SUMPRODUCT(("CT_CWODETHCCS"=[1]OUT_SyntheticFuels!$C$4:$C$1000)*1,("celc"=[1]OUT_SyntheticFuels!$A$4:$A$1000)*1,("Var_Fin"=[1]OUT_SyntheticFuels!$B$4:$B$1000)*1,[1]OUT_SyntheticFuels!L$4:L$1000)</f>
        <v>1.4126012226077138E-3</v>
      </c>
      <c r="N610" s="1" cm="1">
        <f t="array" ref="N610">SUMPRODUCT(("CT_CWODETHCCS"=[1]OUT_SyntheticFuels!$C$4:$C$1000)*1,("celc"=[1]OUT_SyntheticFuels!$A$4:$A$1000)*1,("Var_Fin"=[1]OUT_SyntheticFuels!$B$4:$B$1000)*1,[1]OUT_SyntheticFuels!M$4:M$1000)</f>
        <v>1.123196304021297E-3</v>
      </c>
      <c r="O610" s="1" cm="1">
        <f t="array" ref="O610">SUMPRODUCT(("CT_CWODETHCCS"=[1]OUT_SyntheticFuels!$C$4:$C$1000)*1,("celc"=[1]OUT_SyntheticFuels!$A$4:$A$1000)*1,("Var_Fin"=[1]OUT_SyntheticFuels!$B$4:$B$1000)*1,[1]OUT_SyntheticFuels!N$4:N$1000)</f>
        <v>3.8542682233650358E-3</v>
      </c>
      <c r="P610" s="1" cm="1">
        <f t="array" ref="P610">SUMPRODUCT(("CT_CWODETHCCS"=[1]OUT_SyntheticFuels!$C$4:$C$1000)*1,("celc"=[1]OUT_SyntheticFuels!$A$4:$A$1000)*1,("Var_Fin"=[1]OUT_SyntheticFuels!$B$4:$B$1000)*1,[1]OUT_SyntheticFuels!O$4:O$1000)</f>
        <v>1.1491593908874293E-3</v>
      </c>
      <c r="Q610" s="1" cm="1">
        <f t="array" ref="Q610">SUMPRODUCT(("CT_CWODETHCCS"=[1]OUT_SyntheticFuels!$C$4:$C$1000)*1,("celc"=[1]OUT_SyntheticFuels!$A$4:$A$1000)*1,("Var_Fin"=[1]OUT_SyntheticFuels!$B$4:$B$1000)*1,[1]OUT_SyntheticFuels!P$4:P$1000)</f>
        <v>3.7951630014779131E-3</v>
      </c>
      <c r="S610" s="3"/>
    </row>
    <row r="611" spans="2:19" x14ac:dyDescent="0.5">
      <c r="B611" s="9" t="s">
        <v>6</v>
      </c>
      <c r="C611" s="9" t="s">
        <v>7</v>
      </c>
      <c r="D611" s="2" t="s">
        <v>311</v>
      </c>
      <c r="E611" s="9" t="s">
        <v>240</v>
      </c>
      <c r="F611" t="s">
        <v>292</v>
      </c>
      <c r="G611" t="s">
        <v>292</v>
      </c>
      <c r="H611" t="s">
        <v>292</v>
      </c>
      <c r="I611" t="s">
        <v>292</v>
      </c>
      <c r="J611" t="s">
        <v>292</v>
      </c>
      <c r="K611" t="s">
        <v>292</v>
      </c>
      <c r="L611" t="s">
        <v>292</v>
      </c>
      <c r="M611" t="s">
        <v>292</v>
      </c>
      <c r="N611" t="s">
        <v>292</v>
      </c>
      <c r="O611" t="s">
        <v>292</v>
      </c>
      <c r="P611" t="s">
        <v>292</v>
      </c>
      <c r="Q611" t="s">
        <v>292</v>
      </c>
      <c r="S611" s="3"/>
    </row>
    <row r="612" spans="2:19" x14ac:dyDescent="0.5">
      <c r="B612" s="5" t="s">
        <v>6</v>
      </c>
      <c r="C612" s="5" t="s">
        <v>7</v>
      </c>
      <c r="D612" t="s">
        <v>312</v>
      </c>
      <c r="E612" s="5" t="s">
        <v>240</v>
      </c>
      <c r="F612" s="4">
        <f>IFERROR(F602/SUM(F606,F609),"-")</f>
        <v>0.26809651474530843</v>
      </c>
      <c r="G612">
        <f t="shared" ref="G612:K613" si="684">IFERROR(G602/SUM(G606,G609),"-")</f>
        <v>0.26809651474530827</v>
      </c>
      <c r="H612">
        <f t="shared" si="684"/>
        <v>0.26809651474530827</v>
      </c>
      <c r="I612">
        <f t="shared" si="684"/>
        <v>0.2680965147453081</v>
      </c>
      <c r="J612">
        <f t="shared" si="684"/>
        <v>0.26809651474530832</v>
      </c>
      <c r="K612">
        <f t="shared" si="684"/>
        <v>0.26809651474530832</v>
      </c>
      <c r="L612">
        <f t="shared" ref="L612:O612" si="685">IFERROR(L602/SUM(L606,L609),"-")</f>
        <v>0.26809651474530821</v>
      </c>
      <c r="M612">
        <f t="shared" si="685"/>
        <v>0.26809651474530816</v>
      </c>
      <c r="N612">
        <f t="shared" si="685"/>
        <v>0.26809651474530838</v>
      </c>
      <c r="O612">
        <f t="shared" si="685"/>
        <v>0.26809651474530849</v>
      </c>
      <c r="P612">
        <f>IFERROR(P602/SUM(P606,P609),"-")</f>
        <v>0.26809651474530821</v>
      </c>
      <c r="Q612">
        <f>IFERROR(Q602/SUM(Q606,Q609),"-")</f>
        <v>0.26809651474530805</v>
      </c>
      <c r="S612" s="3"/>
    </row>
    <row r="613" spans="2:19" x14ac:dyDescent="0.5">
      <c r="B613" s="5" t="s">
        <v>6</v>
      </c>
      <c r="C613" s="5" t="s">
        <v>7</v>
      </c>
      <c r="D613" t="s">
        <v>313</v>
      </c>
      <c r="E613" s="5" t="s">
        <v>240</v>
      </c>
      <c r="F613" t="str">
        <f>IFERROR(F603/SUM(F607,F610),"-")</f>
        <v>-</v>
      </c>
      <c r="G613" t="str">
        <f t="shared" si="684"/>
        <v>-</v>
      </c>
      <c r="H613" t="str">
        <f t="shared" si="684"/>
        <v>-</v>
      </c>
      <c r="I613" t="str">
        <f t="shared" si="684"/>
        <v>-</v>
      </c>
      <c r="J613" t="str">
        <f t="shared" si="684"/>
        <v>-</v>
      </c>
      <c r="K613">
        <f t="shared" si="684"/>
        <v>0.23866348448687374</v>
      </c>
      <c r="L613">
        <f t="shared" ref="L613:O613" si="686">IFERROR(L603/SUM(L607,L610),"-")</f>
        <v>0.23866348448687372</v>
      </c>
      <c r="M613">
        <f t="shared" si="686"/>
        <v>0.23866348448687344</v>
      </c>
      <c r="N613">
        <f t="shared" si="686"/>
        <v>0.23866348448687374</v>
      </c>
      <c r="O613">
        <f t="shared" si="686"/>
        <v>0.23866348448687366</v>
      </c>
      <c r="P613">
        <f>IFERROR(P603/SUM(P607,P610),"-")</f>
        <v>0.23866348448687355</v>
      </c>
      <c r="Q613">
        <f>IFERROR(Q603/SUM(Q607,Q610),"-")</f>
        <v>0.23866348448687358</v>
      </c>
      <c r="S613" s="3"/>
    </row>
    <row r="614" spans="2:19" x14ac:dyDescent="0.5">
      <c r="B614" s="5" t="s">
        <v>6</v>
      </c>
      <c r="C614" s="5" t="s">
        <v>7</v>
      </c>
      <c r="D614" s="2" t="s">
        <v>381</v>
      </c>
      <c r="E614" s="9" t="s">
        <v>8</v>
      </c>
      <c r="F614" s="3">
        <f>F615+F616+F621</f>
        <v>6.9574687365993189</v>
      </c>
      <c r="G614" s="3">
        <f t="shared" ref="G614" si="687">G615+G616+G621</f>
        <v>9.6803994986381383</v>
      </c>
      <c r="H614" s="3">
        <f t="shared" ref="H614" si="688">H615+H616+H621</f>
        <v>9.6902989857382575</v>
      </c>
      <c r="I614" s="3">
        <f t="shared" ref="I614" si="689">I615+I616+I621</f>
        <v>10.191479705038772</v>
      </c>
      <c r="J614" s="3">
        <f t="shared" ref="J614" si="690">J615+J616+J621</f>
        <v>10.179687775354793</v>
      </c>
      <c r="K614" s="3">
        <f t="shared" ref="K614" si="691">K615+K616+K621</f>
        <v>12.810866621750847</v>
      </c>
      <c r="L614" s="3">
        <f t="shared" ref="L614:O614" si="692">L615+L616+L621</f>
        <v>14.35031354774542</v>
      </c>
      <c r="M614" s="3">
        <f t="shared" si="692"/>
        <v>16.859276342240332</v>
      </c>
      <c r="N614" s="3">
        <f t="shared" si="692"/>
        <v>17.602856547259837</v>
      </c>
      <c r="O614" s="3">
        <f t="shared" si="692"/>
        <v>20.638161943172989</v>
      </c>
      <c r="P614" s="3">
        <f>P615+P616+P621</f>
        <v>20.643212220746168</v>
      </c>
      <c r="Q614" s="3">
        <f>Q615+Q616+Q621</f>
        <v>20.651782944317819</v>
      </c>
      <c r="S614" s="3"/>
    </row>
    <row r="615" spans="2:19" x14ac:dyDescent="0.5">
      <c r="B615" s="5" t="s">
        <v>6</v>
      </c>
      <c r="C615" s="5" t="s">
        <v>7</v>
      </c>
      <c r="D615" t="s">
        <v>314</v>
      </c>
      <c r="E615" s="5" t="s">
        <v>8</v>
      </c>
      <c r="F615" s="1">
        <f>[1]Other_transformation!B$19</f>
        <v>1.3280291821635535</v>
      </c>
      <c r="G615" s="1">
        <f>[1]Other_transformation!C$19</f>
        <v>3.9343657788652004</v>
      </c>
      <c r="H615" s="1">
        <f>[1]Other_transformation!D$19</f>
        <v>4.3847714058673537</v>
      </c>
      <c r="I615" s="1">
        <f>[1]Other_transformation!E$19</f>
        <v>4.3847878912015386</v>
      </c>
      <c r="J615" s="1">
        <f>[1]Other_transformation!F$19</f>
        <v>4.3847901640947251</v>
      </c>
      <c r="K615" s="1">
        <f>[1]Other_transformation!G$19</f>
        <v>4.3938792341993409</v>
      </c>
      <c r="L615" s="1">
        <f>[1]Other_transformation!H$19</f>
        <v>5.1265886818574415</v>
      </c>
      <c r="M615" s="1">
        <f>[1]Other_transformation!I$19</f>
        <v>6.889762679169908</v>
      </c>
      <c r="N615" s="1">
        <f>[1]Other_transformation!J$19</f>
        <v>6.8897667302122336</v>
      </c>
      <c r="O615" s="1">
        <f>[1]Other_transformation!K$19</f>
        <v>9.1913789941337498</v>
      </c>
      <c r="P615" s="1">
        <f>[1]Other_transformation!L$19</f>
        <v>9.1913877782328299</v>
      </c>
      <c r="Q615" s="1">
        <f>[1]Other_transformation!M$19</f>
        <v>9.1917628189166631</v>
      </c>
      <c r="S615" s="3"/>
    </row>
    <row r="616" spans="2:19" x14ac:dyDescent="0.5">
      <c r="B616" s="5" t="s">
        <v>6</v>
      </c>
      <c r="C616" s="5" t="s">
        <v>7</v>
      </c>
      <c r="D616" t="s">
        <v>908</v>
      </c>
      <c r="E616" s="5" t="s">
        <v>8</v>
      </c>
      <c r="F616" s="1">
        <f>[1]Other_transformation!B$20</f>
        <v>5.6294395544357654</v>
      </c>
      <c r="G616" s="1">
        <f>[1]Other_transformation!C$20</f>
        <v>5.7456069341576494</v>
      </c>
      <c r="H616" s="1">
        <f>[1]Other_transformation!D$20</f>
        <v>5.3055058673367395</v>
      </c>
      <c r="I616" s="1">
        <f>[1]Other_transformation!E$20</f>
        <v>5.8048612552519234</v>
      </c>
      <c r="J616" s="1">
        <f>[1]Other_transformation!F$20</f>
        <v>5.7927149288200299</v>
      </c>
      <c r="K616" s="1">
        <f>[1]Other_transformation!G$20</f>
        <v>8.4144717506545224</v>
      </c>
      <c r="L616" s="1">
        <f>[1]Other_transformation!H$20</f>
        <v>9.2207229914172864</v>
      </c>
      <c r="M616" s="1">
        <f>[1]Other_transformation!I$20</f>
        <v>9.9643935877193837</v>
      </c>
      <c r="N616" s="1">
        <f>[1]Other_transformation!J$20</f>
        <v>10.7081793606622</v>
      </c>
      <c r="O616" s="1">
        <f>[1]Other_transformation!K$20</f>
        <v>11.434316952307572</v>
      </c>
      <c r="P616" s="1">
        <f>[1]Other_transformation!L$20</f>
        <v>11.437572680393103</v>
      </c>
      <c r="Q616" s="1">
        <f>[1]Other_transformation!M$20</f>
        <v>11.437616426982505</v>
      </c>
      <c r="S616" s="3"/>
    </row>
    <row r="617" spans="2:19" x14ac:dyDescent="0.5">
      <c r="B617" s="5" t="s">
        <v>6</v>
      </c>
      <c r="C617" s="5" t="s">
        <v>7</v>
      </c>
      <c r="D617" t="s">
        <v>315</v>
      </c>
      <c r="E617" s="5" t="s">
        <v>8</v>
      </c>
      <c r="F617" s="1" cm="1">
        <f t="array" ref="F617">SUMPRODUCT(("SUP_WSTBIO"=[1]OUT_SyntheticFuels!$C$4:$C$1000)*1,("BIO"=[1]OUT_SyntheticFuels!$A$4:$A$1000)*1,("Var_Fout"=[1]OUT_SyntheticFuels!$B$4:$B$1000)*1,[1]OUT_SyntheticFuels!E$4:E$1000)</f>
        <v>5.6294395544357654</v>
      </c>
      <c r="G617" s="1" cm="1">
        <f t="array" ref="G617">SUMPRODUCT(("SUP_WSTBIO"=[1]OUT_SyntheticFuels!$C$4:$C$1000)*1,("BIO"=[1]OUT_SyntheticFuels!$A$4:$A$1000)*1,("Var_Fout"=[1]OUT_SyntheticFuels!$B$4:$B$1000)*1,[1]OUT_SyntheticFuels!F$4:F$1000)</f>
        <v>5.7456069341576494</v>
      </c>
      <c r="H617" s="1" cm="1">
        <f t="array" ref="H617">SUMPRODUCT(("SUP_WSTBIO"=[1]OUT_SyntheticFuels!$C$4:$C$1000)*1,("BIO"=[1]OUT_SyntheticFuels!$A$4:$A$1000)*1,("Var_Fout"=[1]OUT_SyntheticFuels!$B$4:$B$1000)*1,[1]OUT_SyntheticFuels!G$4:G$1000)</f>
        <v>5.3055058673367395</v>
      </c>
      <c r="I617" s="1" cm="1">
        <f t="array" ref="I617">SUMPRODUCT(("SUP_WSTBIO"=[1]OUT_SyntheticFuels!$C$4:$C$1000)*1,("BIO"=[1]OUT_SyntheticFuels!$A$4:$A$1000)*1,("Var_Fout"=[1]OUT_SyntheticFuels!$B$4:$B$1000)*1,[1]OUT_SyntheticFuels!H$4:H$1000)</f>
        <v>5.8048612552519234</v>
      </c>
      <c r="J617" s="1" cm="1">
        <f t="array" ref="J617">SUMPRODUCT(("SUP_WSTBIO"=[1]OUT_SyntheticFuels!$C$4:$C$1000)*1,("BIO"=[1]OUT_SyntheticFuels!$A$4:$A$1000)*1,("Var_Fout"=[1]OUT_SyntheticFuels!$B$4:$B$1000)*1,[1]OUT_SyntheticFuels!I$4:I$1000)</f>
        <v>5.7927149288200299</v>
      </c>
      <c r="K617" s="1" cm="1">
        <f t="array" ref="K617">SUMPRODUCT(("SUP_WSTBIO"=[1]OUT_SyntheticFuels!$C$4:$C$1000)*1,("BIO"=[1]OUT_SyntheticFuels!$A$4:$A$1000)*1,("Var_Fout"=[1]OUT_SyntheticFuels!$B$4:$B$1000)*1,[1]OUT_SyntheticFuels!J$4:J$1000)</f>
        <v>8.4097254224936151</v>
      </c>
      <c r="L617" s="1" cm="1">
        <f t="array" ref="L617">SUMPRODUCT(("SUP_WSTBIO"=[1]OUT_SyntheticFuels!$C$4:$C$1000)*1,("BIO"=[1]OUT_SyntheticFuels!$A$4:$A$1000)*1,("Var_Fout"=[1]OUT_SyntheticFuels!$B$4:$B$1000)*1,[1]OUT_SyntheticFuels!K$4:K$1000)</f>
        <v>9.2158181165773918</v>
      </c>
      <c r="M617" s="1" cm="1">
        <f t="array" ref="M617">SUMPRODUCT(("SUP_WSTBIO"=[1]OUT_SyntheticFuels!$C$4:$C$1000)*1,("BIO"=[1]OUT_SyntheticFuels!$A$4:$A$1000)*1,("Var_Fout"=[1]OUT_SyntheticFuels!$B$4:$B$1000)*1,[1]OUT_SyntheticFuels!L$4:L$1000)</f>
        <v>9.8456568979438988</v>
      </c>
      <c r="N617" s="1" cm="1">
        <f t="array" ref="N617">SUMPRODUCT(("SUP_WSTBIO"=[1]OUT_SyntheticFuels!$C$4:$C$1000)*1,("BIO"=[1]OUT_SyntheticFuels!$A$4:$A$1000)*1,("Var_Fout"=[1]OUT_SyntheticFuels!$B$4:$B$1000)*1,[1]OUT_SyntheticFuels!M$4:M$1000)</f>
        <v>10.596227212238386</v>
      </c>
      <c r="O617" s="1" cm="1">
        <f t="array" ref="O617">SUMPRODUCT(("SUP_WSTBIO"=[1]OUT_SyntheticFuels!$C$4:$C$1000)*1,("BIO"=[1]OUT_SyntheticFuels!$A$4:$A$1000)*1,("Var_Fout"=[1]OUT_SyntheticFuels!$B$4:$B$1000)*1,[1]OUT_SyntheticFuels!N$4:N$1000)</f>
        <v>11.318633765290757</v>
      </c>
      <c r="P617" s="1" cm="1">
        <f t="array" ref="P617">SUMPRODUCT(("SUP_WSTBIO"=[1]OUT_SyntheticFuels!$C$4:$C$1000)*1,("BIO"=[1]OUT_SyntheticFuels!$A$4:$A$1000)*1,("Var_Fout"=[1]OUT_SyntheticFuels!$B$4:$B$1000)*1,[1]OUT_SyntheticFuels!O$4:O$1000)</f>
        <v>11.408493760692787</v>
      </c>
      <c r="Q617" s="1" cm="1">
        <f t="array" ref="Q617">SUMPRODUCT(("SUP_WSTBIO"=[1]OUT_SyntheticFuels!$C$4:$C$1000)*1,("BIO"=[1]OUT_SyntheticFuels!$A$4:$A$1000)*1,("Var_Fout"=[1]OUT_SyntheticFuels!$B$4:$B$1000)*1,[1]OUT_SyntheticFuels!P$4:P$1000)</f>
        <v>11.416243883190836</v>
      </c>
      <c r="S617" s="3"/>
    </row>
    <row r="618" spans="2:19" x14ac:dyDescent="0.5">
      <c r="B618" s="5" t="s">
        <v>6</v>
      </c>
      <c r="C618" s="5" t="s">
        <v>7</v>
      </c>
      <c r="D618" t="s">
        <v>316</v>
      </c>
      <c r="E618" s="5" t="s">
        <v>8</v>
      </c>
      <c r="F618" s="1" cm="1">
        <f t="array" ref="F618">SUMPRODUCT(("SUP_WSTBIOCCS"=[1]OUT_SyntheticFuels!$C$4:$C$1000)*1,("BIO"=[1]OUT_SyntheticFuels!$A$4:$A$1000)*1,("Var_Fout"=[1]OUT_SyntheticFuels!$B$4:$B$1000)*1,[1]OUT_SyntheticFuels!E$4:E$1000)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SUMPRODUCT(("SUP_WSTBIOCCS"=[1]OUT_SyntheticFuels!$C$4:$C$1000)*1,("BIO"=[1]OUT_SyntheticFuels!$A$4:$A$1000)*1,("Var_Fout"=[1]OUT_SyntheticFuels!$B$4:$B$1000)*1,[1]OUT_SyntheticFuels!I$4:I$1000)</f>
        <v>0</v>
      </c>
      <c r="K618" s="1" cm="1">
        <f t="array" ref="K618">SUMPRODUCT(("SUP_WSTBIOCCS"=[1]OUT_SyntheticFuels!$C$4:$C$1000)*1,("BIO"=[1]OUT_SyntheticFuels!$A$4:$A$1000)*1,("Var_Fout"=[1]OUT_SyntheticFuels!$B$4:$B$1000)*1,[1]OUT_SyntheticFuels!J$4:J$1000)</f>
        <v>0</v>
      </c>
      <c r="L618" s="1" cm="1">
        <f t="array" ref="L618">SUMPRODUCT(("SUP_WSTBIOCCS"=[1]OUT_SyntheticFuels!$C$4:$C$1000)*1,("BIO"=[1]OUT_SyntheticFuels!$A$4:$A$1000)*1,("Var_Fout"=[1]OUT_SyntheticFuels!$B$4:$B$1000)*1,[1]OUT_SyntheticFuels!K$4:K$1000)</f>
        <v>0</v>
      </c>
      <c r="M618" s="1" cm="1">
        <f t="array" ref="M618">SUMPRODUCT(("SUP_WSTBIOCCS"=[1]OUT_SyntheticFuels!$C$4:$C$1000)*1,("BIO"=[1]OUT_SyntheticFuels!$A$4:$A$1000)*1,("Var_Fout"=[1]OUT_SyntheticFuels!$B$4:$B$1000)*1,[1]OUT_SyntheticFuels!L$4:L$1000)</f>
        <v>0</v>
      </c>
      <c r="N618" s="1" cm="1">
        <f t="array" ref="N618">SUMPRODUCT(("SUP_WSTBIOCCS"=[1]OUT_SyntheticFuels!$C$4:$C$1000)*1,("BIO"=[1]OUT_SyntheticFuels!$A$4:$A$1000)*1,("Var_Fout"=[1]OUT_SyntheticFuels!$B$4:$B$1000)*1,[1]OUT_SyntheticFuels!M$4:M$1000)</f>
        <v>0</v>
      </c>
      <c r="O618" s="1" cm="1">
        <f t="array" ref="O618">SUMPRODUCT(("SUP_WSTBIOCCS"=[1]OUT_SyntheticFuels!$C$4:$C$1000)*1,("BIO"=[1]OUT_SyntheticFuels!$A$4:$A$1000)*1,("Var_Fout"=[1]OUT_SyntheticFuels!$B$4:$B$1000)*1,[1]OUT_SyntheticFuels!N$4:N$1000)</f>
        <v>0</v>
      </c>
      <c r="P618" s="1" cm="1">
        <f t="array" ref="P618">SUMPRODUCT(("SUP_WSTBIOCCS"=[1]OUT_SyntheticFuels!$C$4:$C$1000)*1,("BIO"=[1]OUT_SyntheticFuels!$A$4:$A$1000)*1,("Var_Fout"=[1]OUT_SyntheticFuels!$B$4:$B$1000)*1,[1]OUT_SyntheticFuels!O$4:O$1000)</f>
        <v>0</v>
      </c>
      <c r="Q618" s="1" cm="1">
        <f t="array" ref="Q618">SUMPRODUCT(("SUP_WSTBIOCCS"=[1]OUT_SyntheticFuels!$C$4:$C$1000)*1,("BIO"=[1]OUT_SyntheticFuels!$A$4:$A$1000)*1,("Var_Fout"=[1]OUT_SyntheticFuels!$B$4:$B$1000)*1,[1]OUT_SyntheticFuels!P$4:P$1000)</f>
        <v>0</v>
      </c>
      <c r="S618" s="3"/>
    </row>
    <row r="619" spans="2:19" x14ac:dyDescent="0.5">
      <c r="B619" s="5" t="s">
        <v>6</v>
      </c>
      <c r="C619" s="5" t="s">
        <v>7</v>
      </c>
      <c r="D619" t="s">
        <v>318</v>
      </c>
      <c r="E619" s="5" t="s">
        <v>8</v>
      </c>
      <c r="F619" s="1" cm="1">
        <f t="array" ref="F619">SUMPRODUCT(("SUP_WSTHTGBIO"=[1]OUT_SyntheticFuels!$C$4:$C$1000)*1,("BIO"=[1]OUT_SyntheticFuels!$A$4:$A$1000)*1,("Var_Fout"=[1]OUT_SyntheticFuels!$B$4:$B$1000)*1,[1]OUT_SyntheticFuels!E$4:E$1000)</f>
        <v>0</v>
      </c>
      <c r="G619" s="1" cm="1">
        <f t="array" ref="G619">SUMPRODUCT(("SUP_WSTHTGBIO"=[1]OUT_SyntheticFuels!$C$4:$C$1000)*1,("BIO"=[1]OUT_SyntheticFuels!$A$4:$A$1000)*1,("Var_Fout"=[1]OUT_SyntheticFuels!$B$4:$B$1000)*1,[1]OUT_SyntheticFuels!F$4:F$1000)</f>
        <v>0</v>
      </c>
      <c r="H619" s="1" cm="1">
        <f t="array" ref="H619">SUMPRODUCT(("SUP_WSTHTGBIO"=[1]OUT_SyntheticFuels!$C$4:$C$1000)*1,("BIO"=[1]OUT_SyntheticFuels!$A$4:$A$1000)*1,("Var_Fout"=[1]OUT_SyntheticFuels!$B$4:$B$1000)*1,[1]OUT_SyntheticFuels!G$4:G$1000)</f>
        <v>0</v>
      </c>
      <c r="I619" s="1" cm="1">
        <f t="array" ref="I619">SUMPRODUCT(("SUP_WSTHTGBIO"=[1]OUT_SyntheticFuels!$C$4:$C$1000)*1,("BIO"=[1]OUT_SyntheticFuels!$A$4:$A$1000)*1,("Var_Fout"=[1]OUT_SyntheticFuels!$B$4:$B$1000)*1,[1]OUT_SyntheticFuels!H$4:H$1000)</f>
        <v>0</v>
      </c>
      <c r="J619" s="1" cm="1">
        <f t="array" ref="J619">SUMPRODUCT(("SUP_WSTHTGBIO"=[1]OUT_SyntheticFuels!$C$4:$C$1000)*1,("BIO"=[1]OUT_SyntheticFuels!$A$4:$A$1000)*1,("Var_Fout"=[1]OUT_SyntheticFuels!$B$4:$B$1000)*1,[1]OUT_SyntheticFuels!I$4:I$1000)</f>
        <v>0</v>
      </c>
      <c r="K619" s="1" cm="1">
        <f t="array" ref="K619">SUMPRODUCT(("SUP_WSTHTGBIO"=[1]OUT_SyntheticFuels!$C$4:$C$1000)*1,("BIO"=[1]OUT_SyntheticFuels!$A$4:$A$1000)*1,("Var_Fout"=[1]OUT_SyntheticFuels!$B$4:$B$1000)*1,[1]OUT_SyntheticFuels!J$4:J$1000)</f>
        <v>3.7625554180217E-3</v>
      </c>
      <c r="L619" s="1" cm="1">
        <f t="array" ref="L619">SUMPRODUCT(("SUP_WSTHTGBIO"=[1]OUT_SyntheticFuels!$C$4:$C$1000)*1,("BIO"=[1]OUT_SyntheticFuels!$A$4:$A$1000)*1,("Var_Fout"=[1]OUT_SyntheticFuels!$B$4:$B$1000)*1,[1]OUT_SyntheticFuels!K$4:K$1000)</f>
        <v>4.269076715789682E-3</v>
      </c>
      <c r="M619" s="1" cm="1">
        <f t="array" ref="M619">SUMPRODUCT(("SUP_WSTHTGBIO"=[1]OUT_SyntheticFuels!$C$4:$C$1000)*1,("BIO"=[1]OUT_SyntheticFuels!$A$4:$A$1000)*1,("Var_Fout"=[1]OUT_SyntheticFuels!$B$4:$B$1000)*1,[1]OUT_SyntheticFuels!L$4:L$1000)</f>
        <v>0.11114333362971185</v>
      </c>
      <c r="N619" s="1" cm="1">
        <f t="array" ref="N619">SUMPRODUCT(("SUP_WSTHTGBIO"=[1]OUT_SyntheticFuels!$C$4:$C$1000)*1,("BIO"=[1]OUT_SyntheticFuels!$A$4:$A$1000)*1,("Var_Fout"=[1]OUT_SyntheticFuels!$B$4:$B$1000)*1,[1]OUT_SyntheticFuels!M$4:M$1000)</f>
        <v>0.10762049080253139</v>
      </c>
      <c r="O619" s="1" cm="1">
        <f t="array" ref="O619">SUMPRODUCT(("SUP_WSTHTGBIO"=[1]OUT_SyntheticFuels!$C$4:$C$1000)*1,("BIO"=[1]OUT_SyntheticFuels!$A$4:$A$1000)*1,("Var_Fout"=[1]OUT_SyntheticFuels!$B$4:$B$1000)*1,[1]OUT_SyntheticFuels!N$4:N$1000)</f>
        <v>0.10707618886549074</v>
      </c>
      <c r="P619" s="1" cm="1">
        <f t="array" ref="P619">SUMPRODUCT(("SUP_WSTHTGBIO"=[1]OUT_SyntheticFuels!$C$4:$C$1000)*1,("BIO"=[1]OUT_SyntheticFuels!$A$4:$A$1000)*1,("Var_Fout"=[1]OUT_SyntheticFuels!$B$4:$B$1000)*1,[1]OUT_SyntheticFuels!O$4:O$1000)</f>
        <v>2.2527884202746259E-2</v>
      </c>
      <c r="Q619" s="1" cm="1">
        <f t="array" ref="Q619">SUMPRODUCT(("SUP_WSTHTGBIO"=[1]OUT_SyntheticFuels!$C$4:$C$1000)*1,("BIO"=[1]OUT_SyntheticFuels!$A$4:$A$1000)*1,("Var_Fout"=[1]OUT_SyntheticFuels!$B$4:$B$1000)*1,[1]OUT_SyntheticFuels!P$4:P$1000)</f>
        <v>1.5664144844012493E-2</v>
      </c>
      <c r="S619" s="3"/>
    </row>
    <row r="620" spans="2:19" x14ac:dyDescent="0.5">
      <c r="B620" s="5" t="s">
        <v>6</v>
      </c>
      <c r="C620" s="5" t="s">
        <v>7</v>
      </c>
      <c r="D620" t="s">
        <v>317</v>
      </c>
      <c r="E620" s="5" t="s">
        <v>8</v>
      </c>
      <c r="F620" s="1" cm="1">
        <f t="array" ref="F620">SUMPRODUCT(("SUP_WSTHTGBIOCCS"=[1]OUT_SyntheticFuels!$C$4:$C$1000)*1,("BIO"=[1]OUT_SyntheticFuels!$A$4:$A$1000)*1,("Var_Fout"=[1]OUT_SyntheticFuels!$B$4:$B$1000)*1,[1]OUT_SyntheticFuels!E$4:E$1000)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SUMPRODUCT(("SUP_WSTHTGBIOCCS"=[1]OUT_SyntheticFuels!$C$4:$C$1000)*1,("BIO"=[1]OUT_SyntheticFuels!$A$4:$A$1000)*1,("Var_Fout"=[1]OUT_SyntheticFuels!$B$4:$B$1000)*1,[1]OUT_SyntheticFuels!F$4:F$1000)</f>
        <v>0</v>
      </c>
      <c r="H620" s="1" cm="1">
        <f t="array" ref="H620">SUMPRODUCT(("SUP_WSTHTGBIOCCS"=[1]OUT_SyntheticFuels!$C$4:$C$1000)*1,("BIO"=[1]OUT_SyntheticFuels!$A$4:$A$1000)*1,("Var_Fout"=[1]OUT_SyntheticFuels!$B$4:$B$1000)*1,[1]OUT_SyntheticFuels!G$4:G$1000)</f>
        <v>0</v>
      </c>
      <c r="I620" s="1" cm="1">
        <f t="array" ref="I620">SUMPRODUCT(("SUP_WSTHTGBIOCCS"=[1]OUT_SyntheticFuels!$C$4:$C$1000)*1,("BIO"=[1]OUT_SyntheticFuels!$A$4:$A$1000)*1,("Var_Fout"=[1]OUT_SyntheticFuels!$B$4:$B$1000)*1,[1]OUT_SyntheticFuels!H$4:H$1000)</f>
        <v>0</v>
      </c>
      <c r="J620" s="1" cm="1">
        <f t="array" ref="J620">SUMPRODUCT(("SUP_WSTHTGBIOCCS"=[1]OUT_SyntheticFuels!$C$4:$C$1000)*1,("BIO"=[1]OUT_SyntheticFuels!$A$4:$A$1000)*1,("Var_Fout"=[1]OUT_SyntheticFuels!$B$4:$B$1000)*1,[1]OUT_SyntheticFuels!I$4:I$1000)</f>
        <v>0</v>
      </c>
      <c r="K620" s="1" cm="1">
        <f t="array" ref="K620">SUMPRODUCT(("SUP_WSTHTGBIOCCS"=[1]OUT_SyntheticFuels!$C$4:$C$1000)*1,("BIO"=[1]OUT_SyntheticFuels!$A$4:$A$1000)*1,("Var_Fout"=[1]OUT_SyntheticFuels!$B$4:$B$1000)*1,[1]OUT_SyntheticFuels!J$4:J$1000)</f>
        <v>9.8377274288613927E-4</v>
      </c>
      <c r="L620" s="1" cm="1">
        <f t="array" ref="L620">SUMPRODUCT(("SUP_WSTHTGBIOCCS"=[1]OUT_SyntheticFuels!$C$4:$C$1000)*1,("BIO"=[1]OUT_SyntheticFuels!$A$4:$A$1000)*1,("Var_Fout"=[1]OUT_SyntheticFuels!$B$4:$B$1000)*1,[1]OUT_SyntheticFuels!K$4:K$1000)</f>
        <v>6.3579812410439855E-4</v>
      </c>
      <c r="M620" s="1" cm="1">
        <f t="array" ref="M620">SUMPRODUCT(("SUP_WSTHTGBIOCCS"=[1]OUT_SyntheticFuels!$C$4:$C$1000)*1,("BIO"=[1]OUT_SyntheticFuels!$A$4:$A$1000)*1,("Var_Fout"=[1]OUT_SyntheticFuels!$B$4:$B$1000)*1,[1]OUT_SyntheticFuels!L$4:L$1000)</f>
        <v>7.5933561457722284E-3</v>
      </c>
      <c r="N620" s="1" cm="1">
        <f t="array" ref="N620">SUMPRODUCT(("SUP_WSTHTGBIOCCS"=[1]OUT_SyntheticFuels!$C$4:$C$1000)*1,("BIO"=[1]OUT_SyntheticFuels!$A$4:$A$1000)*1,("Var_Fout"=[1]OUT_SyntheticFuels!$B$4:$B$1000)*1,[1]OUT_SyntheticFuels!M$4:M$1000)</f>
        <v>4.3316576212820259E-3</v>
      </c>
      <c r="O620" s="1" cm="1">
        <f t="array" ref="O620">SUMPRODUCT(("SUP_WSTHTGBIOCCS"=[1]OUT_SyntheticFuels!$C$4:$C$1000)*1,("BIO"=[1]OUT_SyntheticFuels!$A$4:$A$1000)*1,("Var_Fout"=[1]OUT_SyntheticFuels!$B$4:$B$1000)*1,[1]OUT_SyntheticFuels!N$4:N$1000)</f>
        <v>8.6069981513241384E-3</v>
      </c>
      <c r="P620" s="1" cm="1">
        <f t="array" ref="P620">SUMPRODUCT(("SUP_WSTHTGBIOCCS"=[1]OUT_SyntheticFuels!$C$4:$C$1000)*1,("BIO"=[1]OUT_SyntheticFuels!$A$4:$A$1000)*1,("Var_Fout"=[1]OUT_SyntheticFuels!$B$4:$B$1000)*1,[1]OUT_SyntheticFuels!O$4:O$1000)</f>
        <v>6.5510354975688847E-3</v>
      </c>
      <c r="Q620" s="1" cm="1">
        <f t="array" ref="Q620">SUMPRODUCT(("SUP_WSTHTGBIOCCS"=[1]OUT_SyntheticFuels!$C$4:$C$1000)*1,("BIO"=[1]OUT_SyntheticFuels!$A$4:$A$1000)*1,("Var_Fout"=[1]OUT_SyntheticFuels!$B$4:$B$1000)*1,[1]OUT_SyntheticFuels!P$4:P$1000)</f>
        <v>5.708398947655402E-3</v>
      </c>
      <c r="S620" s="3"/>
    </row>
    <row r="621" spans="2:19" x14ac:dyDescent="0.5">
      <c r="B621" s="5" t="s">
        <v>6</v>
      </c>
      <c r="C621" s="5" t="s">
        <v>7</v>
      </c>
      <c r="D621" t="s">
        <v>909</v>
      </c>
      <c r="E621" s="5" t="s">
        <v>8</v>
      </c>
      <c r="F621" s="1">
        <f>[1]Other_transformation!B$21</f>
        <v>0</v>
      </c>
      <c r="G621" s="1">
        <f>[1]Other_transformation!C$21</f>
        <v>4.2678561528908661E-4</v>
      </c>
      <c r="H621" s="1">
        <f>[1]Other_transformation!D$21</f>
        <v>2.171253416559103E-5</v>
      </c>
      <c r="I621" s="1">
        <f>[1]Other_transformation!E$21</f>
        <v>1.8305585853095963E-3</v>
      </c>
      <c r="J621" s="1">
        <f>[1]Other_transformation!F$21</f>
        <v>2.1826824400376244E-3</v>
      </c>
      <c r="K621" s="1">
        <f>[1]Other_transformation!G$21</f>
        <v>2.5156368969841336E-3</v>
      </c>
      <c r="L621" s="1">
        <f>[1]Other_transformation!H$21</f>
        <v>3.0018744706916713E-3</v>
      </c>
      <c r="M621" s="1">
        <f>[1]Other_transformation!I$21</f>
        <v>5.1200753510389843E-3</v>
      </c>
      <c r="N621" s="1">
        <f>[1]Other_transformation!J$21</f>
        <v>4.9104563854025637E-3</v>
      </c>
      <c r="O621" s="1">
        <f>[1]Other_transformation!K$21</f>
        <v>1.2465996731665235E-2</v>
      </c>
      <c r="P621" s="1">
        <f>[1]Other_transformation!L$21</f>
        <v>1.4251762120236735E-2</v>
      </c>
      <c r="Q621" s="1">
        <f>[1]Other_transformation!M$21</f>
        <v>2.2403698418654843E-2</v>
      </c>
      <c r="S621" s="3"/>
    </row>
    <row r="622" spans="2:19" x14ac:dyDescent="0.5">
      <c r="B622" s="5" t="s">
        <v>6</v>
      </c>
      <c r="C622" s="5" t="s">
        <v>7</v>
      </c>
      <c r="D622" t="s">
        <v>319</v>
      </c>
      <c r="E622" s="5" t="s">
        <v>8</v>
      </c>
      <c r="F622" s="1" cm="1">
        <f t="array" ref="F622">SUMPRODUCT(("SUP_WODBIO"=[1]OUT_SyntheticFuels!$C$4:$C$1000)*1,("BIO"=[1]OUT_SyntheticFuels!$A$4:$A$1000)*1,("Var_Fout"=[1]OUT_SyntheticFuels!$B$4:$B$1000)*1,[1]OUT_SyntheticFuels!E$4:E$1000)</f>
        <v>0</v>
      </c>
      <c r="G622" s="1" cm="1">
        <f t="array" ref="G622">SUMPRODUCT(("SUP_WODBIO"=[1]OUT_SyntheticFuels!$C$4:$C$1000)*1,("BIO"=[1]OUT_SyntheticFuels!$A$4:$A$1000)*1,("Var_Fout"=[1]OUT_SyntheticFuels!$B$4:$B$1000)*1,[1]OUT_SyntheticFuels!F$4:F$1000)</f>
        <v>4.2678561528908661E-4</v>
      </c>
      <c r="H622" s="1" cm="1">
        <f t="array" ref="H622">SUMPRODUCT(("SUP_WODBIO"=[1]OUT_SyntheticFuels!$C$4:$C$1000)*1,("BIO"=[1]OUT_SyntheticFuels!$A$4:$A$1000)*1,("Var_Fout"=[1]OUT_SyntheticFuels!$B$4:$B$1000)*1,[1]OUT_SyntheticFuels!G$4:G$1000)</f>
        <v>2.171253416559103E-5</v>
      </c>
      <c r="I622" s="1" cm="1">
        <f t="array" ref="I622">SUMPRODUCT(("SUP_WODBIO"=[1]OUT_SyntheticFuels!$C$4:$C$1000)*1,("BIO"=[1]OUT_SyntheticFuels!$A$4:$A$1000)*1,("Var_Fout"=[1]OUT_SyntheticFuels!$B$4:$B$1000)*1,[1]OUT_SyntheticFuels!H$4:H$1000)</f>
        <v>1.8305585853095963E-3</v>
      </c>
      <c r="J622" s="1" cm="1">
        <f t="array" ref="J622">SUMPRODUCT(("SUP_WODBIO"=[1]OUT_SyntheticFuels!$C$4:$C$1000)*1,("BIO"=[1]OUT_SyntheticFuels!$A$4:$A$1000)*1,("Var_Fout"=[1]OUT_SyntheticFuels!$B$4:$B$1000)*1,[1]OUT_SyntheticFuels!I$4:I$1000)</f>
        <v>2.1826824400376244E-3</v>
      </c>
      <c r="K622" s="1" cm="1">
        <f t="array" ref="K622">SUMPRODUCT(("SUP_WODBIO"=[1]OUT_SyntheticFuels!$C$4:$C$1000)*1,("BIO"=[1]OUT_SyntheticFuels!$A$4:$A$1000)*1,("Var_Fout"=[1]OUT_SyntheticFuels!$B$4:$B$1000)*1,[1]OUT_SyntheticFuels!J$4:J$1000)</f>
        <v>1.3018207951908123E-3</v>
      </c>
      <c r="L622" s="1" cm="1">
        <f t="array" ref="L622">SUMPRODUCT(("SUP_WODBIO"=[1]OUT_SyntheticFuels!$C$4:$C$1000)*1,("BIO"=[1]OUT_SyntheticFuels!$A$4:$A$1000)*1,("Var_Fout"=[1]OUT_SyntheticFuels!$B$4:$B$1000)*1,[1]OUT_SyntheticFuels!K$4:K$1000)</f>
        <v>1.4164049942011426E-3</v>
      </c>
      <c r="M622" s="1" cm="1">
        <f t="array" ref="M622">SUMPRODUCT(("SUP_WODBIO"=[1]OUT_SyntheticFuels!$C$4:$C$1000)*1,("BIO"=[1]OUT_SyntheticFuels!$A$4:$A$1000)*1,("Var_Fout"=[1]OUT_SyntheticFuels!$B$4:$B$1000)*1,[1]OUT_SyntheticFuels!L$4:L$1000)</f>
        <v>1.1959794935826995E-3</v>
      </c>
      <c r="N622" s="1" cm="1">
        <f t="array" ref="N622">SUMPRODUCT(("SUP_WODBIO"=[1]OUT_SyntheticFuels!$C$4:$C$1000)*1,("BIO"=[1]OUT_SyntheticFuels!$A$4:$A$1000)*1,("Var_Fout"=[1]OUT_SyntheticFuels!$B$4:$B$1000)*1,[1]OUT_SyntheticFuels!M$4:M$1000)</f>
        <v>1.2901670986607773E-3</v>
      </c>
      <c r="O622" s="1" cm="1">
        <f t="array" ref="O622">SUMPRODUCT(("SUP_WODBIO"=[1]OUT_SyntheticFuels!$C$4:$C$1000)*1,("BIO"=[1]OUT_SyntheticFuels!$A$4:$A$1000)*1,("Var_Fout"=[1]OUT_SyntheticFuels!$B$4:$B$1000)*1,[1]OUT_SyntheticFuels!N$4:N$1000)</f>
        <v>1.362712890495597E-3</v>
      </c>
      <c r="P622" s="1" cm="1">
        <f t="array" ref="P622">SUMPRODUCT(("SUP_WODBIO"=[1]OUT_SyntheticFuels!$C$4:$C$1000)*1,("BIO"=[1]OUT_SyntheticFuels!$A$4:$A$1000)*1,("Var_Fout"=[1]OUT_SyntheticFuels!$B$4:$B$1000)*1,[1]OUT_SyntheticFuels!O$4:O$1000)</f>
        <v>3.5479255610328751E-3</v>
      </c>
      <c r="Q622" s="1" cm="1">
        <f t="array" ref="Q622">SUMPRODUCT(("SUP_WODBIO"=[1]OUT_SyntheticFuels!$C$4:$C$1000)*1,("BIO"=[1]OUT_SyntheticFuels!$A$4:$A$1000)*1,("Var_Fout"=[1]OUT_SyntheticFuels!$B$4:$B$1000)*1,[1]OUT_SyntheticFuels!P$4:P$1000)</f>
        <v>8.2362731332560318E-3</v>
      </c>
      <c r="S622" s="3"/>
    </row>
    <row r="623" spans="2:19" x14ac:dyDescent="0.5">
      <c r="B623" s="5" t="s">
        <v>6</v>
      </c>
      <c r="C623" s="5" t="s">
        <v>7</v>
      </c>
      <c r="D623" t="s">
        <v>320</v>
      </c>
      <c r="E623" s="5" t="s">
        <v>8</v>
      </c>
      <c r="F623" s="1" cm="1">
        <f t="array" ref="F623">SUMPRODUCT(("SUP_WODBIOCCS"=[1]OUT_SyntheticFuels!$C$4:$C$1000)*1,("BIO"=[1]OUT_SyntheticFuels!$A$4:$A$1000)*1,("Var_Fout"=[1]OUT_SyntheticFuels!$B$4:$B$1000)*1,[1]OUT_SyntheticFuels!E$4:E$1000)</f>
        <v>0</v>
      </c>
      <c r="G623" s="1" cm="1">
        <f t="array" ref="G623">SUMPRODUCT(("SUP_WODBIOCCS"=[1]OUT_SyntheticFuels!$C$4:$C$1000)*1,("BIO"=[1]OUT_SyntheticFuels!$A$4:$A$1000)*1,("Var_Fout"=[1]OUT_SyntheticFuels!$B$4:$B$1000)*1,[1]OUT_SyntheticFuels!F$4:F$1000)</f>
        <v>0</v>
      </c>
      <c r="H623" s="1" cm="1">
        <f t="array" ref="H623">SUMPRODUCT(("SUP_WODBIOCCS"=[1]OUT_SyntheticFuels!$C$4:$C$1000)*1,("BIO"=[1]OUT_SyntheticFuels!$A$4:$A$1000)*1,("Var_Fout"=[1]OUT_SyntheticFuels!$B$4:$B$1000)*1,[1]OUT_SyntheticFuels!G$4:G$1000)</f>
        <v>0</v>
      </c>
      <c r="I623" s="1" cm="1">
        <f t="array" ref="I623">SUMPRODUCT(("SUP_WODBIOCCS"=[1]OUT_SyntheticFuels!$C$4:$C$1000)*1,("BIO"=[1]OUT_SyntheticFuels!$A$4:$A$1000)*1,("Var_Fout"=[1]OUT_SyntheticFuels!$B$4:$B$1000)*1,[1]OUT_SyntheticFuels!H$4:H$1000)</f>
        <v>0</v>
      </c>
      <c r="J623" s="1" cm="1">
        <f t="array" ref="J623">SUMPRODUCT(("SUP_WODBIOCCS"=[1]OUT_SyntheticFuels!$C$4:$C$1000)*1,("BIO"=[1]OUT_SyntheticFuels!$A$4:$A$1000)*1,("Var_Fout"=[1]OUT_SyntheticFuels!$B$4:$B$1000)*1,[1]OUT_SyntheticFuels!I$4:I$1000)</f>
        <v>0</v>
      </c>
      <c r="K623" s="1" cm="1">
        <f t="array" ref="K623">SUMPRODUCT(("SUP_WODBIOCCS"=[1]OUT_SyntheticFuels!$C$4:$C$1000)*1,("BIO"=[1]OUT_SyntheticFuels!$A$4:$A$1000)*1,("Var_Fout"=[1]OUT_SyntheticFuels!$B$4:$B$1000)*1,[1]OUT_SyntheticFuels!J$4:J$1000)</f>
        <v>1.2138161017933215E-3</v>
      </c>
      <c r="L623" s="1" cm="1">
        <f t="array" ref="L623">SUMPRODUCT(("SUP_WODBIOCCS"=[1]OUT_SyntheticFuels!$C$4:$C$1000)*1,("BIO"=[1]OUT_SyntheticFuels!$A$4:$A$1000)*1,("Var_Fout"=[1]OUT_SyntheticFuels!$B$4:$B$1000)*1,[1]OUT_SyntheticFuels!K$4:K$1000)</f>
        <v>1.5854694764905286E-3</v>
      </c>
      <c r="M623" s="1" cm="1">
        <f t="array" ref="M623">SUMPRODUCT(("SUP_WODBIOCCS"=[1]OUT_SyntheticFuels!$C$4:$C$1000)*1,("BIO"=[1]OUT_SyntheticFuels!$A$4:$A$1000)*1,("Var_Fout"=[1]OUT_SyntheticFuels!$B$4:$B$1000)*1,[1]OUT_SyntheticFuels!L$4:L$1000)</f>
        <v>3.9240958574562846E-3</v>
      </c>
      <c r="N623" s="1" cm="1">
        <f t="array" ref="N623">SUMPRODUCT(("SUP_WODBIOCCS"=[1]OUT_SyntheticFuels!$C$4:$C$1000)*1,("BIO"=[1]OUT_SyntheticFuels!$A$4:$A$1000)*1,("Var_Fout"=[1]OUT_SyntheticFuels!$B$4:$B$1000)*1,[1]OUT_SyntheticFuels!M$4:M$1000)</f>
        <v>3.6202892867417866E-3</v>
      </c>
      <c r="O623" s="1" cm="1">
        <f t="array" ref="O623">SUMPRODUCT(("SUP_WODBIOCCS"=[1]OUT_SyntheticFuels!$C$4:$C$1000)*1,("BIO"=[1]OUT_SyntheticFuels!$A$4:$A$1000)*1,("Var_Fout"=[1]OUT_SyntheticFuels!$B$4:$B$1000)*1,[1]OUT_SyntheticFuels!N$4:N$1000)</f>
        <v>1.1103283841169638E-2</v>
      </c>
      <c r="P623" s="1" cm="1">
        <f t="array" ref="P623">SUMPRODUCT(("SUP_WODBIOCCS"=[1]OUT_SyntheticFuels!$C$4:$C$1000)*1,("BIO"=[1]OUT_SyntheticFuels!$A$4:$A$1000)*1,("Var_Fout"=[1]OUT_SyntheticFuels!$B$4:$B$1000)*1,[1]OUT_SyntheticFuels!O$4:O$1000)</f>
        <v>1.070383655920386E-2</v>
      </c>
      <c r="Q623" s="1" cm="1">
        <f t="array" ref="Q623">SUMPRODUCT(("SUP_WODBIOCCS"=[1]OUT_SyntheticFuels!$C$4:$C$1000)*1,("BIO"=[1]OUT_SyntheticFuels!$A$4:$A$1000)*1,("Var_Fout"=[1]OUT_SyntheticFuels!$B$4:$B$1000)*1,[1]OUT_SyntheticFuels!P$4:P$1000)</f>
        <v>1.4167425285398811E-2</v>
      </c>
      <c r="S623" s="3"/>
    </row>
    <row r="624" spans="2:19" x14ac:dyDescent="0.5">
      <c r="B624" s="5" t="s">
        <v>6</v>
      </c>
      <c r="C624" s="5" t="s">
        <v>7</v>
      </c>
      <c r="D624" s="2" t="s">
        <v>383</v>
      </c>
      <c r="E624" s="9" t="s">
        <v>8</v>
      </c>
      <c r="F624" s="3">
        <f>F625+F626+F631</f>
        <v>0.11258879108871515</v>
      </c>
      <c r="G624" s="3">
        <f t="shared" ref="G624" si="693">G625+G626+G631</f>
        <v>0.11492921010776444</v>
      </c>
      <c r="H624" s="3">
        <f t="shared" ref="H624" si="694">H625+H626+H631</f>
        <v>0.10611011734673481</v>
      </c>
      <c r="I624" s="3">
        <f t="shared" ref="I624" si="695">I625+I626+I631</f>
        <v>0.11617044744845088</v>
      </c>
      <c r="J624" s="3">
        <f t="shared" ref="J624" si="696">J625+J626+J631</f>
        <v>0.11594160587400208</v>
      </c>
      <c r="K624" s="3">
        <f t="shared" ref="K624" si="697">K625+K626+K631</f>
        <v>0.16831578647305298</v>
      </c>
      <c r="L624" s="3">
        <f t="shared" ref="L624:O624" si="698">L625+L626+L631</f>
        <v>0.18445017286386917</v>
      </c>
      <c r="M624" s="3">
        <f t="shared" si="698"/>
        <v>0.1971200382223364</v>
      </c>
      <c r="N624" s="3">
        <f t="shared" si="698"/>
        <v>0.21212944877773693</v>
      </c>
      <c r="O624" s="3">
        <f t="shared" si="698"/>
        <v>0.22688751778594815</v>
      </c>
      <c r="P624" s="3">
        <f>P625+P626+P631</f>
        <v>0.22874081857234171</v>
      </c>
      <c r="Q624" s="3">
        <f>Q625+Q626+Q631</f>
        <v>0.22922102560056268</v>
      </c>
      <c r="S624" s="3"/>
    </row>
    <row r="625" spans="2:19" x14ac:dyDescent="0.5">
      <c r="B625" s="5" t="s">
        <v>6</v>
      </c>
      <c r="C625" s="5" t="s">
        <v>7</v>
      </c>
      <c r="D625" t="s">
        <v>329</v>
      </c>
      <c r="E625" s="5" t="s">
        <v>8</v>
      </c>
      <c r="F625" s="1" cm="1">
        <f t="array" ref="F625">SUMPRODUCT(("SUP_MNRBIO"=[1]OUT_SyntheticFuels!$C$4:$C$1000)*1,("Var_Fout"=[1]OUT_SyntheticFuels!$B$4:$B$1000)*1,("ELC35"=[1]OUT_SyntheticFuels!$A$4:$A$1000)*1,[1]OUT_SyntheticFuels!E$4:E$1000)</f>
        <v>0</v>
      </c>
      <c r="G625" s="1" cm="1">
        <f t="array" ref="G625">SUMPRODUCT(("SUP_MNRBIO"=[1]OUT_SyntheticFuels!$C$4:$C$1000)*1,("Var_Fout"=[1]OUT_SyntheticFuels!$B$4:$B$1000)*1,("ELC35"=[1]OUT_SyntheticFuels!$A$4:$A$1000)*1,[1]OUT_SyntheticFuels!F$4:F$1000)</f>
        <v>0</v>
      </c>
      <c r="H625" s="1" cm="1">
        <f t="array" ref="H625">SUMPRODUCT(("SUP_MNRBIO"=[1]OUT_SyntheticFuels!$C$4:$C$1000)*1,("Var_Fout"=[1]OUT_SyntheticFuels!$B$4:$B$1000)*1,("ELC35"=[1]OUT_SyntheticFuels!$A$4:$A$1000)*1,[1]OUT_SyntheticFuels!G$4:G$1000)</f>
        <v>0</v>
      </c>
      <c r="I625" s="1" cm="1">
        <f t="array" ref="I625">SUMPRODUCT(("SUP_MNRBIO"=[1]OUT_SyntheticFuels!$C$4:$C$1000)*1,("Var_Fout"=[1]OUT_SyntheticFuels!$B$4:$B$1000)*1,("ELC35"=[1]OUT_SyntheticFuels!$A$4:$A$1000)*1,[1]OUT_SyntheticFuels!H$4:H$1000)</f>
        <v>0</v>
      </c>
      <c r="J625" s="1" cm="1">
        <f t="array" ref="J625">SUMPRODUCT(("SUP_MNRBIO"=[1]OUT_SyntheticFuels!$C$4:$C$1000)*1,("Var_Fout"=[1]OUT_SyntheticFuels!$B$4:$B$1000)*1,("ELC35"=[1]OUT_SyntheticFuels!$A$4:$A$1000)*1,[1]OUT_SyntheticFuels!I$4:I$1000)</f>
        <v>0</v>
      </c>
      <c r="K625" s="1" cm="1">
        <f t="array" ref="K625">SUMPRODUCT(("SUP_MNRBIO"=[1]OUT_SyntheticFuels!$C$4:$C$1000)*1,("Var_Fout"=[1]OUT_SyntheticFuels!$B$4:$B$1000)*1,("ELC35"=[1]OUT_SyntheticFuels!$A$4:$A$1000)*1,[1]OUT_SyntheticFuels!J$4:J$1000)</f>
        <v>0</v>
      </c>
      <c r="L625" s="1" cm="1">
        <f t="array" ref="L625">SUMPRODUCT(("SUP_MNRBIO"=[1]OUT_SyntheticFuels!$C$4:$C$1000)*1,("Var_Fout"=[1]OUT_SyntheticFuels!$B$4:$B$1000)*1,("ELC35"=[1]OUT_SyntheticFuels!$A$4:$A$1000)*1,[1]OUT_SyntheticFuels!K$4:K$1000)</f>
        <v>0</v>
      </c>
      <c r="M625" s="1" cm="1">
        <f t="array" ref="M625">SUMPRODUCT(("SUP_MNRBIO"=[1]OUT_SyntheticFuels!$C$4:$C$1000)*1,("Var_Fout"=[1]OUT_SyntheticFuels!$B$4:$B$1000)*1,("ELC35"=[1]OUT_SyntheticFuels!$A$4:$A$1000)*1,[1]OUT_SyntheticFuels!L$4:L$1000)</f>
        <v>0</v>
      </c>
      <c r="N625" s="1" cm="1">
        <f t="array" ref="N625">SUMPRODUCT(("SUP_MNRBIO"=[1]OUT_SyntheticFuels!$C$4:$C$1000)*1,("Var_Fout"=[1]OUT_SyntheticFuels!$B$4:$B$1000)*1,("ELC35"=[1]OUT_SyntheticFuels!$A$4:$A$1000)*1,[1]OUT_SyntheticFuels!M$4:M$1000)</f>
        <v>0</v>
      </c>
      <c r="O625" s="1" cm="1">
        <f t="array" ref="O625">SUMPRODUCT(("SUP_MNRBIO"=[1]OUT_SyntheticFuels!$C$4:$C$1000)*1,("Var_Fout"=[1]OUT_SyntheticFuels!$B$4:$B$1000)*1,("ELC35"=[1]OUT_SyntheticFuels!$A$4:$A$1000)*1,[1]OUT_SyntheticFuels!N$4:N$1000)</f>
        <v>0</v>
      </c>
      <c r="P625" s="1" cm="1">
        <f t="array" ref="P625">SUMPRODUCT(("SUP_MNRBIO"=[1]OUT_SyntheticFuels!$C$4:$C$1000)*1,("Var_Fout"=[1]OUT_SyntheticFuels!$B$4:$B$1000)*1,("ELC35"=[1]OUT_SyntheticFuels!$A$4:$A$1000)*1,[1]OUT_SyntheticFuels!O$4:O$1000)</f>
        <v>0</v>
      </c>
      <c r="Q625" s="1" cm="1">
        <f t="array" ref="Q625">SUMPRODUCT(("SUP_MNRBIO"=[1]OUT_SyntheticFuels!$C$4:$C$1000)*1,("Var_Fout"=[1]OUT_SyntheticFuels!$B$4:$B$1000)*1,("ELC35"=[1]OUT_SyntheticFuels!$A$4:$A$1000)*1,[1]OUT_SyntheticFuels!P$4:P$1000)</f>
        <v>0</v>
      </c>
      <c r="S625" s="3"/>
    </row>
    <row r="626" spans="2:19" x14ac:dyDescent="0.5">
      <c r="B626" s="5" t="s">
        <v>6</v>
      </c>
      <c r="C626" s="5" t="s">
        <v>7</v>
      </c>
      <c r="D626" t="s">
        <v>330</v>
      </c>
      <c r="E626" s="5" t="s">
        <v>8</v>
      </c>
      <c r="F626" s="1">
        <f>SUM(F627:F630)</f>
        <v>0.11258879108871515</v>
      </c>
      <c r="G626" s="1">
        <f t="shared" ref="G626:K626" si="699">SUM(G627:G630)</f>
        <v>0.11491213868315288</v>
      </c>
      <c r="H626" s="1">
        <f t="shared" si="699"/>
        <v>0.10611011734673481</v>
      </c>
      <c r="I626" s="1">
        <f t="shared" si="699"/>
        <v>0.1160972251050385</v>
      </c>
      <c r="J626" s="1">
        <f t="shared" si="699"/>
        <v>0.11585429857640057</v>
      </c>
      <c r="K626" s="1">
        <f t="shared" si="699"/>
        <v>0.16819450844987233</v>
      </c>
      <c r="L626" s="1">
        <f t="shared" ref="L626:O626" si="700">SUM(L627:L630)</f>
        <v>0.18431636233154799</v>
      </c>
      <c r="M626" s="1">
        <f t="shared" si="700"/>
        <v>0.19691313795887808</v>
      </c>
      <c r="N626" s="1">
        <f t="shared" si="700"/>
        <v>0.21192454424476781</v>
      </c>
      <c r="O626" s="1">
        <f t="shared" si="700"/>
        <v>0.22637267530581551</v>
      </c>
      <c r="P626" s="1">
        <f>SUM(P627:P630)</f>
        <v>0.22816987521385573</v>
      </c>
      <c r="Q626" s="1">
        <f>SUM(Q627:Q630)</f>
        <v>0.22832487766381648</v>
      </c>
      <c r="S626" s="3"/>
    </row>
    <row r="627" spans="2:19" x14ac:dyDescent="0.5">
      <c r="B627" s="5" t="s">
        <v>6</v>
      </c>
      <c r="C627" s="5" t="s">
        <v>7</v>
      </c>
      <c r="D627" t="s">
        <v>331</v>
      </c>
      <c r="E627" s="5" t="s">
        <v>8</v>
      </c>
      <c r="F627" s="1" cm="1">
        <f t="array" ref="F627">SUMPRODUCT(("SUP_WSTBIO"=[1]OUT_SyntheticFuels!$C$4:$C$1000)*1,("elc35"=[1]OUT_SyntheticFuels!$A$4:$A$1000)*1,("Var_Fout"=[1]OUT_SyntheticFuels!$B$4:$B$1000)*1,[1]OUT_SyntheticFuels!E$4:E$1000)</f>
        <v>0.11258879108871515</v>
      </c>
      <c r="G627" s="1" cm="1">
        <f t="array" ref="G627">SUMPRODUCT(("SUP_WSTBIO"=[1]OUT_SyntheticFuels!$C$4:$C$1000)*1,("elc35"=[1]OUT_SyntheticFuels!$A$4:$A$1000)*1,("Var_Fout"=[1]OUT_SyntheticFuels!$B$4:$B$1000)*1,[1]OUT_SyntheticFuels!F$4:F$1000)</f>
        <v>0.11491213868315288</v>
      </c>
      <c r="H627" s="1" cm="1">
        <f t="array" ref="H627">SUMPRODUCT(("SUP_WSTBIO"=[1]OUT_SyntheticFuels!$C$4:$C$1000)*1,("elc35"=[1]OUT_SyntheticFuels!$A$4:$A$1000)*1,("Var_Fout"=[1]OUT_SyntheticFuels!$B$4:$B$1000)*1,[1]OUT_SyntheticFuels!G$4:G$1000)</f>
        <v>0.10611011734673481</v>
      </c>
      <c r="I627" s="1" cm="1">
        <f t="array" ref="I627">SUMPRODUCT(("SUP_WSTBIO"=[1]OUT_SyntheticFuels!$C$4:$C$1000)*1,("elc35"=[1]OUT_SyntheticFuels!$A$4:$A$1000)*1,("Var_Fout"=[1]OUT_SyntheticFuels!$B$4:$B$1000)*1,[1]OUT_SyntheticFuels!H$4:H$1000)</f>
        <v>0.1160972251050385</v>
      </c>
      <c r="J627" s="1" cm="1">
        <f t="array" ref="J627">SUMPRODUCT(("SUP_WSTBIO"=[1]OUT_SyntheticFuels!$C$4:$C$1000)*1,("elc35"=[1]OUT_SyntheticFuels!$A$4:$A$1000)*1,("Var_Fout"=[1]OUT_SyntheticFuels!$B$4:$B$1000)*1,[1]OUT_SyntheticFuels!I$4:I$1000)</f>
        <v>0.11585429857640057</v>
      </c>
      <c r="K627" s="1" cm="1">
        <f t="array" ref="K627">SUMPRODUCT(("SUP_WSTBIO"=[1]OUT_SyntheticFuels!$C$4:$C$1000)*1,("elc35"=[1]OUT_SyntheticFuels!$A$4:$A$1000)*1,("Var_Fout"=[1]OUT_SyntheticFuels!$B$4:$B$1000)*1,[1]OUT_SyntheticFuels!J$4:J$1000)</f>
        <v>0.16819450844987233</v>
      </c>
      <c r="L627" s="1" cm="1">
        <f t="array" ref="L627">SUMPRODUCT(("SUP_WSTBIO"=[1]OUT_SyntheticFuels!$C$4:$C$1000)*1,("elc35"=[1]OUT_SyntheticFuels!$A$4:$A$1000)*1,("Var_Fout"=[1]OUT_SyntheticFuels!$B$4:$B$1000)*1,[1]OUT_SyntheticFuels!K$4:K$1000)</f>
        <v>0.18431636233154799</v>
      </c>
      <c r="M627" s="1" cm="1">
        <f t="array" ref="M627">SUMPRODUCT(("SUP_WSTBIO"=[1]OUT_SyntheticFuels!$C$4:$C$1000)*1,("elc35"=[1]OUT_SyntheticFuels!$A$4:$A$1000)*1,("Var_Fout"=[1]OUT_SyntheticFuels!$B$4:$B$1000)*1,[1]OUT_SyntheticFuels!L$4:L$1000)</f>
        <v>0.19691313795887808</v>
      </c>
      <c r="N627" s="1" cm="1">
        <f t="array" ref="N627">SUMPRODUCT(("SUP_WSTBIO"=[1]OUT_SyntheticFuels!$C$4:$C$1000)*1,("elc35"=[1]OUT_SyntheticFuels!$A$4:$A$1000)*1,("Var_Fout"=[1]OUT_SyntheticFuels!$B$4:$B$1000)*1,[1]OUT_SyntheticFuels!M$4:M$1000)</f>
        <v>0.21192454424476781</v>
      </c>
      <c r="O627" s="1" cm="1">
        <f t="array" ref="O627">SUMPRODUCT(("SUP_WSTBIO"=[1]OUT_SyntheticFuels!$C$4:$C$1000)*1,("elc35"=[1]OUT_SyntheticFuels!$A$4:$A$1000)*1,("Var_Fout"=[1]OUT_SyntheticFuels!$B$4:$B$1000)*1,[1]OUT_SyntheticFuels!N$4:N$1000)</f>
        <v>0.22637267530581551</v>
      </c>
      <c r="P627" s="1" cm="1">
        <f t="array" ref="P627">SUMPRODUCT(("SUP_WSTBIO"=[1]OUT_SyntheticFuels!$C$4:$C$1000)*1,("elc35"=[1]OUT_SyntheticFuels!$A$4:$A$1000)*1,("Var_Fout"=[1]OUT_SyntheticFuels!$B$4:$B$1000)*1,[1]OUT_SyntheticFuels!O$4:O$1000)</f>
        <v>0.22816987521385573</v>
      </c>
      <c r="Q627" s="1" cm="1">
        <f t="array" ref="Q627">SUMPRODUCT(("SUP_WSTBIO"=[1]OUT_SyntheticFuels!$C$4:$C$1000)*1,("elc35"=[1]OUT_SyntheticFuels!$A$4:$A$1000)*1,("Var_Fout"=[1]OUT_SyntheticFuels!$B$4:$B$1000)*1,[1]OUT_SyntheticFuels!P$4:P$1000)</f>
        <v>0.22832487766381648</v>
      </c>
      <c r="S627" s="3"/>
    </row>
    <row r="628" spans="2:19" x14ac:dyDescent="0.5">
      <c r="B628" s="5" t="s">
        <v>6</v>
      </c>
      <c r="C628" s="5" t="s">
        <v>7</v>
      </c>
      <c r="D628" t="s">
        <v>332</v>
      </c>
      <c r="E628" s="5" t="s">
        <v>8</v>
      </c>
      <c r="F628" s="1" cm="1">
        <f t="array" ref="F628">SUMPRODUCT(("SUP_WSTBIOCCS"=[1]OUT_SyntheticFuels!$C$4:$C$1000)*1,("elc35"=[1]OUT_SyntheticFuels!$A$4:$A$1000)*1,("Var_Fout"=[1]OUT_SyntheticFuels!$B$4:$B$1000)*1,[1]OUT_SyntheticFuels!E$4:E$1000)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SUMPRODUCT(("SUP_WSTBIOCCS"=[1]OUT_SyntheticFuels!$C$4:$C$1000)*1,("elc35"=[1]OUT_SyntheticFuels!$A$4:$A$1000)*1,("Var_Fout"=[1]OUT_SyntheticFuels!$B$4:$B$1000)*1,[1]OUT_SyntheticFuels!I$4:I$1000)</f>
        <v>0</v>
      </c>
      <c r="K628" s="1" cm="1">
        <f t="array" ref="K628">SUMPRODUCT(("SUP_WSTBIOCCS"=[1]OUT_SyntheticFuels!$C$4:$C$1000)*1,("elc35"=[1]OUT_SyntheticFuels!$A$4:$A$1000)*1,("Var_Fout"=[1]OUT_SyntheticFuels!$B$4:$B$1000)*1,[1]OUT_SyntheticFuels!J$4:J$1000)</f>
        <v>0</v>
      </c>
      <c r="L628" s="1" cm="1">
        <f t="array" ref="L628">SUMPRODUCT(("SUP_WSTBIOCCS"=[1]OUT_SyntheticFuels!$C$4:$C$1000)*1,("elc35"=[1]OUT_SyntheticFuels!$A$4:$A$1000)*1,("Var_Fout"=[1]OUT_SyntheticFuels!$B$4:$B$1000)*1,[1]OUT_SyntheticFuels!K$4:K$1000)</f>
        <v>0</v>
      </c>
      <c r="M628" s="1" cm="1">
        <f t="array" ref="M628">SUMPRODUCT(("SUP_WSTBIOCCS"=[1]OUT_SyntheticFuels!$C$4:$C$1000)*1,("elc35"=[1]OUT_SyntheticFuels!$A$4:$A$1000)*1,("Var_Fout"=[1]OUT_SyntheticFuels!$B$4:$B$1000)*1,[1]OUT_SyntheticFuels!L$4:L$1000)</f>
        <v>0</v>
      </c>
      <c r="N628" s="1" cm="1">
        <f t="array" ref="N628">SUMPRODUCT(("SUP_WSTBIOCCS"=[1]OUT_SyntheticFuels!$C$4:$C$1000)*1,("elc35"=[1]OUT_SyntheticFuels!$A$4:$A$1000)*1,("Var_Fout"=[1]OUT_SyntheticFuels!$B$4:$B$1000)*1,[1]OUT_SyntheticFuels!M$4:M$1000)</f>
        <v>0</v>
      </c>
      <c r="O628" s="1" cm="1">
        <f t="array" ref="O628">SUMPRODUCT(("SUP_WSTBIOCCS"=[1]OUT_SyntheticFuels!$C$4:$C$1000)*1,("elc35"=[1]OUT_SyntheticFuels!$A$4:$A$1000)*1,("Var_Fout"=[1]OUT_SyntheticFuels!$B$4:$B$1000)*1,[1]OUT_SyntheticFuels!N$4:N$1000)</f>
        <v>0</v>
      </c>
      <c r="P628" s="1" cm="1">
        <f t="array" ref="P628">SUMPRODUCT(("SUP_WSTBIOCCS"=[1]OUT_SyntheticFuels!$C$4:$C$1000)*1,("elc35"=[1]OUT_SyntheticFuels!$A$4:$A$1000)*1,("Var_Fout"=[1]OUT_SyntheticFuels!$B$4:$B$1000)*1,[1]OUT_SyntheticFuels!O$4:O$1000)</f>
        <v>0</v>
      </c>
      <c r="Q628" s="1" cm="1">
        <f t="array" ref="Q628">SUMPRODUCT(("SUP_WSTBIOCCS"=[1]OUT_SyntheticFuels!$C$4:$C$1000)*1,("elc35"=[1]OUT_SyntheticFuels!$A$4:$A$1000)*1,("Var_Fout"=[1]OUT_SyntheticFuels!$B$4:$B$1000)*1,[1]OUT_SyntheticFuels!P$4:P$1000)</f>
        <v>0</v>
      </c>
      <c r="S628" s="3"/>
    </row>
    <row r="629" spans="2:19" x14ac:dyDescent="0.5">
      <c r="B629" s="5" t="s">
        <v>6</v>
      </c>
      <c r="C629" s="5" t="s">
        <v>7</v>
      </c>
      <c r="D629" t="s">
        <v>333</v>
      </c>
      <c r="E629" s="5" t="s">
        <v>8</v>
      </c>
      <c r="F629" s="1" cm="1">
        <f t="array" ref="F629">SUMPRODUCT(("SUP_WSTHTGBIO"=[1]OUT_SyntheticFuels!$C$4:$C$1000)*1,("elc35"=[1]OUT_SyntheticFuels!$A$4:$A$1000)*1,("Var_Fout"=[1]OUT_SyntheticFuels!$B$4:$B$1000)*1,[1]OUT_SyntheticFuels!E$4:E$1000)</f>
        <v>0</v>
      </c>
      <c r="G629" s="1" cm="1">
        <f t="array" ref="G629">SUMPRODUCT(("SUP_WSTHTGBIO"=[1]OUT_SyntheticFuels!$C$4:$C$1000)*1,("elc35"=[1]OUT_SyntheticFuels!$A$4:$A$1000)*1,("Var_Fout"=[1]OUT_SyntheticFuels!$B$4:$B$1000)*1,[1]OUT_SyntheticFuels!F$4:F$1000)</f>
        <v>0</v>
      </c>
      <c r="H629" s="1" cm="1">
        <f t="array" ref="H629">SUMPRODUCT(("SUP_WSTHTGBIO"=[1]OUT_SyntheticFuels!$C$4:$C$1000)*1,("elc35"=[1]OUT_SyntheticFuels!$A$4:$A$1000)*1,("Var_Fout"=[1]OUT_SyntheticFuels!$B$4:$B$1000)*1,[1]OUT_SyntheticFuels!G$4:G$1000)</f>
        <v>0</v>
      </c>
      <c r="I629" s="1" cm="1">
        <f t="array" ref="I629">SUMPRODUCT(("SUP_WSTHTGBIO"=[1]OUT_SyntheticFuels!$C$4:$C$1000)*1,("elc35"=[1]OUT_SyntheticFuels!$A$4:$A$1000)*1,("Var_Fout"=[1]OUT_SyntheticFuels!$B$4:$B$1000)*1,[1]OUT_SyntheticFuels!H$4:H$1000)</f>
        <v>0</v>
      </c>
      <c r="J629" s="1" cm="1">
        <f t="array" ref="J629">SUMPRODUCT(("SUP_WSTHTGBIO"=[1]OUT_SyntheticFuels!$C$4:$C$1000)*1,("elc35"=[1]OUT_SyntheticFuels!$A$4:$A$1000)*1,("Var_Fout"=[1]OUT_SyntheticFuels!$B$4:$B$1000)*1,[1]OUT_SyntheticFuels!I$4:I$1000)</f>
        <v>0</v>
      </c>
      <c r="K629" s="1" cm="1">
        <f t="array" ref="K629">SUMPRODUCT(("SUP_WSTHTGBIO"=[1]OUT_SyntheticFuels!$C$4:$C$1000)*1,("elc35"=[1]OUT_SyntheticFuels!$A$4:$A$1000)*1,("Var_Fout"=[1]OUT_SyntheticFuels!$B$4:$B$1000)*1,[1]OUT_SyntheticFuels!J$4:J$1000)</f>
        <v>0</v>
      </c>
      <c r="L629" s="1" cm="1">
        <f t="array" ref="L629">SUMPRODUCT(("SUP_WSTHTGBIO"=[1]OUT_SyntheticFuels!$C$4:$C$1000)*1,("elc35"=[1]OUT_SyntheticFuels!$A$4:$A$1000)*1,("Var_Fout"=[1]OUT_SyntheticFuels!$B$4:$B$1000)*1,[1]OUT_SyntheticFuels!K$4:K$1000)</f>
        <v>0</v>
      </c>
      <c r="M629" s="1" cm="1">
        <f t="array" ref="M629">SUMPRODUCT(("SUP_WSTHTGBIO"=[1]OUT_SyntheticFuels!$C$4:$C$1000)*1,("elc35"=[1]OUT_SyntheticFuels!$A$4:$A$1000)*1,("Var_Fout"=[1]OUT_SyntheticFuels!$B$4:$B$1000)*1,[1]OUT_SyntheticFuels!L$4:L$1000)</f>
        <v>0</v>
      </c>
      <c r="N629" s="1" cm="1">
        <f t="array" ref="N629">SUMPRODUCT(("SUP_WSTHTGBIO"=[1]OUT_SyntheticFuels!$C$4:$C$1000)*1,("elc35"=[1]OUT_SyntheticFuels!$A$4:$A$1000)*1,("Var_Fout"=[1]OUT_SyntheticFuels!$B$4:$B$1000)*1,[1]OUT_SyntheticFuels!M$4:M$1000)</f>
        <v>0</v>
      </c>
      <c r="O629" s="1" cm="1">
        <f t="array" ref="O629">SUMPRODUCT(("SUP_WSTHTGBIO"=[1]OUT_SyntheticFuels!$C$4:$C$1000)*1,("elc35"=[1]OUT_SyntheticFuels!$A$4:$A$1000)*1,("Var_Fout"=[1]OUT_SyntheticFuels!$B$4:$B$1000)*1,[1]OUT_SyntheticFuels!N$4:N$1000)</f>
        <v>0</v>
      </c>
      <c r="P629" s="1" cm="1">
        <f t="array" ref="P629">SUMPRODUCT(("SUP_WSTHTGBIO"=[1]OUT_SyntheticFuels!$C$4:$C$1000)*1,("elc35"=[1]OUT_SyntheticFuels!$A$4:$A$1000)*1,("Var_Fout"=[1]OUT_SyntheticFuels!$B$4:$B$1000)*1,[1]OUT_SyntheticFuels!O$4:O$1000)</f>
        <v>0</v>
      </c>
      <c r="Q629" s="1" cm="1">
        <f t="array" ref="Q629">SUMPRODUCT(("SUP_WSTHTGBIO"=[1]OUT_SyntheticFuels!$C$4:$C$1000)*1,("elc35"=[1]OUT_SyntheticFuels!$A$4:$A$1000)*1,("Var_Fout"=[1]OUT_SyntheticFuels!$B$4:$B$1000)*1,[1]OUT_SyntheticFuels!P$4:P$1000)</f>
        <v>0</v>
      </c>
      <c r="S629" s="3"/>
    </row>
    <row r="630" spans="2:19" x14ac:dyDescent="0.5">
      <c r="B630" s="5" t="s">
        <v>6</v>
      </c>
      <c r="C630" s="5" t="s">
        <v>7</v>
      </c>
      <c r="D630" t="s">
        <v>334</v>
      </c>
      <c r="E630" s="5" t="s">
        <v>8</v>
      </c>
      <c r="F630" s="1" cm="1">
        <f t="array" ref="F630">SUMPRODUCT(("SUP_WSTHTGBIOCCS"=[1]OUT_SyntheticFuels!$C$4:$C$1000)*1,("elc35"=[1]OUT_SyntheticFuels!$A$4:$A$1000)*1,("Var_Fout"=[1]OUT_SyntheticFuels!$B$4:$B$1000)*1,[1]OUT_SyntheticFuels!E$4:E$1000)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SUMPRODUCT(("SUP_WSTHTGBIOCCS"=[1]OUT_SyntheticFuels!$C$4:$C$1000)*1,("elc35"=[1]OUT_SyntheticFuels!$A$4:$A$1000)*1,("Var_Fout"=[1]OUT_SyntheticFuels!$B$4:$B$1000)*1,[1]OUT_SyntheticFuels!F$4:F$1000)</f>
        <v>0</v>
      </c>
      <c r="H630" s="1" cm="1">
        <f t="array" ref="H630">SUMPRODUCT(("SUP_WSTHTGBIOCCS"=[1]OUT_SyntheticFuels!$C$4:$C$1000)*1,("elc35"=[1]OUT_SyntheticFuels!$A$4:$A$1000)*1,("Var_Fout"=[1]OUT_SyntheticFuels!$B$4:$B$1000)*1,[1]OUT_SyntheticFuels!G$4:G$1000)</f>
        <v>0</v>
      </c>
      <c r="I630" s="1" cm="1">
        <f t="array" ref="I630">SUMPRODUCT(("SUP_WSTHTGBIOCCS"=[1]OUT_SyntheticFuels!$C$4:$C$1000)*1,("elc35"=[1]OUT_SyntheticFuels!$A$4:$A$1000)*1,("Var_Fout"=[1]OUT_SyntheticFuels!$B$4:$B$1000)*1,[1]OUT_SyntheticFuels!H$4:H$1000)</f>
        <v>0</v>
      </c>
      <c r="J630" s="1" cm="1">
        <f t="array" ref="J630">SUMPRODUCT(("SUP_WSTHTGBIOCCS"=[1]OUT_SyntheticFuels!$C$4:$C$1000)*1,("elc35"=[1]OUT_SyntheticFuels!$A$4:$A$1000)*1,("Var_Fout"=[1]OUT_SyntheticFuels!$B$4:$B$1000)*1,[1]OUT_SyntheticFuels!I$4:I$1000)</f>
        <v>0</v>
      </c>
      <c r="K630" s="1" cm="1">
        <f t="array" ref="K630">SUMPRODUCT(("SUP_WSTHTGBIOCCS"=[1]OUT_SyntheticFuels!$C$4:$C$1000)*1,("elc35"=[1]OUT_SyntheticFuels!$A$4:$A$1000)*1,("Var_Fout"=[1]OUT_SyntheticFuels!$B$4:$B$1000)*1,[1]OUT_SyntheticFuels!J$4:J$1000)</f>
        <v>0</v>
      </c>
      <c r="L630" s="1" cm="1">
        <f t="array" ref="L630">SUMPRODUCT(("SUP_WSTHTGBIOCCS"=[1]OUT_SyntheticFuels!$C$4:$C$1000)*1,("elc35"=[1]OUT_SyntheticFuels!$A$4:$A$1000)*1,("Var_Fout"=[1]OUT_SyntheticFuels!$B$4:$B$1000)*1,[1]OUT_SyntheticFuels!K$4:K$1000)</f>
        <v>0</v>
      </c>
      <c r="M630" s="1" cm="1">
        <f t="array" ref="M630">SUMPRODUCT(("SUP_WSTHTGBIOCCS"=[1]OUT_SyntheticFuels!$C$4:$C$1000)*1,("elc35"=[1]OUT_SyntheticFuels!$A$4:$A$1000)*1,("Var_Fout"=[1]OUT_SyntheticFuels!$B$4:$B$1000)*1,[1]OUT_SyntheticFuels!L$4:L$1000)</f>
        <v>0</v>
      </c>
      <c r="N630" s="1" cm="1">
        <f t="array" ref="N630">SUMPRODUCT(("SUP_WSTHTGBIOCCS"=[1]OUT_SyntheticFuels!$C$4:$C$1000)*1,("elc35"=[1]OUT_SyntheticFuels!$A$4:$A$1000)*1,("Var_Fout"=[1]OUT_SyntheticFuels!$B$4:$B$1000)*1,[1]OUT_SyntheticFuels!M$4:M$1000)</f>
        <v>0</v>
      </c>
      <c r="O630" s="1" cm="1">
        <f t="array" ref="O630">SUMPRODUCT(("SUP_WSTHTGBIOCCS"=[1]OUT_SyntheticFuels!$C$4:$C$1000)*1,("elc35"=[1]OUT_SyntheticFuels!$A$4:$A$1000)*1,("Var_Fout"=[1]OUT_SyntheticFuels!$B$4:$B$1000)*1,[1]OUT_SyntheticFuels!N$4:N$1000)</f>
        <v>0</v>
      </c>
      <c r="P630" s="1" cm="1">
        <f t="array" ref="P630">SUMPRODUCT(("SUP_WSTHTGBIOCCS"=[1]OUT_SyntheticFuels!$C$4:$C$1000)*1,("elc35"=[1]OUT_SyntheticFuels!$A$4:$A$1000)*1,("Var_Fout"=[1]OUT_SyntheticFuels!$B$4:$B$1000)*1,[1]OUT_SyntheticFuels!O$4:O$1000)</f>
        <v>0</v>
      </c>
      <c r="Q630" s="1" cm="1">
        <f t="array" ref="Q630">SUMPRODUCT(("SUP_WSTHTGBIOCCS"=[1]OUT_SyntheticFuels!$C$4:$C$1000)*1,("elc35"=[1]OUT_SyntheticFuels!$A$4:$A$1000)*1,("Var_Fout"=[1]OUT_SyntheticFuels!$B$4:$B$1000)*1,[1]OUT_SyntheticFuels!P$4:P$1000)</f>
        <v>0</v>
      </c>
      <c r="S630" s="3"/>
    </row>
    <row r="631" spans="2:19" x14ac:dyDescent="0.5">
      <c r="B631" s="5" t="s">
        <v>6</v>
      </c>
      <c r="C631" s="5" t="s">
        <v>7</v>
      </c>
      <c r="D631" t="s">
        <v>910</v>
      </c>
      <c r="E631" s="5" t="s">
        <v>8</v>
      </c>
      <c r="F631" s="1">
        <f>SUM(F632:F633)</f>
        <v>0</v>
      </c>
      <c r="G631" s="1">
        <f t="shared" ref="G631:K631" si="701">SUM(G632:G633)</f>
        <v>1.7071424611563513E-5</v>
      </c>
      <c r="H631" s="1">
        <f t="shared" si="701"/>
        <v>0</v>
      </c>
      <c r="I631" s="1">
        <f t="shared" si="701"/>
        <v>7.322234341238395E-5</v>
      </c>
      <c r="J631" s="1">
        <f t="shared" si="701"/>
        <v>8.7307297601505094E-5</v>
      </c>
      <c r="K631" s="1">
        <f t="shared" si="701"/>
        <v>1.2127802318064395E-4</v>
      </c>
      <c r="L631" s="1">
        <f t="shared" ref="L631:O631" si="702">SUM(L632:L633)</f>
        <v>1.338105323211759E-4</v>
      </c>
      <c r="M631" s="1">
        <f t="shared" si="702"/>
        <v>2.0690026345833112E-4</v>
      </c>
      <c r="N631" s="1">
        <f t="shared" si="702"/>
        <v>2.049045329691241E-4</v>
      </c>
      <c r="O631" s="1">
        <f t="shared" si="702"/>
        <v>5.1484248013264973E-4</v>
      </c>
      <c r="P631" s="1">
        <f>SUM(P632:P633)</f>
        <v>5.7094335848598143E-4</v>
      </c>
      <c r="Q631" s="1">
        <f>SUM(Q632:Q633)</f>
        <v>8.9614793674619572E-4</v>
      </c>
      <c r="S631" s="3"/>
    </row>
    <row r="632" spans="2:19" x14ac:dyDescent="0.5">
      <c r="B632" s="5" t="s">
        <v>6</v>
      </c>
      <c r="C632" s="5" t="s">
        <v>7</v>
      </c>
      <c r="D632" t="s">
        <v>335</v>
      </c>
      <c r="E632" s="5" t="s">
        <v>8</v>
      </c>
      <c r="F632" s="1" cm="1">
        <f t="array" ref="F632">SUMPRODUCT(("SUP_WODBIO"=[1]OUT_SyntheticFuels!$C$4:$C$1000)*1,("elc35"=[1]OUT_SyntheticFuels!$A$4:$A$1000)*1,("Var_Fout"=[1]OUT_SyntheticFuels!$B$4:$B$1000)*1,[1]OUT_SyntheticFuels!E$4:E$1000)</f>
        <v>0</v>
      </c>
      <c r="G632" s="1" cm="1">
        <f t="array" ref="G632">SUMPRODUCT(("SUP_WODBIO"=[1]OUT_SyntheticFuels!$C$4:$C$1000)*1,("elc35"=[1]OUT_SyntheticFuels!$A$4:$A$1000)*1,("Var_Fout"=[1]OUT_SyntheticFuels!$B$4:$B$1000)*1,[1]OUT_SyntheticFuels!F$4:F$1000)</f>
        <v>1.7071424611563513E-5</v>
      </c>
      <c r="H632" s="1" cm="1">
        <f t="array" ref="H632">SUMPRODUCT(("SUP_WODBIO"=[1]OUT_SyntheticFuels!$C$4:$C$1000)*1,("elc35"=[1]OUT_SyntheticFuels!$A$4:$A$1000)*1,("Var_Fout"=[1]OUT_SyntheticFuels!$B$4:$B$1000)*1,[1]OUT_SyntheticFuels!G$4:G$1000)</f>
        <v>0</v>
      </c>
      <c r="I632" s="1" cm="1">
        <f t="array" ref="I632">SUMPRODUCT(("SUP_WODBIO"=[1]OUT_SyntheticFuels!$C$4:$C$1000)*1,("elc35"=[1]OUT_SyntheticFuels!$A$4:$A$1000)*1,("Var_Fout"=[1]OUT_SyntheticFuels!$B$4:$B$1000)*1,[1]OUT_SyntheticFuels!H$4:H$1000)</f>
        <v>7.322234341238395E-5</v>
      </c>
      <c r="J632" s="1" cm="1">
        <f t="array" ref="J632">SUMPRODUCT(("SUP_WODBIO"=[1]OUT_SyntheticFuels!$C$4:$C$1000)*1,("elc35"=[1]OUT_SyntheticFuels!$A$4:$A$1000)*1,("Var_Fout"=[1]OUT_SyntheticFuels!$B$4:$B$1000)*1,[1]OUT_SyntheticFuels!I$4:I$1000)</f>
        <v>8.7307297601505094E-5</v>
      </c>
      <c r="K632" s="1" cm="1">
        <f t="array" ref="K632">SUMPRODUCT(("SUP_WODBIO"=[1]OUT_SyntheticFuels!$C$4:$C$1000)*1,("elc35"=[1]OUT_SyntheticFuels!$A$4:$A$1000)*1,("Var_Fout"=[1]OUT_SyntheticFuels!$B$4:$B$1000)*1,[1]OUT_SyntheticFuels!J$4:J$1000)</f>
        <v>5.2072831807632544E-5</v>
      </c>
      <c r="L632" s="1" cm="1">
        <f t="array" ref="L632">SUMPRODUCT(("SUP_WODBIO"=[1]OUT_SyntheticFuels!$C$4:$C$1000)*1,("elc35"=[1]OUT_SyntheticFuels!$A$4:$A$1000)*1,("Var_Fout"=[1]OUT_SyntheticFuels!$B$4:$B$1000)*1,[1]OUT_SyntheticFuels!K$4:K$1000)</f>
        <v>5.6656199768045795E-5</v>
      </c>
      <c r="M632" s="1" cm="1">
        <f t="array" ref="M632">SUMPRODUCT(("SUP_WODBIO"=[1]OUT_SyntheticFuels!$C$4:$C$1000)*1,("elc35"=[1]OUT_SyntheticFuels!$A$4:$A$1000)*1,("Var_Fout"=[1]OUT_SyntheticFuels!$B$4:$B$1000)*1,[1]OUT_SyntheticFuels!L$4:L$1000)</f>
        <v>4.7839179743308068E-5</v>
      </c>
      <c r="N632" s="1" cm="1">
        <f t="array" ref="N632">SUMPRODUCT(("SUP_WODBIO"=[1]OUT_SyntheticFuels!$C$4:$C$1000)*1,("elc35"=[1]OUT_SyntheticFuels!$A$4:$A$1000)*1,("Var_Fout"=[1]OUT_SyntheticFuels!$B$4:$B$1000)*1,[1]OUT_SyntheticFuels!M$4:M$1000)</f>
        <v>5.1606683946431141E-5</v>
      </c>
      <c r="O632" s="1" cm="1">
        <f t="array" ref="O632">SUMPRODUCT(("SUP_WODBIO"=[1]OUT_SyntheticFuels!$C$4:$C$1000)*1,("elc35"=[1]OUT_SyntheticFuels!$A$4:$A$1000)*1,("Var_Fout"=[1]OUT_SyntheticFuels!$B$4:$B$1000)*1,[1]OUT_SyntheticFuels!N$4:N$1000)</f>
        <v>5.4508515619824005E-5</v>
      </c>
      <c r="P632" s="1" cm="1">
        <f t="array" ref="P632">SUMPRODUCT(("SUP_WODBIO"=[1]OUT_SyntheticFuels!$C$4:$C$1000)*1,("elc35"=[1]OUT_SyntheticFuels!$A$4:$A$1000)*1,("Var_Fout"=[1]OUT_SyntheticFuels!$B$4:$B$1000)*1,[1]OUT_SyntheticFuels!O$4:O$1000)</f>
        <v>1.4191702244131519E-4</v>
      </c>
      <c r="Q632" s="1" cm="1">
        <f t="array" ref="Q632">SUMPRODUCT(("SUP_WODBIO"=[1]OUT_SyntheticFuels!$C$4:$C$1000)*1,("elc35"=[1]OUT_SyntheticFuels!$A$4:$A$1000)*1,("Var_Fout"=[1]OUT_SyntheticFuels!$B$4:$B$1000)*1,[1]OUT_SyntheticFuels!P$4:P$1000)</f>
        <v>3.2945092533024159E-4</v>
      </c>
      <c r="S632" s="3"/>
    </row>
    <row r="633" spans="2:19" x14ac:dyDescent="0.5">
      <c r="B633" s="5" t="s">
        <v>6</v>
      </c>
      <c r="C633" s="5" t="s">
        <v>7</v>
      </c>
      <c r="D633" t="s">
        <v>336</v>
      </c>
      <c r="E633" s="5" t="s">
        <v>8</v>
      </c>
      <c r="F633" s="1" cm="1">
        <f t="array" ref="F633">SUMPRODUCT(("SUP_WODBIOCCS"=[1]OUT_SyntheticFuels!$C$4:$C$1000)*1,("elc35"=[1]OUT_SyntheticFuels!$A$4:$A$1000)*1,("Var_Fout"=[1]OUT_SyntheticFuels!$B$4:$B$1000)*1,[1]OUT_SyntheticFuels!E$4:E$1000)</f>
        <v>0</v>
      </c>
      <c r="G633" s="1" cm="1">
        <f t="array" ref="G633">SUMPRODUCT(("SUP_WODBIOCCS"=[1]OUT_SyntheticFuels!$C$4:$C$1000)*1,("elc35"=[1]OUT_SyntheticFuels!$A$4:$A$1000)*1,("Var_Fout"=[1]OUT_SyntheticFuels!$B$4:$B$1000)*1,[1]OUT_SyntheticFuels!F$4:F$1000)</f>
        <v>0</v>
      </c>
      <c r="H633" s="1" cm="1">
        <f t="array" ref="H633">SUMPRODUCT(("SUP_WODBIOCCS"=[1]OUT_SyntheticFuels!$C$4:$C$1000)*1,("elc35"=[1]OUT_SyntheticFuels!$A$4:$A$1000)*1,("Var_Fout"=[1]OUT_SyntheticFuels!$B$4:$B$1000)*1,[1]OUT_SyntheticFuels!G$4:G$1000)</f>
        <v>0</v>
      </c>
      <c r="I633" s="1" cm="1">
        <f t="array" ref="I633">SUMPRODUCT(("SUP_WODBIOCCS"=[1]OUT_SyntheticFuels!$C$4:$C$1000)*1,("elc35"=[1]OUT_SyntheticFuels!$A$4:$A$1000)*1,("Var_Fout"=[1]OUT_SyntheticFuels!$B$4:$B$1000)*1,[1]OUT_SyntheticFuels!H$4:H$1000)</f>
        <v>0</v>
      </c>
      <c r="J633" s="1" cm="1">
        <f t="array" ref="J633">SUMPRODUCT(("SUP_WODBIOCCS"=[1]OUT_SyntheticFuels!$C$4:$C$1000)*1,("elc35"=[1]OUT_SyntheticFuels!$A$4:$A$1000)*1,("Var_Fout"=[1]OUT_SyntheticFuels!$B$4:$B$1000)*1,[1]OUT_SyntheticFuels!I$4:I$1000)</f>
        <v>0</v>
      </c>
      <c r="K633" s="1" cm="1">
        <f t="array" ref="K633">SUMPRODUCT(("SUP_WODBIOCCS"=[1]OUT_SyntheticFuels!$C$4:$C$1000)*1,("elc35"=[1]OUT_SyntheticFuels!$A$4:$A$1000)*1,("Var_Fout"=[1]OUT_SyntheticFuels!$B$4:$B$1000)*1,[1]OUT_SyntheticFuels!J$4:J$1000)</f>
        <v>6.9205191373011417E-5</v>
      </c>
      <c r="L633" s="1" cm="1">
        <f t="array" ref="L633">SUMPRODUCT(("SUP_WODBIOCCS"=[1]OUT_SyntheticFuels!$C$4:$C$1000)*1,("elc35"=[1]OUT_SyntheticFuels!$A$4:$A$1000)*1,("Var_Fout"=[1]OUT_SyntheticFuels!$B$4:$B$1000)*1,[1]OUT_SyntheticFuels!K$4:K$1000)</f>
        <v>7.7154332553130108E-5</v>
      </c>
      <c r="M633" s="1" cm="1">
        <f t="array" ref="M633">SUMPRODUCT(("SUP_WODBIOCCS"=[1]OUT_SyntheticFuels!$C$4:$C$1000)*1,("elc35"=[1]OUT_SyntheticFuels!$A$4:$A$1000)*1,("Var_Fout"=[1]OUT_SyntheticFuels!$B$4:$B$1000)*1,[1]OUT_SyntheticFuels!L$4:L$1000)</f>
        <v>1.5906108371502306E-4</v>
      </c>
      <c r="N633" s="1" cm="1">
        <f t="array" ref="N633">SUMPRODUCT(("SUP_WODBIOCCS"=[1]OUT_SyntheticFuels!$C$4:$C$1000)*1,("elc35"=[1]OUT_SyntheticFuels!$A$4:$A$1000)*1,("Var_Fout"=[1]OUT_SyntheticFuels!$B$4:$B$1000)*1,[1]OUT_SyntheticFuels!M$4:M$1000)</f>
        <v>1.5329784902269296E-4</v>
      </c>
      <c r="O633" s="1" cm="1">
        <f t="array" ref="O633">SUMPRODUCT(("SUP_WODBIOCCS"=[1]OUT_SyntheticFuels!$C$4:$C$1000)*1,("elc35"=[1]OUT_SyntheticFuels!$A$4:$A$1000)*1,("Var_Fout"=[1]OUT_SyntheticFuels!$B$4:$B$1000)*1,[1]OUT_SyntheticFuels!N$4:N$1000)</f>
        <v>4.6033396451282573E-4</v>
      </c>
      <c r="P633" s="1" cm="1">
        <f t="array" ref="P633">SUMPRODUCT(("SUP_WODBIOCCS"=[1]OUT_SyntheticFuels!$C$4:$C$1000)*1,("elc35"=[1]OUT_SyntheticFuels!$A$4:$A$1000)*1,("Var_Fout"=[1]OUT_SyntheticFuels!$B$4:$B$1000)*1,[1]OUT_SyntheticFuels!O$4:O$1000)</f>
        <v>4.2902633604466621E-4</v>
      </c>
      <c r="Q633" s="1" cm="1">
        <f t="array" ref="Q633">SUMPRODUCT(("SUP_WODBIOCCS"=[1]OUT_SyntheticFuels!$C$4:$C$1000)*1,("elc35"=[1]OUT_SyntheticFuels!$A$4:$A$1000)*1,("Var_Fout"=[1]OUT_SyntheticFuels!$B$4:$B$1000)*1,[1]OUT_SyntheticFuels!P$4:P$1000)</f>
        <v>5.6669701141595413E-4</v>
      </c>
      <c r="S633" s="3"/>
    </row>
    <row r="634" spans="2:19" x14ac:dyDescent="0.5">
      <c r="B634" s="5" t="s">
        <v>6</v>
      </c>
      <c r="C634" s="5" t="s">
        <v>7</v>
      </c>
      <c r="D634" s="2" t="s">
        <v>385</v>
      </c>
      <c r="E634" s="9" t="s">
        <v>8</v>
      </c>
      <c r="F634" s="3">
        <f>F635+F636+F641</f>
        <v>0</v>
      </c>
      <c r="G634" s="3">
        <f t="shared" ref="G634" si="703">G635+G636+G641</f>
        <v>5.1214273834690466E-5</v>
      </c>
      <c r="H634" s="3">
        <f t="shared" ref="H634" si="704">H635+H636+H641</f>
        <v>0</v>
      </c>
      <c r="I634" s="3">
        <f t="shared" ref="I634" si="705">I635+I636+I641</f>
        <v>2.1966703023715156E-4</v>
      </c>
      <c r="J634" s="3">
        <f t="shared" ref="J634" si="706">J635+J636+J641</f>
        <v>2.6192189280451519E-4</v>
      </c>
      <c r="K634" s="3">
        <f t="shared" ref="K634" si="707">K635+K636+K641</f>
        <v>3.0936200363073621E-4</v>
      </c>
      <c r="L634" s="3">
        <f t="shared" ref="L634:O634" si="708">L635+L636+L641</f>
        <v>3.6353562628700246E-4</v>
      </c>
      <c r="M634" s="3">
        <f t="shared" si="708"/>
        <v>6.1440904212467756E-4</v>
      </c>
      <c r="N634" s="3">
        <f t="shared" si="708"/>
        <v>5.8925476624830764E-4</v>
      </c>
      <c r="O634" s="3">
        <f t="shared" si="708"/>
        <v>1.4967825012588854E-3</v>
      </c>
      <c r="P634" s="3">
        <f>P635+P636+P641</f>
        <v>1.710211454428408E-3</v>
      </c>
      <c r="Q634" s="3">
        <f>Q635+Q636+Q641</f>
        <v>2.6884438102385841E-3</v>
      </c>
      <c r="S634" s="3"/>
    </row>
    <row r="635" spans="2:19" x14ac:dyDescent="0.5">
      <c r="B635" s="5" t="s">
        <v>6</v>
      </c>
      <c r="C635" s="5" t="s">
        <v>7</v>
      </c>
      <c r="D635" t="s">
        <v>337</v>
      </c>
      <c r="E635" s="5" t="s">
        <v>8</v>
      </c>
      <c r="F635" s="1" cm="1">
        <f t="array" ref="F635">SUMPRODUCT(("SUP_MNRBIO"=[1]OUT_SyntheticFuels!$C$4:$C$1000)*1,("Var_Fout"=[1]OUT_SyntheticFuels!$B$4:$B$1000)*1,("LTH"=[1]OUT_SyntheticFuels!$A$4:$A$1000)*1,[1]OUT_SyntheticFuels!E$4:E$1000)</f>
        <v>0</v>
      </c>
      <c r="G635" s="1" cm="1">
        <f t="array" ref="G635">SUMPRODUCT(("SUP_MNRBIO"=[1]OUT_SyntheticFuels!$C$4:$C$1000)*1,("Var_Fout"=[1]OUT_SyntheticFuels!$B$4:$B$1000)*1,("LTH"=[1]OUT_SyntheticFuels!$A$4:$A$1000)*1,[1]OUT_SyntheticFuels!F$4:F$1000)</f>
        <v>0</v>
      </c>
      <c r="H635" s="1" cm="1">
        <f t="array" ref="H635">SUMPRODUCT(("SUP_MNRBIO"=[1]OUT_SyntheticFuels!$C$4:$C$1000)*1,("Var_Fout"=[1]OUT_SyntheticFuels!$B$4:$B$1000)*1,("LTH"=[1]OUT_SyntheticFuels!$A$4:$A$1000)*1,[1]OUT_SyntheticFuels!G$4:G$1000)</f>
        <v>0</v>
      </c>
      <c r="I635" s="1" cm="1">
        <f t="array" ref="I635">SUMPRODUCT(("SUP_MNRBIO"=[1]OUT_SyntheticFuels!$C$4:$C$1000)*1,("Var_Fout"=[1]OUT_SyntheticFuels!$B$4:$B$1000)*1,("LTH"=[1]OUT_SyntheticFuels!$A$4:$A$1000)*1,[1]OUT_SyntheticFuels!H$4:H$1000)</f>
        <v>0</v>
      </c>
      <c r="J635" s="1" cm="1">
        <f t="array" ref="J635">SUMPRODUCT(("SUP_MNRBIO"=[1]OUT_SyntheticFuels!$C$4:$C$1000)*1,("Var_Fout"=[1]OUT_SyntheticFuels!$B$4:$B$1000)*1,("LTH"=[1]OUT_SyntheticFuels!$A$4:$A$1000)*1,[1]OUT_SyntheticFuels!I$4:I$1000)</f>
        <v>0</v>
      </c>
      <c r="K635" s="1" cm="1">
        <f t="array" ref="K635">SUMPRODUCT(("SUP_MNRBIO"=[1]OUT_SyntheticFuels!$C$4:$C$1000)*1,("Var_Fout"=[1]OUT_SyntheticFuels!$B$4:$B$1000)*1,("LTH"=[1]OUT_SyntheticFuels!$A$4:$A$1000)*1,[1]OUT_SyntheticFuels!J$4:J$1000)</f>
        <v>0</v>
      </c>
      <c r="L635" s="1" cm="1">
        <f t="array" ref="L635">SUMPRODUCT(("SUP_MNRBIO"=[1]OUT_SyntheticFuels!$C$4:$C$1000)*1,("Var_Fout"=[1]OUT_SyntheticFuels!$B$4:$B$1000)*1,("LTH"=[1]OUT_SyntheticFuels!$A$4:$A$1000)*1,[1]OUT_SyntheticFuels!K$4:K$1000)</f>
        <v>0</v>
      </c>
      <c r="M635" s="1" cm="1">
        <f t="array" ref="M635">SUMPRODUCT(("SUP_MNRBIO"=[1]OUT_SyntheticFuels!$C$4:$C$1000)*1,("Var_Fout"=[1]OUT_SyntheticFuels!$B$4:$B$1000)*1,("LTH"=[1]OUT_SyntheticFuels!$A$4:$A$1000)*1,[1]OUT_SyntheticFuels!L$4:L$1000)</f>
        <v>0</v>
      </c>
      <c r="N635" s="1" cm="1">
        <f t="array" ref="N635">SUMPRODUCT(("SUP_MNRBIO"=[1]OUT_SyntheticFuels!$C$4:$C$1000)*1,("Var_Fout"=[1]OUT_SyntheticFuels!$B$4:$B$1000)*1,("LTH"=[1]OUT_SyntheticFuels!$A$4:$A$1000)*1,[1]OUT_SyntheticFuels!M$4:M$1000)</f>
        <v>0</v>
      </c>
      <c r="O635" s="1" cm="1">
        <f t="array" ref="O635">SUMPRODUCT(("SUP_MNRBIO"=[1]OUT_SyntheticFuels!$C$4:$C$1000)*1,("Var_Fout"=[1]OUT_SyntheticFuels!$B$4:$B$1000)*1,("LTH"=[1]OUT_SyntheticFuels!$A$4:$A$1000)*1,[1]OUT_SyntheticFuels!N$4:N$1000)</f>
        <v>0</v>
      </c>
      <c r="P635" s="1" cm="1">
        <f t="array" ref="P635">SUMPRODUCT(("SUP_MNRBIO"=[1]OUT_SyntheticFuels!$C$4:$C$1000)*1,("Var_Fout"=[1]OUT_SyntheticFuels!$B$4:$B$1000)*1,("LTH"=[1]OUT_SyntheticFuels!$A$4:$A$1000)*1,[1]OUT_SyntheticFuels!O$4:O$1000)</f>
        <v>0</v>
      </c>
      <c r="Q635" s="1" cm="1">
        <f t="array" ref="Q635">SUMPRODUCT(("SUP_MNRBIO"=[1]OUT_SyntheticFuels!$C$4:$C$1000)*1,("Var_Fout"=[1]OUT_SyntheticFuels!$B$4:$B$1000)*1,("LTH"=[1]OUT_SyntheticFuels!$A$4:$A$1000)*1,[1]OUT_SyntheticFuels!P$4:P$1000)</f>
        <v>0</v>
      </c>
      <c r="S635" s="3"/>
    </row>
    <row r="636" spans="2:19" x14ac:dyDescent="0.5">
      <c r="B636" s="5" t="s">
        <v>6</v>
      </c>
      <c r="C636" s="5" t="s">
        <v>7</v>
      </c>
      <c r="D636" t="s">
        <v>912</v>
      </c>
      <c r="E636" s="5" t="s">
        <v>8</v>
      </c>
      <c r="F636" s="1">
        <f>SUM(F637:F640)</f>
        <v>0</v>
      </c>
      <c r="G636" s="1">
        <f t="shared" ref="G636" si="709">SUM(G637:G640)</f>
        <v>0</v>
      </c>
      <c r="H636" s="1">
        <f t="shared" ref="H636" si="710">SUM(H637:H640)</f>
        <v>0</v>
      </c>
      <c r="I636" s="1">
        <f t="shared" ref="I636" si="711">SUM(I637:I640)</f>
        <v>0</v>
      </c>
      <c r="J636" s="1">
        <f t="shared" ref="J636" si="712">SUM(J637:J640)</f>
        <v>0</v>
      </c>
      <c r="K636" s="1">
        <f t="shared" ref="K636" si="713">SUM(K637:K640)</f>
        <v>0</v>
      </c>
      <c r="L636" s="1">
        <f t="shared" ref="L636:O636" si="714">SUM(L637:L640)</f>
        <v>0</v>
      </c>
      <c r="M636" s="1">
        <f t="shared" si="714"/>
        <v>0</v>
      </c>
      <c r="N636" s="1">
        <f t="shared" si="714"/>
        <v>0</v>
      </c>
      <c r="O636" s="1">
        <f t="shared" si="714"/>
        <v>0</v>
      </c>
      <c r="P636" s="1">
        <f>SUM(P637:P640)</f>
        <v>0</v>
      </c>
      <c r="Q636" s="1">
        <f>SUM(Q637:Q640)</f>
        <v>0</v>
      </c>
      <c r="S636" s="3"/>
    </row>
    <row r="637" spans="2:19" x14ac:dyDescent="0.5">
      <c r="B637" s="5" t="s">
        <v>6</v>
      </c>
      <c r="C637" s="5" t="s">
        <v>7</v>
      </c>
      <c r="D637" t="s">
        <v>338</v>
      </c>
      <c r="E637" s="5" t="s">
        <v>8</v>
      </c>
      <c r="F637" s="1" cm="1">
        <f t="array" ref="F637">SUMPRODUCT(("SUP_WSTBIO"=[1]OUT_SyntheticFuels!$C$4:$C$1000)*1,("LTH"=[1]OUT_SyntheticFuels!$A$4:$A$1000)*1,("Var_Fout"=[1]OUT_SyntheticFuels!$B$4:$B$1000)*1,[1]OUT_SyntheticFuels!E$4:E$1000)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SUMPRODUCT(("SUP_WSTBIO"=[1]OUT_SyntheticFuels!$C$4:$C$1000)*1,("LTH"=[1]OUT_SyntheticFuels!$A$4:$A$1000)*1,("Var_Fout"=[1]OUT_SyntheticFuels!$B$4:$B$1000)*1,[1]OUT_SyntheticFuels!I$4:I$1000)</f>
        <v>0</v>
      </c>
      <c r="K637" s="1" cm="1">
        <f t="array" ref="K637">SUMPRODUCT(("SUP_WSTBIO"=[1]OUT_SyntheticFuels!$C$4:$C$1000)*1,("LTH"=[1]OUT_SyntheticFuels!$A$4:$A$1000)*1,("Var_Fout"=[1]OUT_SyntheticFuels!$B$4:$B$1000)*1,[1]OUT_SyntheticFuels!J$4:J$1000)</f>
        <v>0</v>
      </c>
      <c r="L637" s="1" cm="1">
        <f t="array" ref="L637">SUMPRODUCT(("SUP_WSTBIO"=[1]OUT_SyntheticFuels!$C$4:$C$1000)*1,("LTH"=[1]OUT_SyntheticFuels!$A$4:$A$1000)*1,("Var_Fout"=[1]OUT_SyntheticFuels!$B$4:$B$1000)*1,[1]OUT_SyntheticFuels!K$4:K$1000)</f>
        <v>0</v>
      </c>
      <c r="M637" s="1" cm="1">
        <f t="array" ref="M637">SUMPRODUCT(("SUP_WSTBIO"=[1]OUT_SyntheticFuels!$C$4:$C$1000)*1,("LTH"=[1]OUT_SyntheticFuels!$A$4:$A$1000)*1,("Var_Fout"=[1]OUT_SyntheticFuels!$B$4:$B$1000)*1,[1]OUT_SyntheticFuels!L$4:L$1000)</f>
        <v>0</v>
      </c>
      <c r="N637" s="1" cm="1">
        <f t="array" ref="N637">SUMPRODUCT(("SUP_WSTBIO"=[1]OUT_SyntheticFuels!$C$4:$C$1000)*1,("LTH"=[1]OUT_SyntheticFuels!$A$4:$A$1000)*1,("Var_Fout"=[1]OUT_SyntheticFuels!$B$4:$B$1000)*1,[1]OUT_SyntheticFuels!M$4:M$1000)</f>
        <v>0</v>
      </c>
      <c r="O637" s="1" cm="1">
        <f t="array" ref="O637">SUMPRODUCT(("SUP_WSTBIO"=[1]OUT_SyntheticFuels!$C$4:$C$1000)*1,("LTH"=[1]OUT_SyntheticFuels!$A$4:$A$1000)*1,("Var_Fout"=[1]OUT_SyntheticFuels!$B$4:$B$1000)*1,[1]OUT_SyntheticFuels!N$4:N$1000)</f>
        <v>0</v>
      </c>
      <c r="P637" s="1" cm="1">
        <f t="array" ref="P637">SUMPRODUCT(("SUP_WSTBIO"=[1]OUT_SyntheticFuels!$C$4:$C$1000)*1,("LTH"=[1]OUT_SyntheticFuels!$A$4:$A$1000)*1,("Var_Fout"=[1]OUT_SyntheticFuels!$B$4:$B$1000)*1,[1]OUT_SyntheticFuels!O$4:O$1000)</f>
        <v>0</v>
      </c>
      <c r="Q637" s="1" cm="1">
        <f t="array" ref="Q637">SUMPRODUCT(("SUP_WSTBIO"=[1]OUT_SyntheticFuels!$C$4:$C$1000)*1,("LTH"=[1]OUT_SyntheticFuels!$A$4:$A$1000)*1,("Var_Fout"=[1]OUT_SyntheticFuels!$B$4:$B$1000)*1,[1]OUT_SyntheticFuels!P$4:P$1000)</f>
        <v>0</v>
      </c>
      <c r="S637" s="3"/>
    </row>
    <row r="638" spans="2:19" x14ac:dyDescent="0.5">
      <c r="B638" s="5" t="s">
        <v>6</v>
      </c>
      <c r="C638" s="5" t="s">
        <v>7</v>
      </c>
      <c r="D638" t="s">
        <v>339</v>
      </c>
      <c r="E638" s="5" t="s">
        <v>8</v>
      </c>
      <c r="F638" s="1" cm="1">
        <f t="array" ref="F638">SUMPRODUCT(("SUP_WSTBIOCCS"=[1]OUT_SyntheticFuels!$C$4:$C$1000)*1,("LTH"=[1]OUT_SyntheticFuels!$A$4:$A$1000)*1,("Var_Fout"=[1]OUT_SyntheticFuels!$B$4:$B$1000)*1,[1]OUT_SyntheticFuels!E$4:E$1000)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SUMPRODUCT(("SUP_WSTBIOCCS"=[1]OUT_SyntheticFuels!$C$4:$C$1000)*1,("LTH"=[1]OUT_SyntheticFuels!$A$4:$A$1000)*1,("Var_Fout"=[1]OUT_SyntheticFuels!$B$4:$B$1000)*1,[1]OUT_SyntheticFuels!I$4:I$1000)</f>
        <v>0</v>
      </c>
      <c r="K638" s="1" cm="1">
        <f t="array" ref="K638">SUMPRODUCT(("SUP_WSTBIOCCS"=[1]OUT_SyntheticFuels!$C$4:$C$1000)*1,("LTH"=[1]OUT_SyntheticFuels!$A$4:$A$1000)*1,("Var_Fout"=[1]OUT_SyntheticFuels!$B$4:$B$1000)*1,[1]OUT_SyntheticFuels!J$4:J$1000)</f>
        <v>0</v>
      </c>
      <c r="L638" s="1" cm="1">
        <f t="array" ref="L638">SUMPRODUCT(("SUP_WSTBIOCCS"=[1]OUT_SyntheticFuels!$C$4:$C$1000)*1,("LTH"=[1]OUT_SyntheticFuels!$A$4:$A$1000)*1,("Var_Fout"=[1]OUT_SyntheticFuels!$B$4:$B$1000)*1,[1]OUT_SyntheticFuels!K$4:K$1000)</f>
        <v>0</v>
      </c>
      <c r="M638" s="1" cm="1">
        <f t="array" ref="M638">SUMPRODUCT(("SUP_WSTBIOCCS"=[1]OUT_SyntheticFuels!$C$4:$C$1000)*1,("LTH"=[1]OUT_SyntheticFuels!$A$4:$A$1000)*1,("Var_Fout"=[1]OUT_SyntheticFuels!$B$4:$B$1000)*1,[1]OUT_SyntheticFuels!L$4:L$1000)</f>
        <v>0</v>
      </c>
      <c r="N638" s="1" cm="1">
        <f t="array" ref="N638">SUMPRODUCT(("SUP_WSTBIOCCS"=[1]OUT_SyntheticFuels!$C$4:$C$1000)*1,("LTH"=[1]OUT_SyntheticFuels!$A$4:$A$1000)*1,("Var_Fout"=[1]OUT_SyntheticFuels!$B$4:$B$1000)*1,[1]OUT_SyntheticFuels!M$4:M$1000)</f>
        <v>0</v>
      </c>
      <c r="O638" s="1" cm="1">
        <f t="array" ref="O638">SUMPRODUCT(("SUP_WSTBIOCCS"=[1]OUT_SyntheticFuels!$C$4:$C$1000)*1,("LTH"=[1]OUT_SyntheticFuels!$A$4:$A$1000)*1,("Var_Fout"=[1]OUT_SyntheticFuels!$B$4:$B$1000)*1,[1]OUT_SyntheticFuels!N$4:N$1000)</f>
        <v>0</v>
      </c>
      <c r="P638" s="1" cm="1">
        <f t="array" ref="P638">SUMPRODUCT(("SUP_WSTBIOCCS"=[1]OUT_SyntheticFuels!$C$4:$C$1000)*1,("LTH"=[1]OUT_SyntheticFuels!$A$4:$A$1000)*1,("Var_Fout"=[1]OUT_SyntheticFuels!$B$4:$B$1000)*1,[1]OUT_SyntheticFuels!O$4:O$1000)</f>
        <v>0</v>
      </c>
      <c r="Q638" s="1" cm="1">
        <f t="array" ref="Q638">SUMPRODUCT(("SUP_WSTBIOCCS"=[1]OUT_SyntheticFuels!$C$4:$C$1000)*1,("LTH"=[1]OUT_SyntheticFuels!$A$4:$A$1000)*1,("Var_Fout"=[1]OUT_SyntheticFuels!$B$4:$B$1000)*1,[1]OUT_SyntheticFuels!P$4:P$1000)</f>
        <v>0</v>
      </c>
      <c r="S638" s="3"/>
    </row>
    <row r="639" spans="2:19" x14ac:dyDescent="0.5">
      <c r="B639" s="5" t="s">
        <v>6</v>
      </c>
      <c r="C639" s="5" t="s">
        <v>7</v>
      </c>
      <c r="D639" t="s">
        <v>340</v>
      </c>
      <c r="E639" s="5" t="s">
        <v>8</v>
      </c>
      <c r="F639" s="1" cm="1">
        <f t="array" ref="F639">SUMPRODUCT(("SUP_WSTHTGBIO"=[1]OUT_SyntheticFuels!$C$4:$C$1000)*1,("LTH"=[1]OUT_SyntheticFuels!$A$4:$A$1000)*1,("Var_Fout"=[1]OUT_SyntheticFuels!$B$4:$B$1000)*1,[1]OUT_SyntheticFuels!E$4:E$1000)</f>
        <v>0</v>
      </c>
      <c r="G639" s="1" cm="1">
        <f t="array" ref="G639">SUMPRODUCT(("SUP_WSTHTGBIO"=[1]OUT_SyntheticFuels!$C$4:$C$1000)*1,("LTH"=[1]OUT_SyntheticFuels!$A$4:$A$1000)*1,("Var_Fout"=[1]OUT_SyntheticFuels!$B$4:$B$1000)*1,[1]OUT_SyntheticFuels!F$4:F$1000)</f>
        <v>0</v>
      </c>
      <c r="H639" s="1" cm="1">
        <f t="array" ref="H639">SUMPRODUCT(("SUP_WSTHTGBIO"=[1]OUT_SyntheticFuels!$C$4:$C$1000)*1,("LTH"=[1]OUT_SyntheticFuels!$A$4:$A$1000)*1,("Var_Fout"=[1]OUT_SyntheticFuels!$B$4:$B$1000)*1,[1]OUT_SyntheticFuels!G$4:G$1000)</f>
        <v>0</v>
      </c>
      <c r="I639" s="1" cm="1">
        <f t="array" ref="I639">SUMPRODUCT(("SUP_WSTHTGBIO"=[1]OUT_SyntheticFuels!$C$4:$C$1000)*1,("LTH"=[1]OUT_SyntheticFuels!$A$4:$A$1000)*1,("Var_Fout"=[1]OUT_SyntheticFuels!$B$4:$B$1000)*1,[1]OUT_SyntheticFuels!H$4:H$1000)</f>
        <v>0</v>
      </c>
      <c r="J639" s="1" cm="1">
        <f t="array" ref="J639">SUMPRODUCT(("SUP_WSTHTGBIO"=[1]OUT_SyntheticFuels!$C$4:$C$1000)*1,("LTH"=[1]OUT_SyntheticFuels!$A$4:$A$1000)*1,("Var_Fout"=[1]OUT_SyntheticFuels!$B$4:$B$1000)*1,[1]OUT_SyntheticFuels!I$4:I$1000)</f>
        <v>0</v>
      </c>
      <c r="K639" s="1" cm="1">
        <f t="array" ref="K639">SUMPRODUCT(("SUP_WSTHTGBIO"=[1]OUT_SyntheticFuels!$C$4:$C$1000)*1,("LTH"=[1]OUT_SyntheticFuels!$A$4:$A$1000)*1,("Var_Fout"=[1]OUT_SyntheticFuels!$B$4:$B$1000)*1,[1]OUT_SyntheticFuels!J$4:J$1000)</f>
        <v>0</v>
      </c>
      <c r="L639" s="1" cm="1">
        <f t="array" ref="L639">SUMPRODUCT(("SUP_WSTHTGBIO"=[1]OUT_SyntheticFuels!$C$4:$C$1000)*1,("LTH"=[1]OUT_SyntheticFuels!$A$4:$A$1000)*1,("Var_Fout"=[1]OUT_SyntheticFuels!$B$4:$B$1000)*1,[1]OUT_SyntheticFuels!K$4:K$1000)</f>
        <v>0</v>
      </c>
      <c r="M639" s="1" cm="1">
        <f t="array" ref="M639">SUMPRODUCT(("SUP_WSTHTGBIO"=[1]OUT_SyntheticFuels!$C$4:$C$1000)*1,("LTH"=[1]OUT_SyntheticFuels!$A$4:$A$1000)*1,("Var_Fout"=[1]OUT_SyntheticFuels!$B$4:$B$1000)*1,[1]OUT_SyntheticFuels!L$4:L$1000)</f>
        <v>0</v>
      </c>
      <c r="N639" s="1" cm="1">
        <f t="array" ref="N639">SUMPRODUCT(("SUP_WSTHTGBIO"=[1]OUT_SyntheticFuels!$C$4:$C$1000)*1,("LTH"=[1]OUT_SyntheticFuels!$A$4:$A$1000)*1,("Var_Fout"=[1]OUT_SyntheticFuels!$B$4:$B$1000)*1,[1]OUT_SyntheticFuels!M$4:M$1000)</f>
        <v>0</v>
      </c>
      <c r="O639" s="1" cm="1">
        <f t="array" ref="O639">SUMPRODUCT(("SUP_WSTHTGBIO"=[1]OUT_SyntheticFuels!$C$4:$C$1000)*1,("LTH"=[1]OUT_SyntheticFuels!$A$4:$A$1000)*1,("Var_Fout"=[1]OUT_SyntheticFuels!$B$4:$B$1000)*1,[1]OUT_SyntheticFuels!N$4:N$1000)</f>
        <v>0</v>
      </c>
      <c r="P639" s="1" cm="1">
        <f t="array" ref="P639">SUMPRODUCT(("SUP_WSTHTGBIO"=[1]OUT_SyntheticFuels!$C$4:$C$1000)*1,("LTH"=[1]OUT_SyntheticFuels!$A$4:$A$1000)*1,("Var_Fout"=[1]OUT_SyntheticFuels!$B$4:$B$1000)*1,[1]OUT_SyntheticFuels!O$4:O$1000)</f>
        <v>0</v>
      </c>
      <c r="Q639" s="1" cm="1">
        <f t="array" ref="Q639">SUMPRODUCT(("SUP_WSTHTGBIO"=[1]OUT_SyntheticFuels!$C$4:$C$1000)*1,("LTH"=[1]OUT_SyntheticFuels!$A$4:$A$1000)*1,("Var_Fout"=[1]OUT_SyntheticFuels!$B$4:$B$1000)*1,[1]OUT_SyntheticFuels!P$4:P$1000)</f>
        <v>0</v>
      </c>
      <c r="S639" s="3"/>
    </row>
    <row r="640" spans="2:19" x14ac:dyDescent="0.5">
      <c r="B640" s="5" t="s">
        <v>6</v>
      </c>
      <c r="C640" s="5" t="s">
        <v>7</v>
      </c>
      <c r="D640" t="s">
        <v>341</v>
      </c>
      <c r="E640" s="5" t="s">
        <v>8</v>
      </c>
      <c r="F640" s="1" cm="1">
        <f t="array" ref="F640">SUMPRODUCT(("SUP_WSTHTGBIOCCS"=[1]OUT_SyntheticFuels!$C$4:$C$1000)*1,("LTH"=[1]OUT_SyntheticFuels!$A$4:$A$1000)*1,("Var_Fout"=[1]OUT_SyntheticFuels!$B$4:$B$1000)*1,[1]OUT_SyntheticFuels!E$4:E$1000)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SUMPRODUCT(("SUP_WSTHTGBIOCCS"=[1]OUT_SyntheticFuels!$C$4:$C$1000)*1,("LTH"=[1]OUT_SyntheticFuels!$A$4:$A$1000)*1,("Var_Fout"=[1]OUT_SyntheticFuels!$B$4:$B$1000)*1,[1]OUT_SyntheticFuels!F$4:F$1000)</f>
        <v>0</v>
      </c>
      <c r="H640" s="1" cm="1">
        <f t="array" ref="H640">SUMPRODUCT(("SUP_WSTHTGBIOCCS"=[1]OUT_SyntheticFuels!$C$4:$C$1000)*1,("LTH"=[1]OUT_SyntheticFuels!$A$4:$A$1000)*1,("Var_Fout"=[1]OUT_SyntheticFuels!$B$4:$B$1000)*1,[1]OUT_SyntheticFuels!G$4:G$1000)</f>
        <v>0</v>
      </c>
      <c r="I640" s="1" cm="1">
        <f t="array" ref="I640">SUMPRODUCT(("SUP_WSTHTGBIOCCS"=[1]OUT_SyntheticFuels!$C$4:$C$1000)*1,("LTH"=[1]OUT_SyntheticFuels!$A$4:$A$1000)*1,("Var_Fout"=[1]OUT_SyntheticFuels!$B$4:$B$1000)*1,[1]OUT_SyntheticFuels!H$4:H$1000)</f>
        <v>0</v>
      </c>
      <c r="J640" s="1" cm="1">
        <f t="array" ref="J640">SUMPRODUCT(("SUP_WSTHTGBIOCCS"=[1]OUT_SyntheticFuels!$C$4:$C$1000)*1,("LTH"=[1]OUT_SyntheticFuels!$A$4:$A$1000)*1,("Var_Fout"=[1]OUT_SyntheticFuels!$B$4:$B$1000)*1,[1]OUT_SyntheticFuels!I$4:I$1000)</f>
        <v>0</v>
      </c>
      <c r="K640" s="1" cm="1">
        <f t="array" ref="K640">SUMPRODUCT(("SUP_WSTHTGBIOCCS"=[1]OUT_SyntheticFuels!$C$4:$C$1000)*1,("LTH"=[1]OUT_SyntheticFuels!$A$4:$A$1000)*1,("Var_Fout"=[1]OUT_SyntheticFuels!$B$4:$B$1000)*1,[1]OUT_SyntheticFuels!J$4:J$1000)</f>
        <v>0</v>
      </c>
      <c r="L640" s="1" cm="1">
        <f t="array" ref="L640">SUMPRODUCT(("SUP_WSTHTGBIOCCS"=[1]OUT_SyntheticFuels!$C$4:$C$1000)*1,("LTH"=[1]OUT_SyntheticFuels!$A$4:$A$1000)*1,("Var_Fout"=[1]OUT_SyntheticFuels!$B$4:$B$1000)*1,[1]OUT_SyntheticFuels!K$4:K$1000)</f>
        <v>0</v>
      </c>
      <c r="M640" s="1" cm="1">
        <f t="array" ref="M640">SUMPRODUCT(("SUP_WSTHTGBIOCCS"=[1]OUT_SyntheticFuels!$C$4:$C$1000)*1,("LTH"=[1]OUT_SyntheticFuels!$A$4:$A$1000)*1,("Var_Fout"=[1]OUT_SyntheticFuels!$B$4:$B$1000)*1,[1]OUT_SyntheticFuels!L$4:L$1000)</f>
        <v>0</v>
      </c>
      <c r="N640" s="1" cm="1">
        <f t="array" ref="N640">SUMPRODUCT(("SUP_WSTHTGBIOCCS"=[1]OUT_SyntheticFuels!$C$4:$C$1000)*1,("LTH"=[1]OUT_SyntheticFuels!$A$4:$A$1000)*1,("Var_Fout"=[1]OUT_SyntheticFuels!$B$4:$B$1000)*1,[1]OUT_SyntheticFuels!M$4:M$1000)</f>
        <v>0</v>
      </c>
      <c r="O640" s="1" cm="1">
        <f t="array" ref="O640">SUMPRODUCT(("SUP_WSTHTGBIOCCS"=[1]OUT_SyntheticFuels!$C$4:$C$1000)*1,("LTH"=[1]OUT_SyntheticFuels!$A$4:$A$1000)*1,("Var_Fout"=[1]OUT_SyntheticFuels!$B$4:$B$1000)*1,[1]OUT_SyntheticFuels!N$4:N$1000)</f>
        <v>0</v>
      </c>
      <c r="P640" s="1" cm="1">
        <f t="array" ref="P640">SUMPRODUCT(("SUP_WSTHTGBIOCCS"=[1]OUT_SyntheticFuels!$C$4:$C$1000)*1,("LTH"=[1]OUT_SyntheticFuels!$A$4:$A$1000)*1,("Var_Fout"=[1]OUT_SyntheticFuels!$B$4:$B$1000)*1,[1]OUT_SyntheticFuels!O$4:O$1000)</f>
        <v>0</v>
      </c>
      <c r="Q640" s="1" cm="1">
        <f t="array" ref="Q640">SUMPRODUCT(("SUP_WSTHTGBIOCCS"=[1]OUT_SyntheticFuels!$C$4:$C$1000)*1,("LTH"=[1]OUT_SyntheticFuels!$A$4:$A$1000)*1,("Var_Fout"=[1]OUT_SyntheticFuels!$B$4:$B$1000)*1,[1]OUT_SyntheticFuels!P$4:P$1000)</f>
        <v>0</v>
      </c>
      <c r="S640" s="3"/>
    </row>
    <row r="641" spans="2:19" x14ac:dyDescent="0.5">
      <c r="B641" s="5" t="s">
        <v>6</v>
      </c>
      <c r="C641" s="5" t="s">
        <v>7</v>
      </c>
      <c r="D641" t="s">
        <v>911</v>
      </c>
      <c r="E641" s="5" t="s">
        <v>8</v>
      </c>
      <c r="F641" s="1">
        <f>SUM(F642:F643)</f>
        <v>0</v>
      </c>
      <c r="G641" s="1">
        <f t="shared" ref="G641" si="715">SUM(G642:G643)</f>
        <v>5.1214273834690466E-5</v>
      </c>
      <c r="H641" s="1">
        <f t="shared" ref="H641" si="716">SUM(H642:H643)</f>
        <v>0</v>
      </c>
      <c r="I641" s="1">
        <f t="shared" ref="I641" si="717">SUM(I642:I643)</f>
        <v>2.1966703023715156E-4</v>
      </c>
      <c r="J641" s="1">
        <f t="shared" ref="J641" si="718">SUM(J642:J643)</f>
        <v>2.6192189280451519E-4</v>
      </c>
      <c r="K641" s="1">
        <f t="shared" ref="K641" si="719">SUM(K642:K643)</f>
        <v>3.0936200363073621E-4</v>
      </c>
      <c r="L641" s="1">
        <f t="shared" ref="L641:O641" si="720">SUM(L642:L643)</f>
        <v>3.6353562628700246E-4</v>
      </c>
      <c r="M641" s="1">
        <f t="shared" si="720"/>
        <v>6.1440904212467756E-4</v>
      </c>
      <c r="N641" s="1">
        <f t="shared" si="720"/>
        <v>5.8925476624830764E-4</v>
      </c>
      <c r="O641" s="1">
        <f t="shared" si="720"/>
        <v>1.4967825012588854E-3</v>
      </c>
      <c r="P641" s="1">
        <f>SUM(P642:P643)</f>
        <v>1.710211454428408E-3</v>
      </c>
      <c r="Q641" s="1">
        <f>SUM(Q642:Q643)</f>
        <v>2.6884438102385841E-3</v>
      </c>
      <c r="S641" s="3"/>
    </row>
    <row r="642" spans="2:19" x14ac:dyDescent="0.5">
      <c r="B642" s="5" t="s">
        <v>6</v>
      </c>
      <c r="C642" s="5" t="s">
        <v>7</v>
      </c>
      <c r="D642" t="s">
        <v>342</v>
      </c>
      <c r="E642" s="5" t="s">
        <v>8</v>
      </c>
      <c r="F642" s="1" cm="1">
        <f t="array" ref="F642">SUMPRODUCT(("SUP_WODBIO"=[1]OUT_SyntheticFuels!$C$4:$C$1000)*1,("LTH"=[1]OUT_SyntheticFuels!$A$4:$A$1000)*1,("Var_Fout"=[1]OUT_SyntheticFuels!$B$4:$B$1000)*1,[1]OUT_SyntheticFuels!E$4:E$1000)</f>
        <v>0</v>
      </c>
      <c r="G642" s="1" cm="1">
        <f t="array" ref="G642">SUMPRODUCT(("SUP_WODBIO"=[1]OUT_SyntheticFuels!$C$4:$C$1000)*1,("LTH"=[1]OUT_SyntheticFuels!$A$4:$A$1000)*1,("Var_Fout"=[1]OUT_SyntheticFuels!$B$4:$B$1000)*1,[1]OUT_SyntheticFuels!F$4:F$1000)</f>
        <v>5.1214273834690466E-5</v>
      </c>
      <c r="H642" s="1" cm="1">
        <f t="array" ref="H642">SUMPRODUCT(("SUP_WODBIO"=[1]OUT_SyntheticFuels!$C$4:$C$1000)*1,("LTH"=[1]OUT_SyntheticFuels!$A$4:$A$1000)*1,("Var_Fout"=[1]OUT_SyntheticFuels!$B$4:$B$1000)*1,[1]OUT_SyntheticFuels!G$4:G$1000)</f>
        <v>0</v>
      </c>
      <c r="I642" s="1" cm="1">
        <f t="array" ref="I642">SUMPRODUCT(("SUP_WODBIO"=[1]OUT_SyntheticFuels!$C$4:$C$1000)*1,("LTH"=[1]OUT_SyntheticFuels!$A$4:$A$1000)*1,("Var_Fout"=[1]OUT_SyntheticFuels!$B$4:$B$1000)*1,[1]OUT_SyntheticFuels!H$4:H$1000)</f>
        <v>2.1966703023715156E-4</v>
      </c>
      <c r="J642" s="1" cm="1">
        <f t="array" ref="J642">SUMPRODUCT(("SUP_WODBIO"=[1]OUT_SyntheticFuels!$C$4:$C$1000)*1,("LTH"=[1]OUT_SyntheticFuels!$A$4:$A$1000)*1,("Var_Fout"=[1]OUT_SyntheticFuels!$B$4:$B$1000)*1,[1]OUT_SyntheticFuels!I$4:I$1000)</f>
        <v>2.6192189280451519E-4</v>
      </c>
      <c r="K642" s="1" cm="1">
        <f t="array" ref="K642">SUMPRODUCT(("SUP_WODBIO"=[1]OUT_SyntheticFuels!$C$4:$C$1000)*1,("LTH"=[1]OUT_SyntheticFuels!$A$4:$A$1000)*1,("Var_Fout"=[1]OUT_SyntheticFuels!$B$4:$B$1000)*1,[1]OUT_SyntheticFuels!J$4:J$1000)</f>
        <v>1.5621849542289733E-4</v>
      </c>
      <c r="L642" s="1" cm="1">
        <f t="array" ref="L642">SUMPRODUCT(("SUP_WODBIO"=[1]OUT_SyntheticFuels!$C$4:$C$1000)*1,("LTH"=[1]OUT_SyntheticFuels!$A$4:$A$1000)*1,("Var_Fout"=[1]OUT_SyntheticFuels!$B$4:$B$1000)*1,[1]OUT_SyntheticFuels!K$4:K$1000)</f>
        <v>1.6996859930413729E-4</v>
      </c>
      <c r="M642" s="1" cm="1">
        <f t="array" ref="M642">SUMPRODUCT(("SUP_WODBIO"=[1]OUT_SyntheticFuels!$C$4:$C$1000)*1,("LTH"=[1]OUT_SyntheticFuels!$A$4:$A$1000)*1,("Var_Fout"=[1]OUT_SyntheticFuels!$B$4:$B$1000)*1,[1]OUT_SyntheticFuels!L$4:L$1000)</f>
        <v>1.4351753922992405E-4</v>
      </c>
      <c r="N642" s="1" cm="1">
        <f t="array" ref="N642">SUMPRODUCT(("SUP_WODBIO"=[1]OUT_SyntheticFuels!$C$4:$C$1000)*1,("LTH"=[1]OUT_SyntheticFuels!$A$4:$A$1000)*1,("Var_Fout"=[1]OUT_SyntheticFuels!$B$4:$B$1000)*1,[1]OUT_SyntheticFuels!M$4:M$1000)</f>
        <v>1.5482005183929326E-4</v>
      </c>
      <c r="O642" s="1" cm="1">
        <f t="array" ref="O642">SUMPRODUCT(("SUP_WODBIO"=[1]OUT_SyntheticFuels!$C$4:$C$1000)*1,("LTH"=[1]OUT_SyntheticFuels!$A$4:$A$1000)*1,("Var_Fout"=[1]OUT_SyntheticFuels!$B$4:$B$1000)*1,[1]OUT_SyntheticFuels!N$4:N$1000)</f>
        <v>1.6352554685947194E-4</v>
      </c>
      <c r="P642" s="1" cm="1">
        <f t="array" ref="P642">SUMPRODUCT(("SUP_WODBIO"=[1]OUT_SyntheticFuels!$C$4:$C$1000)*1,("LTH"=[1]OUT_SyntheticFuels!$A$4:$A$1000)*1,("Var_Fout"=[1]OUT_SyntheticFuels!$B$4:$B$1000)*1,[1]OUT_SyntheticFuels!O$4:O$1000)</f>
        <v>4.2575106732394458E-4</v>
      </c>
      <c r="Q642" s="1" cm="1">
        <f t="array" ref="Q642">SUMPRODUCT(("SUP_WODBIO"=[1]OUT_SyntheticFuels!$C$4:$C$1000)*1,("LTH"=[1]OUT_SyntheticFuels!$A$4:$A$1000)*1,("Var_Fout"=[1]OUT_SyntheticFuels!$B$4:$B$1000)*1,[1]OUT_SyntheticFuels!P$4:P$1000)</f>
        <v>9.8835277599072335E-4</v>
      </c>
      <c r="S642" s="3"/>
    </row>
    <row r="643" spans="2:19" x14ac:dyDescent="0.5">
      <c r="B643" s="5" t="s">
        <v>6</v>
      </c>
      <c r="C643" s="5" t="s">
        <v>7</v>
      </c>
      <c r="D643" t="s">
        <v>343</v>
      </c>
      <c r="E643" s="5" t="s">
        <v>8</v>
      </c>
      <c r="F643" s="1" cm="1">
        <f t="array" ref="F643">SUMPRODUCT(("SUP_WODBIOCCS"=[1]OUT_SyntheticFuels!$C$4:$C$1000)*1,("LTH"=[1]OUT_SyntheticFuels!$A$4:$A$1000)*1,("Var_Fout"=[1]OUT_SyntheticFuels!$B$4:$B$1000)*1,[1]OUT_SyntheticFuels!E$4:E$1000)</f>
        <v>0</v>
      </c>
      <c r="G643" s="1" cm="1">
        <f t="array" ref="G643">SUMPRODUCT(("SUP_WODBIOCCS"=[1]OUT_SyntheticFuels!$C$4:$C$1000)*1,("LTH"=[1]OUT_SyntheticFuels!$A$4:$A$1000)*1,("Var_Fout"=[1]OUT_SyntheticFuels!$B$4:$B$1000)*1,[1]OUT_SyntheticFuels!F$4:F$1000)</f>
        <v>0</v>
      </c>
      <c r="H643" s="1" cm="1">
        <f t="array" ref="H643">SUMPRODUCT(("SUP_WODBIOCCS"=[1]OUT_SyntheticFuels!$C$4:$C$1000)*1,("LTH"=[1]OUT_SyntheticFuels!$A$4:$A$1000)*1,("Var_Fout"=[1]OUT_SyntheticFuels!$B$4:$B$1000)*1,[1]OUT_SyntheticFuels!G$4:G$1000)</f>
        <v>0</v>
      </c>
      <c r="I643" s="1" cm="1">
        <f t="array" ref="I643">SUMPRODUCT(("SUP_WODBIOCCS"=[1]OUT_SyntheticFuels!$C$4:$C$1000)*1,("LTH"=[1]OUT_SyntheticFuels!$A$4:$A$1000)*1,("Var_Fout"=[1]OUT_SyntheticFuels!$B$4:$B$1000)*1,[1]OUT_SyntheticFuels!H$4:H$1000)</f>
        <v>0</v>
      </c>
      <c r="J643" s="1" cm="1">
        <f t="array" ref="J643">SUMPRODUCT(("SUP_WODBIOCCS"=[1]OUT_SyntheticFuels!$C$4:$C$1000)*1,("LTH"=[1]OUT_SyntheticFuels!$A$4:$A$1000)*1,("Var_Fout"=[1]OUT_SyntheticFuels!$B$4:$B$1000)*1,[1]OUT_SyntheticFuels!I$4:I$1000)</f>
        <v>0</v>
      </c>
      <c r="K643" s="1" cm="1">
        <f t="array" ref="K643">SUMPRODUCT(("SUP_WODBIOCCS"=[1]OUT_SyntheticFuels!$C$4:$C$1000)*1,("LTH"=[1]OUT_SyntheticFuels!$A$4:$A$1000)*1,("Var_Fout"=[1]OUT_SyntheticFuels!$B$4:$B$1000)*1,[1]OUT_SyntheticFuels!J$4:J$1000)</f>
        <v>1.5314350820783891E-4</v>
      </c>
      <c r="L643" s="1" cm="1">
        <f t="array" ref="L643">SUMPRODUCT(("SUP_WODBIOCCS"=[1]OUT_SyntheticFuels!$C$4:$C$1000)*1,("LTH"=[1]OUT_SyntheticFuels!$A$4:$A$1000)*1,("Var_Fout"=[1]OUT_SyntheticFuels!$B$4:$B$1000)*1,[1]OUT_SyntheticFuels!K$4:K$1000)</f>
        <v>1.9356702698286517E-4</v>
      </c>
      <c r="M643" s="1" cm="1">
        <f t="array" ref="M643">SUMPRODUCT(("SUP_WODBIOCCS"=[1]OUT_SyntheticFuels!$C$4:$C$1000)*1,("LTH"=[1]OUT_SyntheticFuels!$A$4:$A$1000)*1,("Var_Fout"=[1]OUT_SyntheticFuels!$B$4:$B$1000)*1,[1]OUT_SyntheticFuels!L$4:L$1000)</f>
        <v>4.7089150289475354E-4</v>
      </c>
      <c r="N643" s="1" cm="1">
        <f t="array" ref="N643">SUMPRODUCT(("SUP_WODBIOCCS"=[1]OUT_SyntheticFuels!$C$4:$C$1000)*1,("LTH"=[1]OUT_SyntheticFuels!$A$4:$A$1000)*1,("Var_Fout"=[1]OUT_SyntheticFuels!$B$4:$B$1000)*1,[1]OUT_SyntheticFuels!M$4:M$1000)</f>
        <v>4.344347144090144E-4</v>
      </c>
      <c r="O643" s="1" cm="1">
        <f t="array" ref="O643">SUMPRODUCT(("SUP_WODBIOCCS"=[1]OUT_SyntheticFuels!$C$4:$C$1000)*1,("LTH"=[1]OUT_SyntheticFuels!$A$4:$A$1000)*1,("Var_Fout"=[1]OUT_SyntheticFuels!$B$4:$B$1000)*1,[1]OUT_SyntheticFuels!N$4:N$1000)</f>
        <v>1.3332569543994136E-3</v>
      </c>
      <c r="P643" s="1" cm="1">
        <f t="array" ref="P643">SUMPRODUCT(("SUP_WODBIOCCS"=[1]OUT_SyntheticFuels!$C$4:$C$1000)*1,("LTH"=[1]OUT_SyntheticFuels!$A$4:$A$1000)*1,("Var_Fout"=[1]OUT_SyntheticFuels!$B$4:$B$1000)*1,[1]OUT_SyntheticFuels!O$4:O$1000)</f>
        <v>1.2844603871044634E-3</v>
      </c>
      <c r="Q643" s="1" cm="1">
        <f t="array" ref="Q643">SUMPRODUCT(("SUP_WODBIOCCS"=[1]OUT_SyntheticFuels!$C$4:$C$1000)*1,("LTH"=[1]OUT_SyntheticFuels!$A$4:$A$1000)*1,("Var_Fout"=[1]OUT_SyntheticFuels!$B$4:$B$1000)*1,[1]OUT_SyntheticFuels!P$4:P$1000)</f>
        <v>1.7000910342478606E-3</v>
      </c>
      <c r="S643" s="3"/>
    </row>
    <row r="644" spans="2:19" x14ac:dyDescent="0.5">
      <c r="B644" s="5" t="s">
        <v>6</v>
      </c>
      <c r="C644" s="5" t="s">
        <v>7</v>
      </c>
      <c r="D644" s="2" t="s">
        <v>387</v>
      </c>
      <c r="E644" s="9" t="s">
        <v>8</v>
      </c>
      <c r="F644" s="3">
        <f>F645+F646+F651</f>
        <v>13.477582672014735</v>
      </c>
      <c r="G644" s="3">
        <f t="shared" ref="G644" si="721">G645+G646+G651</f>
        <v>21.132023010923859</v>
      </c>
      <c r="H644" s="3">
        <f t="shared" ref="H644" si="722">H645+H646+H651</f>
        <v>21.662913906882459</v>
      </c>
      <c r="I644" s="3">
        <f t="shared" ref="I644" si="723">I645+I646+I651</f>
        <v>22.52400891838542</v>
      </c>
      <c r="J644" s="3">
        <f t="shared" ref="J644" si="724">J645+J646+J651</f>
        <v>22.503606045358922</v>
      </c>
      <c r="K644" s="3">
        <f t="shared" ref="K644" si="725">K645+K646+K651</f>
        <v>27.036928274138411</v>
      </c>
      <c r="L644" s="3">
        <f t="shared" ref="L644:O644" si="726">L645+L646+L651</f>
        <v>30.5193785201879</v>
      </c>
      <c r="M644" s="3">
        <f t="shared" si="726"/>
        <v>36.811944188419083</v>
      </c>
      <c r="N644" s="3">
        <f t="shared" si="726"/>
        <v>38.091970157782868</v>
      </c>
      <c r="O644" s="3">
        <f t="shared" si="726"/>
        <v>45.934018401201357</v>
      </c>
      <c r="P644" s="3">
        <f>P645+P646+P651</f>
        <v>45.966857724336016</v>
      </c>
      <c r="Q644" s="3">
        <f>Q645+Q646+Q651</f>
        <v>45.98162734196972</v>
      </c>
      <c r="S644" s="3"/>
    </row>
    <row r="645" spans="2:19" x14ac:dyDescent="0.5">
      <c r="B645" s="5" t="s">
        <v>6</v>
      </c>
      <c r="C645" s="5" t="s">
        <v>7</v>
      </c>
      <c r="D645" t="s">
        <v>344</v>
      </c>
      <c r="E645" s="5" t="s">
        <v>8</v>
      </c>
      <c r="F645" s="1" cm="1">
        <f t="array" ref="F645">SUMPRODUCT(("SUP_MNRBIO"=[1]OUT_SyntheticFuels!$C$4:$C$1000)*1,("VAR_FIN"=[1]OUT_SyntheticFuels!$B$4:$B$1000)*1,("MNR"=[1]OUT_SyntheticFuels!$A$4:$A$1000)*1,[1]OUT_SyntheticFuels!E$4:E$1000)</f>
        <v>3.7981634609877606</v>
      </c>
      <c r="G645" s="1" cm="1">
        <f t="array" ref="G645">SUMPRODUCT(("SUP_MNRBIO"=[1]OUT_SyntheticFuels!$C$4:$C$1000)*1,("VAR_FIN"=[1]OUT_SyntheticFuels!$B$4:$B$1000)*1,("MNR"=[1]OUT_SyntheticFuels!$A$4:$A$1000)*1,[1]OUT_SyntheticFuels!F$4:F$1000)</f>
        <v>11.252286127554454</v>
      </c>
      <c r="H645" s="1" cm="1">
        <f t="array" ref="H645">SUMPRODUCT(("SUP_MNRBIO"=[1]OUT_SyntheticFuels!$C$4:$C$1000)*1,("VAR_FIN"=[1]OUT_SyntheticFuels!$B$4:$B$1000)*1,("MNR"=[1]OUT_SyntheticFuels!$A$4:$A$1000)*1,[1]OUT_SyntheticFuels!G$4:G$1000)</f>
        <v>12.540446220780618</v>
      </c>
      <c r="I645" s="1" cm="1">
        <f t="array" ref="I645">SUMPRODUCT(("SUP_MNRBIO"=[1]OUT_SyntheticFuels!$C$4:$C$1000)*1,("VAR_FIN"=[1]OUT_SyntheticFuels!$B$4:$B$1000)*1,("MNR"=[1]OUT_SyntheticFuels!$A$4:$A$1000)*1,[1]OUT_SyntheticFuels!H$4:H$1000)</f>
        <v>12.540493368836378</v>
      </c>
      <c r="J645" s="1" cm="1">
        <f t="array" ref="J645">SUMPRODUCT(("SUP_MNRBIO"=[1]OUT_SyntheticFuels!$C$4:$C$1000)*1,("VAR_FIN"=[1]OUT_SyntheticFuels!$B$4:$B$1000)*1,("MNR"=[1]OUT_SyntheticFuels!$A$4:$A$1000)*1,[1]OUT_SyntheticFuels!I$4:I$1000)</f>
        <v>12.540499869310899</v>
      </c>
      <c r="K645" s="1" cm="1">
        <f t="array" ref="K645">SUMPRODUCT(("SUP_MNRBIO"=[1]OUT_SyntheticFuels!$C$4:$C$1000)*1,("VAR_FIN"=[1]OUT_SyntheticFuels!$B$4:$B$1000)*1,("MNR"=[1]OUT_SyntheticFuels!$A$4:$A$1000)*1,[1]OUT_SyntheticFuels!J$4:J$1000)</f>
        <v>12.566494609810112</v>
      </c>
      <c r="L645" s="1" cm="1">
        <f t="array" ref="L645">SUMPRODUCT(("SUP_MNRBIO"=[1]OUT_SyntheticFuels!$C$4:$C$1000)*1,("VAR_FIN"=[1]OUT_SyntheticFuels!$B$4:$B$1000)*1,("MNR"=[1]OUT_SyntheticFuels!$A$4:$A$1000)*1,[1]OUT_SyntheticFuels!K$4:K$1000)</f>
        <v>14.662043630112279</v>
      </c>
      <c r="M645" s="1" cm="1">
        <f t="array" ref="M645">SUMPRODUCT(("SUP_MNRBIO"=[1]OUT_SyntheticFuels!$C$4:$C$1000)*1,("VAR_FIN"=[1]OUT_SyntheticFuels!$B$4:$B$1000)*1,("MNR"=[1]OUT_SyntheticFuels!$A$4:$A$1000)*1,[1]OUT_SyntheticFuels!L$4:L$1000)</f>
        <v>19.704721262425917</v>
      </c>
      <c r="N645" s="1" cm="1">
        <f t="array" ref="N645">SUMPRODUCT(("SUP_MNRBIO"=[1]OUT_SyntheticFuels!$C$4:$C$1000)*1,("VAR_FIN"=[1]OUT_SyntheticFuels!$B$4:$B$1000)*1,("MNR"=[1]OUT_SyntheticFuels!$A$4:$A$1000)*1,[1]OUT_SyntheticFuels!M$4:M$1000)</f>
        <v>19.704732848406955</v>
      </c>
      <c r="O645" s="1" cm="1">
        <f t="array" ref="O645">SUMPRODUCT(("SUP_MNRBIO"=[1]OUT_SyntheticFuels!$C$4:$C$1000)*1,("VAR_FIN"=[1]OUT_SyntheticFuels!$B$4:$B$1000)*1,("MNR"=[1]OUT_SyntheticFuels!$A$4:$A$1000)*1,[1]OUT_SyntheticFuels!N$4:N$1000)</f>
        <v>26.287343923222494</v>
      </c>
      <c r="P645" s="1" cm="1">
        <f t="array" ref="P645">SUMPRODUCT(("SUP_MNRBIO"=[1]OUT_SyntheticFuels!$C$4:$C$1000)*1,("VAR_FIN"=[1]OUT_SyntheticFuels!$B$4:$B$1000)*1,("MNR"=[1]OUT_SyntheticFuels!$A$4:$A$1000)*1,[1]OUT_SyntheticFuels!O$4:O$1000)</f>
        <v>26.287369045745859</v>
      </c>
      <c r="Q645" s="1" cm="1">
        <f t="array" ref="Q645">SUMPRODUCT(("SUP_MNRBIO"=[1]OUT_SyntheticFuels!$C$4:$C$1000)*1,("VAR_FIN"=[1]OUT_SyntheticFuels!$B$4:$B$1000)*1,("MNR"=[1]OUT_SyntheticFuels!$A$4:$A$1000)*1,[1]OUT_SyntheticFuels!P$4:P$1000)</f>
        <v>26.288441662101626</v>
      </c>
      <c r="S645" s="3"/>
    </row>
    <row r="646" spans="2:19" x14ac:dyDescent="0.5">
      <c r="B646" s="5" t="s">
        <v>6</v>
      </c>
      <c r="C646" s="5" t="s">
        <v>7</v>
      </c>
      <c r="D646" t="s">
        <v>913</v>
      </c>
      <c r="E646" s="5" t="s">
        <v>8</v>
      </c>
      <c r="F646" s="1">
        <f>SUM(F647:F650)</f>
        <v>9.6794192110269748</v>
      </c>
      <c r="G646" s="1">
        <f t="shared" ref="G646" si="727">SUM(G647:G650)</f>
        <v>9.8791607227887663</v>
      </c>
      <c r="H646" s="1">
        <f t="shared" ref="H646" si="728">SUM(H647:H650)</f>
        <v>9.1224383741807173</v>
      </c>
      <c r="I646" s="1">
        <f t="shared" ref="I646" si="729">SUM(I647:I650)</f>
        <v>9.9810442954588758</v>
      </c>
      <c r="J646" s="1">
        <f t="shared" ref="J646" si="730">SUM(J647:J650)</f>
        <v>9.9601595547539699</v>
      </c>
      <c r="K646" s="1">
        <f t="shared" ref="K646" si="731">SUM(K647:K650)</f>
        <v>14.466858792509653</v>
      </c>
      <c r="L646" s="1">
        <f t="shared" ref="L646:O646" si="732">SUM(L647:L650)</f>
        <v>15.853048863126373</v>
      </c>
      <c r="M646" s="1">
        <f t="shared" si="732"/>
        <v>17.099732911970257</v>
      </c>
      <c r="N646" s="1">
        <f t="shared" si="732"/>
        <v>18.380075023378843</v>
      </c>
      <c r="O646" s="1">
        <f t="shared" si="732"/>
        <v>19.628210171498136</v>
      </c>
      <c r="P646" s="1">
        <f>SUM(P647:P650)</f>
        <v>19.658671289861736</v>
      </c>
      <c r="Q646" s="1">
        <f>SUM(Q647:Q650)</f>
        <v>19.660854211642697</v>
      </c>
      <c r="S646" s="3"/>
    </row>
    <row r="647" spans="2:19" x14ac:dyDescent="0.5">
      <c r="B647" s="5" t="s">
        <v>6</v>
      </c>
      <c r="C647" s="5" t="s">
        <v>7</v>
      </c>
      <c r="D647" t="s">
        <v>345</v>
      </c>
      <c r="E647" s="5" t="s">
        <v>8</v>
      </c>
      <c r="F647" s="1" cm="1">
        <f t="array" ref="F647">SUMPRODUCT(("SUP_WSTBIO"=[1]OUT_SyntheticFuels!$C$4:$C$1000)*1,("CWST"=[1]OUT_SyntheticFuels!$A$4:$A$1000)*1,("VAR_FIN"=[1]OUT_SyntheticFuels!$B$4:$B$1000)*1,[1]OUT_SyntheticFuels!E$4:E$1000)</f>
        <v>9.6794192110269748</v>
      </c>
      <c r="G647" s="1" cm="1">
        <f t="array" ref="G647">SUMPRODUCT(("SUP_WSTBIO"=[1]OUT_SyntheticFuels!$C$4:$C$1000)*1,("CWST"=[1]OUT_SyntheticFuels!$A$4:$A$1000)*1,("VAR_FIN"=[1]OUT_SyntheticFuels!$B$4:$B$1000)*1,[1]OUT_SyntheticFuels!F$4:F$1000)</f>
        <v>9.8791607227887663</v>
      </c>
      <c r="H647" s="1" cm="1">
        <f t="array" ref="H647">SUMPRODUCT(("SUP_WSTBIO"=[1]OUT_SyntheticFuels!$C$4:$C$1000)*1,("CWST"=[1]OUT_SyntheticFuels!$A$4:$A$1000)*1,("VAR_FIN"=[1]OUT_SyntheticFuels!$B$4:$B$1000)*1,[1]OUT_SyntheticFuels!G$4:G$1000)</f>
        <v>9.1224383741807173</v>
      </c>
      <c r="I647" s="1" cm="1">
        <f t="array" ref="I647">SUMPRODUCT(("SUP_WSTBIO"=[1]OUT_SyntheticFuels!$C$4:$C$1000)*1,("CWST"=[1]OUT_SyntheticFuels!$A$4:$A$1000)*1,("VAR_FIN"=[1]OUT_SyntheticFuels!$B$4:$B$1000)*1,[1]OUT_SyntheticFuels!H$4:H$1000)</f>
        <v>9.9810442954588758</v>
      </c>
      <c r="J647" s="1" cm="1">
        <f t="array" ref="J647">SUMPRODUCT(("SUP_WSTBIO"=[1]OUT_SyntheticFuels!$C$4:$C$1000)*1,("CWST"=[1]OUT_SyntheticFuels!$A$4:$A$1000)*1,("VAR_FIN"=[1]OUT_SyntheticFuels!$B$4:$B$1000)*1,[1]OUT_SyntheticFuels!I$4:I$1000)</f>
        <v>9.9601595547539699</v>
      </c>
      <c r="K647" s="1" cm="1">
        <f t="array" ref="K647">SUMPRODUCT(("SUP_WSTBIO"=[1]OUT_SyntheticFuels!$C$4:$C$1000)*1,("CWST"=[1]OUT_SyntheticFuels!$A$4:$A$1000)*1,("VAR_FIN"=[1]OUT_SyntheticFuels!$B$4:$B$1000)*1,[1]OUT_SyntheticFuels!J$4:J$1000)</f>
        <v>14.459922169304722</v>
      </c>
      <c r="L647" s="1" cm="1">
        <f t="array" ref="L647">SUMPRODUCT(("SUP_WSTBIO"=[1]OUT_SyntheticFuels!$C$4:$C$1000)*1,("CWST"=[1]OUT_SyntheticFuels!$A$4:$A$1000)*1,("VAR_FIN"=[1]OUT_SyntheticFuels!$B$4:$B$1000)*1,[1]OUT_SyntheticFuels!K$4:K$1000)</f>
        <v>15.845940978732221</v>
      </c>
      <c r="M647" s="1" cm="1">
        <f t="array" ref="M647">SUMPRODUCT(("SUP_WSTBIO"=[1]OUT_SyntheticFuels!$C$4:$C$1000)*1,("CWST"=[1]OUT_SyntheticFuels!$A$4:$A$1000)*1,("VAR_FIN"=[1]OUT_SyntheticFuels!$B$4:$B$1000)*1,[1]OUT_SyntheticFuels!L$4:L$1000)</f>
        <v>16.928903774807541</v>
      </c>
      <c r="N647" s="1" cm="1">
        <f t="array" ref="N647">SUMPRODUCT(("SUP_WSTBIO"=[1]OUT_SyntheticFuels!$C$4:$C$1000)*1,("CWST"=[1]OUT_SyntheticFuels!$A$4:$A$1000)*1,("VAR_FIN"=[1]OUT_SyntheticFuels!$B$4:$B$1000)*1,[1]OUT_SyntheticFuels!M$4:M$1000)</f>
        <v>18.219455818071605</v>
      </c>
      <c r="O647" s="1" cm="1">
        <f t="array" ref="O647">SUMPRODUCT(("SUP_WSTBIO"=[1]OUT_SyntheticFuels!$C$4:$C$1000)*1,("CWST"=[1]OUT_SyntheticFuels!$A$4:$A$1000)*1,("VAR_FIN"=[1]OUT_SyntheticFuels!$B$4:$B$1000)*1,[1]OUT_SyntheticFuels!N$4:N$1000)</f>
        <v>19.46158228557708</v>
      </c>
      <c r="P647" s="1" cm="1">
        <f t="array" ref="P647">SUMPRODUCT(("SUP_WSTBIO"=[1]OUT_SyntheticFuels!$C$4:$C$1000)*1,("CWST"=[1]OUT_SyntheticFuels!$A$4:$A$1000)*1,("VAR_FIN"=[1]OUT_SyntheticFuels!$B$4:$B$1000)*1,[1]OUT_SyntheticFuels!O$4:O$1000)</f>
        <v>19.616090129099767</v>
      </c>
      <c r="Q647" s="1" cm="1">
        <f t="array" ref="Q647">SUMPRODUCT(("SUP_WSTBIO"=[1]OUT_SyntheticFuels!$C$4:$C$1000)*1,("CWST"=[1]OUT_SyntheticFuels!$A$4:$A$1000)*1,("VAR_FIN"=[1]OUT_SyntheticFuels!$B$4:$B$1000)*1,[1]OUT_SyntheticFuels!P$4:P$1000)</f>
        <v>19.629415911154972</v>
      </c>
      <c r="S647" s="3"/>
    </row>
    <row r="648" spans="2:19" x14ac:dyDescent="0.5">
      <c r="B648" s="5" t="s">
        <v>6</v>
      </c>
      <c r="C648" s="5" t="s">
        <v>7</v>
      </c>
      <c r="D648" t="s">
        <v>346</v>
      </c>
      <c r="E648" s="5" t="s">
        <v>8</v>
      </c>
      <c r="F648" s="1" cm="1">
        <f t="array" ref="F648">SUMPRODUCT(("SUP_WSTBIOCCS"=[1]OUT_SyntheticFuels!$C$4:$C$1000)*1,("CWST"=[1]OUT_SyntheticFuels!$A$4:$A$1000)*1,("VAR_FIN"=[1]OUT_SyntheticFuels!$B$4:$B$1000)*1,[1]OUT_SyntheticFuels!E$4:E$1000)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SUMPRODUCT(("SUP_WSTBIOCCS"=[1]OUT_SyntheticFuels!$C$4:$C$1000)*1,("CWST"=[1]OUT_SyntheticFuels!$A$4:$A$1000)*1,("VAR_FIN"=[1]OUT_SyntheticFuels!$B$4:$B$1000)*1,[1]OUT_SyntheticFuels!I$4:I$1000)</f>
        <v>0</v>
      </c>
      <c r="K648" s="1" cm="1">
        <f t="array" ref="K648">SUMPRODUCT(("SUP_WSTBIOCCS"=[1]OUT_SyntheticFuels!$C$4:$C$1000)*1,("CWST"=[1]OUT_SyntheticFuels!$A$4:$A$1000)*1,("VAR_FIN"=[1]OUT_SyntheticFuels!$B$4:$B$1000)*1,[1]OUT_SyntheticFuels!J$4:J$1000)</f>
        <v>0</v>
      </c>
      <c r="L648" s="1" cm="1">
        <f t="array" ref="L648">SUMPRODUCT(("SUP_WSTBIOCCS"=[1]OUT_SyntheticFuels!$C$4:$C$1000)*1,("CWST"=[1]OUT_SyntheticFuels!$A$4:$A$1000)*1,("VAR_FIN"=[1]OUT_SyntheticFuels!$B$4:$B$1000)*1,[1]OUT_SyntheticFuels!K$4:K$1000)</f>
        <v>0</v>
      </c>
      <c r="M648" s="1" cm="1">
        <f t="array" ref="M648">SUMPRODUCT(("SUP_WSTBIOCCS"=[1]OUT_SyntheticFuels!$C$4:$C$1000)*1,("CWST"=[1]OUT_SyntheticFuels!$A$4:$A$1000)*1,("VAR_FIN"=[1]OUT_SyntheticFuels!$B$4:$B$1000)*1,[1]OUT_SyntheticFuels!L$4:L$1000)</f>
        <v>0</v>
      </c>
      <c r="N648" s="1" cm="1">
        <f t="array" ref="N648">SUMPRODUCT(("SUP_WSTBIOCCS"=[1]OUT_SyntheticFuels!$C$4:$C$1000)*1,("CWST"=[1]OUT_SyntheticFuels!$A$4:$A$1000)*1,("VAR_FIN"=[1]OUT_SyntheticFuels!$B$4:$B$1000)*1,[1]OUT_SyntheticFuels!M$4:M$1000)</f>
        <v>0</v>
      </c>
      <c r="O648" s="1" cm="1">
        <f t="array" ref="O648">SUMPRODUCT(("SUP_WSTBIOCCS"=[1]OUT_SyntheticFuels!$C$4:$C$1000)*1,("CWST"=[1]OUT_SyntheticFuels!$A$4:$A$1000)*1,("VAR_FIN"=[1]OUT_SyntheticFuels!$B$4:$B$1000)*1,[1]OUT_SyntheticFuels!N$4:N$1000)</f>
        <v>0</v>
      </c>
      <c r="P648" s="1" cm="1">
        <f t="array" ref="P648">SUMPRODUCT(("SUP_WSTBIOCCS"=[1]OUT_SyntheticFuels!$C$4:$C$1000)*1,("CWST"=[1]OUT_SyntheticFuels!$A$4:$A$1000)*1,("VAR_FIN"=[1]OUT_SyntheticFuels!$B$4:$B$1000)*1,[1]OUT_SyntheticFuels!O$4:O$1000)</f>
        <v>0</v>
      </c>
      <c r="Q648" s="1" cm="1">
        <f t="array" ref="Q648">SUMPRODUCT(("SUP_WSTBIOCCS"=[1]OUT_SyntheticFuels!$C$4:$C$1000)*1,("CWST"=[1]OUT_SyntheticFuels!$A$4:$A$1000)*1,("VAR_FIN"=[1]OUT_SyntheticFuels!$B$4:$B$1000)*1,[1]OUT_SyntheticFuels!P$4:P$1000)</f>
        <v>0</v>
      </c>
      <c r="S648" s="3"/>
    </row>
    <row r="649" spans="2:19" x14ac:dyDescent="0.5">
      <c r="B649" s="5" t="s">
        <v>6</v>
      </c>
      <c r="C649" s="5" t="s">
        <v>7</v>
      </c>
      <c r="D649" t="s">
        <v>347</v>
      </c>
      <c r="E649" s="5" t="s">
        <v>8</v>
      </c>
      <c r="F649" s="1" cm="1">
        <f t="array" ref="F649">SUMPRODUCT(("SUP_WSTHTGBIO"=[1]OUT_SyntheticFuels!$C$4:$C$1000)*1,("CWST"=[1]OUT_SyntheticFuels!$A$4:$A$1000)*1,("VAR_FIN"=[1]OUT_SyntheticFuels!$B$4:$B$1000)*1,[1]OUT_SyntheticFuels!E$4:E$1000)</f>
        <v>0</v>
      </c>
      <c r="G649" s="1" cm="1">
        <f t="array" ref="G649">SUMPRODUCT(("SUP_WSTHTGBIO"=[1]OUT_SyntheticFuels!$C$4:$C$1000)*1,("CWST"=[1]OUT_SyntheticFuels!$A$4:$A$1000)*1,("VAR_FIN"=[1]OUT_SyntheticFuels!$B$4:$B$1000)*1,[1]OUT_SyntheticFuels!F$4:F$1000)</f>
        <v>0</v>
      </c>
      <c r="H649" s="1" cm="1">
        <f t="array" ref="H649">SUMPRODUCT(("SUP_WSTHTGBIO"=[1]OUT_SyntheticFuels!$C$4:$C$1000)*1,("CWST"=[1]OUT_SyntheticFuels!$A$4:$A$1000)*1,("VAR_FIN"=[1]OUT_SyntheticFuels!$B$4:$B$1000)*1,[1]OUT_SyntheticFuels!G$4:G$1000)</f>
        <v>0</v>
      </c>
      <c r="I649" s="1" cm="1">
        <f t="array" ref="I649">SUMPRODUCT(("SUP_WSTHTGBIO"=[1]OUT_SyntheticFuels!$C$4:$C$1000)*1,("CWST"=[1]OUT_SyntheticFuels!$A$4:$A$1000)*1,("VAR_FIN"=[1]OUT_SyntheticFuels!$B$4:$B$1000)*1,[1]OUT_SyntheticFuels!H$4:H$1000)</f>
        <v>0</v>
      </c>
      <c r="J649" s="1" cm="1">
        <f t="array" ref="J649">SUMPRODUCT(("SUP_WSTHTGBIO"=[1]OUT_SyntheticFuels!$C$4:$C$1000)*1,("CWST"=[1]OUT_SyntheticFuels!$A$4:$A$1000)*1,("VAR_FIN"=[1]OUT_SyntheticFuels!$B$4:$B$1000)*1,[1]OUT_SyntheticFuels!I$4:I$1000)</f>
        <v>0</v>
      </c>
      <c r="K649" s="1" cm="1">
        <f t="array" ref="K649">SUMPRODUCT(("SUP_WSTHTGBIO"=[1]OUT_SyntheticFuels!$C$4:$C$1000)*1,("CWST"=[1]OUT_SyntheticFuels!$A$4:$A$1000)*1,("VAR_FIN"=[1]OUT_SyntheticFuels!$B$4:$B$1000)*1,[1]OUT_SyntheticFuels!J$4:J$1000)</f>
        <v>5.3750791686024259E-3</v>
      </c>
      <c r="L649" s="1" cm="1">
        <f t="array" ref="L649">SUMPRODUCT(("SUP_WSTHTGBIO"=[1]OUT_SyntheticFuels!$C$4:$C$1000)*1,("CWST"=[1]OUT_SyntheticFuels!$A$4:$A$1000)*1,("VAR_FIN"=[1]OUT_SyntheticFuels!$B$4:$B$1000)*1,[1]OUT_SyntheticFuels!K$4:K$1000)</f>
        <v>6.0986810225566908E-3</v>
      </c>
      <c r="M649" s="1" cm="1">
        <f t="array" ref="M649">SUMPRODUCT(("SUP_WSTHTGBIO"=[1]OUT_SyntheticFuels!$C$4:$C$1000)*1,("CWST"=[1]OUT_SyntheticFuels!$A$4:$A$1000)*1,("VAR_FIN"=[1]OUT_SyntheticFuels!$B$4:$B$1000)*1,[1]OUT_SyntheticFuels!L$4:L$1000)</f>
        <v>0.15877619089958853</v>
      </c>
      <c r="N649" s="1" cm="1">
        <f t="array" ref="N649">SUMPRODUCT(("SUP_WSTHTGBIO"=[1]OUT_SyntheticFuels!$C$4:$C$1000)*1,("CWST"=[1]OUT_SyntheticFuels!$A$4:$A$1000)*1,("VAR_FIN"=[1]OUT_SyntheticFuels!$B$4:$B$1000)*1,[1]OUT_SyntheticFuels!M$4:M$1000)</f>
        <v>0.15374355828933045</v>
      </c>
      <c r="O649" s="1" cm="1">
        <f t="array" ref="O649">SUMPRODUCT(("SUP_WSTHTGBIO"=[1]OUT_SyntheticFuels!$C$4:$C$1000)*1,("CWST"=[1]OUT_SyntheticFuels!$A$4:$A$1000)*1,("VAR_FIN"=[1]OUT_SyntheticFuels!$B$4:$B$1000)*1,[1]OUT_SyntheticFuels!N$4:N$1000)</f>
        <v>0.15296598409355822</v>
      </c>
      <c r="P649" s="1" cm="1">
        <f t="array" ref="P649">SUMPRODUCT(("SUP_WSTHTGBIO"=[1]OUT_SyntheticFuels!$C$4:$C$1000)*1,("CWST"=[1]OUT_SyntheticFuels!$A$4:$A$1000)*1,("VAR_FIN"=[1]OUT_SyntheticFuels!$B$4:$B$1000)*1,[1]OUT_SyntheticFuels!O$4:O$1000)</f>
        <v>3.218269171820895E-2</v>
      </c>
      <c r="Q649" s="1" cm="1">
        <f t="array" ref="Q649">SUMPRODUCT(("SUP_WSTHTGBIO"=[1]OUT_SyntheticFuels!$C$4:$C$1000)*1,("CWST"=[1]OUT_SyntheticFuels!$A$4:$A$1000)*1,("VAR_FIN"=[1]OUT_SyntheticFuels!$B$4:$B$1000)*1,[1]OUT_SyntheticFuels!P$4:P$1000)</f>
        <v>2.2377349777160684E-2</v>
      </c>
      <c r="S649" s="3"/>
    </row>
    <row r="650" spans="2:19" x14ac:dyDescent="0.5">
      <c r="B650" s="5" t="s">
        <v>6</v>
      </c>
      <c r="C650" s="5" t="s">
        <v>7</v>
      </c>
      <c r="D650" t="s">
        <v>348</v>
      </c>
      <c r="E650" s="5" t="s">
        <v>8</v>
      </c>
      <c r="F650" s="1" cm="1">
        <f t="array" ref="F650">SUMPRODUCT(("SUP_WSTHTGBIOCCS"=[1]OUT_SyntheticFuels!$C$4:$C$1000)*1,("CWST"=[1]OUT_SyntheticFuels!$A$4:$A$1000)*1,("VAR_FIN"=[1]OUT_SyntheticFuels!$B$4:$B$1000)*1,[1]OUT_SyntheticFuels!E$4:E$1000)</f>
        <v>0</v>
      </c>
      <c r="G650" s="1" cm="1">
        <f t="array" ref="G650">SUMPRODUCT(("SUP_WSTHTGBIOCCS"=[1]OUT_SyntheticFuels!$C$4:$C$1000)*1,("CWST"=[1]OUT_SyntheticFuels!$A$4:$A$1000)*1,("VAR_FIN"=[1]OUT_SyntheticFuels!$B$4:$B$1000)*1,[1]OUT_SyntheticFuels!F$4:F$1000)</f>
        <v>0</v>
      </c>
      <c r="H650" s="1" cm="1">
        <f t="array" ref="H650">SUMPRODUCT(("SUP_WSTHTGBIOCCS"=[1]OUT_SyntheticFuels!$C$4:$C$1000)*1,("CWST"=[1]OUT_SyntheticFuels!$A$4:$A$1000)*1,("VAR_FIN"=[1]OUT_SyntheticFuels!$B$4:$B$1000)*1,[1]OUT_SyntheticFuels!G$4:G$1000)</f>
        <v>0</v>
      </c>
      <c r="I650" s="1" cm="1">
        <f t="array" ref="I650">SUMPRODUCT(("SUP_WSTHTGBIOCCS"=[1]OUT_SyntheticFuels!$C$4:$C$1000)*1,("CWST"=[1]OUT_SyntheticFuels!$A$4:$A$1000)*1,("VAR_FIN"=[1]OUT_SyntheticFuels!$B$4:$B$1000)*1,[1]OUT_SyntheticFuels!H$4:H$1000)</f>
        <v>0</v>
      </c>
      <c r="J650" s="1" cm="1">
        <f t="array" ref="J650">SUMPRODUCT(("SUP_WSTHTGBIOCCS"=[1]OUT_SyntheticFuels!$C$4:$C$1000)*1,("CWST"=[1]OUT_SyntheticFuels!$A$4:$A$1000)*1,("VAR_FIN"=[1]OUT_SyntheticFuels!$B$4:$B$1000)*1,[1]OUT_SyntheticFuels!I$4:I$1000)</f>
        <v>0</v>
      </c>
      <c r="K650" s="1" cm="1">
        <f t="array" ref="K650">SUMPRODUCT(("SUP_WSTHTGBIOCCS"=[1]OUT_SyntheticFuels!$C$4:$C$1000)*1,("CWST"=[1]OUT_SyntheticFuels!$A$4:$A$1000)*1,("VAR_FIN"=[1]OUT_SyntheticFuels!$B$4:$B$1000)*1,[1]OUT_SyntheticFuels!J$4:J$1000)</f>
        <v>1.5615440363272047E-3</v>
      </c>
      <c r="L650" s="1" cm="1">
        <f t="array" ref="L650">SUMPRODUCT(("SUP_WSTHTGBIOCCS"=[1]OUT_SyntheticFuels!$C$4:$C$1000)*1,("CWST"=[1]OUT_SyntheticFuels!$A$4:$A$1000)*1,("VAR_FIN"=[1]OUT_SyntheticFuels!$B$4:$B$1000)*1,[1]OUT_SyntheticFuels!K$4:K$1000)</f>
        <v>1.0092033715942837E-3</v>
      </c>
      <c r="M650" s="1" cm="1">
        <f t="array" ref="M650">SUMPRODUCT(("SUP_WSTHTGBIOCCS"=[1]OUT_SyntheticFuels!$C$4:$C$1000)*1,("CWST"=[1]OUT_SyntheticFuels!$A$4:$A$1000)*1,("VAR_FIN"=[1]OUT_SyntheticFuels!$B$4:$B$1000)*1,[1]OUT_SyntheticFuels!L$4:L$1000)</f>
        <v>1.2052946263130519E-2</v>
      </c>
      <c r="N650" s="1" cm="1">
        <f t="array" ref="N650">SUMPRODUCT(("SUP_WSTHTGBIOCCS"=[1]OUT_SyntheticFuels!$C$4:$C$1000)*1,("CWST"=[1]OUT_SyntheticFuels!$A$4:$A$1000)*1,("VAR_FIN"=[1]OUT_SyntheticFuels!$B$4:$B$1000)*1,[1]OUT_SyntheticFuels!M$4:M$1000)</f>
        <v>6.8756470179079775E-3</v>
      </c>
      <c r="O650" s="1" cm="1">
        <f t="array" ref="O650">SUMPRODUCT(("SUP_WSTHTGBIOCCS"=[1]OUT_SyntheticFuels!$C$4:$C$1000)*1,("CWST"=[1]OUT_SyntheticFuels!$A$4:$A$1000)*1,("VAR_FIN"=[1]OUT_SyntheticFuels!$B$4:$B$1000)*1,[1]OUT_SyntheticFuels!N$4:N$1000)</f>
        <v>1.3661901827498638E-2</v>
      </c>
      <c r="P650" s="1" cm="1">
        <f t="array" ref="P650">SUMPRODUCT(("SUP_WSTHTGBIOCCS"=[1]OUT_SyntheticFuels!$C$4:$C$1000)*1,("CWST"=[1]OUT_SyntheticFuels!$A$4:$A$1000)*1,("VAR_FIN"=[1]OUT_SyntheticFuels!$B$4:$B$1000)*1,[1]OUT_SyntheticFuels!O$4:O$1000)</f>
        <v>1.0398469043760144E-2</v>
      </c>
      <c r="Q650" s="1" cm="1">
        <f t="array" ref="Q650">SUMPRODUCT(("SUP_WSTHTGBIOCCS"=[1]OUT_SyntheticFuels!$C$4:$C$1000)*1,("CWST"=[1]OUT_SyntheticFuels!$A$4:$A$1000)*1,("VAR_FIN"=[1]OUT_SyntheticFuels!$B$4:$B$1000)*1,[1]OUT_SyntheticFuels!P$4:P$1000)</f>
        <v>9.0609507105641265E-3</v>
      </c>
      <c r="S650" s="3"/>
    </row>
    <row r="651" spans="2:19" x14ac:dyDescent="0.5">
      <c r="B651" s="5" t="s">
        <v>6</v>
      </c>
      <c r="C651" s="5" t="s">
        <v>7</v>
      </c>
      <c r="D651" t="s">
        <v>914</v>
      </c>
      <c r="E651" s="5" t="s">
        <v>8</v>
      </c>
      <c r="F651" s="1">
        <f>SUM(F652:F653)</f>
        <v>0</v>
      </c>
      <c r="G651" s="1">
        <f t="shared" ref="G651" si="733">SUM(G652:G653)</f>
        <v>5.7616058064026833E-4</v>
      </c>
      <c r="H651" s="1">
        <f t="shared" ref="H651" si="734">SUM(H652:H653)</f>
        <v>2.9311921123547874E-5</v>
      </c>
      <c r="I651" s="1">
        <f t="shared" ref="I651" si="735">SUM(I652:I653)</f>
        <v>2.471254090167956E-3</v>
      </c>
      <c r="J651" s="1">
        <f t="shared" ref="J651" si="736">SUM(J652:J653)</f>
        <v>2.9466212940507937E-3</v>
      </c>
      <c r="K651" s="1">
        <f t="shared" ref="K651" si="737">SUM(K652:K653)</f>
        <v>3.5748718186472336E-3</v>
      </c>
      <c r="L651" s="1">
        <f t="shared" ref="L651:O651" si="738">SUM(L652:L653)</f>
        <v>4.2860269492441807E-3</v>
      </c>
      <c r="M651" s="1">
        <f t="shared" si="738"/>
        <v>7.4900140229098196E-3</v>
      </c>
      <c r="N651" s="1">
        <f t="shared" si="738"/>
        <v>7.162285997068165E-3</v>
      </c>
      <c r="O651" s="1">
        <f t="shared" si="738"/>
        <v>1.8464306480720335E-2</v>
      </c>
      <c r="P651" s="1">
        <f>SUM(P652:P653)</f>
        <v>2.0817388728425222E-2</v>
      </c>
      <c r="Q651" s="1">
        <f>SUM(Q652:Q653)</f>
        <v>3.2331468225397321E-2</v>
      </c>
      <c r="S651" s="3"/>
    </row>
    <row r="652" spans="2:19" x14ac:dyDescent="0.5">
      <c r="B652" s="5" t="s">
        <v>6</v>
      </c>
      <c r="C652" s="5" t="s">
        <v>7</v>
      </c>
      <c r="D652" t="s">
        <v>349</v>
      </c>
      <c r="E652" s="5" t="s">
        <v>8</v>
      </c>
      <c r="F652" s="1" cm="1">
        <f t="array" ref="F652">SUMPRODUCT(("SUP_WODBIO"=[1]OUT_SyntheticFuels!$C$4:$C$1000)*1,("CWOD"=[1]OUT_SyntheticFuels!$A$4:$A$1000)*1,("VAR_FIN"=[1]OUT_SyntheticFuels!$B$4:$B$1000)*1,[1]OUT_SyntheticFuels!E$4:E$1000)</f>
        <v>0</v>
      </c>
      <c r="G652" s="1" cm="1">
        <f t="array" ref="G652">SUMPRODUCT(("SUP_WODBIO"=[1]OUT_SyntheticFuels!$C$4:$C$1000)*1,("CWOD"=[1]OUT_SyntheticFuels!$A$4:$A$1000)*1,("VAR_FIN"=[1]OUT_SyntheticFuels!$B$4:$B$1000)*1,[1]OUT_SyntheticFuels!F$4:F$1000)</f>
        <v>5.7616058064026833E-4</v>
      </c>
      <c r="H652" s="1" cm="1">
        <f t="array" ref="H652">SUMPRODUCT(("SUP_WODBIO"=[1]OUT_SyntheticFuels!$C$4:$C$1000)*1,("CWOD"=[1]OUT_SyntheticFuels!$A$4:$A$1000)*1,("VAR_FIN"=[1]OUT_SyntheticFuels!$B$4:$B$1000)*1,[1]OUT_SyntheticFuels!G$4:G$1000)</f>
        <v>2.9311921123547874E-5</v>
      </c>
      <c r="I652" s="1" cm="1">
        <f t="array" ref="I652">SUMPRODUCT(("SUP_WODBIO"=[1]OUT_SyntheticFuels!$C$4:$C$1000)*1,("CWOD"=[1]OUT_SyntheticFuels!$A$4:$A$1000)*1,("VAR_FIN"=[1]OUT_SyntheticFuels!$B$4:$B$1000)*1,[1]OUT_SyntheticFuels!H$4:H$1000)</f>
        <v>2.471254090167956E-3</v>
      </c>
      <c r="J652" s="1" cm="1">
        <f t="array" ref="J652">SUMPRODUCT(("SUP_WODBIO"=[1]OUT_SyntheticFuels!$C$4:$C$1000)*1,("CWOD"=[1]OUT_SyntheticFuels!$A$4:$A$1000)*1,("VAR_FIN"=[1]OUT_SyntheticFuels!$B$4:$B$1000)*1,[1]OUT_SyntheticFuels!I$4:I$1000)</f>
        <v>2.9466212940507937E-3</v>
      </c>
      <c r="K652" s="1" cm="1">
        <f t="array" ref="K652">SUMPRODUCT(("SUP_WODBIO"=[1]OUT_SyntheticFuels!$C$4:$C$1000)*1,("CWOD"=[1]OUT_SyntheticFuels!$A$4:$A$1000)*1,("VAR_FIN"=[1]OUT_SyntheticFuels!$B$4:$B$1000)*1,[1]OUT_SyntheticFuels!J$4:J$1000)</f>
        <v>1.7574580735075956E-3</v>
      </c>
      <c r="L652" s="1" cm="1">
        <f t="array" ref="L652">SUMPRODUCT(("SUP_WODBIO"=[1]OUT_SyntheticFuels!$C$4:$C$1000)*1,("CWOD"=[1]OUT_SyntheticFuels!$A$4:$A$1000)*1,("VAR_FIN"=[1]OUT_SyntheticFuels!$B$4:$B$1000)*1,[1]OUT_SyntheticFuels!K$4:K$1000)</f>
        <v>1.9121467421715427E-3</v>
      </c>
      <c r="M652" s="1" cm="1">
        <f t="array" ref="M652">SUMPRODUCT(("SUP_WODBIO"=[1]OUT_SyntheticFuels!$C$4:$C$1000)*1,("CWOD"=[1]OUT_SyntheticFuels!$A$4:$A$1000)*1,("VAR_FIN"=[1]OUT_SyntheticFuels!$B$4:$B$1000)*1,[1]OUT_SyntheticFuels!L$4:L$1000)</f>
        <v>1.6145723163366458E-3</v>
      </c>
      <c r="N652" s="1" cm="1">
        <f t="array" ref="N652">SUMPRODUCT(("SUP_WODBIO"=[1]OUT_SyntheticFuels!$C$4:$C$1000)*1,("CWOD"=[1]OUT_SyntheticFuels!$A$4:$A$1000)*1,("VAR_FIN"=[1]OUT_SyntheticFuels!$B$4:$B$1000)*1,[1]OUT_SyntheticFuels!M$4:M$1000)</f>
        <v>1.7417255831920497E-3</v>
      </c>
      <c r="O652" s="1" cm="1">
        <f t="array" ref="O652">SUMPRODUCT(("SUP_WODBIO"=[1]OUT_SyntheticFuels!$C$4:$C$1000)*1,("CWOD"=[1]OUT_SyntheticFuels!$A$4:$A$1000)*1,("VAR_FIN"=[1]OUT_SyntheticFuels!$B$4:$B$1000)*1,[1]OUT_SyntheticFuels!N$4:N$1000)</f>
        <v>1.8396624021690575E-3</v>
      </c>
      <c r="P652" s="1" cm="1">
        <f t="array" ref="P652">SUMPRODUCT(("SUP_WODBIO"=[1]OUT_SyntheticFuels!$C$4:$C$1000)*1,("CWOD"=[1]OUT_SyntheticFuels!$A$4:$A$1000)*1,("VAR_FIN"=[1]OUT_SyntheticFuels!$B$4:$B$1000)*1,[1]OUT_SyntheticFuels!O$4:O$1000)</f>
        <v>4.7896995073943797E-3</v>
      </c>
      <c r="Q652" s="1" cm="1">
        <f t="array" ref="Q652">SUMPRODUCT(("SUP_WODBIO"=[1]OUT_SyntheticFuels!$C$4:$C$1000)*1,("CWOD"=[1]OUT_SyntheticFuels!$A$4:$A$1000)*1,("VAR_FIN"=[1]OUT_SyntheticFuels!$B$4:$B$1000)*1,[1]OUT_SyntheticFuels!P$4:P$1000)</f>
        <v>1.1118968729895654E-2</v>
      </c>
      <c r="S652" s="3"/>
    </row>
    <row r="653" spans="2:19" x14ac:dyDescent="0.5">
      <c r="B653" s="5" t="s">
        <v>6</v>
      </c>
      <c r="C653" s="5" t="s">
        <v>7</v>
      </c>
      <c r="D653" t="s">
        <v>350</v>
      </c>
      <c r="E653" s="5" t="s">
        <v>8</v>
      </c>
      <c r="F653" s="1" cm="1">
        <f t="array" ref="F653">SUMPRODUCT(("SUP_WODBIOCCS"=[1]OUT_SyntheticFuels!$C$4:$C$1000)*1,("CWOD"=[1]OUT_SyntheticFuels!$A$4:$A$1000)*1,("VAR_FIN"=[1]OUT_SyntheticFuels!$B$4:$B$1000)*1,[1]OUT_SyntheticFuels!E$4:E$1000)</f>
        <v>0</v>
      </c>
      <c r="G653" s="1" cm="1">
        <f t="array" ref="G653">SUMPRODUCT(("SUP_WODBIOCCS"=[1]OUT_SyntheticFuels!$C$4:$C$1000)*1,("CWOD"=[1]OUT_SyntheticFuels!$A$4:$A$1000)*1,("VAR_FIN"=[1]OUT_SyntheticFuels!$B$4:$B$1000)*1,[1]OUT_SyntheticFuels!F$4:F$1000)</f>
        <v>0</v>
      </c>
      <c r="H653" s="1" cm="1">
        <f t="array" ref="H653">SUMPRODUCT(("SUP_WODBIOCCS"=[1]OUT_SyntheticFuels!$C$4:$C$1000)*1,("CWOD"=[1]OUT_SyntheticFuels!$A$4:$A$1000)*1,("VAR_FIN"=[1]OUT_SyntheticFuels!$B$4:$B$1000)*1,[1]OUT_SyntheticFuels!G$4:G$1000)</f>
        <v>0</v>
      </c>
      <c r="I653" s="1" cm="1">
        <f t="array" ref="I653">SUMPRODUCT(("SUP_WODBIOCCS"=[1]OUT_SyntheticFuels!$C$4:$C$1000)*1,("CWOD"=[1]OUT_SyntheticFuels!$A$4:$A$1000)*1,("VAR_FIN"=[1]OUT_SyntheticFuels!$B$4:$B$1000)*1,[1]OUT_SyntheticFuels!H$4:H$1000)</f>
        <v>0</v>
      </c>
      <c r="J653" s="1" cm="1">
        <f t="array" ref="J653">SUMPRODUCT(("SUP_WODBIOCCS"=[1]OUT_SyntheticFuels!$C$4:$C$1000)*1,("CWOD"=[1]OUT_SyntheticFuels!$A$4:$A$1000)*1,("VAR_FIN"=[1]OUT_SyntheticFuels!$B$4:$B$1000)*1,[1]OUT_SyntheticFuels!I$4:I$1000)</f>
        <v>0</v>
      </c>
      <c r="K653" s="1" cm="1">
        <f t="array" ref="K653">SUMPRODUCT(("SUP_WODBIOCCS"=[1]OUT_SyntheticFuels!$C$4:$C$1000)*1,("CWOD"=[1]OUT_SyntheticFuels!$A$4:$A$1000)*1,("VAR_FIN"=[1]OUT_SyntheticFuels!$B$4:$B$1000)*1,[1]OUT_SyntheticFuels!J$4:J$1000)</f>
        <v>1.8174137451396379E-3</v>
      </c>
      <c r="L653" s="1" cm="1">
        <f t="array" ref="L653">SUMPRODUCT(("SUP_WODBIOCCS"=[1]OUT_SyntheticFuels!$C$4:$C$1000)*1,("CWOD"=[1]OUT_SyntheticFuels!$A$4:$A$1000)*1,("VAR_FIN"=[1]OUT_SyntheticFuels!$B$4:$B$1000)*1,[1]OUT_SyntheticFuels!K$4:K$1000)</f>
        <v>2.3738802070726378E-3</v>
      </c>
      <c r="M653" s="1" cm="1">
        <f t="array" ref="M653">SUMPRODUCT(("SUP_WODBIOCCS"=[1]OUT_SyntheticFuels!$C$4:$C$1000)*1,("CWOD"=[1]OUT_SyntheticFuels!$A$4:$A$1000)*1,("VAR_FIN"=[1]OUT_SyntheticFuels!$B$4:$B$1000)*1,[1]OUT_SyntheticFuels!L$4:L$1000)</f>
        <v>5.8754417065731736E-3</v>
      </c>
      <c r="N653" s="1" cm="1">
        <f t="array" ref="N653">SUMPRODUCT(("SUP_WODBIOCCS"=[1]OUT_SyntheticFuels!$C$4:$C$1000)*1,("CWOD"=[1]OUT_SyntheticFuels!$A$4:$A$1000)*1,("VAR_FIN"=[1]OUT_SyntheticFuels!$B$4:$B$1000)*1,[1]OUT_SyntheticFuels!M$4:M$1000)</f>
        <v>5.4205604138761153E-3</v>
      </c>
      <c r="O653" s="1" cm="1">
        <f t="array" ref="O653">SUMPRODUCT(("SUP_WODBIOCCS"=[1]OUT_SyntheticFuels!$C$4:$C$1000)*1,("CWOD"=[1]OUT_SyntheticFuels!$A$4:$A$1000)*1,("VAR_FIN"=[1]OUT_SyntheticFuels!$B$4:$B$1000)*1,[1]OUT_SyntheticFuels!N$4:N$1000)</f>
        <v>1.6624644078551278E-2</v>
      </c>
      <c r="P653" s="1" cm="1">
        <f t="array" ref="P653">SUMPRODUCT(("SUP_WODBIOCCS"=[1]OUT_SyntheticFuels!$C$4:$C$1000)*1,("CWOD"=[1]OUT_SyntheticFuels!$A$4:$A$1000)*1,("VAR_FIN"=[1]OUT_SyntheticFuels!$B$4:$B$1000)*1,[1]OUT_SyntheticFuels!O$4:O$1000)</f>
        <v>1.6027689221030844E-2</v>
      </c>
      <c r="Q653" s="1" cm="1">
        <f t="array" ref="Q653">SUMPRODUCT(("SUP_WODBIOCCS"=[1]OUT_SyntheticFuels!$C$4:$C$1000)*1,("CWOD"=[1]OUT_SyntheticFuels!$A$4:$A$1000)*1,("VAR_FIN"=[1]OUT_SyntheticFuels!$B$4:$B$1000)*1,[1]OUT_SyntheticFuels!P$4:P$1000)</f>
        <v>2.1212499495501667E-2</v>
      </c>
      <c r="S653" s="3"/>
    </row>
    <row r="654" spans="2:19" x14ac:dyDescent="0.5">
      <c r="B654" s="5" t="s">
        <v>6</v>
      </c>
      <c r="C654" s="5" t="s">
        <v>7</v>
      </c>
      <c r="D654" s="2" t="s">
        <v>388</v>
      </c>
      <c r="E654" s="9" t="s">
        <v>8</v>
      </c>
      <c r="F654" s="14" t="s">
        <v>292</v>
      </c>
      <c r="G654" s="14" t="s">
        <v>292</v>
      </c>
      <c r="H654" s="14" t="s">
        <v>292</v>
      </c>
      <c r="I654" s="14" t="s">
        <v>292</v>
      </c>
      <c r="J654" s="14" t="s">
        <v>292</v>
      </c>
      <c r="K654" s="14" t="s">
        <v>292</v>
      </c>
      <c r="L654" s="14" t="s">
        <v>292</v>
      </c>
      <c r="M654" s="14" t="s">
        <v>292</v>
      </c>
      <c r="N654" s="14" t="s">
        <v>292</v>
      </c>
      <c r="O654" s="14" t="s">
        <v>292</v>
      </c>
      <c r="P654" s="14" t="s">
        <v>292</v>
      </c>
      <c r="Q654" s="14" t="s">
        <v>292</v>
      </c>
      <c r="S654" s="3"/>
    </row>
    <row r="655" spans="2:19" x14ac:dyDescent="0.5">
      <c r="B655" s="5" t="s">
        <v>6</v>
      </c>
      <c r="C655" s="5" t="s">
        <v>7</v>
      </c>
      <c r="D655" t="s">
        <v>351</v>
      </c>
      <c r="E655" s="5" t="s">
        <v>8</v>
      </c>
      <c r="F655" s="4">
        <f t="shared" ref="F655:K655" si="739">IFERROR(SUM(F635,F625,F615)/F645,"-")</f>
        <v>0.34965034965034986</v>
      </c>
      <c r="G655" s="4">
        <f t="shared" si="739"/>
        <v>0.34965034965035025</v>
      </c>
      <c r="H655" s="4">
        <f t="shared" si="739"/>
        <v>0.34965034965035002</v>
      </c>
      <c r="I655" s="4">
        <f t="shared" si="739"/>
        <v>0.34965034965035025</v>
      </c>
      <c r="J655" s="4">
        <f t="shared" si="739"/>
        <v>0.34965034965035008</v>
      </c>
      <c r="K655" s="4">
        <f t="shared" si="739"/>
        <v>0.34965034965034975</v>
      </c>
      <c r="L655" s="4">
        <f t="shared" ref="L655:O655" si="740">IFERROR(SUM(L635,L625,L615)/L645,"-")</f>
        <v>0.34965034965034975</v>
      </c>
      <c r="M655" s="4">
        <f t="shared" si="740"/>
        <v>0.34965034965035002</v>
      </c>
      <c r="N655" s="4">
        <f t="shared" si="740"/>
        <v>0.34965034965035025</v>
      </c>
      <c r="O655" s="4">
        <f t="shared" si="740"/>
        <v>0.34965034965035008</v>
      </c>
      <c r="P655" s="4">
        <f>IFERROR(SUM(P635,P625,P615)/P645,"-")</f>
        <v>0.34965034965035013</v>
      </c>
      <c r="Q655" s="4">
        <f>IFERROR(SUM(Q635,Q625,Q615)/Q645,"-")</f>
        <v>0.34965034965035008</v>
      </c>
      <c r="S655" s="3"/>
    </row>
    <row r="656" spans="2:19" x14ac:dyDescent="0.5">
      <c r="B656" s="5" t="s">
        <v>6</v>
      </c>
      <c r="C656" s="5" t="s">
        <v>7</v>
      </c>
      <c r="D656" t="s">
        <v>352</v>
      </c>
      <c r="E656" s="5" t="s">
        <v>8</v>
      </c>
      <c r="F656" s="4">
        <f t="shared" ref="F656:K659" si="741">IFERROR(SUM(F637,F627,F617)/F647,"-")</f>
        <v>0.59322033898305127</v>
      </c>
      <c r="G656" s="4">
        <f t="shared" si="741"/>
        <v>0.59322033898305182</v>
      </c>
      <c r="H656" s="4">
        <f t="shared" si="741"/>
        <v>0.5932203389830506</v>
      </c>
      <c r="I656" s="4">
        <f t="shared" si="741"/>
        <v>0.59322033898305104</v>
      </c>
      <c r="J656" s="4">
        <f t="shared" si="741"/>
        <v>0.5932203389830516</v>
      </c>
      <c r="K656" s="4">
        <f t="shared" si="741"/>
        <v>0.59322033898305138</v>
      </c>
      <c r="L656" s="4">
        <f t="shared" ref="L656:O656" si="742">IFERROR(SUM(L637,L627,L617)/L647,"-")</f>
        <v>0.5932203389830506</v>
      </c>
      <c r="M656" s="4">
        <f t="shared" si="742"/>
        <v>0.59322033898305082</v>
      </c>
      <c r="N656" s="4">
        <f t="shared" si="742"/>
        <v>0.59322033898305071</v>
      </c>
      <c r="O656" s="4">
        <f t="shared" si="742"/>
        <v>0.59322033898305082</v>
      </c>
      <c r="P656" s="4">
        <f t="shared" ref="P656:Q659" si="743">IFERROR(SUM(P637,P627,P617)/P647,"-")</f>
        <v>0.59322033898305093</v>
      </c>
      <c r="Q656" s="4">
        <f t="shared" si="743"/>
        <v>0.59322033898305127</v>
      </c>
      <c r="S656" s="3"/>
    </row>
    <row r="657" spans="2:19" x14ac:dyDescent="0.5">
      <c r="B657" s="5" t="s">
        <v>6</v>
      </c>
      <c r="C657" s="5" t="s">
        <v>7</v>
      </c>
      <c r="D657" t="s">
        <v>353</v>
      </c>
      <c r="E657" s="5" t="s">
        <v>8</v>
      </c>
      <c r="F657" s="4" t="str">
        <f t="shared" si="741"/>
        <v>-</v>
      </c>
      <c r="G657" s="4" t="str">
        <f t="shared" si="741"/>
        <v>-</v>
      </c>
      <c r="H657" s="4" t="str">
        <f t="shared" si="741"/>
        <v>-</v>
      </c>
      <c r="I657" s="4" t="str">
        <f t="shared" si="741"/>
        <v>-</v>
      </c>
      <c r="J657" s="4" t="str">
        <f t="shared" si="741"/>
        <v>-</v>
      </c>
      <c r="K657" s="4" t="str">
        <f t="shared" si="741"/>
        <v>-</v>
      </c>
      <c r="L657" s="4" t="str">
        <f t="shared" ref="L657:O657" si="744">IFERROR(SUM(L638,L628,L618)/L648,"-")</f>
        <v>-</v>
      </c>
      <c r="M657" s="4" t="str">
        <f t="shared" si="744"/>
        <v>-</v>
      </c>
      <c r="N657" s="4" t="str">
        <f t="shared" si="744"/>
        <v>-</v>
      </c>
      <c r="O657" s="4" t="str">
        <f t="shared" si="744"/>
        <v>-</v>
      </c>
      <c r="P657" s="4" t="str">
        <f t="shared" si="743"/>
        <v>-</v>
      </c>
      <c r="Q657" s="4" t="str">
        <f t="shared" si="743"/>
        <v>-</v>
      </c>
      <c r="S657" s="3"/>
    </row>
    <row r="658" spans="2:19" x14ac:dyDescent="0.5">
      <c r="B658" s="5" t="s">
        <v>6</v>
      </c>
      <c r="C658" s="5" t="s">
        <v>7</v>
      </c>
      <c r="D658" t="s">
        <v>354</v>
      </c>
      <c r="E658" s="5" t="s">
        <v>8</v>
      </c>
      <c r="F658" s="4" t="str">
        <f t="shared" si="741"/>
        <v>-</v>
      </c>
      <c r="G658" s="4" t="str">
        <f t="shared" si="741"/>
        <v>-</v>
      </c>
      <c r="H658" s="4" t="str">
        <f t="shared" si="741"/>
        <v>-</v>
      </c>
      <c r="I658" s="4" t="str">
        <f t="shared" si="741"/>
        <v>-</v>
      </c>
      <c r="J658" s="4" t="str">
        <f t="shared" si="741"/>
        <v>-</v>
      </c>
      <c r="K658" s="4">
        <f t="shared" si="741"/>
        <v>0.7000000000000004</v>
      </c>
      <c r="L658" s="4">
        <f t="shared" ref="L658:O658" si="745">IFERROR(SUM(L639,L629,L619)/L649,"-")</f>
        <v>0.69999999999999973</v>
      </c>
      <c r="M658" s="4">
        <f t="shared" si="745"/>
        <v>0.69999999999999929</v>
      </c>
      <c r="N658" s="4">
        <f t="shared" si="745"/>
        <v>0.70000000000000051</v>
      </c>
      <c r="O658" s="4">
        <f t="shared" si="745"/>
        <v>0.7</v>
      </c>
      <c r="P658" s="4">
        <f t="shared" si="743"/>
        <v>0.69999999999999984</v>
      </c>
      <c r="Q658" s="4">
        <f t="shared" si="743"/>
        <v>0.70000000000000062</v>
      </c>
      <c r="S658" s="3"/>
    </row>
    <row r="659" spans="2:19" x14ac:dyDescent="0.5">
      <c r="B659" s="5" t="s">
        <v>6</v>
      </c>
      <c r="C659" s="5" t="s">
        <v>7</v>
      </c>
      <c r="D659" t="s">
        <v>355</v>
      </c>
      <c r="E659" s="5" t="s">
        <v>8</v>
      </c>
      <c r="F659" s="4" t="str">
        <f t="shared" si="741"/>
        <v>-</v>
      </c>
      <c r="G659" s="4" t="str">
        <f t="shared" si="741"/>
        <v>-</v>
      </c>
      <c r="H659" s="4" t="str">
        <f t="shared" si="741"/>
        <v>-</v>
      </c>
      <c r="I659" s="4" t="str">
        <f t="shared" si="741"/>
        <v>-</v>
      </c>
      <c r="J659" s="4" t="str">
        <f t="shared" si="741"/>
        <v>-</v>
      </c>
      <c r="K659" s="4">
        <f t="shared" si="741"/>
        <v>0.63000000000000023</v>
      </c>
      <c r="L659" s="4">
        <f t="shared" ref="L659:O659" si="746">IFERROR(SUM(L640,L630,L620)/L650,"-")</f>
        <v>0.62999999999999978</v>
      </c>
      <c r="M659" s="4">
        <f t="shared" si="746"/>
        <v>0.63000000000000012</v>
      </c>
      <c r="N659" s="4">
        <f t="shared" si="746"/>
        <v>0.63</v>
      </c>
      <c r="O659" s="4">
        <f t="shared" si="746"/>
        <v>0.62999999999999978</v>
      </c>
      <c r="P659" s="4">
        <f t="shared" si="743"/>
        <v>0.62999999999999945</v>
      </c>
      <c r="Q659" s="4">
        <f t="shared" si="743"/>
        <v>0.63000000000000023</v>
      </c>
      <c r="S659" s="3"/>
    </row>
    <row r="660" spans="2:19" x14ac:dyDescent="0.5">
      <c r="B660" s="5" t="s">
        <v>6</v>
      </c>
      <c r="C660" s="5" t="s">
        <v>7</v>
      </c>
      <c r="D660" t="s">
        <v>356</v>
      </c>
      <c r="E660" s="5" t="s">
        <v>8</v>
      </c>
      <c r="F660" s="4" t="str">
        <f t="shared" ref="F660:K661" si="747">IFERROR(SUM(F642,F632,F622)/F652,"-")</f>
        <v>-</v>
      </c>
      <c r="G660" s="4">
        <f t="shared" si="747"/>
        <v>0.85925925925925739</v>
      </c>
      <c r="H660" s="4">
        <f t="shared" si="747"/>
        <v>0.74074074074074114</v>
      </c>
      <c r="I660" s="4">
        <f t="shared" si="747"/>
        <v>0.85925925925925895</v>
      </c>
      <c r="J660" s="4">
        <f t="shared" si="747"/>
        <v>0.85925925925925917</v>
      </c>
      <c r="K660" s="4">
        <f t="shared" si="747"/>
        <v>0.85925925925925972</v>
      </c>
      <c r="L660" s="4">
        <f t="shared" ref="L660:O660" si="748">IFERROR(SUM(L642,L632,L622)/L652,"-")</f>
        <v>0.85925925925925939</v>
      </c>
      <c r="M660" s="4">
        <f t="shared" si="748"/>
        <v>0.8592592592592585</v>
      </c>
      <c r="N660" s="4">
        <f t="shared" si="748"/>
        <v>0.85925925925925917</v>
      </c>
      <c r="O660" s="4">
        <f t="shared" si="748"/>
        <v>0.85925925925925883</v>
      </c>
      <c r="P660" s="4">
        <f>IFERROR(SUM(P642,P632,P622)/P652,"-")</f>
        <v>0.8592592592592595</v>
      </c>
      <c r="Q660" s="4">
        <f>IFERROR(SUM(Q642,Q632,Q622)/Q652,"-")</f>
        <v>0.85925925925925828</v>
      </c>
      <c r="S660" s="3"/>
    </row>
    <row r="661" spans="2:19" x14ac:dyDescent="0.5">
      <c r="B661" s="5" t="s">
        <v>6</v>
      </c>
      <c r="C661" s="5" t="s">
        <v>7</v>
      </c>
      <c r="D661" t="s">
        <v>357</v>
      </c>
      <c r="E661" s="5" t="s">
        <v>8</v>
      </c>
      <c r="F661" s="4" t="str">
        <f t="shared" si="747"/>
        <v>-</v>
      </c>
      <c r="G661" s="4" t="str">
        <f t="shared" si="747"/>
        <v>-</v>
      </c>
      <c r="H661" s="4" t="str">
        <f t="shared" si="747"/>
        <v>-</v>
      </c>
      <c r="I661" s="4" t="str">
        <f t="shared" si="747"/>
        <v>-</v>
      </c>
      <c r="J661" s="4" t="str">
        <f t="shared" si="747"/>
        <v>-</v>
      </c>
      <c r="K661" s="4">
        <f t="shared" si="747"/>
        <v>0.79022446331494356</v>
      </c>
      <c r="L661" s="4">
        <f t="shared" ref="L661:O661" si="749">IFERROR(SUM(L643,L633,L623)/L653,"-")</f>
        <v>0.78192270633381911</v>
      </c>
      <c r="M661" s="4">
        <f t="shared" si="749"/>
        <v>0.77509890685685845</v>
      </c>
      <c r="N661" s="4">
        <f t="shared" si="749"/>
        <v>0.77630752705963046</v>
      </c>
      <c r="O661" s="4">
        <f t="shared" si="749"/>
        <v>0.77576847354711909</v>
      </c>
      <c r="P661" s="4">
        <f>IFERROR(SUM(P643,P633,P623)/P653,"-")</f>
        <v>0.77474195506982457</v>
      </c>
      <c r="Q661" s="4">
        <f>IFERROR(SUM(Q643,Q633,Q623)/Q653,"-")</f>
        <v>0.77474195506982435</v>
      </c>
      <c r="S661" s="3"/>
    </row>
    <row r="662" spans="2:19" x14ac:dyDescent="0.5">
      <c r="B662" s="9" t="s">
        <v>6</v>
      </c>
      <c r="C662" s="9" t="s">
        <v>7</v>
      </c>
      <c r="D662" s="2" t="s">
        <v>390</v>
      </c>
      <c r="E662" s="9" t="s">
        <v>8</v>
      </c>
      <c r="F662" s="3">
        <f>SUM(F663,F667,F676)</f>
        <v>5.027796464448047E-3</v>
      </c>
      <c r="G662" s="3">
        <f t="shared" ref="G662:K662" si="750">SUM(G663,G667,G676)</f>
        <v>1.8326936596343157E-2</v>
      </c>
      <c r="H662" s="3">
        <f t="shared" si="750"/>
        <v>1.8377271591429024E-2</v>
      </c>
      <c r="I662" s="3">
        <f t="shared" si="750"/>
        <v>0.43415842952617584</v>
      </c>
      <c r="J662" s="3">
        <f t="shared" si="750"/>
        <v>6.1494202301623755</v>
      </c>
      <c r="K662" s="3">
        <f t="shared" si="750"/>
        <v>16.772907011111354</v>
      </c>
      <c r="L662" s="3">
        <f t="shared" ref="L662:O662" si="751">SUM(L663,L667,L676)</f>
        <v>18.160980937865418</v>
      </c>
      <c r="M662" s="3">
        <f t="shared" si="751"/>
        <v>28.639234502763223</v>
      </c>
      <c r="N662" s="3">
        <f t="shared" si="751"/>
        <v>32.284289620490469</v>
      </c>
      <c r="O662" s="3">
        <f t="shared" si="751"/>
        <v>32.252178608505126</v>
      </c>
      <c r="P662" s="3">
        <f>SUM(P663,P667,P676)</f>
        <v>35.522841405894127</v>
      </c>
      <c r="Q662" s="3">
        <f>SUM(Q663,Q667,Q676)</f>
        <v>36.297952145742393</v>
      </c>
      <c r="S662" s="3"/>
    </row>
    <row r="663" spans="2:19" x14ac:dyDescent="0.5">
      <c r="B663" t="str">
        <f>B662</f>
        <v>SPS1</v>
      </c>
      <c r="C663" t="str">
        <f>C662</f>
        <v>CH</v>
      </c>
      <c r="D663" t="s">
        <v>915</v>
      </c>
      <c r="E663" s="5" t="s">
        <v>8</v>
      </c>
      <c r="F663" s="1">
        <f>[1]Other_transformation!B$28</f>
        <v>5.027796464448047E-3</v>
      </c>
      <c r="G663" s="1">
        <f>[1]Other_transformation!C$28</f>
        <v>1.8326936596343157E-2</v>
      </c>
      <c r="H663" s="1">
        <f>[1]Other_transformation!D$28</f>
        <v>1.8377271591429024E-2</v>
      </c>
      <c r="I663" s="1">
        <f>[1]Other_transformation!E$28</f>
        <v>0.42838746561682473</v>
      </c>
      <c r="J663" s="1">
        <f>[1]Other_transformation!F$28</f>
        <v>5.7760595340715142</v>
      </c>
      <c r="K663" s="1">
        <f>[1]Other_transformation!G$28</f>
        <v>16.608714359995833</v>
      </c>
      <c r="L663" s="1">
        <f>[1]Other_transformation!H$28</f>
        <v>17.703579079667325</v>
      </c>
      <c r="M663" s="1">
        <f>[1]Other_transformation!I$28</f>
        <v>26.656389239738253</v>
      </c>
      <c r="N663" s="1">
        <f>[1]Other_transformation!J$28</f>
        <v>26.660300705748707</v>
      </c>
      <c r="O663" s="1">
        <f>[1]Other_transformation!K$28</f>
        <v>26.660640796757139</v>
      </c>
      <c r="P663" s="1">
        <f>[1]Other_transformation!L$28</f>
        <v>26.660676967634345</v>
      </c>
      <c r="Q663" s="1">
        <f>[1]Other_transformation!M$28</f>
        <v>26.661174559474279</v>
      </c>
      <c r="S663" s="3"/>
    </row>
    <row r="664" spans="2:19" x14ac:dyDescent="0.5">
      <c r="B664" t="str">
        <f t="shared" ref="B664:B675" si="752">B663</f>
        <v>SPS1</v>
      </c>
      <c r="C664" t="str">
        <f t="shared" ref="C664:C675" si="753">C663</f>
        <v>CH</v>
      </c>
      <c r="D664" t="s">
        <v>403</v>
      </c>
      <c r="E664" s="5" t="s">
        <v>8</v>
      </c>
      <c r="F664" s="1" cm="1">
        <f t="array" ref="F664">SUMPRODUCT(("SUP_ELCH2"=[1]OUT_SyntheticFuels!$C$4:$C$1000)*1,ISNUMBER(SEARCH("h2",[1]OUT_SyntheticFuels!$A$4:$A$1000))*1,("Var_Fout"=[1]OUT_SyntheticFuels!$B$4:$B$1000)*1,[1]OUT_SyntheticFuels!E$4:E$1000)</f>
        <v>5.027796464448047E-3</v>
      </c>
      <c r="G664" s="1" cm="1">
        <f t="array" ref="G664">SUMPRODUCT(("SUP_ELCH2"=[1]OUT_SyntheticFuels!$C$4:$C$1000)*1,ISNUMBER(SEARCH("h2",[1]OUT_SyntheticFuels!$A$4:$A$1000))*1,("Var_Fout"=[1]OUT_SyntheticFuels!$B$4:$B$1000)*1,[1]OUT_SyntheticFuels!F$4:F$1000)</f>
        <v>1.8326936596343157E-2</v>
      </c>
      <c r="H664" s="1" cm="1">
        <f t="array" ref="H664">SUMPRODUCT(("SUP_ELCH2"=[1]OUT_SyntheticFuels!$C$4:$C$1000)*1,ISNUMBER(SEARCH("h2",[1]OUT_SyntheticFuels!$A$4:$A$1000))*1,("Var_Fout"=[1]OUT_SyntheticFuels!$B$4:$B$1000)*1,[1]OUT_SyntheticFuels!G$4:G$1000)</f>
        <v>1.8377271591429024E-2</v>
      </c>
      <c r="I664" s="1" cm="1">
        <f t="array" ref="I664">SUMPRODUCT(("SUP_ELCH2"=[1]OUT_SyntheticFuels!$C$4:$C$1000)*1,ISNUMBER(SEARCH("h2",[1]OUT_SyntheticFuels!$A$4:$A$1000))*1,("Var_Fout"=[1]OUT_SyntheticFuels!$B$4:$B$1000)*1,[1]OUT_SyntheticFuels!H$4:H$1000)</f>
        <v>0.42838047310604715</v>
      </c>
      <c r="J664" s="1" cm="1">
        <f t="array" ref="J664">SUMPRODUCT(("SUP_ELCH2"=[1]OUT_SyntheticFuels!$C$4:$C$1000)*1,ISNUMBER(SEARCH("h2",[1]OUT_SyntheticFuels!$A$4:$A$1000))*1,("Var_Fout"=[1]OUT_SyntheticFuels!$B$4:$B$1000)*1,[1]OUT_SyntheticFuels!I$4:I$1000)</f>
        <v>5.7759598835261539</v>
      </c>
      <c r="K664" s="1" cm="1">
        <f t="array" ref="K664">SUMPRODUCT(("SUP_ELCH2"=[1]OUT_SyntheticFuels!$C$4:$C$1000)*1,ISNUMBER(SEARCH("h2",[1]OUT_SyntheticFuels!$A$4:$A$1000))*1,("Var_Fout"=[1]OUT_SyntheticFuels!$B$4:$B$1000)*1,[1]OUT_SyntheticFuels!J$4:J$1000)</f>
        <v>13.949709778042807</v>
      </c>
      <c r="L664" s="1" cm="1">
        <f t="array" ref="L664">SUMPRODUCT(("SUP_ELCH2"=[1]OUT_SyntheticFuels!$C$4:$C$1000)*1,ISNUMBER(SEARCH("h2",[1]OUT_SyntheticFuels!$A$4:$A$1000))*1,("Var_Fout"=[1]OUT_SyntheticFuels!$B$4:$B$1000)*1,[1]OUT_SyntheticFuels!K$4:K$1000)</f>
        <v>14.101325573863717</v>
      </c>
      <c r="M664" s="1" cm="1">
        <f t="array" ref="M664">SUMPRODUCT(("SUP_ELCH2"=[1]OUT_SyntheticFuels!$C$4:$C$1000)*1,ISNUMBER(SEARCH("h2",[1]OUT_SyntheticFuels!$A$4:$A$1000))*1,("Var_Fout"=[1]OUT_SyntheticFuels!$B$4:$B$1000)*1,[1]OUT_SyntheticFuels!L$4:L$1000)</f>
        <v>23.005397293546963</v>
      </c>
      <c r="N664" s="1" cm="1">
        <f t="array" ref="N664">SUMPRODUCT(("SUP_ELCH2"=[1]OUT_SyntheticFuels!$C$4:$C$1000)*1,ISNUMBER(SEARCH("h2",[1]OUT_SyntheticFuels!$A$4:$A$1000))*1,("Var_Fout"=[1]OUT_SyntheticFuels!$B$4:$B$1000)*1,[1]OUT_SyntheticFuels!M$4:M$1000)</f>
        <v>23.024081104647319</v>
      </c>
      <c r="O664" s="1" cm="1">
        <f t="array" ref="O664">SUMPRODUCT(("SUP_ELCH2"=[1]OUT_SyntheticFuels!$C$4:$C$1000)*1,ISNUMBER(SEARCH("h2",[1]OUT_SyntheticFuels!$A$4:$A$1000))*1,("Var_Fout"=[1]OUT_SyntheticFuels!$B$4:$B$1000)*1,[1]OUT_SyntheticFuels!N$4:N$1000)</f>
        <v>23.022402314328708</v>
      </c>
      <c r="P664" s="1" cm="1">
        <f t="array" ref="P664">SUMPRODUCT(("SUP_ELCH2"=[1]OUT_SyntheticFuels!$C$4:$C$1000)*1,ISNUMBER(SEARCH("h2",[1]OUT_SyntheticFuels!$A$4:$A$1000))*1,("Var_Fout"=[1]OUT_SyntheticFuels!$B$4:$B$1000)*1,[1]OUT_SyntheticFuels!O$4:O$1000)</f>
        <v>23.010529258036897</v>
      </c>
      <c r="Q664" s="1" cm="1">
        <f t="array" ref="Q664">SUMPRODUCT(("SUP_ELCH2"=[1]OUT_SyntheticFuels!$C$4:$C$1000)*1,ISNUMBER(SEARCH("h2",[1]OUT_SyntheticFuels!$A$4:$A$1000))*1,("Var_Fout"=[1]OUT_SyntheticFuels!$B$4:$B$1000)*1,[1]OUT_SyntheticFuels!P$4:P$1000)</f>
        <v>22.997657588593054</v>
      </c>
      <c r="S664" s="3"/>
    </row>
    <row r="665" spans="2:19" x14ac:dyDescent="0.5">
      <c r="B665" t="str">
        <f t="shared" ref="B665" si="754">B664</f>
        <v>SPS1</v>
      </c>
      <c r="C665" t="str">
        <f t="shared" ref="C665" si="755">C664</f>
        <v>CH</v>
      </c>
      <c r="D665" t="s">
        <v>402</v>
      </c>
      <c r="E665" s="5" t="s">
        <v>8</v>
      </c>
      <c r="F665" s="1" cm="1">
        <f t="array" ref="F665">SUMPRODUCT(("SUP_ELCH2_D"=[1]OUT_SyntheticFuels!$C$4:$C$1000)*1,ISNUMBER(SEARCH("h2",[1]OUT_SyntheticFuels!$A$4:$A$1000))*1,("Var_Fout"=[1]OUT_SyntheticFuels!$B$4:$B$1000)*1,[1]OUT_SyntheticFuels!E$4:E$1000)</f>
        <v>0</v>
      </c>
      <c r="G665" s="1" cm="1">
        <f t="array" ref="G665">SUMPRODUCT(("SUP_ELCH2_D"=[1]OUT_SyntheticFuels!$C$4:$C$1000)*1,ISNUMBER(SEARCH("h2",[1]OUT_SyntheticFuels!$A$4:$A$1000))*1,("Var_Fout"=[1]OUT_SyntheticFuels!$B$4:$B$1000)*1,[1]OUT_SyntheticFuels!F$4:F$1000)</f>
        <v>0</v>
      </c>
      <c r="H665" s="1" cm="1">
        <f t="array" ref="H665">SUMPRODUCT(("SUP_ELCH2_D"=[1]OUT_SyntheticFuels!$C$4:$C$1000)*1,ISNUMBER(SEARCH("h2",[1]OUT_SyntheticFuels!$A$4:$A$1000))*1,("Var_Fout"=[1]OUT_SyntheticFuels!$B$4:$B$1000)*1,[1]OUT_SyntheticFuels!G$4:G$1000)</f>
        <v>0</v>
      </c>
      <c r="I665" s="1" cm="1">
        <f t="array" ref="I665">SUMPRODUCT(("SUP_ELCH2_D"=[1]OUT_SyntheticFuels!$C$4:$C$1000)*1,ISNUMBER(SEARCH("h2",[1]OUT_SyntheticFuels!$A$4:$A$1000))*1,("Var_Fout"=[1]OUT_SyntheticFuels!$B$4:$B$1000)*1,[1]OUT_SyntheticFuels!H$4:H$1000)</f>
        <v>6.992510777563459E-6</v>
      </c>
      <c r="J665" s="1" cm="1">
        <f t="array" ref="J665">SUMPRODUCT(("SUP_ELCH2_D"=[1]OUT_SyntheticFuels!$C$4:$C$1000)*1,ISNUMBER(SEARCH("h2",[1]OUT_SyntheticFuels!$A$4:$A$1000))*1,("Var_Fout"=[1]OUT_SyntheticFuels!$B$4:$B$1000)*1,[1]OUT_SyntheticFuels!I$4:I$1000)</f>
        <v>9.9650545360584528E-5</v>
      </c>
      <c r="K665" s="1" cm="1">
        <f t="array" ref="K665">SUMPRODUCT(("SUP_ELCH2_D"=[1]OUT_SyntheticFuels!$C$4:$C$1000)*1,ISNUMBER(SEARCH("h2",[1]OUT_SyntheticFuels!$A$4:$A$1000))*1,("Var_Fout"=[1]OUT_SyntheticFuels!$B$4:$B$1000)*1,[1]OUT_SyntheticFuels!J$4:J$1000)</f>
        <v>2.6171244241170579</v>
      </c>
      <c r="L665" s="1" cm="1">
        <f t="array" ref="L665">SUMPRODUCT(("SUP_ELCH2_D"=[1]OUT_SyntheticFuels!$C$4:$C$1000)*1,ISNUMBER(SEARCH("h2",[1]OUT_SyntheticFuels!$A$4:$A$1000))*1,("Var_Fout"=[1]OUT_SyntheticFuels!$B$4:$B$1000)*1,[1]OUT_SyntheticFuels!K$4:K$1000)</f>
        <v>3.5147201974439506</v>
      </c>
      <c r="M665" s="1" cm="1">
        <f t="array" ref="M665">SUMPRODUCT(("SUP_ELCH2_D"=[1]OUT_SyntheticFuels!$C$4:$C$1000)*1,ISNUMBER(SEARCH("h2",[1]OUT_SyntheticFuels!$A$4:$A$1000))*1,("Var_Fout"=[1]OUT_SyntheticFuels!$B$4:$B$1000)*1,[1]OUT_SyntheticFuels!L$4:L$1000)</f>
        <v>3.6138904576192439</v>
      </c>
      <c r="N665" s="1" cm="1">
        <f t="array" ref="N665">SUMPRODUCT(("SUP_ELCH2_D"=[1]OUT_SyntheticFuels!$C$4:$C$1000)*1,ISNUMBER(SEARCH("h2",[1]OUT_SyntheticFuels!$A$4:$A$1000))*1,("Var_Fout"=[1]OUT_SyntheticFuels!$B$4:$B$1000)*1,[1]OUT_SyntheticFuels!M$4:M$1000)</f>
        <v>3.6138927430230163</v>
      </c>
      <c r="O665" s="1" cm="1">
        <f t="array" ref="O665">SUMPRODUCT(("SUP_ELCH2_D"=[1]OUT_SyntheticFuels!$C$4:$C$1000)*1,ISNUMBER(SEARCH("h2",[1]OUT_SyntheticFuels!$A$4:$A$1000))*1,("Var_Fout"=[1]OUT_SyntheticFuels!$B$4:$B$1000)*1,[1]OUT_SyntheticFuels!N$4:N$1000)</f>
        <v>3.6138948652758325</v>
      </c>
      <c r="P665" s="1" cm="1">
        <f t="array" ref="P665">SUMPRODUCT(("SUP_ELCH2_D"=[1]OUT_SyntheticFuels!$C$4:$C$1000)*1,ISNUMBER(SEARCH("h2",[1]OUT_SyntheticFuels!$A$4:$A$1000))*1,("Var_Fout"=[1]OUT_SyntheticFuels!$B$4:$B$1000)*1,[1]OUT_SyntheticFuels!O$4:O$1000)</f>
        <v>3.6138967954692265</v>
      </c>
      <c r="Q665" s="1" cm="1">
        <f t="array" ref="Q665">SUMPRODUCT(("SUP_ELCH2_D"=[1]OUT_SyntheticFuels!$C$4:$C$1000)*1,ISNUMBER(SEARCH("h2",[1]OUT_SyntheticFuels!$A$4:$A$1000))*1,("Var_Fout"=[1]OUT_SyntheticFuels!$B$4:$B$1000)*1,[1]OUT_SyntheticFuels!P$4:P$1000)</f>
        <v>3.6139084790614033</v>
      </c>
      <c r="S665" s="3"/>
    </row>
    <row r="666" spans="2:19" x14ac:dyDescent="0.5">
      <c r="B666" t="str">
        <f>B664</f>
        <v>SPS1</v>
      </c>
      <c r="C666" t="str">
        <f>C664</f>
        <v>CH</v>
      </c>
      <c r="D666" t="s">
        <v>391</v>
      </c>
      <c r="E666" s="5" t="s">
        <v>8</v>
      </c>
      <c r="F666" s="1" cm="1">
        <f t="array" ref="F666">SUMPRODUCT(("SUP_ELCH2_SOEC"=[1]OUT_SyntheticFuels!$C$4:$C$1000)*1,ISNUMBER(SEARCH("H2",[1]OUT_SyntheticFuels!$A$4:$A$1000))*1,("Var_Fout"=[1]OUT_SyntheticFuels!$B$4:$B$1000)*1,[1]OUT_SyntheticFuels!E$4:E$1000)</f>
        <v>0</v>
      </c>
      <c r="G666" s="1" cm="1">
        <f t="array" ref="G666">SUMPRODUCT(("SUP_ELCH2_SOEC"=[1]OUT_SyntheticFuels!$C$4:$C$1000)*1,ISNUMBER(SEARCH("H2",[1]OUT_SyntheticFuels!$A$4:$A$1000))*1,("Var_Fout"=[1]OUT_SyntheticFuels!$B$4:$B$1000)*1,[1]OUT_SyntheticFuels!F$4:F$1000)</f>
        <v>0</v>
      </c>
      <c r="H666" s="1" cm="1">
        <f t="array" ref="H666">SUMPRODUCT(("SUP_ELCH2_SOEC"=[1]OUT_SyntheticFuels!$C$4:$C$1000)*1,ISNUMBER(SEARCH("H2",[1]OUT_SyntheticFuels!$A$4:$A$1000))*1,("Var_Fout"=[1]OUT_SyntheticFuels!$B$4:$B$1000)*1,[1]OUT_SyntheticFuels!G$4:G$1000)</f>
        <v>0</v>
      </c>
      <c r="I666" s="1" cm="1">
        <f t="array" ref="I666">SUMPRODUCT(("SUP_ELCH2_SOEC"=[1]OUT_SyntheticFuels!$C$4:$C$1000)*1,ISNUMBER(SEARCH("H2",[1]OUT_SyntheticFuels!$A$4:$A$1000))*1,("Var_Fout"=[1]OUT_SyntheticFuels!$B$4:$B$1000)*1,[1]OUT_SyntheticFuels!H$4:H$1000)</f>
        <v>0</v>
      </c>
      <c r="J666" s="1" cm="1">
        <f t="array" ref="J666">SUMPRODUCT(("SUP_ELCH2_SOEC"=[1]OUT_SyntheticFuels!$C$4:$C$1000)*1,ISNUMBER(SEARCH("H2",[1]OUT_SyntheticFuels!$A$4:$A$1000))*1,("Var_Fout"=[1]OUT_SyntheticFuels!$B$4:$B$1000)*1,[1]OUT_SyntheticFuels!I$4:I$1000)</f>
        <v>0</v>
      </c>
      <c r="K666" s="1" cm="1">
        <f t="array" ref="K666">SUMPRODUCT(("SUP_ELCH2_SOEC"=[1]OUT_SyntheticFuels!$C$4:$C$1000)*1,ISNUMBER(SEARCH("H2",[1]OUT_SyntheticFuels!$A$4:$A$1000))*1,("Var_Fout"=[1]OUT_SyntheticFuels!$B$4:$B$1000)*1,[1]OUT_SyntheticFuels!J$4:J$1000)</f>
        <v>4.1880157835967269E-2</v>
      </c>
      <c r="L666" s="1" cm="1">
        <f t="array" ref="L666">SUMPRODUCT(("SUP_ELCH2_SOEC"=[1]OUT_SyntheticFuels!$C$4:$C$1000)*1,ISNUMBER(SEARCH("H2",[1]OUT_SyntheticFuels!$A$4:$A$1000))*1,("Var_Fout"=[1]OUT_SyntheticFuels!$B$4:$B$1000)*1,[1]OUT_SyntheticFuels!K$4:K$1000)</f>
        <v>8.7533308359657905E-2</v>
      </c>
      <c r="M666" s="1" cm="1">
        <f t="array" ref="M666">SUMPRODUCT(("SUP_ELCH2_SOEC"=[1]OUT_SyntheticFuels!$C$4:$C$1000)*1,ISNUMBER(SEARCH("H2",[1]OUT_SyntheticFuels!$A$4:$A$1000))*1,("Var_Fout"=[1]OUT_SyntheticFuels!$B$4:$B$1000)*1,[1]OUT_SyntheticFuels!L$4:L$1000)</f>
        <v>3.7101488572047189E-2</v>
      </c>
      <c r="N666" s="1" cm="1">
        <f t="array" ref="N666">SUMPRODUCT(("SUP_ELCH2_SOEC"=[1]OUT_SyntheticFuels!$C$4:$C$1000)*1,ISNUMBER(SEARCH("H2",[1]OUT_SyntheticFuels!$A$4:$A$1000))*1,("Var_Fout"=[1]OUT_SyntheticFuels!$B$4:$B$1000)*1,[1]OUT_SyntheticFuels!M$4:M$1000)</f>
        <v>2.2326858078370433E-2</v>
      </c>
      <c r="O666" s="1" cm="1">
        <f t="array" ref="O666">SUMPRODUCT(("SUP_ELCH2_SOEC"=[1]OUT_SyntheticFuels!$C$4:$C$1000)*1,ISNUMBER(SEARCH("H2",[1]OUT_SyntheticFuels!$A$4:$A$1000))*1,("Var_Fout"=[1]OUT_SyntheticFuels!$B$4:$B$1000)*1,[1]OUT_SyntheticFuels!N$4:N$1000)</f>
        <v>2.4343617152599584E-2</v>
      </c>
      <c r="P666" s="1" cm="1">
        <f t="array" ref="P666">SUMPRODUCT(("SUP_ELCH2_SOEC"=[1]OUT_SyntheticFuels!$C$4:$C$1000)*1,ISNUMBER(SEARCH("H2",[1]OUT_SyntheticFuels!$A$4:$A$1000))*1,("Var_Fout"=[1]OUT_SyntheticFuels!$B$4:$B$1000)*1,[1]OUT_SyntheticFuels!O$4:O$1000)</f>
        <v>3.6250914128220013E-2</v>
      </c>
      <c r="Q666" s="1" cm="1">
        <f t="array" ref="Q666">SUMPRODUCT(("SUP_ELCH2_SOEC"=[1]OUT_SyntheticFuels!$C$4:$C$1000)*1,ISNUMBER(SEARCH("H2",[1]OUT_SyntheticFuels!$A$4:$A$1000))*1,("Var_Fout"=[1]OUT_SyntheticFuels!$B$4:$B$1000)*1,[1]OUT_SyntheticFuels!P$4:P$1000)</f>
        <v>4.9608491819823616E-2</v>
      </c>
      <c r="S666" s="3"/>
    </row>
    <row r="667" spans="2:19" x14ac:dyDescent="0.5">
      <c r="B667" t="str">
        <f t="shared" si="752"/>
        <v>SPS1</v>
      </c>
      <c r="C667" t="str">
        <f t="shared" si="753"/>
        <v>CH</v>
      </c>
      <c r="D667" t="s">
        <v>916</v>
      </c>
      <c r="E667" s="5" t="s">
        <v>8</v>
      </c>
      <c r="F667" s="1">
        <f>SUM([1]Other_transformation!B$29:B$30)</f>
        <v>0</v>
      </c>
      <c r="G667" s="1">
        <f>SUM([1]Other_transformation!C$29:C$30)</f>
        <v>0</v>
      </c>
      <c r="H667" s="1">
        <f>SUM([1]Other_transformation!D$29:D$30)</f>
        <v>0</v>
      </c>
      <c r="I667" s="1">
        <f>SUM([1]Other_transformation!E$29:E$30)</f>
        <v>0</v>
      </c>
      <c r="J667" s="1">
        <f>SUM([1]Other_transformation!F$29:F$30)</f>
        <v>0</v>
      </c>
      <c r="K667" s="1">
        <f>SUM([1]Other_transformation!G$29:G$30)</f>
        <v>0</v>
      </c>
      <c r="L667" s="1">
        <f>SUM([1]Other_transformation!H$29:H$30)</f>
        <v>0</v>
      </c>
      <c r="M667" s="1">
        <f>SUM([1]Other_transformation!I$29:I$30)</f>
        <v>8.6449858315290075E-4</v>
      </c>
      <c r="N667" s="1">
        <f>SUM([1]Other_transformation!J$29:J$30)</f>
        <v>1.2084354553174421E-3</v>
      </c>
      <c r="O667" s="1">
        <f>SUM([1]Other_transformation!K$29:K$30)</f>
        <v>1.390477356450652E-3</v>
      </c>
      <c r="P667" s="1">
        <f>SUM([1]Other_transformation!L$29:L$30)</f>
        <v>1.2735815089063621E-3</v>
      </c>
      <c r="Q667" s="1">
        <f>SUM([1]Other_transformation!M$29:M$30)</f>
        <v>1.8264175605036416E-3</v>
      </c>
      <c r="S667" s="3"/>
    </row>
    <row r="668" spans="2:19" x14ac:dyDescent="0.5">
      <c r="B668" t="str">
        <f t="shared" si="752"/>
        <v>SPS1</v>
      </c>
      <c r="C668" t="str">
        <f t="shared" si="753"/>
        <v>CH</v>
      </c>
      <c r="D668" t="s">
        <v>392</v>
      </c>
      <c r="E668" s="5" t="s">
        <v>8</v>
      </c>
      <c r="F668" s="1">
        <f>[1]Other_transformation!B$29</f>
        <v>0</v>
      </c>
      <c r="G668" s="1">
        <f>[1]Other_transformation!C$29</f>
        <v>0</v>
      </c>
      <c r="H668" s="1">
        <f>[1]Other_transformation!D$29</f>
        <v>0</v>
      </c>
      <c r="I668" s="1">
        <f>[1]Other_transformation!E$29</f>
        <v>0</v>
      </c>
      <c r="J668" s="1">
        <f>[1]Other_transformation!F$29</f>
        <v>0</v>
      </c>
      <c r="K668" s="1">
        <f>[1]Other_transformation!G$29</f>
        <v>0</v>
      </c>
      <c r="L668" s="1">
        <f>[1]Other_transformation!H$29</f>
        <v>0</v>
      </c>
      <c r="M668" s="1">
        <f>[1]Other_transformation!I$29</f>
        <v>4.1825567249681277E-4</v>
      </c>
      <c r="N668" s="1">
        <f>[1]Other_transformation!J$29</f>
        <v>4.2586460098857398E-4</v>
      </c>
      <c r="O668" s="1">
        <f>[1]Other_transformation!K$29</f>
        <v>4.8167581629904256E-4</v>
      </c>
      <c r="P668" s="1">
        <f>[1]Other_transformation!L$29</f>
        <v>4.7793371888560214E-4</v>
      </c>
      <c r="Q668" s="1">
        <f>[1]Other_transformation!M$29</f>
        <v>8.3581379936763993E-4</v>
      </c>
      <c r="S668" s="3"/>
    </row>
    <row r="669" spans="2:19" x14ac:dyDescent="0.5">
      <c r="B669" t="str">
        <f t="shared" si="752"/>
        <v>SPS1</v>
      </c>
      <c r="C669" t="str">
        <f t="shared" si="753"/>
        <v>CH</v>
      </c>
      <c r="D669" t="s">
        <v>393</v>
      </c>
      <c r="E669" s="5" t="s">
        <v>8</v>
      </c>
      <c r="F669" s="1">
        <f>[1]Other_transformation!B$30</f>
        <v>0</v>
      </c>
      <c r="G669" s="1">
        <f>[1]Other_transformation!C$30</f>
        <v>0</v>
      </c>
      <c r="H669" s="1">
        <f>[1]Other_transformation!D$30</f>
        <v>0</v>
      </c>
      <c r="I669" s="1">
        <f>[1]Other_transformation!E$30</f>
        <v>0</v>
      </c>
      <c r="J669" s="1">
        <f>[1]Other_transformation!F$30</f>
        <v>0</v>
      </c>
      <c r="K669" s="1">
        <f>[1]Other_transformation!G$30</f>
        <v>0</v>
      </c>
      <c r="L669" s="1">
        <f>[1]Other_transformation!H$30</f>
        <v>0</v>
      </c>
      <c r="M669" s="1">
        <f>[1]Other_transformation!I$30</f>
        <v>4.4624291065608799E-4</v>
      </c>
      <c r="N669" s="1">
        <f>[1]Other_transformation!J$30</f>
        <v>7.8257085432886808E-4</v>
      </c>
      <c r="O669" s="1">
        <f>[1]Other_transformation!K$30</f>
        <v>9.0880154015160941E-4</v>
      </c>
      <c r="P669" s="1">
        <f>[1]Other_transformation!L$30</f>
        <v>7.9564779002075999E-4</v>
      </c>
      <c r="Q669" s="1">
        <f>[1]Other_transformation!M$30</f>
        <v>9.9060376113600172E-4</v>
      </c>
      <c r="S669" s="3"/>
    </row>
    <row r="670" spans="2:19" x14ac:dyDescent="0.5">
      <c r="B670" t="str">
        <f t="shared" si="752"/>
        <v>SPS1</v>
      </c>
      <c r="C670" t="str">
        <f t="shared" si="753"/>
        <v>CH</v>
      </c>
      <c r="D670" t="s">
        <v>917</v>
      </c>
      <c r="E670" s="5" t="s">
        <v>8</v>
      </c>
      <c r="F670" s="1">
        <f>F667-F673</f>
        <v>0</v>
      </c>
      <c r="G670" s="1">
        <f t="shared" ref="G670:K670" si="756">G667-G673</f>
        <v>0</v>
      </c>
      <c r="H670" s="1">
        <f t="shared" si="756"/>
        <v>0</v>
      </c>
      <c r="I670" s="1">
        <f t="shared" si="756"/>
        <v>0</v>
      </c>
      <c r="J670" s="1">
        <f t="shared" si="756"/>
        <v>0</v>
      </c>
      <c r="K670" s="1">
        <f t="shared" si="756"/>
        <v>0</v>
      </c>
      <c r="L670" s="1">
        <f t="shared" ref="L670:O670" si="757">L667-L673</f>
        <v>0</v>
      </c>
      <c r="M670" s="1">
        <f t="shared" si="757"/>
        <v>0</v>
      </c>
      <c r="N670" s="1">
        <f t="shared" si="757"/>
        <v>0</v>
      </c>
      <c r="O670" s="1">
        <f t="shared" si="757"/>
        <v>0</v>
      </c>
      <c r="P670" s="1">
        <f t="shared" ref="P670:Q672" si="758">P667-P673</f>
        <v>0</v>
      </c>
      <c r="Q670" s="1">
        <f t="shared" si="758"/>
        <v>0</v>
      </c>
      <c r="S670" s="3"/>
    </row>
    <row r="671" spans="2:19" x14ac:dyDescent="0.5">
      <c r="B671" t="str">
        <f t="shared" si="752"/>
        <v>SPS1</v>
      </c>
      <c r="C671" t="str">
        <f t="shared" si="753"/>
        <v>CH</v>
      </c>
      <c r="D671" t="s">
        <v>607</v>
      </c>
      <c r="E671" s="5" t="s">
        <v>8</v>
      </c>
      <c r="F671" s="1">
        <f t="shared" ref="F671:K671" si="759">F668-F674</f>
        <v>0</v>
      </c>
      <c r="G671" s="1">
        <f t="shared" si="759"/>
        <v>0</v>
      </c>
      <c r="H671" s="1">
        <f t="shared" si="759"/>
        <v>0</v>
      </c>
      <c r="I671" s="1">
        <f t="shared" si="759"/>
        <v>0</v>
      </c>
      <c r="J671" s="1">
        <f t="shared" si="759"/>
        <v>0</v>
      </c>
      <c r="K671" s="1">
        <f t="shared" si="759"/>
        <v>0</v>
      </c>
      <c r="L671" s="1">
        <f t="shared" ref="L671:O671" si="760">L668-L674</f>
        <v>0</v>
      </c>
      <c r="M671" s="1">
        <f t="shared" si="760"/>
        <v>0</v>
      </c>
      <c r="N671" s="1">
        <f t="shared" si="760"/>
        <v>0</v>
      </c>
      <c r="O671" s="1">
        <f t="shared" si="760"/>
        <v>0</v>
      </c>
      <c r="P671" s="1">
        <f t="shared" si="758"/>
        <v>0</v>
      </c>
      <c r="Q671" s="1">
        <f t="shared" si="758"/>
        <v>0</v>
      </c>
      <c r="S671" s="3"/>
    </row>
    <row r="672" spans="2:19" x14ac:dyDescent="0.5">
      <c r="B672" t="str">
        <f t="shared" si="752"/>
        <v>SPS1</v>
      </c>
      <c r="C672" t="str">
        <f t="shared" si="753"/>
        <v>CH</v>
      </c>
      <c r="D672" t="s">
        <v>608</v>
      </c>
      <c r="E672" s="5" t="s">
        <v>8</v>
      </c>
      <c r="F672" s="1">
        <f t="shared" ref="F672:K672" si="761">F669-F675</f>
        <v>0</v>
      </c>
      <c r="G672" s="1">
        <f t="shared" si="761"/>
        <v>0</v>
      </c>
      <c r="H672" s="1">
        <f t="shared" si="761"/>
        <v>0</v>
      </c>
      <c r="I672" s="1">
        <f t="shared" si="761"/>
        <v>0</v>
      </c>
      <c r="J672" s="1">
        <f t="shared" si="761"/>
        <v>0</v>
      </c>
      <c r="K672" s="1">
        <f t="shared" si="761"/>
        <v>0</v>
      </c>
      <c r="L672" s="1">
        <f t="shared" ref="L672:O672" si="762">L669-L675</f>
        <v>0</v>
      </c>
      <c r="M672" s="1">
        <f t="shared" si="762"/>
        <v>0</v>
      </c>
      <c r="N672" s="1">
        <f t="shared" si="762"/>
        <v>0</v>
      </c>
      <c r="O672" s="1">
        <f t="shared" si="762"/>
        <v>0</v>
      </c>
      <c r="P672" s="1">
        <f t="shared" si="758"/>
        <v>0</v>
      </c>
      <c r="Q672" s="1">
        <f t="shared" si="758"/>
        <v>0</v>
      </c>
      <c r="S672" s="3"/>
    </row>
    <row r="673" spans="2:19" x14ac:dyDescent="0.5">
      <c r="B673" t="str">
        <f t="shared" si="752"/>
        <v>SPS1</v>
      </c>
      <c r="C673" t="str">
        <f t="shared" si="753"/>
        <v>CH</v>
      </c>
      <c r="D673" t="s">
        <v>918</v>
      </c>
      <c r="E673" s="5" t="s">
        <v>8</v>
      </c>
      <c r="F673" s="1">
        <f>SUM(F674:F675)</f>
        <v>0</v>
      </c>
      <c r="G673" s="1">
        <f t="shared" ref="G673:K673" si="763">SUM(G674:G675)</f>
        <v>0</v>
      </c>
      <c r="H673" s="1">
        <f t="shared" si="763"/>
        <v>0</v>
      </c>
      <c r="I673" s="1">
        <f t="shared" si="763"/>
        <v>0</v>
      </c>
      <c r="J673" s="1">
        <f t="shared" si="763"/>
        <v>0</v>
      </c>
      <c r="K673" s="1">
        <f t="shared" si="763"/>
        <v>0</v>
      </c>
      <c r="L673" s="1">
        <f t="shared" ref="L673:O673" si="764">SUM(L674:L675)</f>
        <v>0</v>
      </c>
      <c r="M673" s="1">
        <f t="shared" si="764"/>
        <v>8.6449858315290075E-4</v>
      </c>
      <c r="N673" s="1">
        <f t="shared" si="764"/>
        <v>1.2084354553174421E-3</v>
      </c>
      <c r="O673" s="1">
        <f t="shared" si="764"/>
        <v>1.390477356450652E-3</v>
      </c>
      <c r="P673" s="1">
        <f>SUM(P674:P675)</f>
        <v>1.2735815089063621E-3</v>
      </c>
      <c r="Q673" s="1">
        <f>SUM(Q674:Q675)</f>
        <v>1.8264175605036416E-3</v>
      </c>
      <c r="S673" s="3"/>
    </row>
    <row r="674" spans="2:19" x14ac:dyDescent="0.5">
      <c r="B674" t="str">
        <f t="shared" si="752"/>
        <v>SPS1</v>
      </c>
      <c r="C674" t="str">
        <f t="shared" si="753"/>
        <v>CH</v>
      </c>
      <c r="D674" t="s">
        <v>668</v>
      </c>
      <c r="E674" s="5" t="s">
        <v>8</v>
      </c>
      <c r="F674" s="1">
        <f>IFERROR([1]Energy_Balances!B$157/([1]Energy_Balances!B$157+[1]Energy_Balances!B$72),0)*F668</f>
        <v>0</v>
      </c>
      <c r="G674" s="1">
        <f>IFERROR([1]Energy_Balances!C$157/([1]Energy_Balances!C$157+[1]Energy_Balances!C$72),0)*G668</f>
        <v>0</v>
      </c>
      <c r="H674" s="1">
        <f>IFERROR([1]Energy_Balances!D$157/([1]Energy_Balances!D$157+[1]Energy_Balances!D$72),0)*H668</f>
        <v>0</v>
      </c>
      <c r="I674" s="1">
        <f>IFERROR([1]Energy_Balances!E$157/([1]Energy_Balances!E$157+[1]Energy_Balances!E$72),0)*I668</f>
        <v>0</v>
      </c>
      <c r="J674" s="1">
        <f>IFERROR([1]Energy_Balances!F$157/([1]Energy_Balances!F$157+[1]Energy_Balances!F$72),0)*J668</f>
        <v>0</v>
      </c>
      <c r="K674" s="1">
        <f>IFERROR([1]Energy_Balances!G$157/([1]Energy_Balances!G$157+[1]Energy_Balances!G$72),0)*K668</f>
        <v>0</v>
      </c>
      <c r="L674" s="1">
        <f>IFERROR([1]Energy_Balances!H$157/([1]Energy_Balances!H$157+[1]Energy_Balances!H$72),0)*L668</f>
        <v>0</v>
      </c>
      <c r="M674" s="1">
        <f>IFERROR([1]Energy_Balances!I$157/([1]Energy_Balances!I$157+[1]Energy_Balances!I$72),0)*M668</f>
        <v>4.1825567249681277E-4</v>
      </c>
      <c r="N674" s="1">
        <f>IFERROR([1]Energy_Balances!J$157/([1]Energy_Balances!J$157+[1]Energy_Balances!J$72),0)*N668</f>
        <v>4.2586460098857398E-4</v>
      </c>
      <c r="O674" s="1">
        <f>IFERROR([1]Energy_Balances!K$157/([1]Energy_Balances!K$157+[1]Energy_Balances!K$72),0)*O668</f>
        <v>4.8167581629904256E-4</v>
      </c>
      <c r="P674" s="1">
        <f>IFERROR([1]Energy_Balances!L$157/([1]Energy_Balances!L$157+[1]Energy_Balances!L$72),0)*P668</f>
        <v>4.7793371888560214E-4</v>
      </c>
      <c r="Q674" s="1">
        <f>IFERROR([1]Energy_Balances!M$157/([1]Energy_Balances!M$157+[1]Energy_Balances!M$72),0)*Q668</f>
        <v>8.3581379936763993E-4</v>
      </c>
      <c r="S674" s="3"/>
    </row>
    <row r="675" spans="2:19" x14ac:dyDescent="0.5">
      <c r="B675" t="str">
        <f t="shared" si="752"/>
        <v>SPS1</v>
      </c>
      <c r="C675" t="str">
        <f t="shared" si="753"/>
        <v>CH</v>
      </c>
      <c r="D675" t="s">
        <v>669</v>
      </c>
      <c r="E675" s="5" t="s">
        <v>8</v>
      </c>
      <c r="F675" s="1">
        <f>IFERROR([1]Energy_Balances!B$157/([1]Energy_Balances!B$157+[1]Energy_Balances!B$72),0)*F669</f>
        <v>0</v>
      </c>
      <c r="G675" s="1">
        <f>IFERROR([1]Energy_Balances!C$157/([1]Energy_Balances!C$157+[1]Energy_Balances!C$72),0)*G669</f>
        <v>0</v>
      </c>
      <c r="H675" s="1">
        <f>IFERROR([1]Energy_Balances!D$157/([1]Energy_Balances!D$157+[1]Energy_Balances!D$72),0)*H669</f>
        <v>0</v>
      </c>
      <c r="I675" s="1">
        <f>IFERROR([1]Energy_Balances!E$157/([1]Energy_Balances!E$157+[1]Energy_Balances!E$72),0)*I669</f>
        <v>0</v>
      </c>
      <c r="J675" s="1">
        <f>IFERROR([1]Energy_Balances!F$157/([1]Energy_Balances!F$157+[1]Energy_Balances!F$72),0)*J669</f>
        <v>0</v>
      </c>
      <c r="K675" s="1">
        <f>IFERROR([1]Energy_Balances!G$157/([1]Energy_Balances!G$157+[1]Energy_Balances!G$72),0)*K669</f>
        <v>0</v>
      </c>
      <c r="L675" s="1">
        <f>IFERROR([1]Energy_Balances!H$157/([1]Energy_Balances!H$157+[1]Energy_Balances!H$72),0)*L669</f>
        <v>0</v>
      </c>
      <c r="M675" s="1">
        <f>IFERROR([1]Energy_Balances!I$157/([1]Energy_Balances!I$157+[1]Energy_Balances!I$72),0)*M669</f>
        <v>4.4624291065608799E-4</v>
      </c>
      <c r="N675" s="1">
        <f>IFERROR([1]Energy_Balances!J$157/([1]Energy_Balances!J$157+[1]Energy_Balances!J$72),0)*N669</f>
        <v>7.8257085432886808E-4</v>
      </c>
      <c r="O675" s="1">
        <f>IFERROR([1]Energy_Balances!K$157/([1]Energy_Balances!K$157+[1]Energy_Balances!K$72),0)*O669</f>
        <v>9.0880154015160941E-4</v>
      </c>
      <c r="P675" s="1">
        <f>IFERROR([1]Energy_Balances!L$157/([1]Energy_Balances!L$157+[1]Energy_Balances!L$72),0)*P669</f>
        <v>7.9564779002075999E-4</v>
      </c>
      <c r="Q675" s="1">
        <f>IFERROR([1]Energy_Balances!M$157/([1]Energy_Balances!M$157+[1]Energy_Balances!M$72),0)*Q669</f>
        <v>9.9060376113600172E-4</v>
      </c>
      <c r="S675" s="3"/>
    </row>
    <row r="676" spans="2:19" x14ac:dyDescent="0.5">
      <c r="B676" t="str">
        <f t="shared" ref="B676:B678" si="765">B675</f>
        <v>SPS1</v>
      </c>
      <c r="C676" t="str">
        <f t="shared" ref="C676:C678" si="766">C675</f>
        <v>CH</v>
      </c>
      <c r="D676" t="s">
        <v>919</v>
      </c>
      <c r="E676" s="5" t="s">
        <v>8</v>
      </c>
      <c r="F676" s="1">
        <f>SUM(F677:F678)</f>
        <v>0</v>
      </c>
      <c r="G676" s="1">
        <f t="shared" ref="G676:K676" si="767">SUM(G677:G678)</f>
        <v>0</v>
      </c>
      <c r="H676" s="1">
        <f t="shared" si="767"/>
        <v>0</v>
      </c>
      <c r="I676" s="1">
        <f t="shared" si="767"/>
        <v>5.7709639093511097E-3</v>
      </c>
      <c r="J676" s="1">
        <f t="shared" si="767"/>
        <v>0.37336069609086125</v>
      </c>
      <c r="K676" s="1">
        <f t="shared" si="767"/>
        <v>0.16419265111552192</v>
      </c>
      <c r="L676" s="1">
        <f t="shared" ref="L676:O676" si="768">SUM(L677:L678)</f>
        <v>0.45740185819809392</v>
      </c>
      <c r="M676" s="1">
        <f t="shared" si="768"/>
        <v>1.9819807644418188</v>
      </c>
      <c r="N676" s="1">
        <f t="shared" si="768"/>
        <v>5.622780479286444</v>
      </c>
      <c r="O676" s="1">
        <f t="shared" si="768"/>
        <v>5.5901473343915322</v>
      </c>
      <c r="P676" s="1">
        <f>SUM(P677:P678)</f>
        <v>8.8608908567508742</v>
      </c>
      <c r="Q676" s="1">
        <f>SUM(Q677:Q678)</f>
        <v>9.634951168707607</v>
      </c>
      <c r="S676" s="3"/>
    </row>
    <row r="677" spans="2:19" x14ac:dyDescent="0.5">
      <c r="B677" t="str">
        <f t="shared" si="765"/>
        <v>SPS1</v>
      </c>
      <c r="C677" t="str">
        <f t="shared" si="766"/>
        <v>CH</v>
      </c>
      <c r="D677" t="s">
        <v>394</v>
      </c>
      <c r="E677" s="5" t="s">
        <v>8</v>
      </c>
      <c r="F677" s="1">
        <f>[1]Other_transformation!B31</f>
        <v>0</v>
      </c>
      <c r="G677" s="1">
        <f>[1]Other_transformation!C31</f>
        <v>0</v>
      </c>
      <c r="H677" s="1">
        <f>[1]Other_transformation!D31</f>
        <v>0</v>
      </c>
      <c r="I677" s="1">
        <f>[1]Other_transformation!E31</f>
        <v>5.7709639093511097E-3</v>
      </c>
      <c r="J677" s="1">
        <f>[1]Other_transformation!F31</f>
        <v>0.37336069609086125</v>
      </c>
      <c r="K677" s="1">
        <f>[1]Other_transformation!G31</f>
        <v>0.16419265111552192</v>
      </c>
      <c r="L677" s="1">
        <f>[1]Other_transformation!H31</f>
        <v>0.45740185819809392</v>
      </c>
      <c r="M677" s="1">
        <f>[1]Other_transformation!I31</f>
        <v>1.0215497995129663E-3</v>
      </c>
      <c r="N677" s="1">
        <f>[1]Other_transformation!J31</f>
        <v>3.8376974711251677E-4</v>
      </c>
      <c r="O677" s="1">
        <f>[1]Other_transformation!K31</f>
        <v>9.0633891885349982E-4</v>
      </c>
      <c r="P677" s="1">
        <f>[1]Other_transformation!L31</f>
        <v>4.497229149933446E-4</v>
      </c>
      <c r="Q677" s="1">
        <f>[1]Other_transformation!M31</f>
        <v>1.347584351908182E-3</v>
      </c>
      <c r="S677" s="3"/>
    </row>
    <row r="678" spans="2:19" x14ac:dyDescent="0.5">
      <c r="B678" t="str">
        <f t="shared" si="765"/>
        <v>SPS1</v>
      </c>
      <c r="C678" t="str">
        <f t="shared" si="766"/>
        <v>CH</v>
      </c>
      <c r="D678" t="s">
        <v>395</v>
      </c>
      <c r="E678" s="5" t="s">
        <v>8</v>
      </c>
      <c r="F678" s="1">
        <f>[1]Other_transformation!B32</f>
        <v>0</v>
      </c>
      <c r="G678" s="1">
        <f>[1]Other_transformation!C32</f>
        <v>0</v>
      </c>
      <c r="H678" s="1">
        <f>[1]Other_transformation!D32</f>
        <v>0</v>
      </c>
      <c r="I678" s="1">
        <f>[1]Other_transformation!E32</f>
        <v>0</v>
      </c>
      <c r="J678" s="1">
        <f>[1]Other_transformation!F32</f>
        <v>0</v>
      </c>
      <c r="K678" s="1">
        <f>[1]Other_transformation!G32</f>
        <v>0</v>
      </c>
      <c r="L678" s="1">
        <f>[1]Other_transformation!H32</f>
        <v>0</v>
      </c>
      <c r="M678" s="1">
        <f>[1]Other_transformation!I32</f>
        <v>1.9809592146423058</v>
      </c>
      <c r="N678" s="1">
        <f>[1]Other_transformation!J32</f>
        <v>5.6223967095393315</v>
      </c>
      <c r="O678" s="1">
        <f>[1]Other_transformation!K32</f>
        <v>5.5892409954726787</v>
      </c>
      <c r="P678" s="1">
        <f>[1]Other_transformation!L32</f>
        <v>8.8604411338358808</v>
      </c>
      <c r="Q678" s="1">
        <f>[1]Other_transformation!M32</f>
        <v>9.6336035843556989</v>
      </c>
      <c r="S678" s="3"/>
    </row>
    <row r="679" spans="2:19" x14ac:dyDescent="0.5">
      <c r="B679" s="9" t="s">
        <v>6</v>
      </c>
      <c r="C679" s="9" t="s">
        <v>7</v>
      </c>
      <c r="D679" s="2" t="s">
        <v>406</v>
      </c>
      <c r="E679" s="9" t="s">
        <v>8</v>
      </c>
      <c r="F679" s="3">
        <f>SUM(F680,F684,F686,F695)</f>
        <v>7.3398488532088191E-3</v>
      </c>
      <c r="G679" s="3">
        <f t="shared" ref="G679:K679" si="769">SUM(G680,G684,G686,G695)</f>
        <v>2.6407689620091036E-2</v>
      </c>
      <c r="H679" s="3">
        <f t="shared" si="769"/>
        <v>2.5974942178698272E-2</v>
      </c>
      <c r="I679" s="3">
        <f t="shared" si="769"/>
        <v>0.59645041786283304</v>
      </c>
      <c r="J679" s="3">
        <f t="shared" si="769"/>
        <v>8.2980944501689624</v>
      </c>
      <c r="K679" s="3">
        <f t="shared" si="769"/>
        <v>21.698352791832438</v>
      </c>
      <c r="L679" s="3">
        <f t="shared" ref="L679:O679" si="770">SUM(L680,L684,L686,L695)</f>
        <v>22.950358151798181</v>
      </c>
      <c r="M679" s="3">
        <f t="shared" si="770"/>
        <v>35.922116484262212</v>
      </c>
      <c r="N679" s="3">
        <f t="shared" si="770"/>
        <v>42.206263135963681</v>
      </c>
      <c r="O679" s="3">
        <f t="shared" si="770"/>
        <v>42.150421565425376</v>
      </c>
      <c r="P679" s="3">
        <f>SUM(P680,P684,P686,P695)</f>
        <v>47.788245209480998</v>
      </c>
      <c r="Q679" s="3">
        <f>SUM(Q680,Q684,Q686,Q695)</f>
        <v>49.122692636145821</v>
      </c>
      <c r="S679" s="3"/>
    </row>
    <row r="680" spans="2:19" x14ac:dyDescent="0.5">
      <c r="B680" t="str">
        <f>B679</f>
        <v>SPS1</v>
      </c>
      <c r="C680" t="str">
        <f>C679</f>
        <v>CH</v>
      </c>
      <c r="D680" t="s">
        <v>920</v>
      </c>
      <c r="E680" s="5" t="s">
        <v>8</v>
      </c>
      <c r="F680" s="1">
        <f>SUM(F681:F683)</f>
        <v>7.3398488532088191E-3</v>
      </c>
      <c r="G680" s="1">
        <f t="shared" ref="G680:K680" si="771">SUM(G681:G683)</f>
        <v>2.6407689620091036E-2</v>
      </c>
      <c r="H680" s="1">
        <f t="shared" si="771"/>
        <v>2.5974942178698272E-2</v>
      </c>
      <c r="I680" s="1">
        <f t="shared" si="771"/>
        <v>0.5868321446805812</v>
      </c>
      <c r="J680" s="1">
        <f t="shared" si="771"/>
        <v>7.6758266233508605</v>
      </c>
      <c r="K680" s="1">
        <f t="shared" si="771"/>
        <v>21.4184404186874</v>
      </c>
      <c r="L680" s="1">
        <f t="shared" ref="L680:O680" si="772">SUM(L681:L683)</f>
        <v>22.176618915015045</v>
      </c>
      <c r="M680" s="1">
        <f t="shared" si="772"/>
        <v>32.499647526579615</v>
      </c>
      <c r="N680" s="1">
        <f t="shared" si="772"/>
        <v>32.507660818651914</v>
      </c>
      <c r="O680" s="1">
        <f t="shared" si="772"/>
        <v>32.507632860572748</v>
      </c>
      <c r="P680" s="1">
        <f>SUM(P681:P683)</f>
        <v>32.505063174501551</v>
      </c>
      <c r="Q680" s="1">
        <f>SUM(Q681:Q683)</f>
        <v>32.502737842617933</v>
      </c>
      <c r="S680" s="3"/>
    </row>
    <row r="681" spans="2:19" x14ac:dyDescent="0.5">
      <c r="B681" t="str">
        <f t="shared" ref="B681:B697" si="773">B680</f>
        <v>SPS1</v>
      </c>
      <c r="C681" t="str">
        <f t="shared" ref="C681:C697" si="774">C680</f>
        <v>CH</v>
      </c>
      <c r="D681" t="s">
        <v>404</v>
      </c>
      <c r="E681" s="5" t="s">
        <v>8</v>
      </c>
      <c r="F681" s="1" cm="1">
        <f t="array" ref="F681">SUMPRODUCT(("SUP_ELCH2"=[1]OUT_SyntheticFuels!$C$4:$C$1000)*1,ISNUMBER(SEARCH("ELC",[1]OUT_SyntheticFuels!$A$4:$A$1000))*1,("Var_Fin"=[1]OUT_SyntheticFuels!$B$4:$B$1000)*1,[1]OUT_SyntheticFuels!E$4:E$1000)</f>
        <v>7.3398488532088191E-3</v>
      </c>
      <c r="G681" s="1" cm="1">
        <f t="array" ref="G681">SUMPRODUCT(("SUP_ELCH2"=[1]OUT_SyntheticFuels!$C$4:$C$1000)*1,ISNUMBER(SEARCH("ELC",[1]OUT_SyntheticFuels!$A$4:$A$1000))*1,("Var_Fin"=[1]OUT_SyntheticFuels!$B$4:$B$1000)*1,[1]OUT_SyntheticFuels!F$4:F$1000)</f>
        <v>2.6407689620091036E-2</v>
      </c>
      <c r="H681" s="1" cm="1">
        <f t="array" ref="H681">SUMPRODUCT(("SUP_ELCH2"=[1]OUT_SyntheticFuels!$C$4:$C$1000)*1,ISNUMBER(SEARCH("ELC",[1]OUT_SyntheticFuels!$A$4:$A$1000))*1,("Var_Fin"=[1]OUT_SyntheticFuels!$B$4:$B$1000)*1,[1]OUT_SyntheticFuels!G$4:G$1000)</f>
        <v>2.5974942178698272E-2</v>
      </c>
      <c r="I681" s="1" cm="1">
        <f t="array" ref="I681">SUMPRODUCT(("SUP_ELCH2"=[1]OUT_SyntheticFuels!$C$4:$C$1000)*1,ISNUMBER(SEARCH("ELC",[1]OUT_SyntheticFuels!$A$4:$A$1000))*1,("Var_Fin"=[1]OUT_SyntheticFuels!$B$4:$B$1000)*1,[1]OUT_SyntheticFuels!H$4:H$1000)</f>
        <v>0.58682256589869408</v>
      </c>
      <c r="J681" s="1" cm="1">
        <f t="array" ref="J681">SUMPRODUCT(("SUP_ELCH2"=[1]OUT_SyntheticFuels!$C$4:$C$1000)*1,ISNUMBER(SEARCH("ELC",[1]OUT_SyntheticFuels!$A$4:$A$1000))*1,("Var_Fin"=[1]OUT_SyntheticFuels!$B$4:$B$1000)*1,[1]OUT_SyntheticFuels!I$4:I$1000)</f>
        <v>7.6756941973769592</v>
      </c>
      <c r="K681" s="1" cm="1">
        <f t="array" ref="K681">SUMPRODUCT(("SUP_ELCH2"=[1]OUT_SyntheticFuels!$C$4:$C$1000)*1,ISNUMBER(SEARCH("ELC",[1]OUT_SyntheticFuels!$A$4:$A$1000))*1,("Var_Fin"=[1]OUT_SyntheticFuels!$B$4:$B$1000)*1,[1]OUT_SyntheticFuels!J$4:J$1000)</f>
        <v>17.999625520055233</v>
      </c>
      <c r="L681" s="1" cm="1">
        <f t="array" ref="L681">SUMPRODUCT(("SUP_ELCH2"=[1]OUT_SyntheticFuels!$C$4:$C$1000)*1,ISNUMBER(SEARCH("ELC",[1]OUT_SyntheticFuels!$A$4:$A$1000))*1,("Var_Fin"=[1]OUT_SyntheticFuels!$B$4:$B$1000)*1,[1]OUT_SyntheticFuels!K$4:K$1000)</f>
        <v>17.681912945283663</v>
      </c>
      <c r="M681" s="1" cm="1">
        <f t="array" ref="M681">SUMPRODUCT(("SUP_ELCH2"=[1]OUT_SyntheticFuels!$C$4:$C$1000)*1,ISNUMBER(SEARCH("ELC",[1]OUT_SyntheticFuels!$A$4:$A$1000))*1,("Var_Fin"=[1]OUT_SyntheticFuels!$B$4:$B$1000)*1,[1]OUT_SyntheticFuels!L$4:L$1000)</f>
        <v>28.05536255310605</v>
      </c>
      <c r="N681" s="1" cm="1">
        <f t="array" ref="N681">SUMPRODUCT(("SUP_ELCH2"=[1]OUT_SyntheticFuels!$C$4:$C$1000)*1,ISNUMBER(SEARCH("ELC",[1]OUT_SyntheticFuels!$A$4:$A$1000))*1,("Var_Fin"=[1]OUT_SyntheticFuels!$B$4:$B$1000)*1,[1]OUT_SyntheticFuels!M$4:M$1000)</f>
        <v>28.078147688594253</v>
      </c>
      <c r="O681" s="1" cm="1">
        <f t="array" ref="O681">SUMPRODUCT(("SUP_ELCH2"=[1]OUT_SyntheticFuels!$C$4:$C$1000)*1,ISNUMBER(SEARCH("ELC",[1]OUT_SyntheticFuels!$A$4:$A$1000))*1,("Var_Fin"=[1]OUT_SyntheticFuels!$B$4:$B$1000)*1,[1]OUT_SyntheticFuels!N$4:N$1000)</f>
        <v>28.076100383327663</v>
      </c>
      <c r="P681" s="1" cm="1">
        <f t="array" ref="P681">SUMPRODUCT(("SUP_ELCH2"=[1]OUT_SyntheticFuels!$C$4:$C$1000)*1,ISNUMBER(SEARCH("ELC",[1]OUT_SyntheticFuels!$A$4:$A$1000))*1,("Var_Fin"=[1]OUT_SyntheticFuels!$B$4:$B$1000)*1,[1]OUT_SyntheticFuels!O$4:O$1000)</f>
        <v>28.061621046386467</v>
      </c>
      <c r="Q681" s="1" cm="1">
        <f t="array" ref="Q681">SUMPRODUCT(("SUP_ELCH2"=[1]OUT_SyntheticFuels!$C$4:$C$1000)*1,ISNUMBER(SEARCH("ELC",[1]OUT_SyntheticFuels!$A$4:$A$1000))*1,("Var_Fin"=[1]OUT_SyntheticFuels!$B$4:$B$1000)*1,[1]OUT_SyntheticFuels!P$4:P$1000)</f>
        <v>28.045923888528105</v>
      </c>
      <c r="S681" s="3"/>
    </row>
    <row r="682" spans="2:19" x14ac:dyDescent="0.5">
      <c r="B682" t="str">
        <f t="shared" ref="B682" si="775">B681</f>
        <v>SPS1</v>
      </c>
      <c r="C682" t="str">
        <f t="shared" ref="C682" si="776">C681</f>
        <v>CH</v>
      </c>
      <c r="D682" t="s">
        <v>405</v>
      </c>
      <c r="E682" s="5" t="s">
        <v>8</v>
      </c>
      <c r="F682" s="1" cm="1">
        <f t="array" ref="F682">SUMPRODUCT(("SUP_ELCH2_D"=[1]OUT_SyntheticFuels!$C$4:$C$1000)*1,ISNUMBER(SEARCH("ELC",[1]OUT_SyntheticFuels!$A$4:$A$1000))*1,("Var_Fin"=[1]OUT_SyntheticFuels!$B$4:$B$1000)*1,[1]OUT_SyntheticFuels!E$4:E$1000)</f>
        <v>0</v>
      </c>
      <c r="G682" s="1" cm="1">
        <f t="array" ref="G682">SUMPRODUCT(("SUP_ELCH2_D"=[1]OUT_SyntheticFuels!$C$4:$C$1000)*1,ISNUMBER(SEARCH("ELC",[1]OUT_SyntheticFuels!$A$4:$A$1000))*1,("Var_Fin"=[1]OUT_SyntheticFuels!$B$4:$B$1000)*1,[1]OUT_SyntheticFuels!F$4:F$1000)</f>
        <v>0</v>
      </c>
      <c r="H682" s="1" cm="1">
        <f t="array" ref="H682">SUMPRODUCT(("SUP_ELCH2_D"=[1]OUT_SyntheticFuels!$C$4:$C$1000)*1,ISNUMBER(SEARCH("ELC",[1]OUT_SyntheticFuels!$A$4:$A$1000))*1,("Var_Fin"=[1]OUT_SyntheticFuels!$B$4:$B$1000)*1,[1]OUT_SyntheticFuels!G$4:G$1000)</f>
        <v>0</v>
      </c>
      <c r="I682" s="1" cm="1">
        <f t="array" ref="I682">SUMPRODUCT(("SUP_ELCH2_D"=[1]OUT_SyntheticFuels!$C$4:$C$1000)*1,ISNUMBER(SEARCH("ELC",[1]OUT_SyntheticFuels!$A$4:$A$1000))*1,("Var_Fin"=[1]OUT_SyntheticFuels!$B$4:$B$1000)*1,[1]OUT_SyntheticFuels!H$4:H$1000)</f>
        <v>9.5787818870732333E-6</v>
      </c>
      <c r="J682" s="1" cm="1">
        <f t="array" ref="J682">SUMPRODUCT(("SUP_ELCH2_D"=[1]OUT_SyntheticFuels!$C$4:$C$1000)*1,ISNUMBER(SEARCH("ELC",[1]OUT_SyntheticFuels!$A$4:$A$1000))*1,("Var_Fin"=[1]OUT_SyntheticFuels!$B$4:$B$1000)*1,[1]OUT_SyntheticFuels!I$4:I$1000)</f>
        <v>1.3242597390110899E-4</v>
      </c>
      <c r="K682" s="1" cm="1">
        <f t="array" ref="K682">SUMPRODUCT(("SUP_ELCH2_D"=[1]OUT_SyntheticFuels!$C$4:$C$1000)*1,ISNUMBER(SEARCH("ELC",[1]OUT_SyntheticFuels!$A$4:$A$1000))*1,("Var_Fin"=[1]OUT_SyntheticFuels!$B$4:$B$1000)*1,[1]OUT_SyntheticFuels!J$4:J$1000)</f>
        <v>3.3769347407962034</v>
      </c>
      <c r="L682" s="1" cm="1">
        <f t="array" ref="L682">SUMPRODUCT(("SUP_ELCH2_D"=[1]OUT_SyntheticFuels!$C$4:$C$1000)*1,ISNUMBER(SEARCH("ELC",[1]OUT_SyntheticFuels!$A$4:$A$1000))*1,("Var_Fin"=[1]OUT_SyntheticFuels!$B$4:$B$1000)*1,[1]OUT_SyntheticFuels!K$4:K$1000)</f>
        <v>4.4071726613717228</v>
      </c>
      <c r="M682" s="1" cm="1">
        <f t="array" ref="M682">SUMPRODUCT(("SUP_ELCH2_D"=[1]OUT_SyntheticFuels!$C$4:$C$1000)*1,ISNUMBER(SEARCH("ELC",[1]OUT_SyntheticFuels!$A$4:$A$1000))*1,("Var_Fin"=[1]OUT_SyntheticFuels!$B$4:$B$1000)*1,[1]OUT_SyntheticFuels!L$4:L$1000)</f>
        <v>4.4071834849015188</v>
      </c>
      <c r="N682" s="1" cm="1">
        <f t="array" ref="N682">SUMPRODUCT(("SUP_ELCH2_D"=[1]OUT_SyntheticFuels!$C$4:$C$1000)*1,ISNUMBER(SEARCH("ELC",[1]OUT_SyntheticFuels!$A$4:$A$1000))*1,("Var_Fin"=[1]OUT_SyntheticFuels!$B$4:$B$1000)*1,[1]OUT_SyntheticFuels!M$4:M$1000)</f>
        <v>4.4071862719792891</v>
      </c>
      <c r="O682" s="1" cm="1">
        <f t="array" ref="O682">SUMPRODUCT(("SUP_ELCH2_D"=[1]OUT_SyntheticFuels!$C$4:$C$1000)*1,ISNUMBER(SEARCH("ELC",[1]OUT_SyntheticFuels!$A$4:$A$1000))*1,("Var_Fin"=[1]OUT_SyntheticFuels!$B$4:$B$1000)*1,[1]OUT_SyntheticFuels!N$4:N$1000)</f>
        <v>4.4071888600924813</v>
      </c>
      <c r="P682" s="1" cm="1">
        <f t="array" ref="P682">SUMPRODUCT(("SUP_ELCH2_D"=[1]OUT_SyntheticFuels!$C$4:$C$1000)*1,ISNUMBER(SEARCH("ELC",[1]OUT_SyntheticFuels!$A$4:$A$1000))*1,("Var_Fin"=[1]OUT_SyntheticFuels!$B$4:$B$1000)*1,[1]OUT_SyntheticFuels!O$4:O$1000)</f>
        <v>4.4071912139868639</v>
      </c>
      <c r="Q682" s="1" cm="1">
        <f t="array" ref="Q682">SUMPRODUCT(("SUP_ELCH2_D"=[1]OUT_SyntheticFuels!$C$4:$C$1000)*1,ISNUMBER(SEARCH("ELC",[1]OUT_SyntheticFuels!$A$4:$A$1000))*1,("Var_Fin"=[1]OUT_SyntheticFuels!$B$4:$B$1000)*1,[1]OUT_SyntheticFuels!P$4:P$1000)</f>
        <v>4.4072054622700056</v>
      </c>
      <c r="S682" s="3"/>
    </row>
    <row r="683" spans="2:19" x14ac:dyDescent="0.5">
      <c r="B683" t="str">
        <f>B681</f>
        <v>SPS1</v>
      </c>
      <c r="C683" t="str">
        <f>C681</f>
        <v>CH</v>
      </c>
      <c r="D683" t="s">
        <v>396</v>
      </c>
      <c r="E683" s="5" t="s">
        <v>8</v>
      </c>
      <c r="F683" s="1" cm="1">
        <f t="array" ref="F683">SUMPRODUCT(("SUP_ELCH2_SOEC"=[1]OUT_SyntheticFuels!$C$4:$C$1000)*1,ISNUMBER(SEARCH("ELC",[1]OUT_SyntheticFuels!$A$4:$A$1000))*1,("Var_Fin"=[1]OUT_SyntheticFuels!$B$4:$B$1000)*1,[1]OUT_SyntheticFuels!E$4:E$1000)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SUMPRODUCT(("SUP_ELCH2_SOEC"=[1]OUT_SyntheticFuels!$C$4:$C$1000)*1,ISNUMBER(SEARCH("ELC",[1]OUT_SyntheticFuels!$A$4:$A$1000))*1,("Var_Fin"=[1]OUT_SyntheticFuels!$B$4:$B$1000)*1,[1]OUT_SyntheticFuels!F$4:F$1000)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SUMPRODUCT(("SUP_ELCH2_SOEC"=[1]OUT_SyntheticFuels!$C$4:$C$1000)*1,ISNUMBER(SEARCH("ELC",[1]OUT_SyntheticFuels!$A$4:$A$1000))*1,("Var_Fin"=[1]OUT_SyntheticFuels!$B$4:$B$1000)*1,[1]OUT_SyntheticFuels!G$4:G$1000)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SUMPRODUCT(("SUP_ELCH2_SOEC"=[1]OUT_SyntheticFuels!$C$4:$C$1000)*1,ISNUMBER(SEARCH("ELC",[1]OUT_SyntheticFuels!$A$4:$A$1000))*1,("Var_Fin"=[1]OUT_SyntheticFuels!$B$4:$B$1000)*1,[1]OUT_SyntheticFuels!H$4:H$1000)</f>
        <v>0</v>
      </c>
      <c r="J683" s="1" cm="1">
        <f t="array" ref="J683">SUMPRODUCT(("SUP_ELCH2_SOEC"=[1]OUT_SyntheticFuels!$C$4:$C$1000)*1,ISNUMBER(SEARCH("ELC",[1]OUT_SyntheticFuels!$A$4:$A$1000))*1,("Var_Fin"=[1]OUT_SyntheticFuels!$B$4:$B$1000)*1,[1]OUT_SyntheticFuels!I$4:I$1000)</f>
        <v>0</v>
      </c>
      <c r="K683" s="1" cm="1">
        <f t="array" ref="K683">SUMPRODUCT(("SUP_ELCH2_SOEC"=[1]OUT_SyntheticFuels!$C$4:$C$1000)*1,ISNUMBER(SEARCH("ELC",[1]OUT_SyntheticFuels!$A$4:$A$1000))*1,("Var_Fin"=[1]OUT_SyntheticFuels!$B$4:$B$1000)*1,[1]OUT_SyntheticFuels!J$4:J$1000)</f>
        <v>4.1880157835967269E-2</v>
      </c>
      <c r="L683" s="1" cm="1">
        <f t="array" ref="L683">SUMPRODUCT(("SUP_ELCH2_SOEC"=[1]OUT_SyntheticFuels!$C$4:$C$1000)*1,ISNUMBER(SEARCH("ELC",[1]OUT_SyntheticFuels!$A$4:$A$1000))*1,("Var_Fin"=[1]OUT_SyntheticFuels!$B$4:$B$1000)*1,[1]OUT_SyntheticFuels!K$4:K$1000)</f>
        <v>8.7533308359657905E-2</v>
      </c>
      <c r="M683" s="1" cm="1">
        <f t="array" ref="M683">SUMPRODUCT(("SUP_ELCH2_SOEC"=[1]OUT_SyntheticFuels!$C$4:$C$1000)*1,ISNUMBER(SEARCH("ELC",[1]OUT_SyntheticFuels!$A$4:$A$1000))*1,("Var_Fin"=[1]OUT_SyntheticFuels!$B$4:$B$1000)*1,[1]OUT_SyntheticFuels!L$4:L$1000)</f>
        <v>3.7101488572047189E-2</v>
      </c>
      <c r="N683" s="1" cm="1">
        <f t="array" ref="N683">SUMPRODUCT(("SUP_ELCH2_SOEC"=[1]OUT_SyntheticFuels!$C$4:$C$1000)*1,ISNUMBER(SEARCH("ELC",[1]OUT_SyntheticFuels!$A$4:$A$1000))*1,("Var_Fin"=[1]OUT_SyntheticFuels!$B$4:$B$1000)*1,[1]OUT_SyntheticFuels!M$4:M$1000)</f>
        <v>2.2326858078370433E-2</v>
      </c>
      <c r="O683" s="1" cm="1">
        <f t="array" ref="O683">SUMPRODUCT(("SUP_ELCH2_SOEC"=[1]OUT_SyntheticFuels!$C$4:$C$1000)*1,ISNUMBER(SEARCH("ELC",[1]OUT_SyntheticFuels!$A$4:$A$1000))*1,("Var_Fin"=[1]OUT_SyntheticFuels!$B$4:$B$1000)*1,[1]OUT_SyntheticFuels!N$4:N$1000)</f>
        <v>2.4343617152599584E-2</v>
      </c>
      <c r="P683" s="1" cm="1">
        <f t="array" ref="P683">SUMPRODUCT(("SUP_ELCH2_SOEC"=[1]OUT_SyntheticFuels!$C$4:$C$1000)*1,ISNUMBER(SEARCH("ELC",[1]OUT_SyntheticFuels!$A$4:$A$1000))*1,("Var_Fin"=[1]OUT_SyntheticFuels!$B$4:$B$1000)*1,[1]OUT_SyntheticFuels!O$4:O$1000)</f>
        <v>3.6250914128220013E-2</v>
      </c>
      <c r="Q683" s="1" cm="1">
        <f t="array" ref="Q683">SUMPRODUCT(("SUP_ELCH2_SOEC"=[1]OUT_SyntheticFuels!$C$4:$C$1000)*1,ISNUMBER(SEARCH("ELC",[1]OUT_SyntheticFuels!$A$4:$A$1000))*1,("Var_Fin"=[1]OUT_SyntheticFuels!$B$4:$B$1000)*1,[1]OUT_SyntheticFuels!P$4:P$1000)</f>
        <v>4.9608491819823616E-2</v>
      </c>
      <c r="S683" s="3"/>
    </row>
    <row r="684" spans="2:19" x14ac:dyDescent="0.5">
      <c r="B684" t="str">
        <f t="shared" ref="B684:B685" si="777">B683</f>
        <v>SPS1</v>
      </c>
      <c r="C684" t="str">
        <f t="shared" ref="C684:C685" si="778">C683</f>
        <v>CH</v>
      </c>
      <c r="D684" t="s">
        <v>921</v>
      </c>
      <c r="E684" s="5" t="s">
        <v>8</v>
      </c>
      <c r="F684" s="1">
        <f>F685</f>
        <v>0</v>
      </c>
      <c r="G684" s="1">
        <f t="shared" ref="G684:O684" si="779">G685</f>
        <v>0</v>
      </c>
      <c r="H684" s="1">
        <f t="shared" si="779"/>
        <v>0</v>
      </c>
      <c r="I684" s="1">
        <f t="shared" si="779"/>
        <v>0</v>
      </c>
      <c r="J684" s="1">
        <f t="shared" si="779"/>
        <v>0</v>
      </c>
      <c r="K684" s="1">
        <f t="shared" si="779"/>
        <v>6.2579546191675302E-3</v>
      </c>
      <c r="L684" s="1">
        <f t="shared" si="779"/>
        <v>1.1402806452982252E-2</v>
      </c>
      <c r="M684" s="1">
        <f t="shared" si="779"/>
        <v>4.1223876191163519E-3</v>
      </c>
      <c r="N684" s="1">
        <f t="shared" si="779"/>
        <v>2.4807620087078232E-3</v>
      </c>
      <c r="O684" s="1">
        <f t="shared" si="779"/>
        <v>2.7048463502888399E-3</v>
      </c>
      <c r="P684" s="1">
        <f>P685</f>
        <v>4.027879347579995E-3</v>
      </c>
      <c r="Q684" s="1">
        <f>Q685</f>
        <v>5.5120546466470612E-3</v>
      </c>
      <c r="S684" s="3"/>
    </row>
    <row r="685" spans="2:19" x14ac:dyDescent="0.5">
      <c r="B685" t="str">
        <f t="shared" si="777"/>
        <v>SPS1</v>
      </c>
      <c r="C685" t="str">
        <f t="shared" si="778"/>
        <v>CH</v>
      </c>
      <c r="D685" t="s">
        <v>401</v>
      </c>
      <c r="E685" s="5" t="s">
        <v>8</v>
      </c>
      <c r="F685" s="1" cm="1">
        <f t="array" ref="F685">SUMPRODUCT(("SUP_ELCH2_SOEC"=[1]OUT_SyntheticFuels!$C$4:$C$1000)*1,ISNUMBER(SEARCH("CHEAT",[1]OUT_SyntheticFuels!$A$4:$A$1000))*1,("Var_Fin"=[1]OUT_SyntheticFuels!$B$4:$B$1000)*1,[1]OUT_SyntheticFuels!E$4:E$1000)</f>
        <v>0</v>
      </c>
      <c r="G685" s="1" cm="1">
        <f t="array" ref="G685">SUMPRODUCT(("SUP_ELCH2_SOEC"=[1]OUT_SyntheticFuels!$C$4:$C$1000)*1,ISNUMBER(SEARCH("CHEAT",[1]OUT_SyntheticFuels!$A$4:$A$1000))*1,("Var_Fin"=[1]OUT_SyntheticFuels!$B$4:$B$1000)*1,[1]OUT_SyntheticFuels!F$4:F$1000)</f>
        <v>0</v>
      </c>
      <c r="H685" s="1" cm="1">
        <f t="array" ref="H685">SUMPRODUCT(("SUP_ELCH2_SOEC"=[1]OUT_SyntheticFuels!$C$4:$C$1000)*1,ISNUMBER(SEARCH("CHEAT",[1]OUT_SyntheticFuels!$A$4:$A$1000))*1,("Var_Fin"=[1]OUT_SyntheticFuels!$B$4:$B$1000)*1,[1]OUT_SyntheticFuels!G$4:G$1000)</f>
        <v>0</v>
      </c>
      <c r="I685" s="1" cm="1">
        <f t="array" ref="I685">SUMPRODUCT(("SUP_ELCH2_SOEC"=[1]OUT_SyntheticFuels!$C$4:$C$1000)*1,ISNUMBER(SEARCH("CHEAT",[1]OUT_SyntheticFuels!$A$4:$A$1000))*1,("Var_Fin"=[1]OUT_SyntheticFuels!$B$4:$B$1000)*1,[1]OUT_SyntheticFuels!H$4:H$1000)</f>
        <v>0</v>
      </c>
      <c r="J685" s="1" cm="1">
        <f t="array" ref="J685">SUMPRODUCT(("SUP_ELCH2_SOEC"=[1]OUT_SyntheticFuels!$C$4:$C$1000)*1,ISNUMBER(SEARCH("CHEAT",[1]OUT_SyntheticFuels!$A$4:$A$1000))*1,("Var_Fin"=[1]OUT_SyntheticFuels!$B$4:$B$1000)*1,[1]OUT_SyntheticFuels!I$4:I$1000)</f>
        <v>0</v>
      </c>
      <c r="K685" s="1" cm="1">
        <f t="array" ref="K685">SUMPRODUCT(("SUP_ELCH2_SOEC"=[1]OUT_SyntheticFuels!$C$4:$C$1000)*1,ISNUMBER(SEARCH("CHEAT",[1]OUT_SyntheticFuels!$A$4:$A$1000))*1,("Var_Fin"=[1]OUT_SyntheticFuels!$B$4:$B$1000)*1,[1]OUT_SyntheticFuels!J$4:J$1000)</f>
        <v>6.2579546191675302E-3</v>
      </c>
      <c r="L685" s="1" cm="1">
        <f t="array" ref="L685">SUMPRODUCT(("SUP_ELCH2_SOEC"=[1]OUT_SyntheticFuels!$C$4:$C$1000)*1,ISNUMBER(SEARCH("CHEAT",[1]OUT_SyntheticFuels!$A$4:$A$1000))*1,("Var_Fin"=[1]OUT_SyntheticFuels!$B$4:$B$1000)*1,[1]OUT_SyntheticFuels!K$4:K$1000)</f>
        <v>1.1402806452982252E-2</v>
      </c>
      <c r="M685" s="1" cm="1">
        <f t="array" ref="M685">SUMPRODUCT(("SUP_ELCH2_SOEC"=[1]OUT_SyntheticFuels!$C$4:$C$1000)*1,ISNUMBER(SEARCH("CHEAT",[1]OUT_SyntheticFuels!$A$4:$A$1000))*1,("Var_Fin"=[1]OUT_SyntheticFuels!$B$4:$B$1000)*1,[1]OUT_SyntheticFuels!L$4:L$1000)</f>
        <v>4.1223876191163519E-3</v>
      </c>
      <c r="N685" s="1" cm="1">
        <f t="array" ref="N685">SUMPRODUCT(("SUP_ELCH2_SOEC"=[1]OUT_SyntheticFuels!$C$4:$C$1000)*1,ISNUMBER(SEARCH("CHEAT",[1]OUT_SyntheticFuels!$A$4:$A$1000))*1,("Var_Fin"=[1]OUT_SyntheticFuels!$B$4:$B$1000)*1,[1]OUT_SyntheticFuels!M$4:M$1000)</f>
        <v>2.4807620087078232E-3</v>
      </c>
      <c r="O685" s="1" cm="1">
        <f t="array" ref="O685">SUMPRODUCT(("SUP_ELCH2_SOEC"=[1]OUT_SyntheticFuels!$C$4:$C$1000)*1,ISNUMBER(SEARCH("CHEAT",[1]OUT_SyntheticFuels!$A$4:$A$1000))*1,("Var_Fin"=[1]OUT_SyntheticFuels!$B$4:$B$1000)*1,[1]OUT_SyntheticFuels!N$4:N$1000)</f>
        <v>2.7048463502888399E-3</v>
      </c>
      <c r="P685" s="1" cm="1">
        <f t="array" ref="P685">SUMPRODUCT(("SUP_ELCH2_SOEC"=[1]OUT_SyntheticFuels!$C$4:$C$1000)*1,ISNUMBER(SEARCH("CHEAT",[1]OUT_SyntheticFuels!$A$4:$A$1000))*1,("Var_Fin"=[1]OUT_SyntheticFuels!$B$4:$B$1000)*1,[1]OUT_SyntheticFuels!O$4:O$1000)</f>
        <v>4.027879347579995E-3</v>
      </c>
      <c r="Q685" s="1" cm="1">
        <f t="array" ref="Q685">SUMPRODUCT(("SUP_ELCH2_SOEC"=[1]OUT_SyntheticFuels!$C$4:$C$1000)*1,ISNUMBER(SEARCH("CHEAT",[1]OUT_SyntheticFuels!$A$4:$A$1000))*1,("Var_Fin"=[1]OUT_SyntheticFuels!$B$4:$B$1000)*1,[1]OUT_SyntheticFuels!P$4:P$1000)</f>
        <v>5.5120546466470612E-3</v>
      </c>
      <c r="S685" s="3"/>
    </row>
    <row r="686" spans="2:19" x14ac:dyDescent="0.5">
      <c r="B686" t="str">
        <f>B683</f>
        <v>SPS1</v>
      </c>
      <c r="C686" t="str">
        <f>C683</f>
        <v>CH</v>
      </c>
      <c r="D686" t="s">
        <v>922</v>
      </c>
      <c r="E686" s="5" t="s">
        <v>8</v>
      </c>
      <c r="F686" s="1">
        <f>SUM(F687:F688)</f>
        <v>0</v>
      </c>
      <c r="G686" s="1">
        <f t="shared" ref="G686:K686" si="780">SUM(G687:G688)</f>
        <v>0</v>
      </c>
      <c r="H686" s="1">
        <f t="shared" si="780"/>
        <v>0</v>
      </c>
      <c r="I686" s="1">
        <f t="shared" si="780"/>
        <v>0</v>
      </c>
      <c r="J686" s="1">
        <f t="shared" si="780"/>
        <v>0</v>
      </c>
      <c r="K686" s="1">
        <f t="shared" si="780"/>
        <v>0</v>
      </c>
      <c r="L686" s="1">
        <f t="shared" ref="L686:O686" si="781">SUM(L687:L688)</f>
        <v>0</v>
      </c>
      <c r="M686" s="1">
        <f t="shared" si="781"/>
        <v>1.197065267203333E-3</v>
      </c>
      <c r="N686" s="1">
        <f t="shared" si="781"/>
        <v>1.6945088176431274E-3</v>
      </c>
      <c r="O686" s="1">
        <f t="shared" si="781"/>
        <v>1.950887650193675E-3</v>
      </c>
      <c r="P686" s="1">
        <f>SUM(P687:P688)</f>
        <v>1.7819728955889452E-3</v>
      </c>
      <c r="Q686" s="1">
        <f>SUM(Q687:Q688)</f>
        <v>2.5354126240027313E-3</v>
      </c>
      <c r="S686" s="3"/>
    </row>
    <row r="687" spans="2:19" x14ac:dyDescent="0.5">
      <c r="B687" t="str">
        <f t="shared" si="773"/>
        <v>SPS1</v>
      </c>
      <c r="C687" t="str">
        <f t="shared" si="774"/>
        <v>CH</v>
      </c>
      <c r="D687" t="s">
        <v>397</v>
      </c>
      <c r="E687" s="5" t="s">
        <v>8</v>
      </c>
      <c r="F687" s="1" cm="1">
        <f t="array" ref="F687">SUMPRODUCT(("SUP_ngaH2"=[1]OUT_SyntheticFuels!$C$4:$C$1000)*1,ISNUMBER(SEARCH("nga",[1]OUT_SyntheticFuels!$A$4:$A$1000))*1,("Var_Fin"=[1]OUT_SyntheticFuels!$B$4:$B$1000)*1,[1]OUT_SyntheticFuels!E$4:E$1000)</f>
        <v>0</v>
      </c>
      <c r="G687" s="1" cm="1">
        <f t="array" ref="G687">SUMPRODUCT(("SUP_ngaH2"=[1]OUT_SyntheticFuels!$C$4:$C$1000)*1,ISNUMBER(SEARCH("nga",[1]OUT_SyntheticFuels!$A$4:$A$1000))*1,("Var_Fin"=[1]OUT_SyntheticFuels!$B$4:$B$1000)*1,[1]OUT_SyntheticFuels!F$4:F$1000)</f>
        <v>0</v>
      </c>
      <c r="H687" s="1" cm="1">
        <f t="array" ref="H687">SUMPRODUCT(("SUP_ngaH2"=[1]OUT_SyntheticFuels!$C$4:$C$1000)*1,ISNUMBER(SEARCH("nga",[1]OUT_SyntheticFuels!$A$4:$A$1000))*1,("Var_Fin"=[1]OUT_SyntheticFuels!$B$4:$B$1000)*1,[1]OUT_SyntheticFuels!G$4:G$1000)</f>
        <v>0</v>
      </c>
      <c r="I687" s="1" cm="1">
        <f t="array" ref="I687">SUMPRODUCT(("SUP_ngaH2"=[1]OUT_SyntheticFuels!$C$4:$C$1000)*1,ISNUMBER(SEARCH("nga",[1]OUT_SyntheticFuels!$A$4:$A$1000))*1,("Var_Fin"=[1]OUT_SyntheticFuels!$B$4:$B$1000)*1,[1]OUT_SyntheticFuels!H$4:H$1000)</f>
        <v>0</v>
      </c>
      <c r="J687" s="1" cm="1">
        <f t="array" ref="J687">SUMPRODUCT(("SUP_ngaH2"=[1]OUT_SyntheticFuels!$C$4:$C$1000)*1,ISNUMBER(SEARCH("nga",[1]OUT_SyntheticFuels!$A$4:$A$1000))*1,("Var_Fin"=[1]OUT_SyntheticFuels!$B$4:$B$1000)*1,[1]OUT_SyntheticFuels!I$4:I$1000)</f>
        <v>0</v>
      </c>
      <c r="K687" s="1" cm="1">
        <f t="array" ref="K687">SUMPRODUCT(("SUP_ngaH2"=[1]OUT_SyntheticFuels!$C$4:$C$1000)*1,ISNUMBER(SEARCH("nga",[1]OUT_SyntheticFuels!$A$4:$A$1000))*1,("Var_Fin"=[1]OUT_SyntheticFuels!$B$4:$B$1000)*1,[1]OUT_SyntheticFuels!J$4:J$1000)</f>
        <v>0</v>
      </c>
      <c r="L687" s="1" cm="1">
        <f t="array" ref="L687">SUMPRODUCT(("SUP_ngaH2"=[1]OUT_SyntheticFuels!$C$4:$C$1000)*1,ISNUMBER(SEARCH("nga",[1]OUT_SyntheticFuels!$A$4:$A$1000))*1,("Var_Fin"=[1]OUT_SyntheticFuels!$B$4:$B$1000)*1,[1]OUT_SyntheticFuels!K$4:K$1000)</f>
        <v>0</v>
      </c>
      <c r="M687" s="1" cm="1">
        <f t="array" ref="M687">SUMPRODUCT(("SUP_ngaH2"=[1]OUT_SyntheticFuels!$C$4:$C$1000)*1,ISNUMBER(SEARCH("nga",[1]OUT_SyntheticFuels!$A$4:$A$1000))*1,("Var_Fin"=[1]OUT_SyntheticFuels!$B$4:$B$1000)*1,[1]OUT_SyntheticFuels!L$4:L$1000)</f>
        <v>5.5033641118001659E-4</v>
      </c>
      <c r="N687" s="1" cm="1">
        <f t="array" ref="N687">SUMPRODUCT(("SUP_ngaH2"=[1]OUT_SyntheticFuels!$C$4:$C$1000)*1,ISNUMBER(SEARCH("nga",[1]OUT_SyntheticFuels!$A$4:$A$1000))*1,("Var_Fin"=[1]OUT_SyntheticFuels!$B$4:$B$1000)*1,[1]OUT_SyntheticFuels!M$4:M$1000)</f>
        <v>5.6034815919549208E-4</v>
      </c>
      <c r="O687" s="1" cm="1">
        <f t="array" ref="O687">SUMPRODUCT(("SUP_ngaH2"=[1]OUT_SyntheticFuels!$C$4:$C$1000)*1,ISNUMBER(SEARCH("nga",[1]OUT_SyntheticFuels!$A$4:$A$1000))*1,("Var_Fin"=[1]OUT_SyntheticFuels!$B$4:$B$1000)*1,[1]OUT_SyntheticFuels!N$4:N$1000)</f>
        <v>6.3378396881452975E-4</v>
      </c>
      <c r="P687" s="1" cm="1">
        <f t="array" ref="P687">SUMPRODUCT(("SUP_ngaH2"=[1]OUT_SyntheticFuels!$C$4:$C$1000)*1,ISNUMBER(SEARCH("nga",[1]OUT_SyntheticFuels!$A$4:$A$1000))*1,("Var_Fin"=[1]OUT_SyntheticFuels!$B$4:$B$1000)*1,[1]OUT_SyntheticFuels!O$4:O$1000)</f>
        <v>6.2886015642842367E-4</v>
      </c>
      <c r="Q687" s="1" cm="1">
        <f t="array" ref="Q687">SUMPRODUCT(("SUP_ngaH2"=[1]OUT_SyntheticFuels!$C$4:$C$1000)*1,ISNUMBER(SEARCH("nga",[1]OUT_SyntheticFuels!$A$4:$A$1000))*1,("Var_Fin"=[1]OUT_SyntheticFuels!$B$4:$B$1000)*1,[1]OUT_SyntheticFuels!P$4:P$1000)</f>
        <v>1.0997549991679466E-3</v>
      </c>
      <c r="S687" s="3"/>
    </row>
    <row r="688" spans="2:19" x14ac:dyDescent="0.5">
      <c r="B688" t="str">
        <f t="shared" si="773"/>
        <v>SPS1</v>
      </c>
      <c r="C688" t="str">
        <f t="shared" si="774"/>
        <v>CH</v>
      </c>
      <c r="D688" t="s">
        <v>398</v>
      </c>
      <c r="E688" s="5" t="s">
        <v>8</v>
      </c>
      <c r="F688" s="1" cm="1">
        <f t="array" ref="F688">SUMPRODUCT(("SUP_ngaH2ccs"=[1]OUT_SyntheticFuels!$C$4:$C$1000)*1,ISNUMBER(SEARCH("nga",[1]OUT_SyntheticFuels!$A$4:$A$1000))*1,("Var_Fin"=[1]OUT_SyntheticFuels!$B$4:$B$1000)*1,[1]OUT_SyntheticFuels!E$4:E$1000)</f>
        <v>0</v>
      </c>
      <c r="G688" s="1" cm="1">
        <f t="array" ref="G688">SUMPRODUCT(("SUP_ngaH2ccs"=[1]OUT_SyntheticFuels!$C$4:$C$1000)*1,ISNUMBER(SEARCH("nga",[1]OUT_SyntheticFuels!$A$4:$A$1000))*1,("Var_Fin"=[1]OUT_SyntheticFuels!$B$4:$B$1000)*1,[1]OUT_SyntheticFuels!F$4:F$1000)</f>
        <v>0</v>
      </c>
      <c r="H688" s="1" cm="1">
        <f t="array" ref="H688">SUMPRODUCT(("SUP_ngaH2ccs"=[1]OUT_SyntheticFuels!$C$4:$C$1000)*1,ISNUMBER(SEARCH("nga",[1]OUT_SyntheticFuels!$A$4:$A$1000))*1,("Var_Fin"=[1]OUT_SyntheticFuels!$B$4:$B$1000)*1,[1]OUT_SyntheticFuels!G$4:G$1000)</f>
        <v>0</v>
      </c>
      <c r="I688" s="1" cm="1">
        <f t="array" ref="I688">SUMPRODUCT(("SUP_ngaH2ccs"=[1]OUT_SyntheticFuels!$C$4:$C$1000)*1,ISNUMBER(SEARCH("nga",[1]OUT_SyntheticFuels!$A$4:$A$1000))*1,("Var_Fin"=[1]OUT_SyntheticFuels!$B$4:$B$1000)*1,[1]OUT_SyntheticFuels!H$4:H$1000)</f>
        <v>0</v>
      </c>
      <c r="J688" s="1" cm="1">
        <f t="array" ref="J688">SUMPRODUCT(("SUP_ngaH2ccs"=[1]OUT_SyntheticFuels!$C$4:$C$1000)*1,ISNUMBER(SEARCH("nga",[1]OUT_SyntheticFuels!$A$4:$A$1000))*1,("Var_Fin"=[1]OUT_SyntheticFuels!$B$4:$B$1000)*1,[1]OUT_SyntheticFuels!I$4:I$1000)</f>
        <v>0</v>
      </c>
      <c r="K688" s="1" cm="1">
        <f t="array" ref="K688">SUMPRODUCT(("SUP_ngaH2ccs"=[1]OUT_SyntheticFuels!$C$4:$C$1000)*1,ISNUMBER(SEARCH("nga",[1]OUT_SyntheticFuels!$A$4:$A$1000))*1,("Var_Fin"=[1]OUT_SyntheticFuels!$B$4:$B$1000)*1,[1]OUT_SyntheticFuels!J$4:J$1000)</f>
        <v>0</v>
      </c>
      <c r="L688" s="1" cm="1">
        <f t="array" ref="L688">SUMPRODUCT(("SUP_ngaH2ccs"=[1]OUT_SyntheticFuels!$C$4:$C$1000)*1,ISNUMBER(SEARCH("nga",[1]OUT_SyntheticFuels!$A$4:$A$1000))*1,("Var_Fin"=[1]OUT_SyntheticFuels!$B$4:$B$1000)*1,[1]OUT_SyntheticFuels!K$4:K$1000)</f>
        <v>0</v>
      </c>
      <c r="M688" s="1" cm="1">
        <f t="array" ref="M688">SUMPRODUCT(("SUP_ngaH2ccs"=[1]OUT_SyntheticFuels!$C$4:$C$1000)*1,ISNUMBER(SEARCH("nga",[1]OUT_SyntheticFuels!$A$4:$A$1000))*1,("Var_Fin"=[1]OUT_SyntheticFuels!$B$4:$B$1000)*1,[1]OUT_SyntheticFuels!L$4:L$1000)</f>
        <v>6.4672885602331653E-4</v>
      </c>
      <c r="N688" s="1" cm="1">
        <f t="array" ref="N688">SUMPRODUCT(("SUP_ngaH2ccs"=[1]OUT_SyntheticFuels!$C$4:$C$1000)*1,ISNUMBER(SEARCH("nga",[1]OUT_SyntheticFuels!$A$4:$A$1000))*1,("Var_Fin"=[1]OUT_SyntheticFuels!$B$4:$B$1000)*1,[1]OUT_SyntheticFuels!M$4:M$1000)</f>
        <v>1.1341606584476353E-3</v>
      </c>
      <c r="O688" s="1" cm="1">
        <f t="array" ref="O688">SUMPRODUCT(("SUP_ngaH2ccs"=[1]OUT_SyntheticFuels!$C$4:$C$1000)*1,ISNUMBER(SEARCH("nga",[1]OUT_SyntheticFuels!$A$4:$A$1000))*1,("Var_Fin"=[1]OUT_SyntheticFuels!$B$4:$B$1000)*1,[1]OUT_SyntheticFuels!N$4:N$1000)</f>
        <v>1.3171036813791452E-3</v>
      </c>
      <c r="P688" s="1" cm="1">
        <f t="array" ref="P688">SUMPRODUCT(("SUP_ngaH2ccs"=[1]OUT_SyntheticFuels!$C$4:$C$1000)*1,ISNUMBER(SEARCH("nga",[1]OUT_SyntheticFuels!$A$4:$A$1000))*1,("Var_Fin"=[1]OUT_SyntheticFuels!$B$4:$B$1000)*1,[1]OUT_SyntheticFuels!O$4:O$1000)</f>
        <v>1.1531127391605214E-3</v>
      </c>
      <c r="Q688" s="1" cm="1">
        <f t="array" ref="Q688">SUMPRODUCT(("SUP_ngaH2ccs"=[1]OUT_SyntheticFuels!$C$4:$C$1000)*1,ISNUMBER(SEARCH("nga",[1]OUT_SyntheticFuels!$A$4:$A$1000))*1,("Var_Fin"=[1]OUT_SyntheticFuels!$B$4:$B$1000)*1,[1]OUT_SyntheticFuels!P$4:P$1000)</f>
        <v>1.4356576248347845E-3</v>
      </c>
      <c r="S688" s="3"/>
    </row>
    <row r="689" spans="2:19" x14ac:dyDescent="0.5">
      <c r="B689" t="str">
        <f t="shared" si="773"/>
        <v>SPS1</v>
      </c>
      <c r="C689" t="str">
        <f t="shared" si="774"/>
        <v>CH</v>
      </c>
      <c r="D689" t="s">
        <v>923</v>
      </c>
      <c r="E689" s="5" t="s">
        <v>8</v>
      </c>
      <c r="F689" s="1">
        <f>F686-F692</f>
        <v>0</v>
      </c>
      <c r="G689" s="1">
        <f t="shared" ref="G689:K689" si="782">G686-G692</f>
        <v>0</v>
      </c>
      <c r="H689" s="1">
        <f t="shared" si="782"/>
        <v>0</v>
      </c>
      <c r="I689" s="1">
        <f t="shared" si="782"/>
        <v>0</v>
      </c>
      <c r="J689" s="1">
        <f t="shared" si="782"/>
        <v>0</v>
      </c>
      <c r="K689" s="1">
        <f t="shared" si="782"/>
        <v>0</v>
      </c>
      <c r="L689" s="1">
        <f t="shared" ref="L689:O689" si="783">L686-L692</f>
        <v>0</v>
      </c>
      <c r="M689" s="1">
        <f t="shared" si="783"/>
        <v>0</v>
      </c>
      <c r="N689" s="1">
        <f t="shared" si="783"/>
        <v>0</v>
      </c>
      <c r="O689" s="1">
        <f t="shared" si="783"/>
        <v>0</v>
      </c>
      <c r="P689" s="1">
        <f t="shared" ref="P689:Q691" si="784">P686-P692</f>
        <v>0</v>
      </c>
      <c r="Q689" s="1">
        <f t="shared" si="784"/>
        <v>0</v>
      </c>
      <c r="S689" s="3"/>
    </row>
    <row r="690" spans="2:19" x14ac:dyDescent="0.5">
      <c r="B690" t="str">
        <f t="shared" si="773"/>
        <v>SPS1</v>
      </c>
      <c r="C690" t="str">
        <f t="shared" si="774"/>
        <v>CH</v>
      </c>
      <c r="D690" t="s">
        <v>609</v>
      </c>
      <c r="E690" s="5" t="s">
        <v>8</v>
      </c>
      <c r="F690" s="1">
        <f t="shared" ref="F690:K690" si="785">F687-F693</f>
        <v>0</v>
      </c>
      <c r="G690" s="1">
        <f t="shared" si="785"/>
        <v>0</v>
      </c>
      <c r="H690" s="1">
        <f t="shared" si="785"/>
        <v>0</v>
      </c>
      <c r="I690" s="1">
        <f t="shared" si="785"/>
        <v>0</v>
      </c>
      <c r="J690" s="1">
        <f t="shared" si="785"/>
        <v>0</v>
      </c>
      <c r="K690" s="1">
        <f t="shared" si="785"/>
        <v>0</v>
      </c>
      <c r="L690" s="1">
        <f t="shared" ref="L690:O690" si="786">L687-L693</f>
        <v>0</v>
      </c>
      <c r="M690" s="1">
        <f t="shared" si="786"/>
        <v>0</v>
      </c>
      <c r="N690" s="1">
        <f t="shared" si="786"/>
        <v>0</v>
      </c>
      <c r="O690" s="1">
        <f t="shared" si="786"/>
        <v>0</v>
      </c>
      <c r="P690" s="1">
        <f t="shared" si="784"/>
        <v>0</v>
      </c>
      <c r="Q690" s="1">
        <f t="shared" si="784"/>
        <v>0</v>
      </c>
      <c r="S690" s="3"/>
    </row>
    <row r="691" spans="2:19" x14ac:dyDescent="0.5">
      <c r="B691" t="str">
        <f t="shared" si="773"/>
        <v>SPS1</v>
      </c>
      <c r="C691" t="str">
        <f t="shared" si="774"/>
        <v>CH</v>
      </c>
      <c r="D691" t="s">
        <v>610</v>
      </c>
      <c r="E691" s="5" t="s">
        <v>8</v>
      </c>
      <c r="F691" s="1">
        <f t="shared" ref="F691:K691" si="787">F688-F694</f>
        <v>0</v>
      </c>
      <c r="G691" s="1">
        <f t="shared" si="787"/>
        <v>0</v>
      </c>
      <c r="H691" s="1">
        <f t="shared" si="787"/>
        <v>0</v>
      </c>
      <c r="I691" s="1">
        <f t="shared" si="787"/>
        <v>0</v>
      </c>
      <c r="J691" s="1">
        <f t="shared" si="787"/>
        <v>0</v>
      </c>
      <c r="K691" s="1">
        <f t="shared" si="787"/>
        <v>0</v>
      </c>
      <c r="L691" s="1">
        <f t="shared" ref="L691:O691" si="788">L688-L694</f>
        <v>0</v>
      </c>
      <c r="M691" s="1">
        <f t="shared" si="788"/>
        <v>0</v>
      </c>
      <c r="N691" s="1">
        <f t="shared" si="788"/>
        <v>0</v>
      </c>
      <c r="O691" s="1">
        <f t="shared" si="788"/>
        <v>0</v>
      </c>
      <c r="P691" s="1">
        <f t="shared" si="784"/>
        <v>0</v>
      </c>
      <c r="Q691" s="1">
        <f t="shared" si="784"/>
        <v>0</v>
      </c>
      <c r="S691" s="3"/>
    </row>
    <row r="692" spans="2:19" x14ac:dyDescent="0.5">
      <c r="B692" t="str">
        <f t="shared" si="773"/>
        <v>SPS1</v>
      </c>
      <c r="C692" t="str">
        <f t="shared" si="774"/>
        <v>CH</v>
      </c>
      <c r="D692" t="s">
        <v>924</v>
      </c>
      <c r="E692" s="5" t="s">
        <v>8</v>
      </c>
      <c r="F692" s="1">
        <f>SUM(F693:F694)</f>
        <v>0</v>
      </c>
      <c r="G692" s="1">
        <f t="shared" ref="G692:K692" si="789">SUM(G693:G694)</f>
        <v>0</v>
      </c>
      <c r="H692" s="1">
        <f t="shared" si="789"/>
        <v>0</v>
      </c>
      <c r="I692" s="1">
        <f t="shared" si="789"/>
        <v>0</v>
      </c>
      <c r="J692" s="1">
        <f t="shared" si="789"/>
        <v>0</v>
      </c>
      <c r="K692" s="1">
        <f t="shared" si="789"/>
        <v>0</v>
      </c>
      <c r="L692" s="1">
        <f t="shared" ref="L692:O692" si="790">SUM(L693:L694)</f>
        <v>0</v>
      </c>
      <c r="M692" s="1">
        <f t="shared" si="790"/>
        <v>1.197065267203333E-3</v>
      </c>
      <c r="N692" s="1">
        <f t="shared" si="790"/>
        <v>1.6945088176431274E-3</v>
      </c>
      <c r="O692" s="1">
        <f t="shared" si="790"/>
        <v>1.950887650193675E-3</v>
      </c>
      <c r="P692" s="1">
        <f>SUM(P693:P694)</f>
        <v>1.7819728955889452E-3</v>
      </c>
      <c r="Q692" s="1">
        <f>SUM(Q693:Q694)</f>
        <v>2.5354126240027313E-3</v>
      </c>
      <c r="S692" s="3"/>
    </row>
    <row r="693" spans="2:19" x14ac:dyDescent="0.5">
      <c r="B693" t="str">
        <f t="shared" si="773"/>
        <v>SPS1</v>
      </c>
      <c r="C693" t="str">
        <f t="shared" si="774"/>
        <v>CH</v>
      </c>
      <c r="D693" t="s">
        <v>670</v>
      </c>
      <c r="E693" s="5" t="s">
        <v>8</v>
      </c>
      <c r="F693" s="1">
        <f>IFERROR(F674/F668,0)*F687</f>
        <v>0</v>
      </c>
      <c r="G693" s="1">
        <f t="shared" ref="G693:K694" si="791">IFERROR(G674/G668,0)*G687</f>
        <v>0</v>
      </c>
      <c r="H693" s="1">
        <f t="shared" si="791"/>
        <v>0</v>
      </c>
      <c r="I693" s="1">
        <f t="shared" si="791"/>
        <v>0</v>
      </c>
      <c r="J693" s="1">
        <f t="shared" si="791"/>
        <v>0</v>
      </c>
      <c r="K693" s="1">
        <f t="shared" si="791"/>
        <v>0</v>
      </c>
      <c r="L693" s="1">
        <f t="shared" ref="L693:O693" si="792">IFERROR(L674/L668,0)*L687</f>
        <v>0</v>
      </c>
      <c r="M693" s="1">
        <f t="shared" si="792"/>
        <v>5.5033641118001659E-4</v>
      </c>
      <c r="N693" s="1">
        <f t="shared" si="792"/>
        <v>5.6034815919549208E-4</v>
      </c>
      <c r="O693" s="1">
        <f t="shared" si="792"/>
        <v>6.3378396881452975E-4</v>
      </c>
      <c r="P693" s="1">
        <f>IFERROR(P674/P668,0)*P687</f>
        <v>6.2886015642842367E-4</v>
      </c>
      <c r="Q693" s="1">
        <f>IFERROR(Q674/Q668,0)*Q687</f>
        <v>1.0997549991679466E-3</v>
      </c>
      <c r="S693" s="3"/>
    </row>
    <row r="694" spans="2:19" x14ac:dyDescent="0.5">
      <c r="B694" t="str">
        <f t="shared" si="773"/>
        <v>SPS1</v>
      </c>
      <c r="C694" t="str">
        <f t="shared" si="774"/>
        <v>CH</v>
      </c>
      <c r="D694" t="s">
        <v>671</v>
      </c>
      <c r="E694" s="5" t="s">
        <v>8</v>
      </c>
      <c r="F694" s="1">
        <f>IFERROR(F675/F669,0)*F688</f>
        <v>0</v>
      </c>
      <c r="G694" s="1">
        <f t="shared" si="791"/>
        <v>0</v>
      </c>
      <c r="H694" s="1">
        <f t="shared" si="791"/>
        <v>0</v>
      </c>
      <c r="I694" s="1">
        <f t="shared" si="791"/>
        <v>0</v>
      </c>
      <c r="J694" s="1">
        <f t="shared" si="791"/>
        <v>0</v>
      </c>
      <c r="K694" s="1">
        <f t="shared" si="791"/>
        <v>0</v>
      </c>
      <c r="L694" s="1">
        <f t="shared" ref="L694:O694" si="793">IFERROR(L675/L669,0)*L688</f>
        <v>0</v>
      </c>
      <c r="M694" s="1">
        <f t="shared" si="793"/>
        <v>6.4672885602331653E-4</v>
      </c>
      <c r="N694" s="1">
        <f t="shared" si="793"/>
        <v>1.1341606584476353E-3</v>
      </c>
      <c r="O694" s="1">
        <f t="shared" si="793"/>
        <v>1.3171036813791452E-3</v>
      </c>
      <c r="P694" s="1">
        <f>IFERROR(P675/P669,0)*P688</f>
        <v>1.1531127391605214E-3</v>
      </c>
      <c r="Q694" s="1">
        <f>IFERROR(Q675/Q669,0)*Q688</f>
        <v>1.4356576248347845E-3</v>
      </c>
      <c r="S694" s="3"/>
    </row>
    <row r="695" spans="2:19" x14ac:dyDescent="0.5">
      <c r="B695" t="str">
        <f t="shared" si="773"/>
        <v>SPS1</v>
      </c>
      <c r="C695" t="str">
        <f t="shared" si="774"/>
        <v>CH</v>
      </c>
      <c r="D695" t="s">
        <v>925</v>
      </c>
      <c r="E695" s="5" t="s">
        <v>8</v>
      </c>
      <c r="F695" s="1">
        <f>SUM(F696:F697)</f>
        <v>0</v>
      </c>
      <c r="G695" s="1">
        <f t="shared" ref="G695:K695" si="794">SUM(G696:G697)</f>
        <v>0</v>
      </c>
      <c r="H695" s="1">
        <f t="shared" si="794"/>
        <v>0</v>
      </c>
      <c r="I695" s="1">
        <f t="shared" si="794"/>
        <v>9.6182731822518526E-3</v>
      </c>
      <c r="J695" s="1">
        <f t="shared" si="794"/>
        <v>0.62226782681810189</v>
      </c>
      <c r="K695" s="1">
        <f t="shared" si="794"/>
        <v>0.27365441852586991</v>
      </c>
      <c r="L695" s="1">
        <f t="shared" ref="L695:O695" si="795">SUM(L696:L697)</f>
        <v>0.76233643033015608</v>
      </c>
      <c r="M695" s="1">
        <f t="shared" si="795"/>
        <v>3.4171495047962699</v>
      </c>
      <c r="N695" s="1">
        <f t="shared" si="795"/>
        <v>9.6944270464854121</v>
      </c>
      <c r="O695" s="1">
        <f t="shared" si="795"/>
        <v>9.638132970852137</v>
      </c>
      <c r="P695" s="1">
        <f>SUM(P696:P697)</f>
        <v>15.277372182736277</v>
      </c>
      <c r="Q695" s="1">
        <f>SUM(Q696:Q697)</f>
        <v>16.611907326257239</v>
      </c>
      <c r="S695" s="3"/>
    </row>
    <row r="696" spans="2:19" x14ac:dyDescent="0.5">
      <c r="B696" t="str">
        <f t="shared" si="773"/>
        <v>SPS1</v>
      </c>
      <c r="C696" t="str">
        <f t="shared" si="774"/>
        <v>CH</v>
      </c>
      <c r="D696" t="s">
        <v>399</v>
      </c>
      <c r="E696" s="5" t="s">
        <v>8</v>
      </c>
      <c r="F696" s="1" cm="1">
        <f t="array" ref="F696">SUMPRODUCT(("SUP_wodH2"=[1]OUT_SyntheticFuels!$C$4:$C$1000)*1,ISNUMBER(SEARCH("wod",[1]OUT_SyntheticFuels!$A$4:$A$1000))*1,("Var_Fin"=[1]OUT_SyntheticFuels!$B$4:$B$1000)*1,[1]OUT_SyntheticFuels!E$4:E$1000)</f>
        <v>0</v>
      </c>
      <c r="G696" s="1" cm="1">
        <f t="array" ref="G696">SUMPRODUCT(("SUP_wodH2"=[1]OUT_SyntheticFuels!$C$4:$C$1000)*1,ISNUMBER(SEARCH("wod",[1]OUT_SyntheticFuels!$A$4:$A$1000))*1,("Var_Fin"=[1]OUT_SyntheticFuels!$B$4:$B$1000)*1,[1]OUT_SyntheticFuels!F$4:F$1000)</f>
        <v>0</v>
      </c>
      <c r="H696" s="1" cm="1">
        <f t="array" ref="H696">SUMPRODUCT(("SUP_wodH2"=[1]OUT_SyntheticFuels!$C$4:$C$1000)*1,ISNUMBER(SEARCH("wod",[1]OUT_SyntheticFuels!$A$4:$A$1000))*1,("Var_Fin"=[1]OUT_SyntheticFuels!$B$4:$B$1000)*1,[1]OUT_SyntheticFuels!G$4:G$1000)</f>
        <v>0</v>
      </c>
      <c r="I696" s="1" cm="1">
        <f t="array" ref="I696">SUMPRODUCT(("SUP_wodH2"=[1]OUT_SyntheticFuels!$C$4:$C$1000)*1,ISNUMBER(SEARCH("wod",[1]OUT_SyntheticFuels!$A$4:$A$1000))*1,("Var_Fin"=[1]OUT_SyntheticFuels!$B$4:$B$1000)*1,[1]OUT_SyntheticFuels!H$4:H$1000)</f>
        <v>9.6182731822518526E-3</v>
      </c>
      <c r="J696" s="1" cm="1">
        <f t="array" ref="J696">SUMPRODUCT(("SUP_wodH2"=[1]OUT_SyntheticFuels!$C$4:$C$1000)*1,ISNUMBER(SEARCH("wod",[1]OUT_SyntheticFuels!$A$4:$A$1000))*1,("Var_Fin"=[1]OUT_SyntheticFuels!$B$4:$B$1000)*1,[1]OUT_SyntheticFuels!I$4:I$1000)</f>
        <v>0.62226782681810189</v>
      </c>
      <c r="K696" s="1" cm="1">
        <f t="array" ref="K696">SUMPRODUCT(("SUP_wodH2"=[1]OUT_SyntheticFuels!$C$4:$C$1000)*1,ISNUMBER(SEARCH("wod",[1]OUT_SyntheticFuels!$A$4:$A$1000))*1,("Var_Fin"=[1]OUT_SyntheticFuels!$B$4:$B$1000)*1,[1]OUT_SyntheticFuels!J$4:J$1000)</f>
        <v>0.27365441852586991</v>
      </c>
      <c r="L696" s="1" cm="1">
        <f t="array" ref="L696">SUMPRODUCT(("SUP_wodH2"=[1]OUT_SyntheticFuels!$C$4:$C$1000)*1,ISNUMBER(SEARCH("wod",[1]OUT_SyntheticFuels!$A$4:$A$1000))*1,("Var_Fin"=[1]OUT_SyntheticFuels!$B$4:$B$1000)*1,[1]OUT_SyntheticFuels!K$4:K$1000)</f>
        <v>0.76233643033015608</v>
      </c>
      <c r="M696" s="1" cm="1">
        <f t="array" ref="M696">SUMPRODUCT(("SUP_wodH2"=[1]OUT_SyntheticFuels!$C$4:$C$1000)*1,ISNUMBER(SEARCH("wod",[1]OUT_SyntheticFuels!$A$4:$A$1000))*1,("Var_Fin"=[1]OUT_SyntheticFuels!$B$4:$B$1000)*1,[1]OUT_SyntheticFuels!L$4:L$1000)</f>
        <v>1.7025829991882619E-3</v>
      </c>
      <c r="N696" s="1" cm="1">
        <f t="array" ref="N696">SUMPRODUCT(("SUP_wodH2"=[1]OUT_SyntheticFuels!$C$4:$C$1000)*1,ISNUMBER(SEARCH("wod",[1]OUT_SyntheticFuels!$A$4:$A$1000))*1,("Var_Fin"=[1]OUT_SyntheticFuels!$B$4:$B$1000)*1,[1]OUT_SyntheticFuels!M$4:M$1000)</f>
        <v>6.3961624518723247E-4</v>
      </c>
      <c r="O696" s="1" cm="1">
        <f t="array" ref="O696">SUMPRODUCT(("SUP_wodH2"=[1]OUT_SyntheticFuels!$C$4:$C$1000)*1,ISNUMBER(SEARCH("wod",[1]OUT_SyntheticFuels!$A$4:$A$1000))*1,("Var_Fin"=[1]OUT_SyntheticFuels!$B$4:$B$1000)*1,[1]OUT_SyntheticFuels!N$4:N$1000)</f>
        <v>1.5105648647556159E-3</v>
      </c>
      <c r="P696" s="1" cm="1">
        <f t="array" ref="P696">SUMPRODUCT(("SUP_wodH2"=[1]OUT_SyntheticFuels!$C$4:$C$1000)*1,ISNUMBER(SEARCH("wod",[1]OUT_SyntheticFuels!$A$4:$A$1000))*1,("Var_Fin"=[1]OUT_SyntheticFuels!$B$4:$B$1000)*1,[1]OUT_SyntheticFuels!O$4:O$1000)</f>
        <v>7.4953819165672131E-4</v>
      </c>
      <c r="Q696" s="1" cm="1">
        <f t="array" ref="Q696">SUMPRODUCT(("SUP_wodH2"=[1]OUT_SyntheticFuels!$C$4:$C$1000)*1,ISNUMBER(SEARCH("wod",[1]OUT_SyntheticFuels!$A$4:$A$1000))*1,("Var_Fin"=[1]OUT_SyntheticFuels!$B$4:$B$1000)*1,[1]OUT_SyntheticFuels!P$4:P$1000)</f>
        <v>2.2459739198480203E-3</v>
      </c>
      <c r="S696" s="3"/>
    </row>
    <row r="697" spans="2:19" x14ac:dyDescent="0.5">
      <c r="B697" t="str">
        <f t="shared" si="773"/>
        <v>SPS1</v>
      </c>
      <c r="C697" t="str">
        <f t="shared" si="774"/>
        <v>CH</v>
      </c>
      <c r="D697" t="s">
        <v>400</v>
      </c>
      <c r="E697" s="5" t="s">
        <v>8</v>
      </c>
      <c r="F697" s="1" cm="1">
        <f t="array" ref="F697">SUMPRODUCT(("SUP_wodH2ccs"=[1]OUT_SyntheticFuels!$C$4:$C$1000)*1,ISNUMBER(SEARCH("wod",[1]OUT_SyntheticFuels!$A$4:$A$1000))*1,("Var_Fin"=[1]OUT_SyntheticFuels!$B$4:$B$1000)*1,[1]OUT_SyntheticFuels!E$4:E$1000)</f>
        <v>0</v>
      </c>
      <c r="G697" s="1" cm="1">
        <f t="array" ref="G697">SUMPRODUCT(("SUP_wodH2ccs"=[1]OUT_SyntheticFuels!$C$4:$C$1000)*1,ISNUMBER(SEARCH("wod",[1]OUT_SyntheticFuels!$A$4:$A$1000))*1,("Var_Fin"=[1]OUT_SyntheticFuels!$B$4:$B$1000)*1,[1]OUT_SyntheticFuels!F$4:F$1000)</f>
        <v>0</v>
      </c>
      <c r="H697" s="1" cm="1">
        <f t="array" ref="H697">SUMPRODUCT(("SUP_wodH2ccs"=[1]OUT_SyntheticFuels!$C$4:$C$1000)*1,ISNUMBER(SEARCH("wod",[1]OUT_SyntheticFuels!$A$4:$A$1000))*1,("Var_Fin"=[1]OUT_SyntheticFuels!$B$4:$B$1000)*1,[1]OUT_SyntheticFuels!G$4:G$1000)</f>
        <v>0</v>
      </c>
      <c r="I697" s="1" cm="1">
        <f t="array" ref="I697">SUMPRODUCT(("SUP_wodH2ccs"=[1]OUT_SyntheticFuels!$C$4:$C$1000)*1,ISNUMBER(SEARCH("wod",[1]OUT_SyntheticFuels!$A$4:$A$1000))*1,("Var_Fin"=[1]OUT_SyntheticFuels!$B$4:$B$1000)*1,[1]OUT_SyntheticFuels!H$4:H$1000)</f>
        <v>0</v>
      </c>
      <c r="J697" s="1" cm="1">
        <f t="array" ref="J697">SUMPRODUCT(("SUP_wodH2ccs"=[1]OUT_SyntheticFuels!$C$4:$C$1000)*1,ISNUMBER(SEARCH("wod",[1]OUT_SyntheticFuels!$A$4:$A$1000))*1,("Var_Fin"=[1]OUT_SyntheticFuels!$B$4:$B$1000)*1,[1]OUT_SyntheticFuels!I$4:I$1000)</f>
        <v>0</v>
      </c>
      <c r="K697" s="1" cm="1">
        <f t="array" ref="K697">SUMPRODUCT(("SUP_wodH2ccs"=[1]OUT_SyntheticFuels!$C$4:$C$1000)*1,ISNUMBER(SEARCH("wod",[1]OUT_SyntheticFuels!$A$4:$A$1000))*1,("Var_Fin"=[1]OUT_SyntheticFuels!$B$4:$B$1000)*1,[1]OUT_SyntheticFuels!J$4:J$1000)</f>
        <v>0</v>
      </c>
      <c r="L697" s="1" cm="1">
        <f t="array" ref="L697">SUMPRODUCT(("SUP_wodH2ccs"=[1]OUT_SyntheticFuels!$C$4:$C$1000)*1,ISNUMBER(SEARCH("wod",[1]OUT_SyntheticFuels!$A$4:$A$1000))*1,("Var_Fin"=[1]OUT_SyntheticFuels!$B$4:$B$1000)*1,[1]OUT_SyntheticFuels!K$4:K$1000)</f>
        <v>0</v>
      </c>
      <c r="M697" s="1" cm="1">
        <f t="array" ref="M697">SUMPRODUCT(("SUP_wodH2ccs"=[1]OUT_SyntheticFuels!$C$4:$C$1000)*1,ISNUMBER(SEARCH("wod",[1]OUT_SyntheticFuels!$A$4:$A$1000))*1,("Var_Fin"=[1]OUT_SyntheticFuels!$B$4:$B$1000)*1,[1]OUT_SyntheticFuels!L$4:L$1000)</f>
        <v>3.4154469217970815</v>
      </c>
      <c r="N697" s="1" cm="1">
        <f t="array" ref="N697">SUMPRODUCT(("SUP_wodH2ccs"=[1]OUT_SyntheticFuels!$C$4:$C$1000)*1,ISNUMBER(SEARCH("wod",[1]OUT_SyntheticFuels!$A$4:$A$1000))*1,("Var_Fin"=[1]OUT_SyntheticFuels!$B$4:$B$1000)*1,[1]OUT_SyntheticFuels!M$4:M$1000)</f>
        <v>9.6937874302402243</v>
      </c>
      <c r="O697" s="1" cm="1">
        <f t="array" ref="O697">SUMPRODUCT(("SUP_wodH2ccs"=[1]OUT_SyntheticFuels!$C$4:$C$1000)*1,ISNUMBER(SEARCH("wod",[1]OUT_SyntheticFuels!$A$4:$A$1000))*1,("Var_Fin"=[1]OUT_SyntheticFuels!$B$4:$B$1000)*1,[1]OUT_SyntheticFuels!N$4:N$1000)</f>
        <v>9.6366224059873815</v>
      </c>
      <c r="P697" s="1" cm="1">
        <f t="array" ref="P697">SUMPRODUCT(("SUP_wodH2ccs"=[1]OUT_SyntheticFuels!$C$4:$C$1000)*1,ISNUMBER(SEARCH("wod",[1]OUT_SyntheticFuels!$A$4:$A$1000))*1,("Var_Fin"=[1]OUT_SyntheticFuels!$B$4:$B$1000)*1,[1]OUT_SyntheticFuels!O$4:O$1000)</f>
        <v>15.27662264454462</v>
      </c>
      <c r="Q697" s="1" cm="1">
        <f t="array" ref="Q697">SUMPRODUCT(("SUP_wodH2ccs"=[1]OUT_SyntheticFuels!$C$4:$C$1000)*1,ISNUMBER(SEARCH("wod",[1]OUT_SyntheticFuels!$A$4:$A$1000))*1,("Var_Fin"=[1]OUT_SyntheticFuels!$B$4:$B$1000)*1,[1]OUT_SyntheticFuels!P$4:P$1000)</f>
        <v>16.60966135233739</v>
      </c>
      <c r="S697" s="3"/>
    </row>
    <row r="698" spans="2:19" x14ac:dyDescent="0.5">
      <c r="B698" s="9" t="s">
        <v>6</v>
      </c>
      <c r="C698" s="9" t="s">
        <v>7</v>
      </c>
      <c r="D698" s="2" t="s">
        <v>408</v>
      </c>
      <c r="E698" s="9" t="s">
        <v>240</v>
      </c>
      <c r="F698" s="4" t="s">
        <v>292</v>
      </c>
      <c r="G698" s="4" t="s">
        <v>292</v>
      </c>
      <c r="H698" s="4" t="s">
        <v>292</v>
      </c>
      <c r="I698" s="4" t="s">
        <v>292</v>
      </c>
      <c r="J698" s="4" t="s">
        <v>292</v>
      </c>
      <c r="K698" s="4" t="s">
        <v>292</v>
      </c>
      <c r="L698" s="4" t="s">
        <v>292</v>
      </c>
      <c r="M698" s="4" t="s">
        <v>292</v>
      </c>
      <c r="N698" s="4" t="s">
        <v>292</v>
      </c>
      <c r="O698" s="4" t="s">
        <v>292</v>
      </c>
      <c r="P698" s="4" t="s">
        <v>292</v>
      </c>
      <c r="Q698" s="4" t="s">
        <v>292</v>
      </c>
      <c r="S698" s="3"/>
    </row>
    <row r="699" spans="2:19" x14ac:dyDescent="0.5">
      <c r="B699" t="str">
        <f>B698</f>
        <v>SPS1</v>
      </c>
      <c r="C699" t="str">
        <f t="shared" ref="C699:C705" si="796">C698</f>
        <v>CH</v>
      </c>
      <c r="D699" t="s">
        <v>409</v>
      </c>
      <c r="E699" s="5" t="s">
        <v>240</v>
      </c>
      <c r="F699" s="4">
        <f>IFERROR(F664/F681,"-")</f>
        <v>0.68500000000000083</v>
      </c>
      <c r="G699" s="4">
        <f t="shared" ref="G699:K699" si="797">IFERROR(G664/G681,"-")</f>
        <v>0.69399999999999917</v>
      </c>
      <c r="H699" s="4">
        <f t="shared" si="797"/>
        <v>0.70749999999999991</v>
      </c>
      <c r="I699" s="4">
        <f t="shared" si="797"/>
        <v>0.73000000000000076</v>
      </c>
      <c r="J699" s="4">
        <f t="shared" si="797"/>
        <v>0.75249999999999895</v>
      </c>
      <c r="K699" s="4">
        <f t="shared" si="797"/>
        <v>0.77500000000000013</v>
      </c>
      <c r="L699" s="4">
        <f t="shared" ref="L699:O699" si="798">IFERROR(L664/L681,"-")</f>
        <v>0.79749999999999976</v>
      </c>
      <c r="M699" s="4">
        <f t="shared" si="798"/>
        <v>0.82000000000000006</v>
      </c>
      <c r="N699" s="4">
        <f t="shared" si="798"/>
        <v>0.82000000000000117</v>
      </c>
      <c r="O699" s="4">
        <f t="shared" si="798"/>
        <v>0.82000000000000084</v>
      </c>
      <c r="P699" s="4">
        <f>IFERROR(P664/P681,"-")</f>
        <v>0.81999999999999984</v>
      </c>
      <c r="Q699" s="4">
        <f>IFERROR(Q664/Q681,"-")</f>
        <v>0.82000000000000028</v>
      </c>
      <c r="S699" s="3"/>
    </row>
    <row r="700" spans="2:19" x14ac:dyDescent="0.5">
      <c r="B700" t="str">
        <f t="shared" ref="B700:B705" si="799">B699</f>
        <v>SPS1</v>
      </c>
      <c r="C700" t="str">
        <f t="shared" si="796"/>
        <v>CH</v>
      </c>
      <c r="D700" t="s">
        <v>410</v>
      </c>
      <c r="E700" s="5" t="s">
        <v>240</v>
      </c>
      <c r="F700" s="4" t="str">
        <f>IFERROR(F665/F682,"-")</f>
        <v>-</v>
      </c>
      <c r="G700" s="4" t="str">
        <f t="shared" ref="G700:K700" si="800">IFERROR(G665/G682,"-")</f>
        <v>-</v>
      </c>
      <c r="H700" s="4" t="str">
        <f t="shared" si="800"/>
        <v>-</v>
      </c>
      <c r="I700" s="4">
        <f t="shared" si="800"/>
        <v>0.72999999999999987</v>
      </c>
      <c r="J700" s="4">
        <f t="shared" si="800"/>
        <v>0.75250000000000006</v>
      </c>
      <c r="K700" s="4">
        <f t="shared" si="800"/>
        <v>0.77500000000000013</v>
      </c>
      <c r="L700" s="4">
        <f t="shared" ref="L700:O700" si="801">IFERROR(L665/L682,"-")</f>
        <v>0.79750000000000032</v>
      </c>
      <c r="M700" s="4">
        <f t="shared" si="801"/>
        <v>0.81999999999999962</v>
      </c>
      <c r="N700" s="4">
        <f t="shared" si="801"/>
        <v>0.81999999999999984</v>
      </c>
      <c r="O700" s="4">
        <f t="shared" si="801"/>
        <v>0.81999999999999951</v>
      </c>
      <c r="P700" s="4">
        <f>IFERROR(P665/P682,"-")</f>
        <v>0.81999999999999962</v>
      </c>
      <c r="Q700" s="4">
        <f>IFERROR(Q665/Q682,"-")</f>
        <v>0.81999999999999973</v>
      </c>
      <c r="S700" s="3"/>
    </row>
    <row r="701" spans="2:19" x14ac:dyDescent="0.5">
      <c r="B701" t="str">
        <f t="shared" si="799"/>
        <v>SPS1</v>
      </c>
      <c r="C701" t="str">
        <f t="shared" si="796"/>
        <v>CH</v>
      </c>
      <c r="D701" t="s">
        <v>411</v>
      </c>
      <c r="E701" s="5" t="s">
        <v>240</v>
      </c>
      <c r="F701" s="4" t="str">
        <f>IFERROR(F666/SUM(F683,F685),"-")</f>
        <v>-</v>
      </c>
      <c r="G701" s="4" t="str">
        <f t="shared" ref="G701:K701" si="802">IFERROR(G666/SUM(G683,G685),"-")</f>
        <v>-</v>
      </c>
      <c r="H701" s="4" t="str">
        <f t="shared" si="802"/>
        <v>-</v>
      </c>
      <c r="I701" s="4" t="str">
        <f t="shared" si="802"/>
        <v>-</v>
      </c>
      <c r="J701" s="4" t="str">
        <f t="shared" si="802"/>
        <v>-</v>
      </c>
      <c r="K701" s="4">
        <f t="shared" si="802"/>
        <v>0.86999999999999977</v>
      </c>
      <c r="L701" s="4">
        <f t="shared" ref="L701:O701" si="803">IFERROR(L666/SUM(L683,L685),"-")</f>
        <v>0.88474576271186445</v>
      </c>
      <c r="M701" s="4">
        <f t="shared" si="803"/>
        <v>0.9</v>
      </c>
      <c r="N701" s="4">
        <f t="shared" si="803"/>
        <v>0.90000000000000013</v>
      </c>
      <c r="O701" s="4">
        <f t="shared" si="803"/>
        <v>0.90000000000000013</v>
      </c>
      <c r="P701" s="4">
        <f>IFERROR(P666/SUM(P683,P685),"-")</f>
        <v>0.90000000000000013</v>
      </c>
      <c r="Q701" s="4">
        <f>IFERROR(Q666/SUM(Q683,Q685),"-")</f>
        <v>0.90000000000000013</v>
      </c>
      <c r="S701" s="3"/>
    </row>
    <row r="702" spans="2:19" x14ac:dyDescent="0.5">
      <c r="B702" t="str">
        <f t="shared" si="799"/>
        <v>SPS1</v>
      </c>
      <c r="C702" t="str">
        <f t="shared" si="796"/>
        <v>CH</v>
      </c>
      <c r="D702" t="s">
        <v>412</v>
      </c>
      <c r="E702" s="5" t="s">
        <v>240</v>
      </c>
      <c r="F702" s="4" t="str">
        <f>IFERROR(F668/F687,"-")</f>
        <v>-</v>
      </c>
      <c r="G702" s="4" t="str">
        <f t="shared" ref="G702:K703" si="804">IFERROR(G668/G687,"-")</f>
        <v>-</v>
      </c>
      <c r="H702" s="4" t="str">
        <f t="shared" si="804"/>
        <v>-</v>
      </c>
      <c r="I702" s="4" t="str">
        <f t="shared" si="804"/>
        <v>-</v>
      </c>
      <c r="J702" s="4" t="str">
        <f t="shared" si="804"/>
        <v>-</v>
      </c>
      <c r="K702" s="4" t="str">
        <f t="shared" si="804"/>
        <v>-</v>
      </c>
      <c r="L702" s="4" t="str">
        <f t="shared" ref="L702:O702" si="805">IFERROR(L668/L687,"-")</f>
        <v>-</v>
      </c>
      <c r="M702" s="4">
        <f t="shared" si="805"/>
        <v>0.76000000000000034</v>
      </c>
      <c r="N702" s="4">
        <f t="shared" si="805"/>
        <v>0.76</v>
      </c>
      <c r="O702" s="4">
        <f t="shared" si="805"/>
        <v>0.7599999999999999</v>
      </c>
      <c r="P702" s="4">
        <f>IFERROR(P668/P687,"-")</f>
        <v>0.76000000000000023</v>
      </c>
      <c r="Q702" s="4">
        <f>IFERROR(Q668/Q687,"-")</f>
        <v>0.76000000000000045</v>
      </c>
      <c r="S702" s="3"/>
    </row>
    <row r="703" spans="2:19" x14ac:dyDescent="0.5">
      <c r="B703" t="str">
        <f t="shared" si="799"/>
        <v>SPS1</v>
      </c>
      <c r="C703" t="str">
        <f t="shared" si="796"/>
        <v>CH</v>
      </c>
      <c r="D703" t="s">
        <v>413</v>
      </c>
      <c r="E703" s="5" t="s">
        <v>240</v>
      </c>
      <c r="F703" s="4" t="str">
        <f>IFERROR(F669/F688,"-")</f>
        <v>-</v>
      </c>
      <c r="G703" s="4" t="str">
        <f t="shared" si="804"/>
        <v>-</v>
      </c>
      <c r="H703" s="4" t="str">
        <f t="shared" si="804"/>
        <v>-</v>
      </c>
      <c r="I703" s="4" t="str">
        <f t="shared" si="804"/>
        <v>-</v>
      </c>
      <c r="J703" s="4" t="str">
        <f t="shared" si="804"/>
        <v>-</v>
      </c>
      <c r="K703" s="4" t="str">
        <f t="shared" si="804"/>
        <v>-</v>
      </c>
      <c r="L703" s="4" t="str">
        <f t="shared" ref="L703:O703" si="806">IFERROR(L669/L688,"-")</f>
        <v>-</v>
      </c>
      <c r="M703" s="4">
        <f t="shared" si="806"/>
        <v>0.68999999999999939</v>
      </c>
      <c r="N703" s="4">
        <f t="shared" si="806"/>
        <v>0.68999999999999972</v>
      </c>
      <c r="O703" s="4">
        <f t="shared" si="806"/>
        <v>0.68999999999999939</v>
      </c>
      <c r="P703" s="4">
        <f>IFERROR(P669/P688,"-")</f>
        <v>0.69000000000000017</v>
      </c>
      <c r="Q703" s="4">
        <f>IFERROR(Q669/Q688,"-")</f>
        <v>0.69000000000000028</v>
      </c>
      <c r="S703" s="3"/>
    </row>
    <row r="704" spans="2:19" x14ac:dyDescent="0.5">
      <c r="B704" t="str">
        <f>B703</f>
        <v>SPS1</v>
      </c>
      <c r="C704" t="str">
        <f>C703</f>
        <v>CH</v>
      </c>
      <c r="D704" t="s">
        <v>414</v>
      </c>
      <c r="E704" s="5" t="s">
        <v>240</v>
      </c>
      <c r="F704" s="4" t="str">
        <f>IFERROR(F677/F696,"-")</f>
        <v>-</v>
      </c>
      <c r="G704" s="4" t="str">
        <f t="shared" ref="G704:K705" si="807">IFERROR(G677/G696,"-")</f>
        <v>-</v>
      </c>
      <c r="H704" s="4" t="str">
        <f t="shared" si="807"/>
        <v>-</v>
      </c>
      <c r="I704" s="4">
        <f t="shared" si="807"/>
        <v>0.59999999999999976</v>
      </c>
      <c r="J704" s="4">
        <f t="shared" si="807"/>
        <v>0.6000000000000002</v>
      </c>
      <c r="K704" s="4">
        <f t="shared" si="807"/>
        <v>0.59999999999999987</v>
      </c>
      <c r="L704" s="4">
        <f t="shared" ref="L704:O704" si="808">IFERROR(L677/L696,"-")</f>
        <v>0.60000000000000031</v>
      </c>
      <c r="M704" s="4">
        <f t="shared" si="808"/>
        <v>0.60000000000000542</v>
      </c>
      <c r="N704" s="4">
        <f t="shared" si="808"/>
        <v>0.6000000000002772</v>
      </c>
      <c r="O704" s="4">
        <f t="shared" si="808"/>
        <v>0.60000000000008624</v>
      </c>
      <c r="P704" s="4">
        <f>IFERROR(P677/P696,"-")</f>
        <v>0.59999999999908182</v>
      </c>
      <c r="Q704" s="4">
        <f>IFERROR(Q677/Q696,"-")</f>
        <v>0.59999999999971942</v>
      </c>
      <c r="S704" s="3"/>
    </row>
    <row r="705" spans="2:19" x14ac:dyDescent="0.5">
      <c r="B705" t="str">
        <f t="shared" si="799"/>
        <v>SPS1</v>
      </c>
      <c r="C705" t="str">
        <f t="shared" si="796"/>
        <v>CH</v>
      </c>
      <c r="D705" t="s">
        <v>415</v>
      </c>
      <c r="E705" s="5" t="s">
        <v>240</v>
      </c>
      <c r="F705" s="4" t="str">
        <f>IFERROR(F678/F697,"-")</f>
        <v>-</v>
      </c>
      <c r="G705" s="4" t="str">
        <f t="shared" si="807"/>
        <v>-</v>
      </c>
      <c r="H705" s="4" t="str">
        <f t="shared" si="807"/>
        <v>-</v>
      </c>
      <c r="I705" s="4" t="str">
        <f t="shared" si="807"/>
        <v>-</v>
      </c>
      <c r="J705" s="4" t="str">
        <f t="shared" si="807"/>
        <v>-</v>
      </c>
      <c r="K705" s="4" t="str">
        <f t="shared" si="807"/>
        <v>-</v>
      </c>
      <c r="L705" s="4" t="str">
        <f t="shared" ref="L705:O705" si="809">IFERROR(L678/L697,"-")</f>
        <v>-</v>
      </c>
      <c r="M705" s="4">
        <f t="shared" si="809"/>
        <v>0.57999999999999963</v>
      </c>
      <c r="N705" s="4">
        <f t="shared" si="809"/>
        <v>0.58000000000000018</v>
      </c>
      <c r="O705" s="4">
        <f t="shared" si="809"/>
        <v>0.57999999999999974</v>
      </c>
      <c r="P705" s="4">
        <f>IFERROR(P678/P697,"-")</f>
        <v>0.58000000000000007</v>
      </c>
      <c r="Q705" s="4">
        <f>IFERROR(Q678/Q697,"-")</f>
        <v>0.58000000000000074</v>
      </c>
      <c r="S705" s="3"/>
    </row>
    <row r="706" spans="2:19" x14ac:dyDescent="0.5">
      <c r="B706" s="9" t="s">
        <v>6</v>
      </c>
      <c r="C706" s="9" t="s">
        <v>7</v>
      </c>
      <c r="D706" s="2" t="s">
        <v>424</v>
      </c>
      <c r="E706" s="9" t="s">
        <v>8</v>
      </c>
      <c r="F706" s="1">
        <f>[1]Other_transformation!B$39</f>
        <v>1.1764981707976323</v>
      </c>
      <c r="G706" s="1">
        <f>[1]Other_transformation!C$39</f>
        <v>3.0642984180177137</v>
      </c>
      <c r="H706" s="1">
        <f>[1]Other_transformation!D$39</f>
        <v>2.6138935705884947</v>
      </c>
      <c r="I706" s="1">
        <f>[1]Other_transformation!E$39</f>
        <v>2.6138792647889129</v>
      </c>
      <c r="J706" s="1">
        <f>[1]Other_transformation!F$39</f>
        <v>2.6140022441544319</v>
      </c>
      <c r="K706" s="1">
        <f>[1]Other_transformation!G$39</f>
        <v>2.8160466343962098</v>
      </c>
      <c r="L706" s="1">
        <f>[1]Other_transformation!H$39</f>
        <v>4.3867205238062565</v>
      </c>
      <c r="M706" s="1">
        <f>[1]Other_transformation!I$39</f>
        <v>6.302439230273249</v>
      </c>
      <c r="N706" s="1">
        <f>[1]Other_transformation!J$39</f>
        <v>8.437897847980306</v>
      </c>
      <c r="O706" s="1">
        <f>[1]Other_transformation!K$39</f>
        <v>10.557602494923849</v>
      </c>
      <c r="P706" s="1">
        <f>[1]Other_transformation!L$39</f>
        <v>10.559282369610598</v>
      </c>
      <c r="Q706" s="1">
        <f>[1]Other_transformation!M$39</f>
        <v>10.561828988489347</v>
      </c>
      <c r="S706" s="3"/>
    </row>
    <row r="707" spans="2:19" x14ac:dyDescent="0.5">
      <c r="B707" s="9" t="s">
        <v>6</v>
      </c>
      <c r="C707" s="9" t="s">
        <v>7</v>
      </c>
      <c r="D707" s="2" t="s">
        <v>425</v>
      </c>
      <c r="E707" s="9" t="s">
        <v>8</v>
      </c>
      <c r="F707" s="1">
        <f>[1]Other_transformation!B$38</f>
        <v>1.2891003817930504</v>
      </c>
      <c r="G707" s="1">
        <f>[1]Other_transformation!C$38</f>
        <v>3.3575813024140575</v>
      </c>
      <c r="H707" s="1">
        <f>[1]Other_transformation!D$38</f>
        <v>2.8640683712474906</v>
      </c>
      <c r="I707" s="1">
        <f>[1]Other_transformation!E$38</f>
        <v>2.8640526962450399</v>
      </c>
      <c r="J707" s="1">
        <f>[1]Other_transformation!F$38</f>
        <v>2.8641874459207992</v>
      </c>
      <c r="K707" s="1">
        <f>[1]Other_transformation!G$38</f>
        <v>3.0855694310906006</v>
      </c>
      <c r="L707" s="1">
        <f>[1]Other_transformation!H$38</f>
        <v>4.8065719458145626</v>
      </c>
      <c r="M707" s="1">
        <f>[1]Other_transformation!I$38</f>
        <v>6.9056433912384021</v>
      </c>
      <c r="N707" s="1">
        <f>[1]Other_transformation!J$38</f>
        <v>9.2454859746935796</v>
      </c>
      <c r="O707" s="1">
        <f>[1]Other_transformation!K$38</f>
        <v>11.56806678058711</v>
      </c>
      <c r="P707" s="1">
        <f>[1]Other_transformation!L$38</f>
        <v>11.569907435467659</v>
      </c>
      <c r="Q707" s="1">
        <f>[1]Other_transformation!M$38</f>
        <v>11.572697790310841</v>
      </c>
      <c r="S707" s="3"/>
    </row>
    <row r="708" spans="2:19" x14ac:dyDescent="0.5">
      <c r="B708" s="9" t="s">
        <v>6</v>
      </c>
      <c r="C708" s="9" t="s">
        <v>7</v>
      </c>
      <c r="D708" s="2" t="s">
        <v>426</v>
      </c>
      <c r="E708" s="9" t="s">
        <v>8</v>
      </c>
      <c r="F708" s="14">
        <f t="shared" ref="F708:K708" si="810">F706/F707</f>
        <v>0.91265054871925788</v>
      </c>
      <c r="G708" s="14">
        <f t="shared" si="810"/>
        <v>0.91265054871925899</v>
      </c>
      <c r="H708" s="14">
        <f t="shared" si="810"/>
        <v>0.91265054871925833</v>
      </c>
      <c r="I708" s="14">
        <f t="shared" si="810"/>
        <v>0.91265054871926043</v>
      </c>
      <c r="J708" s="14">
        <f t="shared" si="810"/>
        <v>0.91265054871925955</v>
      </c>
      <c r="K708" s="14">
        <f t="shared" si="810"/>
        <v>0.91265054871925944</v>
      </c>
      <c r="L708" s="14">
        <f t="shared" ref="L708:O708" si="811">L706/L707</f>
        <v>0.91265054871925888</v>
      </c>
      <c r="M708" s="14">
        <f t="shared" si="811"/>
        <v>0.91265054871925855</v>
      </c>
      <c r="N708" s="14">
        <f t="shared" si="811"/>
        <v>0.91265054871925877</v>
      </c>
      <c r="O708" s="14">
        <f t="shared" si="811"/>
        <v>0.91265054871925821</v>
      </c>
      <c r="P708" s="14">
        <f>P706/P707</f>
        <v>0.91265054871925932</v>
      </c>
      <c r="Q708" s="14">
        <f>Q706/Q707</f>
        <v>0.91265054871925921</v>
      </c>
      <c r="S708" s="3"/>
    </row>
    <row r="709" spans="2:19" x14ac:dyDescent="0.5">
      <c r="B709" s="9" t="s">
        <v>6</v>
      </c>
      <c r="C709" s="9" t="s">
        <v>6</v>
      </c>
      <c r="D709" s="2" t="s">
        <v>474</v>
      </c>
      <c r="E709" s="9" t="s">
        <v>8</v>
      </c>
      <c r="F709" s="17" cm="1">
        <f t="array" ref="F709">SUMPRODUCT(("CT_CWODPLT"=[1]OUT_SyntheticFuels!$C$4:$C$1000)*1,("Var_Fout"=[1]OUT_SyntheticFuels!$B$4:$B$1000)*1,[1]OUT_SyntheticFuels!E$4:E$1000)</f>
        <v>5.9798126372516922</v>
      </c>
      <c r="G709" s="17" cm="1">
        <f t="array" ref="G709">SUMPRODUCT(("CT_CWODPLT"=[1]OUT_SyntheticFuels!$C$4:$C$1000)*1,("Var_Fout"=[1]OUT_SyntheticFuels!$B$4:$B$1000)*1,[1]OUT_SyntheticFuels!F$4:F$1000)</f>
        <v>6.9698430612841298</v>
      </c>
      <c r="H709" s="17" cm="1">
        <f t="array" ref="H709">SUMPRODUCT(("CT_CWODPLT"=[1]OUT_SyntheticFuels!$C$4:$C$1000)*1,("Var_Fout"=[1]OUT_SyntheticFuels!$B$4:$B$1000)*1,[1]OUT_SyntheticFuels!G$4:G$1000)</f>
        <v>6.4756509480465203</v>
      </c>
      <c r="I709" s="17" cm="1">
        <f t="array" ref="I709">SUMPRODUCT(("CT_CWODPLT"=[1]OUT_SyntheticFuels!$C$4:$C$1000)*1,("Var_Fout"=[1]OUT_SyntheticFuels!$B$4:$B$1000)*1,[1]OUT_SyntheticFuels!H$4:H$1000)</f>
        <v>6.7976984757936245</v>
      </c>
      <c r="J709" s="17" cm="1">
        <f t="array" ref="J709">SUMPRODUCT(("CT_CWODPLT"=[1]OUT_SyntheticFuels!$C$4:$C$1000)*1,("Var_Fout"=[1]OUT_SyntheticFuels!$B$4:$B$1000)*1,[1]OUT_SyntheticFuels!I$4:I$1000)</f>
        <v>7.058828009639722</v>
      </c>
      <c r="K709" s="17" cm="1">
        <f t="array" ref="K709">SUMPRODUCT(("CT_CWODPLT"=[1]OUT_SyntheticFuels!$C$4:$C$1000)*1,("Var_Fout"=[1]OUT_SyntheticFuels!$B$4:$B$1000)*1,[1]OUT_SyntheticFuels!J$4:J$1000)</f>
        <v>7.3096024441367451</v>
      </c>
      <c r="L709" s="17" cm="1">
        <f t="array" ref="L709">SUMPRODUCT(("CT_CWODPLT"=[1]OUT_SyntheticFuels!$C$4:$C$1000)*1,("Var_Fout"=[1]OUT_SyntheticFuels!$B$4:$B$1000)*1,[1]OUT_SyntheticFuels!K$4:K$1000)</f>
        <v>7.3570878382389928</v>
      </c>
      <c r="M709" s="17" cm="1">
        <f t="array" ref="M709">SUMPRODUCT(("CT_CWODPLT"=[1]OUT_SyntheticFuels!$C$4:$C$1000)*1,("Var_Fout"=[1]OUT_SyntheticFuels!$B$4:$B$1000)*1,[1]OUT_SyntheticFuels!L$4:L$1000)</f>
        <v>7.4698798999693938</v>
      </c>
      <c r="N709" s="17" cm="1">
        <f t="array" ref="N709">SUMPRODUCT(("CT_CWODPLT"=[1]OUT_SyntheticFuels!$C$4:$C$1000)*1,("Var_Fout"=[1]OUT_SyntheticFuels!$B$4:$B$1000)*1,[1]OUT_SyntheticFuels!M$4:M$1000)</f>
        <v>7.4938263882230256</v>
      </c>
      <c r="O709" s="17" cm="1">
        <f t="array" ref="O709">SUMPRODUCT(("CT_CWODPLT"=[1]OUT_SyntheticFuels!$C$4:$C$1000)*1,("Var_Fout"=[1]OUT_SyntheticFuels!$B$4:$B$1000)*1,[1]OUT_SyntheticFuels!N$4:N$1000)</f>
        <v>7.5859053314024028</v>
      </c>
      <c r="P709" s="17" cm="1">
        <f t="array" ref="P709">SUMPRODUCT(("CT_CWODPLT"=[1]OUT_SyntheticFuels!$C$4:$C$1000)*1,("Var_Fout"=[1]OUT_SyntheticFuels!$B$4:$B$1000)*1,[1]OUT_SyntheticFuels!O$4:O$1000)</f>
        <v>7.5866341854312651</v>
      </c>
      <c r="Q709" s="17" cm="1">
        <f t="array" ref="Q709">SUMPRODUCT(("CT_CWODPLT"=[1]OUT_SyntheticFuels!$C$4:$C$1000)*1,("Var_Fout"=[1]OUT_SyntheticFuels!$B$4:$B$1000)*1,[1]OUT_SyntheticFuels!P$4:P$1000)</f>
        <v>7.5884399171835168</v>
      </c>
      <c r="S709" s="3"/>
    </row>
    <row r="710" spans="2:19" x14ac:dyDescent="0.5">
      <c r="B710" s="5" t="str">
        <f>B709</f>
        <v>SPS1</v>
      </c>
      <c r="C710" s="5" t="str">
        <f>C709</f>
        <v>SPS1</v>
      </c>
      <c r="D710" t="s">
        <v>491</v>
      </c>
      <c r="E710" s="5" t="s">
        <v>8</v>
      </c>
      <c r="F710" s="18">
        <f>F709</f>
        <v>5.9798126372516922</v>
      </c>
      <c r="G710" s="18">
        <f t="shared" ref="G710:K710" si="812">G709</f>
        <v>6.9698430612841298</v>
      </c>
      <c r="H710" s="18">
        <f t="shared" si="812"/>
        <v>6.4756509480465203</v>
      </c>
      <c r="I710" s="18">
        <f t="shared" si="812"/>
        <v>6.7976984757936245</v>
      </c>
      <c r="J710" s="18">
        <f t="shared" si="812"/>
        <v>7.058828009639722</v>
      </c>
      <c r="K710" s="18">
        <f t="shared" si="812"/>
        <v>7.3096024441367451</v>
      </c>
      <c r="L710" s="18">
        <f t="shared" ref="L710:O710" si="813">L709</f>
        <v>7.3570878382389928</v>
      </c>
      <c r="M710" s="18">
        <f t="shared" si="813"/>
        <v>7.4698798999693938</v>
      </c>
      <c r="N710" s="18">
        <f t="shared" si="813"/>
        <v>7.4938263882230256</v>
      </c>
      <c r="O710" s="18">
        <f t="shared" si="813"/>
        <v>7.5859053314024028</v>
      </c>
      <c r="P710" s="18">
        <f>P709</f>
        <v>7.5866341854312651</v>
      </c>
      <c r="Q710" s="18">
        <f>Q709</f>
        <v>7.5884399171835168</v>
      </c>
      <c r="S710" s="3"/>
    </row>
    <row r="711" spans="2:19" x14ac:dyDescent="0.5">
      <c r="B711" s="9" t="s">
        <v>6</v>
      </c>
      <c r="C711" s="9" t="s">
        <v>6</v>
      </c>
      <c r="D711" s="2" t="s">
        <v>475</v>
      </c>
      <c r="E711" s="9" t="s">
        <v>8</v>
      </c>
      <c r="F711" s="17" cm="1">
        <f t="array" ref="F711">SUMPRODUCT(("CT_CWODPLT"=[1]OUT_SyntheticFuels!$C$4:$C$1000)*1,("Var_Fin"=[1]OUT_SyntheticFuels!$B$4:$B$1000)*1,[1]OUT_SyntheticFuels!E$4:E$1000)</f>
        <v>7.118824568156775</v>
      </c>
      <c r="G711" s="17" cm="1">
        <f t="array" ref="G711">SUMPRODUCT(("CT_CWODPLT"=[1]OUT_SyntheticFuels!$C$4:$C$1000)*1,("Var_Fin"=[1]OUT_SyntheticFuels!$B$4:$B$1000)*1,[1]OUT_SyntheticFuels!F$4:F$1000)</f>
        <v>8.297432215814446</v>
      </c>
      <c r="H711" s="17" cm="1">
        <f t="array" ref="H711">SUMPRODUCT(("CT_CWODPLT"=[1]OUT_SyntheticFuels!$C$4:$C$1000)*1,("Var_Fin"=[1]OUT_SyntheticFuels!$B$4:$B$1000)*1,[1]OUT_SyntheticFuels!G$4:G$1000)</f>
        <v>7.7091082714839541</v>
      </c>
      <c r="I711" s="17" cm="1">
        <f t="array" ref="I711">SUMPRODUCT(("CT_CWODPLT"=[1]OUT_SyntheticFuels!$C$4:$C$1000)*1,("Var_Fin"=[1]OUT_SyntheticFuels!$B$4:$B$1000)*1,[1]OUT_SyntheticFuels!H$4:H$1000)</f>
        <v>8.092498185468596</v>
      </c>
      <c r="J711" s="17" cm="1">
        <f t="array" ref="J711">SUMPRODUCT(("CT_CWODPLT"=[1]OUT_SyntheticFuels!$C$4:$C$1000)*1,("Var_Fin"=[1]OUT_SyntheticFuels!$B$4:$B$1000)*1,[1]OUT_SyntheticFuels!I$4:I$1000)</f>
        <v>8.4033666781425342</v>
      </c>
      <c r="K711" s="17" cm="1">
        <f t="array" ref="K711">SUMPRODUCT(("CT_CWODPLT"=[1]OUT_SyntheticFuels!$C$4:$C$1000)*1,("Var_Fin"=[1]OUT_SyntheticFuels!$B$4:$B$1000)*1,[1]OUT_SyntheticFuels!J$4:J$1000)</f>
        <v>8.7019076715913712</v>
      </c>
      <c r="L711" s="17" cm="1">
        <f t="array" ref="L711">SUMPRODUCT(("CT_CWODPLT"=[1]OUT_SyntheticFuels!$C$4:$C$1000)*1,("Var_Fin"=[1]OUT_SyntheticFuels!$B$4:$B$1000)*1,[1]OUT_SyntheticFuels!K$4:K$1000)</f>
        <v>8.7584379026654666</v>
      </c>
      <c r="M711" s="17" cm="1">
        <f t="array" ref="M711">SUMPRODUCT(("CT_CWODPLT"=[1]OUT_SyntheticFuels!$C$4:$C$1000)*1,("Var_Fin"=[1]OUT_SyntheticFuels!$B$4:$B$1000)*1,[1]OUT_SyntheticFuels!L$4:L$1000)</f>
        <v>8.8927141666302347</v>
      </c>
      <c r="N711" s="17" cm="1">
        <f t="array" ref="N711">SUMPRODUCT(("CT_CWODPLT"=[1]OUT_SyntheticFuels!$C$4:$C$1000)*1,("Var_Fin"=[1]OUT_SyntheticFuels!$B$4:$B$1000)*1,[1]OUT_SyntheticFuels!M$4:M$1000)</f>
        <v>8.9212218907417</v>
      </c>
      <c r="O711" s="17" cm="1">
        <f t="array" ref="O711">SUMPRODUCT(("CT_CWODPLT"=[1]OUT_SyntheticFuels!$C$4:$C$1000)*1,("Var_Fin"=[1]OUT_SyntheticFuels!$B$4:$B$1000)*1,[1]OUT_SyntheticFuels!N$4:N$1000)</f>
        <v>9.0308396802409643</v>
      </c>
      <c r="P711" s="17" cm="1">
        <f t="array" ref="P711">SUMPRODUCT(("CT_CWODPLT"=[1]OUT_SyntheticFuels!$C$4:$C$1000)*1,("Var_Fin"=[1]OUT_SyntheticFuels!$B$4:$B$1000)*1,[1]OUT_SyntheticFuels!O$4:O$1000)</f>
        <v>9.0317073636086569</v>
      </c>
      <c r="Q711" s="17" cm="1">
        <f t="array" ref="Q711">SUMPRODUCT(("CT_CWODPLT"=[1]OUT_SyntheticFuels!$C$4:$C$1000)*1,("Var_Fin"=[1]OUT_SyntheticFuels!$B$4:$B$1000)*1,[1]OUT_SyntheticFuels!P$4:P$1000)</f>
        <v>9.0338570442660906</v>
      </c>
      <c r="S711" s="3"/>
    </row>
    <row r="712" spans="2:19" x14ac:dyDescent="0.5">
      <c r="B712" s="5" t="str">
        <f>B711</f>
        <v>SPS1</v>
      </c>
      <c r="C712" s="5" t="str">
        <f>C711</f>
        <v>SPS1</v>
      </c>
      <c r="D712" s="5" t="s">
        <v>490</v>
      </c>
      <c r="E712" s="5" t="str">
        <f>E711</f>
        <v>PJ/yr.</v>
      </c>
      <c r="F712" s="18">
        <f t="shared" ref="F712:K712" si="814">F711</f>
        <v>7.118824568156775</v>
      </c>
      <c r="G712" s="18">
        <f t="shared" si="814"/>
        <v>8.297432215814446</v>
      </c>
      <c r="H712" s="18">
        <f t="shared" si="814"/>
        <v>7.7091082714839541</v>
      </c>
      <c r="I712" s="18">
        <f t="shared" si="814"/>
        <v>8.092498185468596</v>
      </c>
      <c r="J712" s="18">
        <f t="shared" si="814"/>
        <v>8.4033666781425342</v>
      </c>
      <c r="K712" s="18">
        <f t="shared" si="814"/>
        <v>8.7019076715913712</v>
      </c>
      <c r="L712" s="18">
        <f t="shared" ref="L712:O712" si="815">L711</f>
        <v>8.7584379026654666</v>
      </c>
      <c r="M712" s="18">
        <f t="shared" si="815"/>
        <v>8.8927141666302347</v>
      </c>
      <c r="N712" s="18">
        <f t="shared" si="815"/>
        <v>8.9212218907417</v>
      </c>
      <c r="O712" s="18">
        <f t="shared" si="815"/>
        <v>9.0308396802409643</v>
      </c>
      <c r="P712" s="18">
        <f>P711</f>
        <v>9.0317073636086569</v>
      </c>
      <c r="Q712" s="18">
        <f>Q711</f>
        <v>9.0338570442660906</v>
      </c>
      <c r="S712" s="3"/>
    </row>
    <row r="713" spans="2:19" x14ac:dyDescent="0.5">
      <c r="B713" s="9" t="s">
        <v>6</v>
      </c>
      <c r="C713" s="9" t="s">
        <v>6</v>
      </c>
      <c r="D713" s="2" t="s">
        <v>476</v>
      </c>
      <c r="E713" s="9" t="s">
        <v>240</v>
      </c>
      <c r="F713" s="14">
        <f t="shared" ref="F713:K713" si="816">IFERROR(F709/F711,"-")</f>
        <v>0.84000000000000019</v>
      </c>
      <c r="G713" s="14">
        <f t="shared" si="816"/>
        <v>0.83999999999999941</v>
      </c>
      <c r="H713" s="14">
        <f t="shared" si="816"/>
        <v>0.83999999999999986</v>
      </c>
      <c r="I713" s="14">
        <f t="shared" si="816"/>
        <v>0.84000000000000052</v>
      </c>
      <c r="J713" s="14">
        <f t="shared" si="816"/>
        <v>0.83999999999999919</v>
      </c>
      <c r="K713" s="14">
        <f t="shared" si="816"/>
        <v>0.83999999999999919</v>
      </c>
      <c r="L713" s="14">
        <f t="shared" ref="L713:O713" si="817">IFERROR(L709/L711,"-")</f>
        <v>0.84000000000000008</v>
      </c>
      <c r="M713" s="14">
        <f t="shared" si="817"/>
        <v>0.83999999999999964</v>
      </c>
      <c r="N713" s="14">
        <f t="shared" si="817"/>
        <v>0.83999999999999975</v>
      </c>
      <c r="O713" s="14">
        <f t="shared" si="817"/>
        <v>0.83999999999999919</v>
      </c>
      <c r="P713" s="14">
        <f>IFERROR(P709/P711,"-")</f>
        <v>0.8399999999999993</v>
      </c>
      <c r="Q713" s="14">
        <f>IFERROR(Q709/Q711,"-")</f>
        <v>0.84000000000000008</v>
      </c>
      <c r="S713" s="3"/>
    </row>
    <row r="714" spans="2:19" x14ac:dyDescent="0.5">
      <c r="B714" s="9" t="str">
        <f>B708</f>
        <v>SPS1</v>
      </c>
      <c r="C714" s="9" t="str">
        <f>C708</f>
        <v>CH</v>
      </c>
      <c r="D714" s="2" t="s">
        <v>431</v>
      </c>
      <c r="E714" s="9" t="s">
        <v>8</v>
      </c>
      <c r="F714" s="17">
        <f>F715+F717</f>
        <v>0</v>
      </c>
      <c r="G714" s="17">
        <f t="shared" ref="G714:K714" si="818">G715+G717</f>
        <v>0</v>
      </c>
      <c r="H714" s="17">
        <f t="shared" si="818"/>
        <v>0</v>
      </c>
      <c r="I714" s="17">
        <f t="shared" si="818"/>
        <v>0</v>
      </c>
      <c r="J714" s="17">
        <f t="shared" si="818"/>
        <v>0</v>
      </c>
      <c r="K714" s="17">
        <f t="shared" si="818"/>
        <v>5.5955726346817247</v>
      </c>
      <c r="L714" s="17">
        <f t="shared" ref="L714:O714" si="819">L715+L717</f>
        <v>7.8215495373667121</v>
      </c>
      <c r="M714" s="17">
        <f t="shared" si="819"/>
        <v>13.546822986167989</v>
      </c>
      <c r="N714" s="17">
        <f t="shared" si="819"/>
        <v>12.166715208419339</v>
      </c>
      <c r="O714" s="17">
        <f t="shared" si="819"/>
        <v>11.413931058545952</v>
      </c>
      <c r="P714" s="17">
        <f>P715+P717</f>
        <v>11.808462137772603</v>
      </c>
      <c r="Q714" s="17">
        <f>Q715+Q717</f>
        <v>11.769171105965921</v>
      </c>
      <c r="S714" s="3"/>
    </row>
    <row r="715" spans="2:19" x14ac:dyDescent="0.5">
      <c r="B715" s="5" t="str">
        <f>B708</f>
        <v>SPS1</v>
      </c>
      <c r="C715" s="5" t="str">
        <f>C708</f>
        <v>CH</v>
      </c>
      <c r="D715" t="s">
        <v>926</v>
      </c>
      <c r="E715" s="5" t="s">
        <v>8</v>
      </c>
      <c r="F715" s="18">
        <f>F716</f>
        <v>0</v>
      </c>
      <c r="G715" s="18">
        <f t="shared" ref="G715:O715" si="820">G716</f>
        <v>0</v>
      </c>
      <c r="H715" s="18">
        <f t="shared" si="820"/>
        <v>0</v>
      </c>
      <c r="I715" s="18">
        <f t="shared" si="820"/>
        <v>0</v>
      </c>
      <c r="J715" s="18">
        <f t="shared" si="820"/>
        <v>0</v>
      </c>
      <c r="K715" s="18">
        <f t="shared" si="820"/>
        <v>1.6873673986324054</v>
      </c>
      <c r="L715" s="18">
        <f t="shared" si="820"/>
        <v>5.4635678338741265</v>
      </c>
      <c r="M715" s="18">
        <f t="shared" si="820"/>
        <v>13.188832772014479</v>
      </c>
      <c r="N715" s="18">
        <f t="shared" si="820"/>
        <v>11.637813244209084</v>
      </c>
      <c r="O715" s="18">
        <f t="shared" si="820"/>
        <v>11.216277448890084</v>
      </c>
      <c r="P715" s="18">
        <f>P716</f>
        <v>11.521569622825195</v>
      </c>
      <c r="Q715" s="18">
        <f>Q716</f>
        <v>11.531300172698977</v>
      </c>
      <c r="S715" s="3"/>
    </row>
    <row r="716" spans="2:19" x14ac:dyDescent="0.5">
      <c r="B716" s="5" t="str">
        <f t="shared" ref="B716:C718" si="821">B714</f>
        <v>SPS1</v>
      </c>
      <c r="C716" s="5" t="str">
        <f t="shared" si="821"/>
        <v>CH</v>
      </c>
      <c r="D716" t="s">
        <v>427</v>
      </c>
      <c r="E716" s="5" t="s">
        <v>8</v>
      </c>
      <c r="F716" s="18" cm="1">
        <f t="array" ref="F716">SUMPRODUCT(("SUP_H2NGA"=[1]OUT_SyntheticFuels!$C$4:$C$1000)*1,("NGA"=[1]OUT_SyntheticFuels!$A$4:$A$1000)*1,("Var_Fout"=[1]OUT_SyntheticFuels!$B$4:$B$1000)*1,[1]OUT_SyntheticFuels!E$4:E$1000)</f>
        <v>0</v>
      </c>
      <c r="G716" s="18" cm="1">
        <f t="array" ref="G716">SUMPRODUCT(("SUP_H2NGA"=[1]OUT_SyntheticFuels!$C$4:$C$1000)*1,("NGA"=[1]OUT_SyntheticFuels!$A$4:$A$1000)*1,("Var_Fout"=[1]OUT_SyntheticFuels!$B$4:$B$1000)*1,[1]OUT_SyntheticFuels!F$4:F$1000)</f>
        <v>0</v>
      </c>
      <c r="H716" s="18" cm="1">
        <f t="array" ref="H716">SUMPRODUCT(("SUP_H2NGA"=[1]OUT_SyntheticFuels!$C$4:$C$1000)*1,("NGA"=[1]OUT_SyntheticFuels!$A$4:$A$1000)*1,("Var_Fout"=[1]OUT_SyntheticFuels!$B$4:$B$1000)*1,[1]OUT_SyntheticFuels!G$4:G$1000)</f>
        <v>0</v>
      </c>
      <c r="I716" s="18" cm="1">
        <f t="array" ref="I716">SUMPRODUCT(("SUP_H2NGA"=[1]OUT_SyntheticFuels!$C$4:$C$1000)*1,("NGA"=[1]OUT_SyntheticFuels!$A$4:$A$1000)*1,("Var_Fout"=[1]OUT_SyntheticFuels!$B$4:$B$1000)*1,[1]OUT_SyntheticFuels!H$4:H$1000)</f>
        <v>0</v>
      </c>
      <c r="J716" s="18" cm="1">
        <f t="array" ref="J716">SUMPRODUCT(("SUP_H2NGA"=[1]OUT_SyntheticFuels!$C$4:$C$1000)*1,("NGA"=[1]OUT_SyntheticFuels!$A$4:$A$1000)*1,("Var_Fout"=[1]OUT_SyntheticFuels!$B$4:$B$1000)*1,[1]OUT_SyntheticFuels!I$4:I$1000)</f>
        <v>0</v>
      </c>
      <c r="K716" s="18" cm="1">
        <f t="array" ref="K716">SUMPRODUCT(("SUP_H2NGA"=[1]OUT_SyntheticFuels!$C$4:$C$1000)*1,("NGA"=[1]OUT_SyntheticFuels!$A$4:$A$1000)*1,("Var_Fout"=[1]OUT_SyntheticFuels!$B$4:$B$1000)*1,[1]OUT_SyntheticFuels!J$4:J$1000)</f>
        <v>1.6873673986324054</v>
      </c>
      <c r="L716" s="18" cm="1">
        <f t="array" ref="L716">SUMPRODUCT(("SUP_H2NGA"=[1]OUT_SyntheticFuels!$C$4:$C$1000)*1,("NGA"=[1]OUT_SyntheticFuels!$A$4:$A$1000)*1,("Var_Fout"=[1]OUT_SyntheticFuels!$B$4:$B$1000)*1,[1]OUT_SyntheticFuels!K$4:K$1000)</f>
        <v>5.4635678338741265</v>
      </c>
      <c r="M716" s="18" cm="1">
        <f t="array" ref="M716">SUMPRODUCT(("SUP_H2NGA"=[1]OUT_SyntheticFuels!$C$4:$C$1000)*1,("NGA"=[1]OUT_SyntheticFuels!$A$4:$A$1000)*1,("Var_Fout"=[1]OUT_SyntheticFuels!$B$4:$B$1000)*1,[1]OUT_SyntheticFuels!L$4:L$1000)</f>
        <v>13.188832772014479</v>
      </c>
      <c r="N716" s="18" cm="1">
        <f t="array" ref="N716">SUMPRODUCT(("SUP_H2NGA"=[1]OUT_SyntheticFuels!$C$4:$C$1000)*1,("NGA"=[1]OUT_SyntheticFuels!$A$4:$A$1000)*1,("Var_Fout"=[1]OUT_SyntheticFuels!$B$4:$B$1000)*1,[1]OUT_SyntheticFuels!M$4:M$1000)</f>
        <v>11.637813244209084</v>
      </c>
      <c r="O716" s="18" cm="1">
        <f t="array" ref="O716">SUMPRODUCT(("SUP_H2NGA"=[1]OUT_SyntheticFuels!$C$4:$C$1000)*1,("NGA"=[1]OUT_SyntheticFuels!$A$4:$A$1000)*1,("Var_Fout"=[1]OUT_SyntheticFuels!$B$4:$B$1000)*1,[1]OUT_SyntheticFuels!N$4:N$1000)</f>
        <v>11.216277448890084</v>
      </c>
      <c r="P716" s="18" cm="1">
        <f t="array" ref="P716">SUMPRODUCT(("SUP_H2NGA"=[1]OUT_SyntheticFuels!$C$4:$C$1000)*1,("NGA"=[1]OUT_SyntheticFuels!$A$4:$A$1000)*1,("Var_Fout"=[1]OUT_SyntheticFuels!$B$4:$B$1000)*1,[1]OUT_SyntheticFuels!O$4:O$1000)</f>
        <v>11.521569622825195</v>
      </c>
      <c r="Q716" s="18" cm="1">
        <f t="array" ref="Q716">SUMPRODUCT(("SUP_H2NGA"=[1]OUT_SyntheticFuels!$C$4:$C$1000)*1,("NGA"=[1]OUT_SyntheticFuels!$A$4:$A$1000)*1,("Var_Fout"=[1]OUT_SyntheticFuels!$B$4:$B$1000)*1,[1]OUT_SyntheticFuels!P$4:P$1000)</f>
        <v>11.531300172698977</v>
      </c>
      <c r="S716" s="3"/>
    </row>
    <row r="717" spans="2:19" x14ac:dyDescent="0.5">
      <c r="B717" s="5" t="str">
        <f t="shared" si="821"/>
        <v>SPS1</v>
      </c>
      <c r="C717" s="5" t="str">
        <f t="shared" si="821"/>
        <v>CH</v>
      </c>
      <c r="D717" t="s">
        <v>927</v>
      </c>
      <c r="E717" s="5" t="s">
        <v>8</v>
      </c>
      <c r="F717" s="18">
        <f>SUM(F718:F720)</f>
        <v>0</v>
      </c>
      <c r="G717" s="18">
        <f t="shared" ref="G717:K717" si="822">SUM(G718:G720)</f>
        <v>0</v>
      </c>
      <c r="H717" s="18">
        <f t="shared" si="822"/>
        <v>0</v>
      </c>
      <c r="I717" s="18">
        <f t="shared" si="822"/>
        <v>0</v>
      </c>
      <c r="J717" s="18">
        <f t="shared" si="822"/>
        <v>0</v>
      </c>
      <c r="K717" s="18">
        <f t="shared" si="822"/>
        <v>3.9082052360493194</v>
      </c>
      <c r="L717" s="18">
        <f t="shared" ref="L717:O717" si="823">SUM(L718:L720)</f>
        <v>2.3579817034925856</v>
      </c>
      <c r="M717" s="18">
        <f t="shared" si="823"/>
        <v>0.35799021415351001</v>
      </c>
      <c r="N717" s="18">
        <f t="shared" si="823"/>
        <v>0.52890196421025359</v>
      </c>
      <c r="O717" s="18">
        <f t="shared" si="823"/>
        <v>0.19765360965586759</v>
      </c>
      <c r="P717" s="18">
        <f>SUM(P718:P720)</f>
        <v>0.28689251494740764</v>
      </c>
      <c r="Q717" s="18">
        <f>SUM(Q718:Q720)</f>
        <v>0.237870933266943</v>
      </c>
      <c r="S717" s="3"/>
    </row>
    <row r="718" spans="2:19" x14ac:dyDescent="0.5">
      <c r="B718" s="5" t="str">
        <f t="shared" si="821"/>
        <v>SPS1</v>
      </c>
      <c r="C718" s="5" t="str">
        <f t="shared" si="821"/>
        <v>CH</v>
      </c>
      <c r="D718" t="s">
        <v>428</v>
      </c>
      <c r="E718" s="5" t="s">
        <v>8</v>
      </c>
      <c r="F718" s="18" cm="1">
        <f t="array" ref="F718">SUMPRODUCT(("SUP_H2DSL"=[1]OUT_SyntheticFuels!$C$4:$C$1000)*1,("DSL"=[1]OUT_SyntheticFuels!$A$4:$A$1000)*1,("Var_Fout"=[1]OUT_SyntheticFuels!$B$4:$B$1000)*1,[1]OUT_SyntheticFuels!E$4:E$1000)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SUMPRODUCT(("SUP_H2DSL"=[1]OUT_SyntheticFuels!$C$4:$C$1000)*1,("DSL"=[1]OUT_SyntheticFuels!$A$4:$A$1000)*1,("Var_Fout"=[1]OUT_SyntheticFuels!$B$4:$B$1000)*1,[1]OUT_SyntheticFuels!F$4:F$1000)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SUMPRODUCT(("SUP_H2DSL"=[1]OUT_SyntheticFuels!$C$4:$C$1000)*1,("DSL"=[1]OUT_SyntheticFuels!$A$4:$A$1000)*1,("Var_Fout"=[1]OUT_SyntheticFuels!$B$4:$B$1000)*1,[1]OUT_SyntheticFuels!G$4:G$1000)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SUMPRODUCT(("SUP_H2DSL"=[1]OUT_SyntheticFuels!$C$4:$C$1000)*1,("DSL"=[1]OUT_SyntheticFuels!$A$4:$A$1000)*1,("Var_Fout"=[1]OUT_SyntheticFuels!$B$4:$B$1000)*1,[1]OUT_SyntheticFuels!H$4:H$1000)</f>
        <v>0</v>
      </c>
      <c r="J718" s="18" cm="1">
        <f t="array" ref="J718">SUMPRODUCT(("SUP_H2DSL"=[1]OUT_SyntheticFuels!$C$4:$C$1000)*1,("DSL"=[1]OUT_SyntheticFuels!$A$4:$A$1000)*1,("Var_Fout"=[1]OUT_SyntheticFuels!$B$4:$B$1000)*1,[1]OUT_SyntheticFuels!I$4:I$1000)</f>
        <v>0</v>
      </c>
      <c r="K718" s="18" cm="1">
        <f t="array" ref="K718">SUMPRODUCT(("SUP_H2DSL"=[1]OUT_SyntheticFuels!$C$4:$C$1000)*1,("DSL"=[1]OUT_SyntheticFuels!$A$4:$A$1000)*1,("Var_Fout"=[1]OUT_SyntheticFuels!$B$4:$B$1000)*1,[1]OUT_SyntheticFuels!J$4:J$1000)</f>
        <v>1.1346587426361632</v>
      </c>
      <c r="L718" s="18" cm="1">
        <f t="array" ref="L718">SUMPRODUCT(("SUP_H2DSL"=[1]OUT_SyntheticFuels!$C$4:$C$1000)*1,("DSL"=[1]OUT_SyntheticFuels!$A$4:$A$1000)*1,("Var_Fout"=[1]OUT_SyntheticFuels!$B$4:$B$1000)*1,[1]OUT_SyntheticFuels!K$4:K$1000)</f>
        <v>0.92930670908682766</v>
      </c>
      <c r="M718" s="18" cm="1">
        <f t="array" ref="M718">SUMPRODUCT(("SUP_H2DSL"=[1]OUT_SyntheticFuels!$C$4:$C$1000)*1,("DSL"=[1]OUT_SyntheticFuels!$A$4:$A$1000)*1,("Var_Fout"=[1]OUT_SyntheticFuels!$B$4:$B$1000)*1,[1]OUT_SyntheticFuels!L$4:L$1000)</f>
        <v>0.13072439156760293</v>
      </c>
      <c r="N718" s="18" cm="1">
        <f t="array" ref="N718">SUMPRODUCT(("SUP_H2DSL"=[1]OUT_SyntheticFuels!$C$4:$C$1000)*1,("DSL"=[1]OUT_SyntheticFuels!$A$4:$A$1000)*1,("Var_Fout"=[1]OUT_SyntheticFuels!$B$4:$B$1000)*1,[1]OUT_SyntheticFuels!M$4:M$1000)</f>
        <v>0.32222961447052645</v>
      </c>
      <c r="O718" s="18" cm="1">
        <f t="array" ref="O718">SUMPRODUCT(("SUP_H2DSL"=[1]OUT_SyntheticFuels!$C$4:$C$1000)*1,("DSL"=[1]OUT_SyntheticFuels!$A$4:$A$1000)*1,("Var_Fout"=[1]OUT_SyntheticFuels!$B$4:$B$1000)*1,[1]OUT_SyntheticFuels!N$4:N$1000)</f>
        <v>5.5708185423631274E-3</v>
      </c>
      <c r="P718" s="18" cm="1">
        <f t="array" ref="P718">SUMPRODUCT(("SUP_H2DSL"=[1]OUT_SyntheticFuels!$C$4:$C$1000)*1,("DSL"=[1]OUT_SyntheticFuels!$A$4:$A$1000)*1,("Var_Fout"=[1]OUT_SyntheticFuels!$B$4:$B$1000)*1,[1]OUT_SyntheticFuels!O$4:O$1000)</f>
        <v>5.3440590844935187E-2</v>
      </c>
      <c r="Q718" s="18" cm="1">
        <f t="array" ref="Q718">SUMPRODUCT(("SUP_H2DSL"=[1]OUT_SyntheticFuels!$C$4:$C$1000)*1,("DSL"=[1]OUT_SyntheticFuels!$A$4:$A$1000)*1,("Var_Fout"=[1]OUT_SyntheticFuels!$B$4:$B$1000)*1,[1]OUT_SyntheticFuels!P$4:P$1000)</f>
        <v>4.6909779438915847E-2</v>
      </c>
      <c r="S718" s="3"/>
    </row>
    <row r="719" spans="2:19" x14ac:dyDescent="0.5">
      <c r="B719" s="5" t="str">
        <f t="shared" ref="B719:C721" si="824">B718</f>
        <v>SPS1</v>
      </c>
      <c r="C719" s="5" t="str">
        <f t="shared" si="824"/>
        <v>CH</v>
      </c>
      <c r="D719" t="s">
        <v>429</v>
      </c>
      <c r="E719" s="5" t="s">
        <v>8</v>
      </c>
      <c r="F719" s="18" cm="1">
        <f t="array" ref="F719">SUMPRODUCT(("SUP_H2gsl"=[1]OUT_SyntheticFuels!$C$4:$C$1000)*1,("gsl"=[1]OUT_SyntheticFuels!$A$4:$A$1000)*1,("Var_Fout"=[1]OUT_SyntheticFuels!$B$4:$B$1000)*1,[1]OUT_SyntheticFuels!E$4:E$1000)</f>
        <v>0</v>
      </c>
      <c r="G719" s="18" cm="1">
        <f t="array" ref="G719">SUMPRODUCT(("SUP_H2gsl"=[1]OUT_SyntheticFuels!$C$4:$C$1000)*1,("gsl"=[1]OUT_SyntheticFuels!$A$4:$A$1000)*1,("Var_Fout"=[1]OUT_SyntheticFuels!$B$4:$B$1000)*1,[1]OUT_SyntheticFuels!F$4:F$1000)</f>
        <v>0</v>
      </c>
      <c r="H719" s="18" cm="1">
        <f t="array" ref="H719">SUMPRODUCT(("SUP_H2gsl"=[1]OUT_SyntheticFuels!$C$4:$C$1000)*1,("gsl"=[1]OUT_SyntheticFuels!$A$4:$A$1000)*1,("Var_Fout"=[1]OUT_SyntheticFuels!$B$4:$B$1000)*1,[1]OUT_SyntheticFuels!G$4:G$1000)</f>
        <v>0</v>
      </c>
      <c r="I719" s="18" cm="1">
        <f t="array" ref="I719">SUMPRODUCT(("SUP_H2gsl"=[1]OUT_SyntheticFuels!$C$4:$C$1000)*1,("gsl"=[1]OUT_SyntheticFuels!$A$4:$A$1000)*1,("Var_Fout"=[1]OUT_SyntheticFuels!$B$4:$B$1000)*1,[1]OUT_SyntheticFuels!H$4:H$1000)</f>
        <v>0</v>
      </c>
      <c r="J719" s="18" cm="1">
        <f t="array" ref="J719">SUMPRODUCT(("SUP_H2gsl"=[1]OUT_SyntheticFuels!$C$4:$C$1000)*1,("gsl"=[1]OUT_SyntheticFuels!$A$4:$A$1000)*1,("Var_Fout"=[1]OUT_SyntheticFuels!$B$4:$B$1000)*1,[1]OUT_SyntheticFuels!I$4:I$1000)</f>
        <v>0</v>
      </c>
      <c r="K719" s="18" cm="1">
        <f t="array" ref="K719">SUMPRODUCT(("SUP_H2gsl"=[1]OUT_SyntheticFuels!$C$4:$C$1000)*1,("gsl"=[1]OUT_SyntheticFuels!$A$4:$A$1000)*1,("Var_Fout"=[1]OUT_SyntheticFuels!$B$4:$B$1000)*1,[1]OUT_SyntheticFuels!J$4:J$1000)</f>
        <v>2.3051081391214114</v>
      </c>
      <c r="L719" s="18" cm="1">
        <f t="array" ref="L719">SUMPRODUCT(("SUP_H2gsl"=[1]OUT_SyntheticFuels!$C$4:$C$1000)*1,("gsl"=[1]OUT_SyntheticFuels!$A$4:$A$1000)*1,("Var_Fout"=[1]OUT_SyntheticFuels!$B$4:$B$1000)*1,[1]OUT_SyntheticFuels!K$4:K$1000)</f>
        <v>1.055066695176295</v>
      </c>
      <c r="M719" s="18" cm="1">
        <f t="array" ref="M719">SUMPRODUCT(("SUP_H2gsl"=[1]OUT_SyntheticFuels!$C$4:$C$1000)*1,("gsl"=[1]OUT_SyntheticFuels!$A$4:$A$1000)*1,("Var_Fout"=[1]OUT_SyntheticFuels!$B$4:$B$1000)*1,[1]OUT_SyntheticFuels!L$4:L$1000)</f>
        <v>0.22726462917757143</v>
      </c>
      <c r="N719" s="18" cm="1">
        <f t="array" ref="N719">SUMPRODUCT(("SUP_H2gsl"=[1]OUT_SyntheticFuels!$C$4:$C$1000)*1,("gsl"=[1]OUT_SyntheticFuels!$A$4:$A$1000)*1,("Var_Fout"=[1]OUT_SyntheticFuels!$B$4:$B$1000)*1,[1]OUT_SyntheticFuels!M$4:M$1000)</f>
        <v>0.20620074386757026</v>
      </c>
      <c r="O719" s="18" cm="1">
        <f t="array" ref="O719">SUMPRODUCT(("SUP_H2gsl"=[1]OUT_SyntheticFuels!$C$4:$C$1000)*1,("gsl"=[1]OUT_SyntheticFuels!$A$4:$A$1000)*1,("Var_Fout"=[1]OUT_SyntheticFuels!$B$4:$B$1000)*1,[1]OUT_SyntheticFuels!N$4:N$1000)</f>
        <v>0.19167175856620736</v>
      </c>
      <c r="P719" s="18" cm="1">
        <f t="array" ref="P719">SUMPRODUCT(("SUP_H2gsl"=[1]OUT_SyntheticFuels!$C$4:$C$1000)*1,("gsl"=[1]OUT_SyntheticFuels!$A$4:$A$1000)*1,("Var_Fout"=[1]OUT_SyntheticFuels!$B$4:$B$1000)*1,[1]OUT_SyntheticFuels!O$4:O$1000)</f>
        <v>0.23304080223125126</v>
      </c>
      <c r="Q719" s="18" cm="1">
        <f t="array" ref="Q719">SUMPRODUCT(("SUP_H2gsl"=[1]OUT_SyntheticFuels!$C$4:$C$1000)*1,("gsl"=[1]OUT_SyntheticFuels!$A$4:$A$1000)*1,("Var_Fout"=[1]OUT_SyntheticFuels!$B$4:$B$1000)*1,[1]OUT_SyntheticFuels!P$4:P$1000)</f>
        <v>0.1902509517212384</v>
      </c>
      <c r="S719" s="3"/>
    </row>
    <row r="720" spans="2:19" x14ac:dyDescent="0.5">
      <c r="B720" s="5" t="str">
        <f t="shared" si="824"/>
        <v>SPS1</v>
      </c>
      <c r="C720" s="5" t="str">
        <f t="shared" si="824"/>
        <v>CH</v>
      </c>
      <c r="D720" t="s">
        <v>430</v>
      </c>
      <c r="E720" s="5" t="s">
        <v>8</v>
      </c>
      <c r="F720" s="18" cm="1">
        <f t="array" ref="F720">SUMPRODUCT(("SUP_H2DSL"=[1]OUT_SyntheticFuels!$C$4:$C$1000)*1,("KER"=[1]OUT_SyntheticFuels!$A$4:$A$1000)*1,("Var_Fout"=[1]OUT_SyntheticFuels!$B$4:$B$1000)*1,[1]OUT_SyntheticFuels!E$4:E$1000)</f>
        <v>0</v>
      </c>
      <c r="G720" s="18" cm="1">
        <f t="array" ref="G720">SUMPRODUCT(("SUP_H2DSL"=[1]OUT_SyntheticFuels!$C$4:$C$1000)*1,("KER"=[1]OUT_SyntheticFuels!$A$4:$A$1000)*1,("Var_Fout"=[1]OUT_SyntheticFuels!$B$4:$B$1000)*1,[1]OUT_SyntheticFuels!F$4:F$1000)</f>
        <v>0</v>
      </c>
      <c r="H720" s="18" cm="1">
        <f t="array" ref="H720">SUMPRODUCT(("SUP_H2DSL"=[1]OUT_SyntheticFuels!$C$4:$C$1000)*1,("KER"=[1]OUT_SyntheticFuels!$A$4:$A$1000)*1,("Var_Fout"=[1]OUT_SyntheticFuels!$B$4:$B$1000)*1,[1]OUT_SyntheticFuels!G$4:G$1000)</f>
        <v>0</v>
      </c>
      <c r="I720" s="18" cm="1">
        <f t="array" ref="I720">SUMPRODUCT(("SUP_H2DSL"=[1]OUT_SyntheticFuels!$C$4:$C$1000)*1,("KER"=[1]OUT_SyntheticFuels!$A$4:$A$1000)*1,("Var_Fout"=[1]OUT_SyntheticFuels!$B$4:$B$1000)*1,[1]OUT_SyntheticFuels!H$4:H$1000)</f>
        <v>0</v>
      </c>
      <c r="J720" s="18" cm="1">
        <f t="array" ref="J720">SUMPRODUCT(("SUP_H2DSL"=[1]OUT_SyntheticFuels!$C$4:$C$1000)*1,("KER"=[1]OUT_SyntheticFuels!$A$4:$A$1000)*1,("Var_Fout"=[1]OUT_SyntheticFuels!$B$4:$B$1000)*1,[1]OUT_SyntheticFuels!I$4:I$1000)</f>
        <v>0</v>
      </c>
      <c r="K720" s="18" cm="1">
        <f t="array" ref="K720">SUMPRODUCT(("SUP_H2DSL"=[1]OUT_SyntheticFuels!$C$4:$C$1000)*1,("KER"=[1]OUT_SyntheticFuels!$A$4:$A$1000)*1,("Var_Fout"=[1]OUT_SyntheticFuels!$B$4:$B$1000)*1,[1]OUT_SyntheticFuels!J$4:J$1000)</f>
        <v>0.4684383542917448</v>
      </c>
      <c r="L720" s="18" cm="1">
        <f t="array" ref="L720">SUMPRODUCT(("SUP_H2DSL"=[1]OUT_SyntheticFuels!$C$4:$C$1000)*1,("KER"=[1]OUT_SyntheticFuels!$A$4:$A$1000)*1,("Var_Fout"=[1]OUT_SyntheticFuels!$B$4:$B$1000)*1,[1]OUT_SyntheticFuels!K$4:K$1000)</f>
        <v>0.37360829922946281</v>
      </c>
      <c r="M720" s="18" cm="1">
        <f t="array" ref="M720">SUMPRODUCT(("SUP_H2DSL"=[1]OUT_SyntheticFuels!$C$4:$C$1000)*1,("KER"=[1]OUT_SyntheticFuels!$A$4:$A$1000)*1,("Var_Fout"=[1]OUT_SyntheticFuels!$B$4:$B$1000)*1,[1]OUT_SyntheticFuels!L$4:L$1000)</f>
        <v>1.1934083356758452E-6</v>
      </c>
      <c r="N720" s="18" cm="1">
        <f t="array" ref="N720">SUMPRODUCT(("SUP_H2DSL"=[1]OUT_SyntheticFuels!$C$4:$C$1000)*1,("KER"=[1]OUT_SyntheticFuels!$A$4:$A$1000)*1,("Var_Fout"=[1]OUT_SyntheticFuels!$B$4:$B$1000)*1,[1]OUT_SyntheticFuels!M$4:M$1000)</f>
        <v>4.7160587215693456E-4</v>
      </c>
      <c r="O720" s="18" cm="1">
        <f t="array" ref="O720">SUMPRODUCT(("SUP_H2DSL"=[1]OUT_SyntheticFuels!$C$4:$C$1000)*1,("KER"=[1]OUT_SyntheticFuels!$A$4:$A$1000)*1,("Var_Fout"=[1]OUT_SyntheticFuels!$B$4:$B$1000)*1,[1]OUT_SyntheticFuels!N$4:N$1000)</f>
        <v>4.1103254729710621E-4</v>
      </c>
      <c r="P720" s="18" cm="1">
        <f t="array" ref="P720">SUMPRODUCT(("SUP_H2DSL"=[1]OUT_SyntheticFuels!$C$4:$C$1000)*1,("KER"=[1]OUT_SyntheticFuels!$A$4:$A$1000)*1,("Var_Fout"=[1]OUT_SyntheticFuels!$B$4:$B$1000)*1,[1]OUT_SyntheticFuels!O$4:O$1000)</f>
        <v>4.1112187122113855E-4</v>
      </c>
      <c r="Q720" s="18" cm="1">
        <f t="array" ref="Q720">SUMPRODUCT(("SUP_H2DSL"=[1]OUT_SyntheticFuels!$C$4:$C$1000)*1,("KER"=[1]OUT_SyntheticFuels!$A$4:$A$1000)*1,("Var_Fout"=[1]OUT_SyntheticFuels!$B$4:$B$1000)*1,[1]OUT_SyntheticFuels!P$4:P$1000)</f>
        <v>7.1020210678876484E-4</v>
      </c>
      <c r="S720" s="3"/>
    </row>
    <row r="721" spans="2:19" x14ac:dyDescent="0.5">
      <c r="B721" s="9" t="str">
        <f t="shared" si="824"/>
        <v>SPS1</v>
      </c>
      <c r="C721" s="9" t="str">
        <f t="shared" si="824"/>
        <v>CH</v>
      </c>
      <c r="D721" s="2" t="s">
        <v>434</v>
      </c>
      <c r="E721" s="9" t="s">
        <v>8</v>
      </c>
      <c r="F721" s="17">
        <f>F722</f>
        <v>0</v>
      </c>
      <c r="G721" s="17">
        <f t="shared" ref="G721:O721" si="825">G722</f>
        <v>0</v>
      </c>
      <c r="H721" s="17">
        <f t="shared" si="825"/>
        <v>0</v>
      </c>
      <c r="I721" s="17">
        <f t="shared" si="825"/>
        <v>0</v>
      </c>
      <c r="J721" s="17">
        <f t="shared" si="825"/>
        <v>0</v>
      </c>
      <c r="K721" s="17">
        <f t="shared" si="825"/>
        <v>8.2499385892489805</v>
      </c>
      <c r="L721" s="17">
        <f t="shared" si="825"/>
        <v>10.850180307539153</v>
      </c>
      <c r="M721" s="17">
        <f t="shared" si="825"/>
        <v>17.67840194870772</v>
      </c>
      <c r="N721" s="17">
        <f t="shared" si="825"/>
        <v>15.964997079920852</v>
      </c>
      <c r="O721" s="17">
        <f t="shared" si="825"/>
        <v>14.850703490930503</v>
      </c>
      <c r="P721" s="17">
        <f>P722</f>
        <v>15.388829226323764</v>
      </c>
      <c r="Q721" s="17">
        <f>Q722</f>
        <v>15.329605000344293</v>
      </c>
      <c r="S721" s="3"/>
    </row>
    <row r="722" spans="2:19" x14ac:dyDescent="0.5">
      <c r="B722" s="5" t="str">
        <f>B721</f>
        <v>SPS1</v>
      </c>
      <c r="C722" s="5" t="str">
        <f t="shared" ref="C722:C728" si="826">C721</f>
        <v>CH</v>
      </c>
      <c r="D722" t="s">
        <v>928</v>
      </c>
      <c r="E722" s="5" t="s">
        <v>8</v>
      </c>
      <c r="F722" s="18">
        <f>SUM(F723,F725)</f>
        <v>0</v>
      </c>
      <c r="G722" s="18">
        <f t="shared" ref="G722:K722" si="827">SUM(G723,G725)</f>
        <v>0</v>
      </c>
      <c r="H722" s="18">
        <f t="shared" si="827"/>
        <v>0</v>
      </c>
      <c r="I722" s="18">
        <f t="shared" si="827"/>
        <v>0</v>
      </c>
      <c r="J722" s="18">
        <f t="shared" si="827"/>
        <v>0</v>
      </c>
      <c r="K722" s="18">
        <f t="shared" si="827"/>
        <v>8.2499385892489805</v>
      </c>
      <c r="L722" s="18">
        <f t="shared" ref="L722:O722" si="828">SUM(L723,L725)</f>
        <v>10.850180307539153</v>
      </c>
      <c r="M722" s="18">
        <f t="shared" si="828"/>
        <v>17.67840194870772</v>
      </c>
      <c r="N722" s="18">
        <f t="shared" si="828"/>
        <v>15.964997079920852</v>
      </c>
      <c r="O722" s="18">
        <f t="shared" si="828"/>
        <v>14.850703490930503</v>
      </c>
      <c r="P722" s="18">
        <f>SUM(P723,P725)</f>
        <v>15.388829226323764</v>
      </c>
      <c r="Q722" s="18">
        <f>SUM(Q723,Q725)</f>
        <v>15.329605000344293</v>
      </c>
      <c r="S722" s="3"/>
    </row>
    <row r="723" spans="2:19" x14ac:dyDescent="0.5">
      <c r="B723" s="5" t="str">
        <f t="shared" ref="B723:B728" si="829">B722</f>
        <v>SPS1</v>
      </c>
      <c r="C723" s="5" t="str">
        <f t="shared" si="826"/>
        <v>CH</v>
      </c>
      <c r="D723" t="s">
        <v>929</v>
      </c>
      <c r="E723" s="5" t="s">
        <v>8</v>
      </c>
      <c r="F723" s="18">
        <f>F724</f>
        <v>0</v>
      </c>
      <c r="G723" s="18">
        <f t="shared" ref="G723:O723" si="830">G724</f>
        <v>0</v>
      </c>
      <c r="H723" s="18">
        <f t="shared" si="830"/>
        <v>0</v>
      </c>
      <c r="I723" s="18">
        <f t="shared" si="830"/>
        <v>0</v>
      </c>
      <c r="J723" s="18">
        <f t="shared" si="830"/>
        <v>0</v>
      </c>
      <c r="K723" s="18">
        <f t="shared" si="830"/>
        <v>2.1913862319901396</v>
      </c>
      <c r="L723" s="18">
        <f t="shared" si="830"/>
        <v>7.0955426413949692</v>
      </c>
      <c r="M723" s="18">
        <f t="shared" si="830"/>
        <v>17.128354249369465</v>
      </c>
      <c r="N723" s="18">
        <f t="shared" si="830"/>
        <v>15.11404317429753</v>
      </c>
      <c r="O723" s="18">
        <f t="shared" si="830"/>
        <v>14.56659408946765</v>
      </c>
      <c r="P723" s="18">
        <f>P724</f>
        <v>14.963077432240514</v>
      </c>
      <c r="Q723" s="18">
        <f>Q724</f>
        <v>14.975714509998697</v>
      </c>
      <c r="S723" s="3"/>
    </row>
    <row r="724" spans="2:19" x14ac:dyDescent="0.5">
      <c r="B724" s="5" t="str">
        <f t="shared" si="829"/>
        <v>SPS1</v>
      </c>
      <c r="C724" s="5" t="str">
        <f t="shared" si="826"/>
        <v>CH</v>
      </c>
      <c r="D724" t="s">
        <v>433</v>
      </c>
      <c r="E724" s="5" t="s">
        <v>8</v>
      </c>
      <c r="F724" s="10" cm="1">
        <f t="array" ref="F724">SUMPRODUCT(("SUP_H2NGA"=[1]OUT_SyntheticFuels!$C$4:$C$1000)*1,("H2"=[1]OUT_SyntheticFuels!$A$4:$A$1000)*1,("Var_Fin"=[1]OUT_SyntheticFuels!$B$4:$B$1000)*1,[1]OUT_SyntheticFuels!E$4:E$1000)</f>
        <v>0</v>
      </c>
      <c r="G724" s="10" cm="1">
        <f t="array" ref="G724">SUMPRODUCT(("SUP_H2NGA"=[1]OUT_SyntheticFuels!$C$4:$C$1000)*1,("H2"=[1]OUT_SyntheticFuels!$A$4:$A$1000)*1,("Var_Fin"=[1]OUT_SyntheticFuels!$B$4:$B$1000)*1,[1]OUT_SyntheticFuels!F$4:F$1000)</f>
        <v>0</v>
      </c>
      <c r="H724" s="10" cm="1">
        <f t="array" ref="H724">SUMPRODUCT(("SUP_H2NGA"=[1]OUT_SyntheticFuels!$C$4:$C$1000)*1,("H2"=[1]OUT_SyntheticFuels!$A$4:$A$1000)*1,("Var_Fin"=[1]OUT_SyntheticFuels!$B$4:$B$1000)*1,[1]OUT_SyntheticFuels!G$4:G$1000)</f>
        <v>0</v>
      </c>
      <c r="I724" s="10" cm="1">
        <f t="array" ref="I724">SUMPRODUCT(("SUP_H2NGA"=[1]OUT_SyntheticFuels!$C$4:$C$1000)*1,("H2"=[1]OUT_SyntheticFuels!$A$4:$A$1000)*1,("Var_Fin"=[1]OUT_SyntheticFuels!$B$4:$B$1000)*1,[1]OUT_SyntheticFuels!H$4:H$1000)</f>
        <v>0</v>
      </c>
      <c r="J724" s="10" cm="1">
        <f t="array" ref="J724">SUMPRODUCT(("SUP_H2NGA"=[1]OUT_SyntheticFuels!$C$4:$C$1000)*1,("H2"=[1]OUT_SyntheticFuels!$A$4:$A$1000)*1,("Var_Fin"=[1]OUT_SyntheticFuels!$B$4:$B$1000)*1,[1]OUT_SyntheticFuels!I$4:I$1000)</f>
        <v>0</v>
      </c>
      <c r="K724" s="10" cm="1">
        <f t="array" ref="K724">SUMPRODUCT(("SUP_H2NGA"=[1]OUT_SyntheticFuels!$C$4:$C$1000)*1,("H2"=[1]OUT_SyntheticFuels!$A$4:$A$1000)*1,("Var_Fin"=[1]OUT_SyntheticFuels!$B$4:$B$1000)*1,[1]OUT_SyntheticFuels!J$4:J$1000)</f>
        <v>2.1913862319901396</v>
      </c>
      <c r="L724" s="10" cm="1">
        <f t="array" ref="L724">SUMPRODUCT(("SUP_H2NGA"=[1]OUT_SyntheticFuels!$C$4:$C$1000)*1,("H2"=[1]OUT_SyntheticFuels!$A$4:$A$1000)*1,("Var_Fin"=[1]OUT_SyntheticFuels!$B$4:$B$1000)*1,[1]OUT_SyntheticFuels!K$4:K$1000)</f>
        <v>7.0955426413949692</v>
      </c>
      <c r="M724" s="10" cm="1">
        <f t="array" ref="M724">SUMPRODUCT(("SUP_H2NGA"=[1]OUT_SyntheticFuels!$C$4:$C$1000)*1,("H2"=[1]OUT_SyntheticFuels!$A$4:$A$1000)*1,("Var_Fin"=[1]OUT_SyntheticFuels!$B$4:$B$1000)*1,[1]OUT_SyntheticFuels!L$4:L$1000)</f>
        <v>17.128354249369465</v>
      </c>
      <c r="N724" s="10" cm="1">
        <f t="array" ref="N724">SUMPRODUCT(("SUP_H2NGA"=[1]OUT_SyntheticFuels!$C$4:$C$1000)*1,("H2"=[1]OUT_SyntheticFuels!$A$4:$A$1000)*1,("Var_Fin"=[1]OUT_SyntheticFuels!$B$4:$B$1000)*1,[1]OUT_SyntheticFuels!M$4:M$1000)</f>
        <v>15.11404317429753</v>
      </c>
      <c r="O724" s="10" cm="1">
        <f t="array" ref="O724">SUMPRODUCT(("SUP_H2NGA"=[1]OUT_SyntheticFuels!$C$4:$C$1000)*1,("H2"=[1]OUT_SyntheticFuels!$A$4:$A$1000)*1,("Var_Fin"=[1]OUT_SyntheticFuels!$B$4:$B$1000)*1,[1]OUT_SyntheticFuels!N$4:N$1000)</f>
        <v>14.56659408946765</v>
      </c>
      <c r="P724" s="10" cm="1">
        <f t="array" ref="P724">SUMPRODUCT(("SUP_H2NGA"=[1]OUT_SyntheticFuels!$C$4:$C$1000)*1,("H2"=[1]OUT_SyntheticFuels!$A$4:$A$1000)*1,("Var_Fin"=[1]OUT_SyntheticFuels!$B$4:$B$1000)*1,[1]OUT_SyntheticFuels!O$4:O$1000)</f>
        <v>14.963077432240514</v>
      </c>
      <c r="Q724" s="10" cm="1">
        <f t="array" ref="Q724">SUMPRODUCT(("SUP_H2NGA"=[1]OUT_SyntheticFuels!$C$4:$C$1000)*1,("H2"=[1]OUT_SyntheticFuels!$A$4:$A$1000)*1,("Var_Fin"=[1]OUT_SyntheticFuels!$B$4:$B$1000)*1,[1]OUT_SyntheticFuels!P$4:P$1000)</f>
        <v>14.975714509998697</v>
      </c>
      <c r="S724" s="3"/>
    </row>
    <row r="725" spans="2:19" x14ac:dyDescent="0.5">
      <c r="B725" s="5" t="str">
        <f t="shared" si="829"/>
        <v>SPS1</v>
      </c>
      <c r="C725" s="5" t="str">
        <f t="shared" si="826"/>
        <v>CH</v>
      </c>
      <c r="D725" t="s">
        <v>930</v>
      </c>
      <c r="E725" s="5" t="s">
        <v>8</v>
      </c>
      <c r="F725" s="18">
        <f>SUM(F726:F728)</f>
        <v>0</v>
      </c>
      <c r="G725" s="18">
        <f t="shared" ref="G725:K725" si="831">SUM(G726:G728)</f>
        <v>0</v>
      </c>
      <c r="H725" s="18">
        <f t="shared" si="831"/>
        <v>0</v>
      </c>
      <c r="I725" s="18">
        <f t="shared" si="831"/>
        <v>0</v>
      </c>
      <c r="J725" s="18">
        <f t="shared" si="831"/>
        <v>0</v>
      </c>
      <c r="K725" s="18">
        <f t="shared" si="831"/>
        <v>6.0585523572588418</v>
      </c>
      <c r="L725" s="18">
        <f t="shared" ref="L725:O725" si="832">SUM(L726:L728)</f>
        <v>3.7546376661441845</v>
      </c>
      <c r="M725" s="18">
        <f t="shared" si="832"/>
        <v>0.55004769933825559</v>
      </c>
      <c r="N725" s="18">
        <f t="shared" si="832"/>
        <v>0.85095390562332285</v>
      </c>
      <c r="O725" s="18">
        <f t="shared" si="832"/>
        <v>0.28410940146285241</v>
      </c>
      <c r="P725" s="18">
        <f>SUM(P726:P728)</f>
        <v>0.42575179408324981</v>
      </c>
      <c r="Q725" s="18">
        <f>SUM(Q726:Q728)</f>
        <v>0.353890490345595</v>
      </c>
      <c r="S725" s="3"/>
    </row>
    <row r="726" spans="2:19" x14ac:dyDescent="0.5">
      <c r="B726" s="5" t="str">
        <f t="shared" si="829"/>
        <v>SPS1</v>
      </c>
      <c r="C726" s="5" t="str">
        <f t="shared" si="826"/>
        <v>CH</v>
      </c>
      <c r="D726" t="s">
        <v>448</v>
      </c>
      <c r="E726" s="5" t="s">
        <v>8</v>
      </c>
      <c r="F726" s="10" cm="1">
        <f t="array" ref="F726">SUMPRODUCT(("SUP_H2DSL"=[1]OUT_SyntheticFuels!$C$4:$C$1000)*1,("H2"=[1]OUT_SyntheticFuels!$A$4:$A$1000)*1,("Var_Fin"=[1]OUT_SyntheticFuels!$B$4:$B$1000)*1,[1]OUT_SyntheticFuels!E$4:E$1000)*IFERROR(F718/SUM(F718,F720),0)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SUMPRODUCT(("SUP_H2DSL"=[1]OUT_SyntheticFuels!$C$4:$C$1000)*1,("H2"=[1]OUT_SyntheticFuels!$A$4:$A$1000)*1,("Var_Fin"=[1]OUT_SyntheticFuels!$B$4:$B$1000)*1,[1]OUT_SyntheticFuels!F$4:F$1000)*IFERROR(G718/SUM(G718,G720),0)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SUMPRODUCT(("SUP_H2DSL"=[1]OUT_SyntheticFuels!$C$4:$C$1000)*1,("H2"=[1]OUT_SyntheticFuels!$A$4:$A$1000)*1,("Var_Fin"=[1]OUT_SyntheticFuels!$B$4:$B$1000)*1,[1]OUT_SyntheticFuels!G$4:G$1000)*IFERROR(H718/SUM(H718,H720),0)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SUMPRODUCT(("SUP_H2DSL"=[1]OUT_SyntheticFuels!$C$4:$C$1000)*1,("H2"=[1]OUT_SyntheticFuels!$A$4:$A$1000)*1,("Var_Fin"=[1]OUT_SyntheticFuels!$B$4:$B$1000)*1,[1]OUT_SyntheticFuels!H$4:H$1000)*IFERROR(I718/SUM(I718,I720),0)</f>
        <v>0</v>
      </c>
      <c r="J726" s="10" cm="1">
        <f t="array" ref="J726">SUMPRODUCT(("SUP_H2DSL"=[1]OUT_SyntheticFuels!$C$4:$C$1000)*1,("H2"=[1]OUT_SyntheticFuels!$A$4:$A$1000)*1,("Var_Fin"=[1]OUT_SyntheticFuels!$B$4:$B$1000)*1,[1]OUT_SyntheticFuels!I$4:I$1000)*IFERROR(J718/SUM(J718,J720),0)</f>
        <v>0</v>
      </c>
      <c r="K726" s="10" cm="1">
        <f t="array" ref="K726">SUMPRODUCT(("SUP_H2DSL"=[1]OUT_SyntheticFuels!$C$4:$C$1000)*1,("H2"=[1]OUT_SyntheticFuels!$A$4:$A$1000)*1,("Var_Fin"=[1]OUT_SyntheticFuels!$B$4:$B$1000)*1,[1]OUT_SyntheticFuels!J$4:J$1000)*IFERROR(K718/SUM(K718,K720),0)</f>
        <v>1.9574266420662161</v>
      </c>
      <c r="L726" s="10" cm="1">
        <f t="array" ref="L726">SUMPRODUCT(("SUP_H2DSL"=[1]OUT_SyntheticFuels!$C$4:$C$1000)*1,("H2"=[1]OUT_SyntheticFuels!$A$4:$A$1000)*1,("Var_Fin"=[1]OUT_SyntheticFuels!$B$4:$B$1000)*1,[1]OUT_SyntheticFuels!K$4:K$1000)*IFERROR(L718/SUM(L718,L720),0)</f>
        <v>1.6029621641184155</v>
      </c>
      <c r="M726" s="10" cm="1">
        <f t="array" ref="M726">SUMPRODUCT(("SUP_H2DSL"=[1]OUT_SyntheticFuels!$C$4:$C$1000)*1,("H2"=[1]OUT_SyntheticFuels!$A$4:$A$1000)*1,("Var_Fin"=[1]OUT_SyntheticFuels!$B$4:$B$1000)*1,[1]OUT_SyntheticFuels!L$4:L$1000)*IFERROR(M718/SUM(M718,M720),0)</f>
        <v>0.22538188581532873</v>
      </c>
      <c r="N726" s="10" cm="1">
        <f t="array" ref="N726">SUMPRODUCT(("SUP_H2DSL"=[1]OUT_SyntheticFuels!$C$4:$C$1000)*1,("H2"=[1]OUT_SyntheticFuels!$A$4:$A$1000)*1,("Var_Fin"=[1]OUT_SyntheticFuels!$B$4:$B$1000)*1,[1]OUT_SyntheticFuels!M$4:M$1000)*IFERROR(N718/SUM(N718,N720),0)</f>
        <v>0.55556830081125186</v>
      </c>
      <c r="O726" s="10" cm="1">
        <f t="array" ref="O726">SUMPRODUCT(("SUP_H2DSL"=[1]OUT_SyntheticFuels!$C$4:$C$1000)*1,("H2"=[1]OUT_SyntheticFuels!$A$4:$A$1000)*1,("Var_Fin"=[1]OUT_SyntheticFuels!$B$4:$B$1000)*1,[1]OUT_SyntheticFuels!N$4:N$1000)*IFERROR(O718/SUM(O718,O720),0)</f>
        <v>9.5853650700352053E-3</v>
      </c>
      <c r="P726" s="10" cm="1">
        <f t="array" ref="P726">SUMPRODUCT(("SUP_H2DSL"=[1]OUT_SyntheticFuels!$C$4:$C$1000)*1,("H2"=[1]OUT_SyntheticFuels!$A$4:$A$1000)*1,("Var_Fin"=[1]OUT_SyntheticFuels!$B$4:$B$1000)*1,[1]OUT_SyntheticFuels!O$4:O$1000)*IFERROR(P718/SUM(P718,P720),0)</f>
        <v>9.2127618682360871E-2</v>
      </c>
      <c r="Q726" s="10" cm="1">
        <f t="array" ref="Q726">SUMPRODUCT(("SUP_H2DSL"=[1]OUT_SyntheticFuels!$C$4:$C$1000)*1,("H2"=[1]OUT_SyntheticFuels!$A$4:$A$1000)*1,("Var_Fin"=[1]OUT_SyntheticFuels!$B$4:$B$1000)*1,[1]OUT_SyntheticFuels!P$4:P$1000)*IFERROR(Q718/SUM(Q718,Q720),0)</f>
        <v>8.0878930067096122E-2</v>
      </c>
      <c r="S726" s="3"/>
    </row>
    <row r="727" spans="2:19" x14ac:dyDescent="0.5">
      <c r="B727" s="5" t="str">
        <f t="shared" si="829"/>
        <v>SPS1</v>
      </c>
      <c r="C727" s="5" t="str">
        <f t="shared" si="826"/>
        <v>CH</v>
      </c>
      <c r="D727" t="s">
        <v>449</v>
      </c>
      <c r="E727" s="5" t="s">
        <v>8</v>
      </c>
      <c r="F727" s="10" cm="1">
        <f t="array" ref="F727">SUMPRODUCT(("SUP_H2GSL"=[1]OUT_SyntheticFuels!$C$4:$C$1000)*1,("H2"=[1]OUT_SyntheticFuels!$A$4:$A$1000)*1,("Var_Fin"=[1]OUT_SyntheticFuels!$B$4:$B$1000)*1,[1]OUT_SyntheticFuels!E$4:E$1000)</f>
        <v>0</v>
      </c>
      <c r="G727" s="10" cm="1">
        <f t="array" ref="G727">SUMPRODUCT(("SUP_H2GSL"=[1]OUT_SyntheticFuels!$C$4:$C$1000)*1,("H2"=[1]OUT_SyntheticFuels!$A$4:$A$1000)*1,("Var_Fin"=[1]OUT_SyntheticFuels!$B$4:$B$1000)*1,[1]OUT_SyntheticFuels!F$4:F$1000)</f>
        <v>0</v>
      </c>
      <c r="H727" s="10" cm="1">
        <f t="array" ref="H727">SUMPRODUCT(("SUP_H2GSL"=[1]OUT_SyntheticFuels!$C$4:$C$1000)*1,("H2"=[1]OUT_SyntheticFuels!$A$4:$A$1000)*1,("Var_Fin"=[1]OUT_SyntheticFuels!$B$4:$B$1000)*1,[1]OUT_SyntheticFuels!G$4:G$1000)</f>
        <v>0</v>
      </c>
      <c r="I727" s="10" cm="1">
        <f t="array" ref="I727">SUMPRODUCT(("SUP_H2GSL"=[1]OUT_SyntheticFuels!$C$4:$C$1000)*1,("H2"=[1]OUT_SyntheticFuels!$A$4:$A$1000)*1,("Var_Fin"=[1]OUT_SyntheticFuels!$B$4:$B$1000)*1,[1]OUT_SyntheticFuels!H$4:H$1000)</f>
        <v>0</v>
      </c>
      <c r="J727" s="10" cm="1">
        <f t="array" ref="J727">SUMPRODUCT(("SUP_H2GSL"=[1]OUT_SyntheticFuels!$C$4:$C$1000)*1,("H2"=[1]OUT_SyntheticFuels!$A$4:$A$1000)*1,("Var_Fin"=[1]OUT_SyntheticFuels!$B$4:$B$1000)*1,[1]OUT_SyntheticFuels!I$4:I$1000)</f>
        <v>0</v>
      </c>
      <c r="K727" s="10" cm="1">
        <f t="array" ref="K727">SUMPRODUCT(("SUP_H2GSL"=[1]OUT_SyntheticFuels!$C$4:$C$1000)*1,("H2"=[1]OUT_SyntheticFuels!$A$4:$A$1000)*1,("Var_Fin"=[1]OUT_SyntheticFuels!$B$4:$B$1000)*1,[1]OUT_SyntheticFuels!J$4:J$1000)</f>
        <v>3.2930116273163059</v>
      </c>
      <c r="L727" s="10" cm="1">
        <f t="array" ref="L727">SUMPRODUCT(("SUP_H2GSL"=[1]OUT_SyntheticFuels!$C$4:$C$1000)*1,("H2"=[1]OUT_SyntheticFuels!$A$4:$A$1000)*1,("Var_Fin"=[1]OUT_SyntheticFuels!$B$4:$B$1000)*1,[1]OUT_SyntheticFuels!K$4:K$1000)</f>
        <v>1.5072381359661366</v>
      </c>
      <c r="M727" s="10" cm="1">
        <f t="array" ref="M727">SUMPRODUCT(("SUP_H2GSL"=[1]OUT_SyntheticFuels!$C$4:$C$1000)*1,("H2"=[1]OUT_SyntheticFuels!$A$4:$A$1000)*1,("Var_Fin"=[1]OUT_SyntheticFuels!$B$4:$B$1000)*1,[1]OUT_SyntheticFuels!L$4:L$1000)</f>
        <v>0.32466375596795938</v>
      </c>
      <c r="N727" s="10" cm="1">
        <f t="array" ref="N727">SUMPRODUCT(("SUP_H2GSL"=[1]OUT_SyntheticFuels!$C$4:$C$1000)*1,("H2"=[1]OUT_SyntheticFuels!$A$4:$A$1000)*1,("Var_Fin"=[1]OUT_SyntheticFuels!$B$4:$B$1000)*1,[1]OUT_SyntheticFuels!M$4:M$1000)</f>
        <v>0.29457249123938661</v>
      </c>
      <c r="O727" s="10" cm="1">
        <f t="array" ref="O727">SUMPRODUCT(("SUP_H2GSL"=[1]OUT_SyntheticFuels!$C$4:$C$1000)*1,("H2"=[1]OUT_SyntheticFuels!$A$4:$A$1000)*1,("Var_Fin"=[1]OUT_SyntheticFuels!$B$4:$B$1000)*1,[1]OUT_SyntheticFuels!N$4:N$1000)</f>
        <v>0.27381679795172487</v>
      </c>
      <c r="P727" s="10" cm="1">
        <f t="array" ref="P727">SUMPRODUCT(("SUP_H2GSL"=[1]OUT_SyntheticFuels!$C$4:$C$1000)*1,("H2"=[1]OUT_SyntheticFuels!$A$4:$A$1000)*1,("Var_Fin"=[1]OUT_SyntheticFuels!$B$4:$B$1000)*1,[1]OUT_SyntheticFuels!O$4:O$1000)</f>
        <v>0.33291543175893074</v>
      </c>
      <c r="Q727" s="10" cm="1">
        <f t="array" ref="Q727">SUMPRODUCT(("SUP_H2GSL"=[1]OUT_SyntheticFuels!$C$4:$C$1000)*1,("H2"=[1]OUT_SyntheticFuels!$A$4:$A$1000)*1,("Var_Fin"=[1]OUT_SyntheticFuels!$B$4:$B$1000)*1,[1]OUT_SyntheticFuels!P$4:P$1000)</f>
        <v>0.27178707388748374</v>
      </c>
      <c r="S727" s="3"/>
    </row>
    <row r="728" spans="2:19" x14ac:dyDescent="0.5">
      <c r="B728" s="5" t="str">
        <f t="shared" si="829"/>
        <v>SPS1</v>
      </c>
      <c r="C728" s="5" t="str">
        <f t="shared" si="826"/>
        <v>CH</v>
      </c>
      <c r="D728" t="s">
        <v>450</v>
      </c>
      <c r="E728" s="5" t="s">
        <v>8</v>
      </c>
      <c r="F728" s="10" cm="1">
        <f t="array" ref="F728">SUMPRODUCT(("SUP_H2DSL"=[1]OUT_SyntheticFuels!$C$4:$C$1000)*1,("H2"=[1]OUT_SyntheticFuels!$A$4:$A$1000)*1,("Var_Fin"=[1]OUT_SyntheticFuels!$B$4:$B$1000)*1,[1]OUT_SyntheticFuels!E$4:E$1000)-F726</f>
        <v>0</v>
      </c>
      <c r="G728" s="10" cm="1">
        <f t="array" ref="G728">SUMPRODUCT(("SUP_H2DSL"=[1]OUT_SyntheticFuels!$C$4:$C$1000)*1,("H2"=[1]OUT_SyntheticFuels!$A$4:$A$1000)*1,("Var_Fin"=[1]OUT_SyntheticFuels!$B$4:$B$1000)*1,[1]OUT_SyntheticFuels!F$4:F$1000)-G726</f>
        <v>0</v>
      </c>
      <c r="H728" s="10" cm="1">
        <f t="array" ref="H728">SUMPRODUCT(("SUP_H2DSL"=[1]OUT_SyntheticFuels!$C$4:$C$1000)*1,("H2"=[1]OUT_SyntheticFuels!$A$4:$A$1000)*1,("Var_Fin"=[1]OUT_SyntheticFuels!$B$4:$B$1000)*1,[1]OUT_SyntheticFuels!G$4:G$1000)-H726</f>
        <v>0</v>
      </c>
      <c r="I728" s="10" cm="1">
        <f t="array" ref="I728">SUMPRODUCT(("SUP_H2DSL"=[1]OUT_SyntheticFuels!$C$4:$C$1000)*1,("H2"=[1]OUT_SyntheticFuels!$A$4:$A$1000)*1,("Var_Fin"=[1]OUT_SyntheticFuels!$B$4:$B$1000)*1,[1]OUT_SyntheticFuels!H$4:H$1000)-I726</f>
        <v>0</v>
      </c>
      <c r="J728" s="10" cm="1">
        <f t="array" ref="J728">SUMPRODUCT(("SUP_H2DSL"=[1]OUT_SyntheticFuels!$C$4:$C$1000)*1,("H2"=[1]OUT_SyntheticFuels!$A$4:$A$1000)*1,("Var_Fin"=[1]OUT_SyntheticFuels!$B$4:$B$1000)*1,[1]OUT_SyntheticFuels!I$4:I$1000)-J726</f>
        <v>0</v>
      </c>
      <c r="K728" s="10" cm="1">
        <f t="array" ref="K728">SUMPRODUCT(("SUP_H2DSL"=[1]OUT_SyntheticFuels!$C$4:$C$1000)*1,("H2"=[1]OUT_SyntheticFuels!$A$4:$A$1000)*1,("Var_Fin"=[1]OUT_SyntheticFuels!$B$4:$B$1000)*1,[1]OUT_SyntheticFuels!J$4:J$1000)-K726</f>
        <v>0.80811408787631933</v>
      </c>
      <c r="L728" s="10" cm="1">
        <f t="array" ref="L728">SUMPRODUCT(("SUP_H2DSL"=[1]OUT_SyntheticFuels!$C$4:$C$1000)*1,("H2"=[1]OUT_SyntheticFuels!$A$4:$A$1000)*1,("Var_Fin"=[1]OUT_SyntheticFuels!$B$4:$B$1000)*1,[1]OUT_SyntheticFuels!K$4:K$1000)-L726</f>
        <v>0.64443736605963231</v>
      </c>
      <c r="M728" s="10" cm="1">
        <f t="array" ref="M728">SUMPRODUCT(("SUP_H2DSL"=[1]OUT_SyntheticFuels!$C$4:$C$1000)*1,("H2"=[1]OUT_SyntheticFuels!$A$4:$A$1000)*1,("Var_Fin"=[1]OUT_SyntheticFuels!$B$4:$B$1000)*1,[1]OUT_SyntheticFuels!L$4:L$1000)-M726</f>
        <v>2.0575549674883842E-6</v>
      </c>
      <c r="N728" s="10" cm="1">
        <f t="array" ref="N728">SUMPRODUCT(("SUP_H2DSL"=[1]OUT_SyntheticFuels!$C$4:$C$1000)*1,("H2"=[1]OUT_SyntheticFuels!$A$4:$A$1000)*1,("Var_Fin"=[1]OUT_SyntheticFuels!$B$4:$B$1000)*1,[1]OUT_SyntheticFuels!M$4:M$1000)-N726</f>
        <v>8.1311357268432083E-4</v>
      </c>
      <c r="O728" s="10" cm="1">
        <f t="array" ref="O728">SUMPRODUCT(("SUP_H2DSL"=[1]OUT_SyntheticFuels!$C$4:$C$1000)*1,("H2"=[1]OUT_SyntheticFuels!$A$4:$A$1000)*1,("Var_Fin"=[1]OUT_SyntheticFuels!$B$4:$B$1000)*1,[1]OUT_SyntheticFuels!N$4:N$1000)-O726</f>
        <v>7.0723844109235427E-4</v>
      </c>
      <c r="P728" s="10" cm="1">
        <f t="array" ref="P728">SUMPRODUCT(("SUP_H2DSL"=[1]OUT_SyntheticFuels!$C$4:$C$1000)*1,("H2"=[1]OUT_SyntheticFuels!$A$4:$A$1000)*1,("Var_Fin"=[1]OUT_SyntheticFuels!$B$4:$B$1000)*1,[1]OUT_SyntheticFuels!O$4:O$1000)-P726</f>
        <v>7.0874364195823436E-4</v>
      </c>
      <c r="Q728" s="10" cm="1">
        <f t="array" ref="Q728">SUMPRODUCT(("SUP_H2DSL"=[1]OUT_SyntheticFuels!$C$4:$C$1000)*1,("H2"=[1]OUT_SyntheticFuels!$A$4:$A$1000)*1,("Var_Fin"=[1]OUT_SyntheticFuels!$B$4:$B$1000)*1,[1]OUT_SyntheticFuels!P$4:P$1000)-Q726</f>
        <v>1.2244863910151199E-3</v>
      </c>
      <c r="S728" s="3"/>
    </row>
    <row r="729" spans="2:19" x14ac:dyDescent="0.5">
      <c r="B729" s="9" t="str">
        <f>B728</f>
        <v>SPS1</v>
      </c>
      <c r="C729" s="9" t="str">
        <f>C728</f>
        <v>CH</v>
      </c>
      <c r="D729" s="2" t="s">
        <v>440</v>
      </c>
      <c r="E729" s="9" t="s">
        <v>240</v>
      </c>
      <c r="F729" s="14" t="s">
        <v>292</v>
      </c>
      <c r="G729" s="14" t="s">
        <v>292</v>
      </c>
      <c r="H729" s="14" t="s">
        <v>292</v>
      </c>
      <c r="I729" s="14" t="s">
        <v>292</v>
      </c>
      <c r="J729" s="14" t="s">
        <v>292</v>
      </c>
      <c r="K729" s="14" t="s">
        <v>292</v>
      </c>
      <c r="L729" s="14" t="s">
        <v>292</v>
      </c>
      <c r="M729" s="14" t="s">
        <v>292</v>
      </c>
      <c r="N729" s="14" t="s">
        <v>292</v>
      </c>
      <c r="O729" s="14" t="s">
        <v>292</v>
      </c>
      <c r="P729" s="14" t="s">
        <v>292</v>
      </c>
      <c r="Q729" s="14" t="s">
        <v>292</v>
      </c>
      <c r="S729" s="3"/>
    </row>
    <row r="730" spans="2:19" x14ac:dyDescent="0.5">
      <c r="B730" s="5" t="str">
        <f>B729</f>
        <v>SPS1</v>
      </c>
      <c r="C730" s="5" t="str">
        <f t="shared" ref="C730:C735" si="833">C729</f>
        <v>CH</v>
      </c>
      <c r="D730" t="s">
        <v>436</v>
      </c>
      <c r="E730" s="5" t="s">
        <v>240</v>
      </c>
      <c r="F730" s="14" t="str">
        <f>IFERROR(F716/F724,"-")</f>
        <v>-</v>
      </c>
      <c r="G730" s="14" t="str">
        <f t="shared" ref="G730:K730" si="834">IFERROR(G716/G724,"-")</f>
        <v>-</v>
      </c>
      <c r="H730" s="14" t="str">
        <f t="shared" si="834"/>
        <v>-</v>
      </c>
      <c r="I730" s="14" t="str">
        <f t="shared" si="834"/>
        <v>-</v>
      </c>
      <c r="J730" s="14" t="str">
        <f t="shared" si="834"/>
        <v>-</v>
      </c>
      <c r="K730" s="14">
        <f t="shared" si="834"/>
        <v>0.76999999999999902</v>
      </c>
      <c r="L730" s="14">
        <f t="shared" ref="L730:O730" si="835">IFERROR(L716/L724,"-")</f>
        <v>0.77</v>
      </c>
      <c r="M730" s="14">
        <f t="shared" si="835"/>
        <v>0.76999999999999946</v>
      </c>
      <c r="N730" s="14">
        <f t="shared" si="835"/>
        <v>0.76999999999999913</v>
      </c>
      <c r="O730" s="14">
        <f t="shared" si="835"/>
        <v>0.76999999999999957</v>
      </c>
      <c r="P730" s="14">
        <f>IFERROR(P716/P724,"-")</f>
        <v>0.77</v>
      </c>
      <c r="Q730" s="14">
        <f>IFERROR(Q716/Q724,"-")</f>
        <v>0.76999999999999869</v>
      </c>
      <c r="S730" s="3"/>
    </row>
    <row r="731" spans="2:19" x14ac:dyDescent="0.5">
      <c r="B731" s="5" t="str">
        <f t="shared" ref="B731:B735" si="836">B730</f>
        <v>SPS1</v>
      </c>
      <c r="C731" s="5" t="str">
        <f t="shared" si="833"/>
        <v>CH</v>
      </c>
      <c r="D731" t="s">
        <v>437</v>
      </c>
      <c r="E731" s="5" t="s">
        <v>240</v>
      </c>
      <c r="F731" s="16" t="str">
        <f>IFERROR(F718/F726,"-")</f>
        <v>-</v>
      </c>
      <c r="G731" s="16" t="str">
        <f t="shared" ref="G731:K731" si="837">IFERROR(G718/G726,"-")</f>
        <v>-</v>
      </c>
      <c r="H731" s="16" t="str">
        <f t="shared" si="837"/>
        <v>-</v>
      </c>
      <c r="I731" s="16" t="str">
        <f t="shared" si="837"/>
        <v>-</v>
      </c>
      <c r="J731" s="16" t="str">
        <f t="shared" si="837"/>
        <v>-</v>
      </c>
      <c r="K731" s="16">
        <f t="shared" si="837"/>
        <v>0.57966859051149044</v>
      </c>
      <c r="L731" s="16">
        <f t="shared" ref="L731:O731" si="838">IFERROR(L718/L726,"-")</f>
        <v>0.57974338377345325</v>
      </c>
      <c r="M731" s="16">
        <f t="shared" si="838"/>
        <v>0.58001285726535556</v>
      </c>
      <c r="N731" s="16">
        <f t="shared" si="838"/>
        <v>0.58000000000000063</v>
      </c>
      <c r="O731" s="16">
        <f t="shared" si="838"/>
        <v>0.5811795901001261</v>
      </c>
      <c r="P731" s="16">
        <f t="shared" ref="P731:Q733" si="839">IFERROR(P718/P726,"-")</f>
        <v>0.58007133592792126</v>
      </c>
      <c r="Q731" s="16">
        <f t="shared" si="839"/>
        <v>0.58000000000000118</v>
      </c>
      <c r="S731" s="3"/>
    </row>
    <row r="732" spans="2:19" x14ac:dyDescent="0.5">
      <c r="B732" s="5" t="str">
        <f t="shared" si="836"/>
        <v>SPS1</v>
      </c>
      <c r="C732" s="5" t="str">
        <f t="shared" si="833"/>
        <v>CH</v>
      </c>
      <c r="D732" t="s">
        <v>438</v>
      </c>
      <c r="E732" s="5" t="s">
        <v>240</v>
      </c>
      <c r="F732" s="16" t="str">
        <f>IFERROR(F719/F727,"-")</f>
        <v>-</v>
      </c>
      <c r="G732" s="16" t="str">
        <f t="shared" ref="G732:K732" si="840">IFERROR(G719/G727,"-")</f>
        <v>-</v>
      </c>
      <c r="H732" s="16" t="str">
        <f t="shared" si="840"/>
        <v>-</v>
      </c>
      <c r="I732" s="16" t="str">
        <f t="shared" si="840"/>
        <v>-</v>
      </c>
      <c r="J732" s="16" t="str">
        <f t="shared" si="840"/>
        <v>-</v>
      </c>
      <c r="K732" s="16">
        <f t="shared" si="840"/>
        <v>0.69999999999999918</v>
      </c>
      <c r="L732" s="16">
        <f t="shared" ref="L732:O732" si="841">IFERROR(L719/L727,"-")</f>
        <v>0.69999999999999962</v>
      </c>
      <c r="M732" s="16">
        <f t="shared" si="841"/>
        <v>0.69999999999999962</v>
      </c>
      <c r="N732" s="16">
        <f t="shared" si="841"/>
        <v>0.69999999999999873</v>
      </c>
      <c r="O732" s="16">
        <f t="shared" si="841"/>
        <v>0.69999999999999984</v>
      </c>
      <c r="P732" s="16">
        <f t="shared" si="839"/>
        <v>0.69999999999999918</v>
      </c>
      <c r="Q732" s="16">
        <f t="shared" si="839"/>
        <v>0.69999999999999918</v>
      </c>
      <c r="S732" s="3"/>
    </row>
    <row r="733" spans="2:19" x14ac:dyDescent="0.5">
      <c r="B733" s="5" t="str">
        <f t="shared" si="836"/>
        <v>SPS1</v>
      </c>
      <c r="C733" s="5" t="str">
        <f t="shared" si="833"/>
        <v>CH</v>
      </c>
      <c r="D733" t="s">
        <v>439</v>
      </c>
      <c r="E733" s="5" t="s">
        <v>240</v>
      </c>
      <c r="F733" s="16" t="str">
        <f>IFERROR(F720/F728,"-")</f>
        <v>-</v>
      </c>
      <c r="G733" s="16" t="str">
        <f t="shared" ref="G733:K733" si="842">IFERROR(G720/G728,"-")</f>
        <v>-</v>
      </c>
      <c r="H733" s="16" t="str">
        <f t="shared" si="842"/>
        <v>-</v>
      </c>
      <c r="I733" s="16" t="str">
        <f t="shared" si="842"/>
        <v>-</v>
      </c>
      <c r="J733" s="16" t="str">
        <f t="shared" si="842"/>
        <v>-</v>
      </c>
      <c r="K733" s="16">
        <f t="shared" si="842"/>
        <v>0.57966859051149044</v>
      </c>
      <c r="L733" s="16">
        <f t="shared" ref="L733:O733" si="843">IFERROR(L720/L728,"-")</f>
        <v>0.57974338377345325</v>
      </c>
      <c r="M733" s="16">
        <f t="shared" si="843"/>
        <v>0.58001285726651308</v>
      </c>
      <c r="N733" s="16">
        <f t="shared" si="843"/>
        <v>0.58000000000003504</v>
      </c>
      <c r="O733" s="16">
        <f t="shared" si="843"/>
        <v>0.58117959010012554</v>
      </c>
      <c r="P733" s="16">
        <f t="shared" si="839"/>
        <v>0.5800713359279287</v>
      </c>
      <c r="Q733" s="16">
        <f t="shared" si="839"/>
        <v>0.57999999999999619</v>
      </c>
      <c r="S733" s="3"/>
    </row>
    <row r="734" spans="2:19" x14ac:dyDescent="0.5">
      <c r="B734" s="5" t="str">
        <f t="shared" si="836"/>
        <v>SPS1</v>
      </c>
      <c r="C734" s="5" t="str">
        <f t="shared" si="833"/>
        <v>CH</v>
      </c>
      <c r="D734" s="2" t="s">
        <v>444</v>
      </c>
      <c r="E734" s="9" t="s">
        <v>442</v>
      </c>
      <c r="F734" s="17">
        <f>F735</f>
        <v>0</v>
      </c>
      <c r="G734" s="17">
        <f t="shared" ref="G734" si="844">G735</f>
        <v>0</v>
      </c>
      <c r="H734" s="17">
        <f t="shared" ref="H734" si="845">H735</f>
        <v>0</v>
      </c>
      <c r="I734" s="17">
        <f t="shared" ref="I734" si="846">I735</f>
        <v>0</v>
      </c>
      <c r="J734" s="17">
        <f t="shared" ref="J734" si="847">J735</f>
        <v>0</v>
      </c>
      <c r="K734" s="17">
        <f t="shared" ref="K734:O734" si="848">K735</f>
        <v>0.38285870054280513</v>
      </c>
      <c r="L734" s="17">
        <f t="shared" si="848"/>
        <v>0.4815550915605008</v>
      </c>
      <c r="M734" s="17">
        <f t="shared" si="848"/>
        <v>0.7702042709433663</v>
      </c>
      <c r="N734" s="17">
        <f t="shared" si="848"/>
        <v>0.69524428132193816</v>
      </c>
      <c r="O734" s="17">
        <f t="shared" si="848"/>
        <v>0.64718100364525843</v>
      </c>
      <c r="P734" s="17">
        <f>P735</f>
        <v>0.67096178303986354</v>
      </c>
      <c r="Q734" s="17">
        <f>Q735</f>
        <v>0.66789639462455075</v>
      </c>
      <c r="S734" s="3"/>
    </row>
    <row r="735" spans="2:19" x14ac:dyDescent="0.5">
      <c r="B735" s="5" t="str">
        <f t="shared" si="836"/>
        <v>SPS1</v>
      </c>
      <c r="C735" s="5" t="str">
        <f t="shared" si="833"/>
        <v>CH</v>
      </c>
      <c r="D735" t="s">
        <v>443</v>
      </c>
      <c r="E735" s="5" t="s">
        <v>442</v>
      </c>
      <c r="F735" s="18">
        <f>SUM(F739,F741)</f>
        <v>0</v>
      </c>
      <c r="G735" s="18">
        <f t="shared" ref="G735" si="849">SUM(G739,G741)</f>
        <v>0</v>
      </c>
      <c r="H735" s="18">
        <f t="shared" ref="H735" si="850">SUM(H739,H741)</f>
        <v>0</v>
      </c>
      <c r="I735" s="18">
        <f t="shared" ref="I735" si="851">SUM(I739,I741)</f>
        <v>0</v>
      </c>
      <c r="J735" s="18">
        <f t="shared" ref="J735" si="852">SUM(J739,J741)</f>
        <v>0</v>
      </c>
      <c r="K735" s="18">
        <f t="shared" ref="K735" si="853">SUM(K739,K741)</f>
        <v>0.38285870054280513</v>
      </c>
      <c r="L735" s="18">
        <f t="shared" ref="L735:O735" si="854">SUM(L739,L741)</f>
        <v>0.4815550915605008</v>
      </c>
      <c r="M735" s="18">
        <f t="shared" si="854"/>
        <v>0.7702042709433663</v>
      </c>
      <c r="N735" s="18">
        <f t="shared" si="854"/>
        <v>0.69524428132193816</v>
      </c>
      <c r="O735" s="18">
        <f t="shared" si="854"/>
        <v>0.64718100364525843</v>
      </c>
      <c r="P735" s="18">
        <f>SUM(P739,P741)</f>
        <v>0.67096178303986354</v>
      </c>
      <c r="Q735" s="18">
        <f>SUM(Q739,Q741)</f>
        <v>0.66789639462455075</v>
      </c>
      <c r="S735" s="3"/>
    </row>
    <row r="736" spans="2:19" x14ac:dyDescent="0.5">
      <c r="B736" s="5" t="str">
        <f t="shared" ref="B736:C738" si="855">B735</f>
        <v>SPS1</v>
      </c>
      <c r="C736" s="5" t="str">
        <f t="shared" si="855"/>
        <v>CH</v>
      </c>
      <c r="D736" t="s">
        <v>445</v>
      </c>
      <c r="E736" s="5" t="s">
        <v>442</v>
      </c>
      <c r="F736" s="18" cm="1">
        <f t="array" ref="F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#REF!)/SUMPRODUCT(("Var_fout"=[1]OUT_CO2util!$B$3:$B$1000)*1,("CO2_O"=[1]OUT_CO2util!$A$3:$A$1000)*1,[1]OUT_CO2util!#REF!)*F735,0)</f>
        <v>0</v>
      </c>
      <c r="G736" s="18" cm="1">
        <f t="array" ref="G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A$3:A$1000)/SUMPRODUCT(("Var_fout"=[1]OUT_CO2util!$B$3:$B$1000)*1,("CO2_O"=[1]OUT_CO2util!$A$3:$A$1000)*1,[1]OUT_CO2util!A$3:A$1000)*G735,0)</f>
        <v>0</v>
      </c>
      <c r="H736" s="18" cm="1">
        <f t="array" ref="H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B$3:B$1000)/SUMPRODUCT(("Var_fout"=[1]OUT_CO2util!$B$3:$B$1000)*1,("CO2_O"=[1]OUT_CO2util!$A$3:$A$1000)*1,[1]OUT_CO2util!B$3:B$1000)*H735,0)</f>
        <v>0</v>
      </c>
      <c r="I736" s="18" cm="1">
        <f t="array" ref="I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C$3:C$1000)/SUMPRODUCT(("Var_fout"=[1]OUT_CO2util!$B$3:$B$1000)*1,("CO2_O"=[1]OUT_CO2util!$A$3:$A$1000)*1,[1]OUT_CO2util!C$3:C$1000)*I735,0)</f>
        <v>0</v>
      </c>
      <c r="J736" s="18" cm="1">
        <f t="array" ref="J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D$3:D$1000)/SUMPRODUCT(("Var_fout"=[1]OUT_CO2util!$B$3:$B$1000)*1,("CO2_O"=[1]OUT_CO2util!$A$3:$A$1000)*1,[1]OUT_CO2util!D$3:D$1000)*J735,0)</f>
        <v>0</v>
      </c>
      <c r="K736" s="18" cm="1">
        <f t="array" ref="K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E$3:E$1000)/SUMPRODUCT(("Var_fout"=[1]OUT_CO2util!$B$3:$B$1000)*1,("CO2_O"=[1]OUT_CO2util!$A$3:$A$1000)*1,[1]OUT_CO2util!E$3:E$1000)*K735,0)</f>
        <v>0.34464104740666535</v>
      </c>
      <c r="L736" s="18" cm="1">
        <f t="array" ref="L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F$3:F$1000)/SUMPRODUCT(("Var_fout"=[1]OUT_CO2util!$B$3:$B$1000)*1,("CO2_O"=[1]OUT_CO2util!$A$3:$A$1000)*1,[1]OUT_CO2util!F$3:F$1000)*L735,0)</f>
        <v>0.34257205030306609</v>
      </c>
      <c r="M736" s="18" cm="1">
        <f t="array" ref="M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G$3:G$1000)/SUMPRODUCT(("Var_fout"=[1]OUT_CO2util!$B$3:$B$1000)*1,("CO2_O"=[1]OUT_CO2util!$A$3:$A$1000)*1,[1]OUT_CO2util!G$3:G$1000)*M735,0)</f>
        <v>0.55556629046055295</v>
      </c>
      <c r="N736" s="18" cm="1">
        <f t="array" ref="N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H$3:H$1000)/SUMPRODUCT(("Var_fout"=[1]OUT_CO2util!$B$3:$B$1000)*1,("CO2_O"=[1]OUT_CO2util!$A$3:$A$1000)*1,[1]OUT_CO2util!H$3:H$1000)*N735,0)</f>
        <v>0.41534454497939799</v>
      </c>
      <c r="O736" s="18" cm="1">
        <f t="array" ref="O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I$3:I$1000)/SUMPRODUCT(("Var_fout"=[1]OUT_CO2util!$B$3:$B$1000)*1,("CO2_O"=[1]OUT_CO2util!$A$3:$A$1000)*1,[1]OUT_CO2util!I$3:I$1000)*O735,0)</f>
        <v>0.39789000880044501</v>
      </c>
      <c r="P736" s="18" cm="1">
        <f t="array" ref="P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J$3:J$1000)/SUMPRODUCT(("Var_fout"=[1]OUT_CO2util!$B$3:$B$1000)*1,("CO2_O"=[1]OUT_CO2util!$A$3:$A$1000)*1,[1]OUT_CO2util!J$3:J$1000)*P735,0)</f>
        <v>0.3900602697734164</v>
      </c>
      <c r="Q736" s="18" cm="1">
        <f t="array" ref="Q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K$3:K$1000)/SUMPRODUCT(("Var_fout"=[1]OUT_CO2util!$B$3:$B$1000)*1,("CO2_O"=[1]OUT_CO2util!$A$3:$A$1000)*1,[1]OUT_CO2util!K$3:K$1000)*Q735,0)</f>
        <v>0</v>
      </c>
      <c r="S736" s="3"/>
    </row>
    <row r="737" spans="2:19" x14ac:dyDescent="0.5">
      <c r="B737" s="5" t="str">
        <f t="shared" si="855"/>
        <v>SPS1</v>
      </c>
      <c r="C737" s="5" t="str">
        <f t="shared" si="855"/>
        <v>CH</v>
      </c>
      <c r="D737" t="s">
        <v>446</v>
      </c>
      <c r="E737" s="5" t="s">
        <v>442</v>
      </c>
      <c r="F737" s="18">
        <v>0</v>
      </c>
      <c r="G737" s="18">
        <v>0</v>
      </c>
      <c r="H737" s="18">
        <v>0</v>
      </c>
      <c r="I737" s="18">
        <v>0</v>
      </c>
      <c r="J737" s="18">
        <f>J735-J736-J738</f>
        <v>0</v>
      </c>
      <c r="K737" s="18">
        <f>K735-K736-K738</f>
        <v>3.8214932040597678E-2</v>
      </c>
      <c r="L737" s="18">
        <f t="shared" ref="L737:O737" si="856">L735-L736-L738</f>
        <v>0.13736319687869339</v>
      </c>
      <c r="M737" s="18">
        <f t="shared" si="856"/>
        <v>0.19233580261055699</v>
      </c>
      <c r="N737" s="18">
        <f t="shared" si="856"/>
        <v>0.15626139946001125</v>
      </c>
      <c r="O737" s="18">
        <f t="shared" si="856"/>
        <v>0.13290103436023271</v>
      </c>
      <c r="P737" s="18">
        <f>P735-P736-P738</f>
        <v>0.12716583512722657</v>
      </c>
      <c r="Q737" s="18">
        <f>Q735-Q736-Q738</f>
        <v>0.66789639462455075</v>
      </c>
      <c r="S737" s="3"/>
    </row>
    <row r="738" spans="2:19" x14ac:dyDescent="0.5">
      <c r="B738" s="5" t="str">
        <f t="shared" si="855"/>
        <v>SPS1</v>
      </c>
      <c r="C738" s="5" t="str">
        <f t="shared" si="855"/>
        <v>CH</v>
      </c>
      <c r="D738" t="s">
        <v>455</v>
      </c>
      <c r="E738" s="5" t="s">
        <v>442</v>
      </c>
      <c r="F738" s="18">
        <v>0</v>
      </c>
      <c r="G738" s="18">
        <v>0</v>
      </c>
      <c r="H738" s="18">
        <v>0</v>
      </c>
      <c r="I738" s="18">
        <v>0</v>
      </c>
      <c r="J738" s="18" cm="1">
        <f t="array" ref="J738">IF(SUMPRODUCT(("Var_fout"=[1]OUT_CO2util!$B$3:$B$1000)*1,("CO2_O"=[1]OUT_CO2util!$A$3:$A$1000)*1,[1]OUT_CO2util!D$3:D$1000)*J735=0,0,SUMPRODUCT(("SUP_DAC"=[1]OUT_CO2util!$C$3:$C$1000)*1,("Var_fout"=[1]OUT_CO2util!$B$3:$B$1000)*1,("CO2_O"=[1]OUT_CO2util!$A$3:$A$1000)*1,[1]OUT_CO2util!D$3:D$1000)/SUMPRODUCT(("Var_fout"=[1]OUT_CO2util!$B$3:$B$1000)*1,("CO2_O"=[1]OUT_CO2util!$A$3:$A$1000)*1,[1]OUT_CO2util!D$3:D$1000)*J735)</f>
        <v>0</v>
      </c>
      <c r="K738" s="18" cm="1">
        <f t="array" ref="K738">IF(SUMPRODUCT(("Var_fout"=[1]OUT_CO2util!$B$3:$B$1000)*1,("CO2_O"=[1]OUT_CO2util!$A$3:$A$1000)*1,[1]OUT_CO2util!E$3:E$1000)*K735=0,0,SUMPRODUCT(("SUP_DAC"=[1]OUT_CO2util!$C$3:$C$1000)*1,("Var_fout"=[1]OUT_CO2util!$B$3:$B$1000)*1,("CO2_O"=[1]OUT_CO2util!$A$3:$A$1000)*1,[1]OUT_CO2util!E$3:E$1000)/SUMPRODUCT(("Var_fout"=[1]OUT_CO2util!$B$3:$B$1000)*1,("CO2_O"=[1]OUT_CO2util!$A$3:$A$1000)*1,[1]OUT_CO2util!E$3:E$1000)*K735)</f>
        <v>2.721095542109514E-6</v>
      </c>
      <c r="L738" s="18" cm="1">
        <f t="array" ref="L738">IF(SUMPRODUCT(("Var_fout"=[1]OUT_CO2util!$B$3:$B$1000)*1,("CO2_O"=[1]OUT_CO2util!$A$3:$A$1000)*1,[1]OUT_CO2util!F$3:F$1000)*L735=0,0,SUMPRODUCT(("SUP_DAC"=[1]OUT_CO2util!$C$3:$C$1000)*1,("Var_fout"=[1]OUT_CO2util!$B$3:$B$1000)*1,("CO2_O"=[1]OUT_CO2util!$A$3:$A$1000)*1,[1]OUT_CO2util!F$3:F$1000)/SUMPRODUCT(("Var_fout"=[1]OUT_CO2util!$B$3:$B$1000)*1,("CO2_O"=[1]OUT_CO2util!$A$3:$A$1000)*1,[1]OUT_CO2util!F$3:F$1000)*L735)</f>
        <v>1.6198443787413374E-3</v>
      </c>
      <c r="M738" s="18" cm="1">
        <f t="array" ref="M738">IF(SUMPRODUCT(("Var_fout"=[1]OUT_CO2util!$B$3:$B$1000)*1,("CO2_O"=[1]OUT_CO2util!$A$3:$A$1000)*1,[1]OUT_CO2util!G$3:G$1000)*M735=0,0,SUMPRODUCT(("SUP_DAC"=[1]OUT_CO2util!$C$3:$C$1000)*1,("Var_fout"=[1]OUT_CO2util!$B$3:$B$1000)*1,("CO2_O"=[1]OUT_CO2util!$A$3:$A$1000)*1,[1]OUT_CO2util!G$3:G$1000)/SUMPRODUCT(("Var_fout"=[1]OUT_CO2util!$B$3:$B$1000)*1,("CO2_O"=[1]OUT_CO2util!$A$3:$A$1000)*1,[1]OUT_CO2util!G$3:G$1000)*M735)</f>
        <v>2.2302177872256357E-2</v>
      </c>
      <c r="N738" s="18" cm="1">
        <f t="array" ref="N738">IF(SUMPRODUCT(("Var_fout"=[1]OUT_CO2util!$B$3:$B$1000)*1,("CO2_O"=[1]OUT_CO2util!$A$3:$A$1000)*1,[1]OUT_CO2util!H$3:H$1000)*N735=0,0,SUMPRODUCT(("SUP_DAC"=[1]OUT_CO2util!$C$3:$C$1000)*1,("Var_fout"=[1]OUT_CO2util!$B$3:$B$1000)*1,("CO2_O"=[1]OUT_CO2util!$A$3:$A$1000)*1,[1]OUT_CO2util!H$3:H$1000)/SUMPRODUCT(("Var_fout"=[1]OUT_CO2util!$B$3:$B$1000)*1,("CO2_O"=[1]OUT_CO2util!$A$3:$A$1000)*1,[1]OUT_CO2util!H$3:H$1000)*N735)</f>
        <v>0.12363833688252893</v>
      </c>
      <c r="O738" s="18" cm="1">
        <f t="array" ref="O738">IF(SUMPRODUCT(("Var_fout"=[1]OUT_CO2util!$B$3:$B$1000)*1,("CO2_O"=[1]OUT_CO2util!$A$3:$A$1000)*1,[1]OUT_CO2util!I$3:I$1000)*O735=0,0,SUMPRODUCT(("SUP_DAC"=[1]OUT_CO2util!$C$3:$C$1000)*1,("Var_fout"=[1]OUT_CO2util!$B$3:$B$1000)*1,("CO2_O"=[1]OUT_CO2util!$A$3:$A$1000)*1,[1]OUT_CO2util!I$3:I$1000)/SUMPRODUCT(("Var_fout"=[1]OUT_CO2util!$B$3:$B$1000)*1,("CO2_O"=[1]OUT_CO2util!$A$3:$A$1000)*1,[1]OUT_CO2util!I$3:I$1000)*O735)</f>
        <v>0.11638996048458071</v>
      </c>
      <c r="P738" s="18" cm="1">
        <f t="array" ref="P738">IF(SUMPRODUCT(("Var_fout"=[1]OUT_CO2util!$B$3:$B$1000)*1,("CO2_O"=[1]OUT_CO2util!$A$3:$A$1000)*1,[1]OUT_CO2util!J$3:J$1000)*P735=0,0,SUMPRODUCT(("SUP_DAC"=[1]OUT_CO2util!$C$3:$C$1000)*1,("Var_fout"=[1]OUT_CO2util!$B$3:$B$1000)*1,("CO2_O"=[1]OUT_CO2util!$A$3:$A$1000)*1,[1]OUT_CO2util!J$3:J$1000)/SUMPRODUCT(("Var_fout"=[1]OUT_CO2util!$B$3:$B$1000)*1,("CO2_O"=[1]OUT_CO2util!$A$3:$A$1000)*1,[1]OUT_CO2util!J$3:J$1000)*P735)</f>
        <v>0.15373567813922057</v>
      </c>
      <c r="Q738" s="18" cm="1">
        <f t="array" ref="Q738">IF(SUMPRODUCT(("Var_fout"=[1]OUT_CO2util!$B$3:$B$1000)*1,("CO2_O"=[1]OUT_CO2util!$A$3:$A$1000)*1,[1]OUT_CO2util!K$3:K$1000)*Q735=0,0,SUMPRODUCT(("SUP_DAC"=[1]OUT_CO2util!$C$3:$C$1000)*1,("Var_fout"=[1]OUT_CO2util!$B$3:$B$1000)*1,("CO2_O"=[1]OUT_CO2util!$A$3:$A$1000)*1,[1]OUT_CO2util!K$3:K$1000)/SUMPRODUCT(("Var_fout"=[1]OUT_CO2util!$B$3:$B$1000)*1,("CO2_O"=[1]OUT_CO2util!$A$3:$A$1000)*1,[1]OUT_CO2util!K$3:K$1000)*Q735)</f>
        <v>0</v>
      </c>
      <c r="S738" s="3"/>
    </row>
    <row r="739" spans="2:19" x14ac:dyDescent="0.5">
      <c r="B739" s="5" t="str">
        <f>B735</f>
        <v>SPS1</v>
      </c>
      <c r="C739" s="5" t="str">
        <f>C735</f>
        <v>CH</v>
      </c>
      <c r="D739" t="s">
        <v>931</v>
      </c>
      <c r="E739" s="5" t="s">
        <v>442</v>
      </c>
      <c r="F739" s="18">
        <f>F740</f>
        <v>0</v>
      </c>
      <c r="G739" s="18">
        <f t="shared" ref="G739" si="857">G740</f>
        <v>0</v>
      </c>
      <c r="H739" s="18">
        <f t="shared" ref="H739" si="858">H740</f>
        <v>0</v>
      </c>
      <c r="I739" s="18">
        <f t="shared" ref="I739" si="859">I740</f>
        <v>0</v>
      </c>
      <c r="J739" s="18">
        <f t="shared" ref="J739" si="860">J740</f>
        <v>0</v>
      </c>
      <c r="K739" s="18">
        <f t="shared" ref="K739:O739" si="861">K740</f>
        <v>9.5167521282867734E-2</v>
      </c>
      <c r="L739" s="18">
        <f t="shared" si="861"/>
        <v>0.30814522583050064</v>
      </c>
      <c r="M739" s="18">
        <f t="shared" si="861"/>
        <v>0.74385016834161677</v>
      </c>
      <c r="N739" s="18">
        <f t="shared" si="861"/>
        <v>0.6563726669733928</v>
      </c>
      <c r="O739" s="18">
        <f t="shared" si="861"/>
        <v>0.63259804811740028</v>
      </c>
      <c r="P739" s="18">
        <f>P740</f>
        <v>0.64981652672734114</v>
      </c>
      <c r="Q739" s="18">
        <f>Q740</f>
        <v>0.65036532974022321</v>
      </c>
      <c r="S739" s="3"/>
    </row>
    <row r="740" spans="2:19" x14ac:dyDescent="0.5">
      <c r="B740" s="5" t="str">
        <f>B739</f>
        <v>SPS1</v>
      </c>
      <c r="C740" s="5" t="str">
        <f>C739</f>
        <v>CH</v>
      </c>
      <c r="D740" t="s">
        <v>451</v>
      </c>
      <c r="E740" s="5" t="s">
        <v>442</v>
      </c>
      <c r="F740" s="10" cm="1">
        <f t="array" ref="F740">SUMPRODUCT(("SUP_H2NGA"=[1]OUT_SyntheticFuels!$C$4:$C$1000)*1,("CO2_M"=[1]OUT_SyntheticFuels!$A$4:$A$1000)*1,("Var_Fin"=[1]OUT_SyntheticFuels!$B$4:$B$1000)*1,[1]OUT_SyntheticFuels!E$4:E$1000)/1000</f>
        <v>0</v>
      </c>
      <c r="G740" s="10" cm="1">
        <f t="array" ref="G740">SUMPRODUCT(("SUP_H2NGA"=[1]OUT_SyntheticFuels!$C$4:$C$1000)*1,("CO2_M"=[1]OUT_SyntheticFuels!$A$4:$A$1000)*1,("Var_Fin"=[1]OUT_SyntheticFuels!$B$4:$B$1000)*1,[1]OUT_SyntheticFuels!F$4:F$1000)/1000</f>
        <v>0</v>
      </c>
      <c r="H740" s="10" cm="1">
        <f t="array" ref="H740">SUMPRODUCT(("SUP_H2NGA"=[1]OUT_SyntheticFuels!$C$4:$C$1000)*1,("CO2_M"=[1]OUT_SyntheticFuels!$A$4:$A$1000)*1,("Var_Fin"=[1]OUT_SyntheticFuels!$B$4:$B$1000)*1,[1]OUT_SyntheticFuels!G$4:G$1000)/1000</f>
        <v>0</v>
      </c>
      <c r="I740" s="10" cm="1">
        <f t="array" ref="I740">SUMPRODUCT(("SUP_H2NGA"=[1]OUT_SyntheticFuels!$C$4:$C$1000)*1,("CO2_M"=[1]OUT_SyntheticFuels!$A$4:$A$1000)*1,("Var_Fin"=[1]OUT_SyntheticFuels!$B$4:$B$1000)*1,[1]OUT_SyntheticFuels!H$4:H$1000)/1000</f>
        <v>0</v>
      </c>
      <c r="J740" s="10" cm="1">
        <f t="array" ref="J740">SUMPRODUCT(("SUP_H2NGA"=[1]OUT_SyntheticFuels!$C$4:$C$1000)*1,("CO2_M"=[1]OUT_SyntheticFuels!$A$4:$A$1000)*1,("Var_Fin"=[1]OUT_SyntheticFuels!$B$4:$B$1000)*1,[1]OUT_SyntheticFuels!I$4:I$1000)/1000</f>
        <v>0</v>
      </c>
      <c r="K740" s="10" cm="1">
        <f t="array" ref="K740">SUMPRODUCT(("SUP_H2NGA"=[1]OUT_SyntheticFuels!$C$4:$C$1000)*1,("CO2_M"=[1]OUT_SyntheticFuels!$A$4:$A$1000)*1,("Var_Fin"=[1]OUT_SyntheticFuels!$B$4:$B$1000)*1,[1]OUT_SyntheticFuels!J$4:J$1000)/1000</f>
        <v>9.5167521282867734E-2</v>
      </c>
      <c r="L740" s="10" cm="1">
        <f t="array" ref="L740">SUMPRODUCT(("SUP_H2NGA"=[1]OUT_SyntheticFuels!$C$4:$C$1000)*1,("CO2_M"=[1]OUT_SyntheticFuels!$A$4:$A$1000)*1,("Var_Fin"=[1]OUT_SyntheticFuels!$B$4:$B$1000)*1,[1]OUT_SyntheticFuels!K$4:K$1000)/1000</f>
        <v>0.30814522583050064</v>
      </c>
      <c r="M740" s="10" cm="1">
        <f t="array" ref="M740">SUMPRODUCT(("SUP_H2NGA"=[1]OUT_SyntheticFuels!$C$4:$C$1000)*1,("CO2_M"=[1]OUT_SyntheticFuels!$A$4:$A$1000)*1,("Var_Fin"=[1]OUT_SyntheticFuels!$B$4:$B$1000)*1,[1]OUT_SyntheticFuels!L$4:L$1000)/1000</f>
        <v>0.74385016834161677</v>
      </c>
      <c r="N740" s="10" cm="1">
        <f t="array" ref="N740">SUMPRODUCT(("SUP_H2NGA"=[1]OUT_SyntheticFuels!$C$4:$C$1000)*1,("CO2_M"=[1]OUT_SyntheticFuels!$A$4:$A$1000)*1,("Var_Fin"=[1]OUT_SyntheticFuels!$B$4:$B$1000)*1,[1]OUT_SyntheticFuels!M$4:M$1000)/1000</f>
        <v>0.6563726669733928</v>
      </c>
      <c r="O740" s="10" cm="1">
        <f t="array" ref="O740">SUMPRODUCT(("SUP_H2NGA"=[1]OUT_SyntheticFuels!$C$4:$C$1000)*1,("CO2_M"=[1]OUT_SyntheticFuels!$A$4:$A$1000)*1,("Var_Fin"=[1]OUT_SyntheticFuels!$B$4:$B$1000)*1,[1]OUT_SyntheticFuels!N$4:N$1000)/1000</f>
        <v>0.63259804811740028</v>
      </c>
      <c r="P740" s="10" cm="1">
        <f t="array" ref="P740">SUMPRODUCT(("SUP_H2NGA"=[1]OUT_SyntheticFuels!$C$4:$C$1000)*1,("CO2_M"=[1]OUT_SyntheticFuels!$A$4:$A$1000)*1,("Var_Fin"=[1]OUT_SyntheticFuels!$B$4:$B$1000)*1,[1]OUT_SyntheticFuels!O$4:O$1000)/1000</f>
        <v>0.64981652672734114</v>
      </c>
      <c r="Q740" s="10" cm="1">
        <f t="array" ref="Q740">SUMPRODUCT(("SUP_H2NGA"=[1]OUT_SyntheticFuels!$C$4:$C$1000)*1,("CO2_M"=[1]OUT_SyntheticFuels!$A$4:$A$1000)*1,("Var_Fin"=[1]OUT_SyntheticFuels!$B$4:$B$1000)*1,[1]OUT_SyntheticFuels!P$4:P$1000)/1000</f>
        <v>0.65036532974022321</v>
      </c>
      <c r="S740" s="3"/>
    </row>
    <row r="741" spans="2:19" x14ac:dyDescent="0.5">
      <c r="B741" s="5" t="str">
        <f t="shared" ref="B741:B744" si="862">B740</f>
        <v>SPS1</v>
      </c>
      <c r="C741" s="5" t="str">
        <f t="shared" ref="C741:C744" si="863">C740</f>
        <v>CH</v>
      </c>
      <c r="D741" t="s">
        <v>932</v>
      </c>
      <c r="E741" s="5" t="s">
        <v>442</v>
      </c>
      <c r="F741" s="18">
        <f>SUM(F742:F744)</f>
        <v>0</v>
      </c>
      <c r="G741" s="18">
        <f t="shared" ref="G741" si="864">SUM(G742:G744)</f>
        <v>0</v>
      </c>
      <c r="H741" s="18">
        <f t="shared" ref="H741" si="865">SUM(H742:H744)</f>
        <v>0</v>
      </c>
      <c r="I741" s="18">
        <f t="shared" ref="I741" si="866">SUM(I742:I744)</f>
        <v>0</v>
      </c>
      <c r="J741" s="18">
        <f t="shared" ref="J741" si="867">SUM(J742:J744)</f>
        <v>0</v>
      </c>
      <c r="K741" s="18">
        <f t="shared" ref="K741" si="868">SUM(K742:K744)</f>
        <v>0.28769117925993737</v>
      </c>
      <c r="L741" s="18">
        <f t="shared" ref="L741:O741" si="869">SUM(L742:L744)</f>
        <v>0.17340986573000017</v>
      </c>
      <c r="M741" s="18">
        <f t="shared" si="869"/>
        <v>2.6354102601749557E-2</v>
      </c>
      <c r="N741" s="18">
        <f t="shared" si="869"/>
        <v>3.8871614348545393E-2</v>
      </c>
      <c r="O741" s="18">
        <f t="shared" si="869"/>
        <v>1.4582955527858167E-2</v>
      </c>
      <c r="P741" s="18">
        <f>SUM(P742:P744)</f>
        <v>2.1145256312522447E-2</v>
      </c>
      <c r="Q741" s="18">
        <f>SUM(Q742:Q744)</f>
        <v>1.7531064884327544E-2</v>
      </c>
      <c r="S741" s="3"/>
    </row>
    <row r="742" spans="2:19" x14ac:dyDescent="0.5">
      <c r="B742" s="5" t="str">
        <f t="shared" si="862"/>
        <v>SPS1</v>
      </c>
      <c r="C742" s="5" t="str">
        <f t="shared" si="863"/>
        <v>CH</v>
      </c>
      <c r="D742" t="s">
        <v>452</v>
      </c>
      <c r="E742" s="5" t="s">
        <v>442</v>
      </c>
      <c r="F742" s="10" cm="1">
        <f t="array" ref="F742">SUMPRODUCT(("SUP_H2DSL"=[1]OUT_SyntheticFuels!$C$4:$C$1000)*1,("co2_m"=[1]OUT_SyntheticFuels!$A$4:$A$1000)*1,("Var_Fin"=[1]OUT_SyntheticFuels!$B$4:$B$1000)*1,[1]OUT_SyntheticFuels!E$4:E$1000)*IFERROR(F718/SUM(F718,F720),0)/1000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SUMPRODUCT(("SUP_H2DSL"=[1]OUT_SyntheticFuels!$C$4:$C$1000)*1,("co2_m"=[1]OUT_SyntheticFuels!$A$4:$A$1000)*1,("Var_Fin"=[1]OUT_SyntheticFuels!$B$4:$B$1000)*1,[1]OUT_SyntheticFuels!F$4:F$1000)*IFERROR(G718/SUM(G718,G720),0)/1000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SUMPRODUCT(("SUP_H2DSL"=[1]OUT_SyntheticFuels!$C$4:$C$1000)*1,("co2_m"=[1]OUT_SyntheticFuels!$A$4:$A$1000)*1,("Var_Fin"=[1]OUT_SyntheticFuels!$B$4:$B$1000)*1,[1]OUT_SyntheticFuels!G$4:G$1000)*IFERROR(H718/SUM(H718,H720),0)/1000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SUMPRODUCT(("SUP_H2DSL"=[1]OUT_SyntheticFuels!$C$4:$C$1000)*1,("co2_m"=[1]OUT_SyntheticFuels!$A$4:$A$1000)*1,("Var_Fin"=[1]OUT_SyntheticFuels!$B$4:$B$1000)*1,[1]OUT_SyntheticFuels!H$4:H$1000)*IFERROR(I718/SUM(I718,I720),0)/1000</f>
        <v>0</v>
      </c>
      <c r="J742" s="10" cm="1">
        <f t="array" ref="J742">SUMPRODUCT(("SUP_H2DSL"=[1]OUT_SyntheticFuels!$C$4:$C$1000)*1,("co2_m"=[1]OUT_SyntheticFuels!$A$4:$A$1000)*1,("Var_Fin"=[1]OUT_SyntheticFuels!$B$4:$B$1000)*1,[1]OUT_SyntheticFuels!I$4:I$1000)*IFERROR(J718/SUM(J718,J720),0)/1000</f>
        <v>0</v>
      </c>
      <c r="K742" s="10" cm="1">
        <f t="array" ref="K742">SUMPRODUCT(("SUP_H2DSL"=[1]OUT_SyntheticFuels!$C$4:$C$1000)*1,("co2_m"=[1]OUT_SyntheticFuels!$A$4:$A$1000)*1,("Var_Fin"=[1]OUT_SyntheticFuels!$B$4:$B$1000)*1,[1]OUT_SyntheticFuels!J$4:J$1000)*IFERROR(K718/SUM(K718,K720),0)/1000</f>
        <v>8.3218036260803249E-2</v>
      </c>
      <c r="L742" s="10" cm="1">
        <f t="array" ref="L742">SUMPRODUCT(("SUP_H2DSL"=[1]OUT_SyntheticFuels!$C$4:$C$1000)*1,("co2_m"=[1]OUT_SyntheticFuels!$A$4:$A$1000)*1,("Var_Fin"=[1]OUT_SyntheticFuels!$B$4:$B$1000)*1,[1]OUT_SyntheticFuels!K$4:K$1000)*IFERROR(L718/SUM(L718,L720),0)/1000</f>
        <v>6.8148333445330361E-2</v>
      </c>
      <c r="M742" s="10" cm="1">
        <f t="array" ref="M742">SUMPRODUCT(("SUP_H2DSL"=[1]OUT_SyntheticFuels!$C$4:$C$1000)*1,("co2_m"=[1]OUT_SyntheticFuels!$A$4:$A$1000)*1,("Var_Fin"=[1]OUT_SyntheticFuels!$B$4:$B$1000)*1,[1]OUT_SyntheticFuels!L$4:L$1000)*IFERROR(M718/SUM(M718,M720),0)/1000</f>
        <v>9.5818854935528983E-3</v>
      </c>
      <c r="N742" s="10" cm="1">
        <f t="array" ref="N742">SUMPRODUCT(("SUP_H2DSL"=[1]OUT_SyntheticFuels!$C$4:$C$1000)*1,("co2_m"=[1]OUT_SyntheticFuels!$A$4:$A$1000)*1,("Var_Fin"=[1]OUT_SyntheticFuels!$B$4:$B$1000)*1,[1]OUT_SyntheticFuels!M$4:M$1000)*IFERROR(N718/SUM(N718,N720),0)/1000</f>
        <v>2.3619430740689597E-2</v>
      </c>
      <c r="O742" s="10" cm="1">
        <f t="array" ref="O742">SUMPRODUCT(("SUP_H2DSL"=[1]OUT_SyntheticFuels!$C$4:$C$1000)*1,("co2_m"=[1]OUT_SyntheticFuels!$A$4:$A$1000)*1,("Var_Fin"=[1]OUT_SyntheticFuels!$B$4:$B$1000)*1,[1]OUT_SyntheticFuels!N$4:N$1000)*IFERROR(O718/SUM(O718,O720),0)/1000</f>
        <v>4.0751221058747737E-4</v>
      </c>
      <c r="P742" s="10" cm="1">
        <f t="array" ref="P742">SUMPRODUCT(("SUP_H2DSL"=[1]OUT_SyntheticFuels!$C$4:$C$1000)*1,("co2_m"=[1]OUT_SyntheticFuels!$A$4:$A$1000)*1,("Var_Fin"=[1]OUT_SyntheticFuels!$B$4:$B$1000)*1,[1]OUT_SyntheticFuels!O$4:O$1000)*IFERROR(P718/SUM(P718,P720),0)/1000</f>
        <v>3.9167135806619001E-3</v>
      </c>
      <c r="Q742" s="10" cm="1">
        <f t="array" ref="Q742">SUMPRODUCT(("SUP_H2DSL"=[1]OUT_SyntheticFuels!$C$4:$C$1000)*1,("co2_m"=[1]OUT_SyntheticFuels!$A$4:$A$1000)*1,("Var_Fin"=[1]OUT_SyntheticFuels!$B$4:$B$1000)*1,[1]OUT_SyntheticFuels!P$4:P$1000)*IFERROR(Q718/SUM(Q718,Q720),0)/1000</f>
        <v>3.4384868328725311E-3</v>
      </c>
      <c r="S742" s="3"/>
    </row>
    <row r="743" spans="2:19" x14ac:dyDescent="0.5">
      <c r="B743" s="5" t="str">
        <f t="shared" si="862"/>
        <v>SPS1</v>
      </c>
      <c r="C743" s="5" t="str">
        <f t="shared" si="863"/>
        <v>CH</v>
      </c>
      <c r="D743" t="s">
        <v>453</v>
      </c>
      <c r="E743" s="5" t="s">
        <v>442</v>
      </c>
      <c r="F743" s="10" cm="1">
        <f t="array" ref="F743">SUMPRODUCT(("SUP_H2GSL"=[1]OUT_SyntheticFuels!$C$4:$C$1000)*1,("co2_m"=[1]OUT_SyntheticFuels!$A$4:$A$1000)*1,("Var_Fin"=[1]OUT_SyntheticFuels!$B$4:$B$1000)*1,[1]OUT_SyntheticFuels!E$4:E$1000)/1000</f>
        <v>0</v>
      </c>
      <c r="G743" s="10" cm="1">
        <f t="array" ref="G743">SUMPRODUCT(("SUP_H2GSL"=[1]OUT_SyntheticFuels!$C$4:$C$1000)*1,("co2_m"=[1]OUT_SyntheticFuels!$A$4:$A$1000)*1,("Var_Fin"=[1]OUT_SyntheticFuels!$B$4:$B$1000)*1,[1]OUT_SyntheticFuels!F$4:F$1000)/1000</f>
        <v>0</v>
      </c>
      <c r="H743" s="10" cm="1">
        <f t="array" ref="H743">SUMPRODUCT(("SUP_H2GSL"=[1]OUT_SyntheticFuels!$C$4:$C$1000)*1,("co2_m"=[1]OUT_SyntheticFuels!$A$4:$A$1000)*1,("Var_Fin"=[1]OUT_SyntheticFuels!$B$4:$B$1000)*1,[1]OUT_SyntheticFuels!G$4:G$1000)/1000</f>
        <v>0</v>
      </c>
      <c r="I743" s="10" cm="1">
        <f t="array" ref="I743">SUMPRODUCT(("SUP_H2GSL"=[1]OUT_SyntheticFuels!$C$4:$C$1000)*1,("co2_m"=[1]OUT_SyntheticFuels!$A$4:$A$1000)*1,("Var_Fin"=[1]OUT_SyntheticFuels!$B$4:$B$1000)*1,[1]OUT_SyntheticFuels!H$4:H$1000)/1000</f>
        <v>0</v>
      </c>
      <c r="J743" s="10" cm="1">
        <f t="array" ref="J743">SUMPRODUCT(("SUP_H2GSL"=[1]OUT_SyntheticFuels!$C$4:$C$1000)*1,("co2_m"=[1]OUT_SyntheticFuels!$A$4:$A$1000)*1,("Var_Fin"=[1]OUT_SyntheticFuels!$B$4:$B$1000)*1,[1]OUT_SyntheticFuels!I$4:I$1000)/1000</f>
        <v>0</v>
      </c>
      <c r="K743" s="10" cm="1">
        <f t="array" ref="K743">SUMPRODUCT(("SUP_H2GSL"=[1]OUT_SyntheticFuels!$C$4:$C$1000)*1,("co2_m"=[1]OUT_SyntheticFuels!$A$4:$A$1000)*1,("Var_Fin"=[1]OUT_SyntheticFuels!$B$4:$B$1000)*1,[1]OUT_SyntheticFuels!J$4:J$1000)/1000</f>
        <v>0.17011698066716022</v>
      </c>
      <c r="L743" s="10" cm="1">
        <f t="array" ref="L743">SUMPRODUCT(("SUP_H2GSL"=[1]OUT_SyntheticFuels!$C$4:$C$1000)*1,("co2_m"=[1]OUT_SyntheticFuels!$A$4:$A$1000)*1,("Var_Fin"=[1]OUT_SyntheticFuels!$B$4:$B$1000)*1,[1]OUT_SyntheticFuels!K$4:K$1000)/1000</f>
        <v>7.786392210401058E-2</v>
      </c>
      <c r="M743" s="10" cm="1">
        <f t="array" ref="M743">SUMPRODUCT(("SUP_H2GSL"=[1]OUT_SyntheticFuels!$C$4:$C$1000)*1,("co2_m"=[1]OUT_SyntheticFuels!$A$4:$A$1000)*1,("Var_Fin"=[1]OUT_SyntheticFuels!$B$4:$B$1000)*1,[1]OUT_SyntheticFuels!L$4:L$1000)/1000</f>
        <v>1.6772129633304773E-2</v>
      </c>
      <c r="N743" s="10" cm="1">
        <f t="array" ref="N743">SUMPRODUCT(("SUP_H2GSL"=[1]OUT_SyntheticFuels!$C$4:$C$1000)*1,("co2_m"=[1]OUT_SyntheticFuels!$A$4:$A$1000)*1,("Var_Fin"=[1]OUT_SyntheticFuels!$B$4:$B$1000)*1,[1]OUT_SyntheticFuels!M$4:M$1000)/1000</f>
        <v>1.5217614897426695E-2</v>
      </c>
      <c r="O743" s="10" cm="1">
        <f t="array" ref="O743">SUMPRODUCT(("SUP_H2GSL"=[1]OUT_SyntheticFuels!$C$4:$C$1000)*1,("co2_m"=[1]OUT_SyntheticFuels!$A$4:$A$1000)*1,("Var_Fin"=[1]OUT_SyntheticFuels!$B$4:$B$1000)*1,[1]OUT_SyntheticFuels!N$4:N$1000)/1000</f>
        <v>1.414537578218609E-2</v>
      </c>
      <c r="P743" s="10" cm="1">
        <f t="array" ref="P743">SUMPRODUCT(("SUP_H2GSL"=[1]OUT_SyntheticFuels!$C$4:$C$1000)*1,("co2_m"=[1]OUT_SyntheticFuels!$A$4:$A$1000)*1,("Var_Fin"=[1]OUT_SyntheticFuels!$B$4:$B$1000)*1,[1]OUT_SyntheticFuels!O$4:O$1000)/1000</f>
        <v>1.7198411204666333E-2</v>
      </c>
      <c r="Q743" s="10" cm="1">
        <f t="array" ref="Q743">SUMPRODUCT(("SUP_H2GSL"=[1]OUT_SyntheticFuels!$C$4:$C$1000)*1,("co2_m"=[1]OUT_SyntheticFuels!$A$4:$A$1000)*1,("Var_Fin"=[1]OUT_SyntheticFuels!$B$4:$B$1000)*1,[1]OUT_SyntheticFuels!P$4:P$1000)/1000</f>
        <v>1.4040520237027395E-2</v>
      </c>
      <c r="S743" s="3"/>
    </row>
    <row r="744" spans="2:19" x14ac:dyDescent="0.5">
      <c r="B744" s="5" t="str">
        <f t="shared" si="862"/>
        <v>SPS1</v>
      </c>
      <c r="C744" s="5" t="str">
        <f t="shared" si="863"/>
        <v>CH</v>
      </c>
      <c r="D744" t="s">
        <v>454</v>
      </c>
      <c r="E744" s="5" t="s">
        <v>442</v>
      </c>
      <c r="F744" s="10" cm="1">
        <f t="array" ref="F744">SUMPRODUCT(("SUP_H2DSL"=[1]OUT_SyntheticFuels!$C$4:$C$1000)*1,("co2_m"=[1]OUT_SyntheticFuels!$A$4:$A$1000)*1,("Var_Fin"=[1]OUT_SyntheticFuels!$B$4:$B$1000)*1,[1]OUT_SyntheticFuels!E$4:E$1000)/1000-F742</f>
        <v>0</v>
      </c>
      <c r="G744" s="10" cm="1">
        <f t="array" ref="G744">SUMPRODUCT(("SUP_H2DSL"=[1]OUT_SyntheticFuels!$C$4:$C$1000)*1,("co2_m"=[1]OUT_SyntheticFuels!$A$4:$A$1000)*1,("Var_Fin"=[1]OUT_SyntheticFuels!$B$4:$B$1000)*1,[1]OUT_SyntheticFuels!F$4:F$1000)/1000-G742</f>
        <v>0</v>
      </c>
      <c r="H744" s="10" cm="1">
        <f t="array" ref="H744">SUMPRODUCT(("SUP_H2DSL"=[1]OUT_SyntheticFuels!$C$4:$C$1000)*1,("co2_m"=[1]OUT_SyntheticFuels!$A$4:$A$1000)*1,("Var_Fin"=[1]OUT_SyntheticFuels!$B$4:$B$1000)*1,[1]OUT_SyntheticFuels!G$4:G$1000)/1000-H742</f>
        <v>0</v>
      </c>
      <c r="I744" s="10" cm="1">
        <f t="array" ref="I744">SUMPRODUCT(("SUP_H2DSL"=[1]OUT_SyntheticFuels!$C$4:$C$1000)*1,("co2_m"=[1]OUT_SyntheticFuels!$A$4:$A$1000)*1,("Var_Fin"=[1]OUT_SyntheticFuels!$B$4:$B$1000)*1,[1]OUT_SyntheticFuels!H$4:H$1000)/1000-I742</f>
        <v>0</v>
      </c>
      <c r="J744" s="10" cm="1">
        <f t="array" ref="J744">SUMPRODUCT(("SUP_H2DSL"=[1]OUT_SyntheticFuels!$C$4:$C$1000)*1,("co2_m"=[1]OUT_SyntheticFuels!$A$4:$A$1000)*1,("Var_Fin"=[1]OUT_SyntheticFuels!$B$4:$B$1000)*1,[1]OUT_SyntheticFuels!I$4:I$1000)/1000-J742</f>
        <v>0</v>
      </c>
      <c r="K744" s="10" cm="1">
        <f t="array" ref="K744">SUMPRODUCT(("SUP_H2DSL"=[1]OUT_SyntheticFuels!$C$4:$C$1000)*1,("co2_m"=[1]OUT_SyntheticFuels!$A$4:$A$1000)*1,("Var_Fin"=[1]OUT_SyntheticFuels!$B$4:$B$1000)*1,[1]OUT_SyntheticFuels!J$4:J$1000)/1000-K742</f>
        <v>3.4356162331973902E-2</v>
      </c>
      <c r="L744" s="10" cm="1">
        <f t="array" ref="L744">SUMPRODUCT(("SUP_H2DSL"=[1]OUT_SyntheticFuels!$C$4:$C$1000)*1,("co2_m"=[1]OUT_SyntheticFuels!$A$4:$A$1000)*1,("Var_Fin"=[1]OUT_SyntheticFuels!$B$4:$B$1000)*1,[1]OUT_SyntheticFuels!K$4:K$1000)/1000-L742</f>
        <v>2.7397610180659226E-2</v>
      </c>
      <c r="M744" s="10" cm="1">
        <f t="array" ref="M744">SUMPRODUCT(("SUP_H2DSL"=[1]OUT_SyntheticFuels!$C$4:$C$1000)*1,("co2_m"=[1]OUT_SyntheticFuels!$A$4:$A$1000)*1,("Var_Fin"=[1]OUT_SyntheticFuels!$B$4:$B$1000)*1,[1]OUT_SyntheticFuels!L$4:L$1000)/1000-M742</f>
        <v>8.7474891887276418E-8</v>
      </c>
      <c r="N744" s="10" cm="1">
        <f t="array" ref="N744">SUMPRODUCT(("SUP_H2DSL"=[1]OUT_SyntheticFuels!$C$4:$C$1000)*1,("co2_m"=[1]OUT_SyntheticFuels!$A$4:$A$1000)*1,("Var_Fin"=[1]OUT_SyntheticFuels!$B$4:$B$1000)*1,[1]OUT_SyntheticFuels!M$4:M$1000)/1000-N742</f>
        <v>3.4568710429103144E-5</v>
      </c>
      <c r="O744" s="10" cm="1">
        <f t="array" ref="O744">SUMPRODUCT(("SUP_H2DSL"=[1]OUT_SyntheticFuels!$C$4:$C$1000)*1,("co2_m"=[1]OUT_SyntheticFuels!$A$4:$A$1000)*1,("Var_Fin"=[1]OUT_SyntheticFuels!$B$4:$B$1000)*1,[1]OUT_SyntheticFuels!N$4:N$1000)/1000-O742</f>
        <v>3.0067535084600376E-5</v>
      </c>
      <c r="P744" s="10" cm="1">
        <f t="array" ref="P744">SUMPRODUCT(("SUP_H2DSL"=[1]OUT_SyntheticFuels!$C$4:$C$1000)*1,("co2_m"=[1]OUT_SyntheticFuels!$A$4:$A$1000)*1,("Var_Fin"=[1]OUT_SyntheticFuels!$B$4:$B$1000)*1,[1]OUT_SyntheticFuels!O$4:O$1000)/1000-P742</f>
        <v>3.0131527194212845E-5</v>
      </c>
      <c r="Q744" s="10" cm="1">
        <f t="array" ref="Q744">SUMPRODUCT(("SUP_H2DSL"=[1]OUT_SyntheticFuels!$C$4:$C$1000)*1,("co2_m"=[1]OUT_SyntheticFuels!$A$4:$A$1000)*1,("Var_Fin"=[1]OUT_SyntheticFuels!$B$4:$B$1000)*1,[1]OUT_SyntheticFuels!P$4:P$1000)/1000-Q742</f>
        <v>5.2057814427616377E-5</v>
      </c>
      <c r="S744" s="3"/>
    </row>
    <row r="745" spans="2:19" x14ac:dyDescent="0.5">
      <c r="B745" s="5" t="str">
        <f>B741</f>
        <v>SPS1</v>
      </c>
      <c r="C745" s="5" t="str">
        <f>C741</f>
        <v>CH</v>
      </c>
      <c r="D745" t="s">
        <v>933</v>
      </c>
      <c r="E745" s="5" t="s">
        <v>442</v>
      </c>
      <c r="F745" s="18">
        <f>IFERROR(F$736/F$735,0)*F739</f>
        <v>0</v>
      </c>
      <c r="G745" s="18">
        <f t="shared" ref="G745:K745" si="870">IFERROR(G$736/G$735,0)*G739</f>
        <v>0</v>
      </c>
      <c r="H745" s="18">
        <f t="shared" si="870"/>
        <v>0</v>
      </c>
      <c r="I745" s="18">
        <f t="shared" si="870"/>
        <v>0</v>
      </c>
      <c r="J745" s="18">
        <f t="shared" si="870"/>
        <v>0</v>
      </c>
      <c r="K745" s="18">
        <f t="shared" si="870"/>
        <v>8.5667725893450425E-2</v>
      </c>
      <c r="L745" s="18">
        <f t="shared" ref="L745:O745" si="871">IFERROR(L$736/L$735,0)*L739</f>
        <v>0.21921051953116671</v>
      </c>
      <c r="M745" s="18">
        <f t="shared" si="871"/>
        <v>0.53655646206407104</v>
      </c>
      <c r="N745" s="18">
        <f t="shared" si="871"/>
        <v>0.39212232883471732</v>
      </c>
      <c r="O745" s="18">
        <f t="shared" si="871"/>
        <v>0.38892433726399106</v>
      </c>
      <c r="P745" s="18">
        <f t="shared" ref="P745:Q750" si="872">IFERROR(P$736/P$735,0)*P739</f>
        <v>0.37776758099415031</v>
      </c>
      <c r="Q745" s="18">
        <f t="shared" si="872"/>
        <v>0</v>
      </c>
      <c r="S745" s="3"/>
    </row>
    <row r="746" spans="2:19" x14ac:dyDescent="0.5">
      <c r="B746" s="5" t="str">
        <f>B745</f>
        <v>SPS1</v>
      </c>
      <c r="C746" s="5" t="str">
        <f>C745</f>
        <v>CH</v>
      </c>
      <c r="D746" t="s">
        <v>456</v>
      </c>
      <c r="E746" s="5" t="s">
        <v>442</v>
      </c>
      <c r="F746" s="18">
        <f t="shared" ref="F746:K746" si="873">IFERROR(F$736/F$735,0)*F740</f>
        <v>0</v>
      </c>
      <c r="G746" s="18">
        <f t="shared" si="873"/>
        <v>0</v>
      </c>
      <c r="H746" s="18">
        <f t="shared" si="873"/>
        <v>0</v>
      </c>
      <c r="I746" s="18">
        <f t="shared" si="873"/>
        <v>0</v>
      </c>
      <c r="J746" s="18">
        <f t="shared" si="873"/>
        <v>0</v>
      </c>
      <c r="K746" s="18">
        <f t="shared" si="873"/>
        <v>8.5667725893450425E-2</v>
      </c>
      <c r="L746" s="18">
        <f t="shared" ref="L746:O746" si="874">IFERROR(L$736/L$735,0)*L740</f>
        <v>0.21921051953116671</v>
      </c>
      <c r="M746" s="18">
        <f t="shared" si="874"/>
        <v>0.53655646206407104</v>
      </c>
      <c r="N746" s="18">
        <f t="shared" si="874"/>
        <v>0.39212232883471732</v>
      </c>
      <c r="O746" s="18">
        <f t="shared" si="874"/>
        <v>0.38892433726399106</v>
      </c>
      <c r="P746" s="18">
        <f t="shared" si="872"/>
        <v>0.37776758099415031</v>
      </c>
      <c r="Q746" s="18">
        <f t="shared" si="872"/>
        <v>0</v>
      </c>
      <c r="S746" s="3"/>
    </row>
    <row r="747" spans="2:19" x14ac:dyDescent="0.5">
      <c r="B747" s="5" t="str">
        <f t="shared" ref="B747:B750" si="875">B746</f>
        <v>SPS1</v>
      </c>
      <c r="C747" s="5" t="str">
        <f t="shared" ref="C747:C750" si="876">C746</f>
        <v>CH</v>
      </c>
      <c r="D747" t="s">
        <v>934</v>
      </c>
      <c r="E747" s="5" t="s">
        <v>442</v>
      </c>
      <c r="F747" s="18">
        <f t="shared" ref="F747:K747" si="877">IFERROR(F$736/F$735,0)*F741</f>
        <v>0</v>
      </c>
      <c r="G747" s="18">
        <f t="shared" si="877"/>
        <v>0</v>
      </c>
      <c r="H747" s="18">
        <f t="shared" si="877"/>
        <v>0</v>
      </c>
      <c r="I747" s="18">
        <f t="shared" si="877"/>
        <v>0</v>
      </c>
      <c r="J747" s="18">
        <f t="shared" si="877"/>
        <v>0</v>
      </c>
      <c r="K747" s="18">
        <f t="shared" si="877"/>
        <v>0.25897332151321489</v>
      </c>
      <c r="L747" s="18">
        <f t="shared" ref="L747:O747" si="878">IFERROR(L$736/L$735,0)*L741</f>
        <v>0.12336153077189942</v>
      </c>
      <c r="M747" s="18">
        <f t="shared" si="878"/>
        <v>1.9009828396481854E-2</v>
      </c>
      <c r="N747" s="18">
        <f t="shared" si="878"/>
        <v>2.3222216144680671E-2</v>
      </c>
      <c r="O747" s="18">
        <f t="shared" si="878"/>
        <v>8.9656715364539348E-3</v>
      </c>
      <c r="P747" s="18">
        <f t="shared" si="872"/>
        <v>1.2292688779266153E-2</v>
      </c>
      <c r="Q747" s="18">
        <f t="shared" si="872"/>
        <v>0</v>
      </c>
      <c r="S747" s="3"/>
    </row>
    <row r="748" spans="2:19" x14ac:dyDescent="0.5">
      <c r="B748" s="5" t="str">
        <f t="shared" si="875"/>
        <v>SPS1</v>
      </c>
      <c r="C748" s="5" t="str">
        <f t="shared" si="876"/>
        <v>CH</v>
      </c>
      <c r="D748" t="s">
        <v>457</v>
      </c>
      <c r="E748" s="5" t="s">
        <v>442</v>
      </c>
      <c r="F748" s="18">
        <f t="shared" ref="F748:K748" si="879">IFERROR(F$736/F$735,0)*F742</f>
        <v>0</v>
      </c>
      <c r="G748" s="18">
        <f t="shared" si="879"/>
        <v>0</v>
      </c>
      <c r="H748" s="18">
        <f t="shared" si="879"/>
        <v>0</v>
      </c>
      <c r="I748" s="18">
        <f t="shared" si="879"/>
        <v>0</v>
      </c>
      <c r="J748" s="18">
        <f t="shared" si="879"/>
        <v>0</v>
      </c>
      <c r="K748" s="18">
        <f t="shared" si="879"/>
        <v>7.4911060240728453E-2</v>
      </c>
      <c r="L748" s="18">
        <f t="shared" ref="L748:O748" si="880">IFERROR(L$736/L$735,0)*L742</f>
        <v>4.8479841086200549E-2</v>
      </c>
      <c r="M748" s="18">
        <f t="shared" si="880"/>
        <v>6.9116373150602791E-3</v>
      </c>
      <c r="N748" s="18">
        <f t="shared" si="880"/>
        <v>1.4110438556950081E-2</v>
      </c>
      <c r="O748" s="18">
        <f t="shared" si="880"/>
        <v>2.5054047653385279E-4</v>
      </c>
      <c r="P748" s="18">
        <f t="shared" si="872"/>
        <v>2.2769618099208739E-3</v>
      </c>
      <c r="Q748" s="18">
        <f t="shared" si="872"/>
        <v>0</v>
      </c>
      <c r="S748" s="3"/>
    </row>
    <row r="749" spans="2:19" x14ac:dyDescent="0.5">
      <c r="B749" s="5" t="str">
        <f t="shared" si="875"/>
        <v>SPS1</v>
      </c>
      <c r="C749" s="5" t="str">
        <f t="shared" si="876"/>
        <v>CH</v>
      </c>
      <c r="D749" t="s">
        <v>458</v>
      </c>
      <c r="E749" s="5" t="s">
        <v>442</v>
      </c>
      <c r="F749" s="18">
        <f t="shared" ref="F749:K749" si="881">IFERROR(F$736/F$735,0)*F743</f>
        <v>0</v>
      </c>
      <c r="G749" s="18">
        <f t="shared" si="881"/>
        <v>0</v>
      </c>
      <c r="H749" s="18">
        <f t="shared" si="881"/>
        <v>0</v>
      </c>
      <c r="I749" s="18">
        <f t="shared" si="881"/>
        <v>0</v>
      </c>
      <c r="J749" s="18">
        <f t="shared" si="881"/>
        <v>0</v>
      </c>
      <c r="K749" s="18">
        <f t="shared" si="881"/>
        <v>0.15313559366854337</v>
      </c>
      <c r="L749" s="18">
        <f t="shared" ref="L749:O749" si="882">IFERROR(L$736/L$735,0)*L743</f>
        <v>5.5391384926220658E-2</v>
      </c>
      <c r="M749" s="18">
        <f t="shared" si="882"/>
        <v>1.2098127983743431E-2</v>
      </c>
      <c r="N749" s="18">
        <f t="shared" si="882"/>
        <v>9.0911259611161296E-3</v>
      </c>
      <c r="O749" s="18">
        <f t="shared" si="882"/>
        <v>8.6966453940367609E-3</v>
      </c>
      <c r="P749" s="18">
        <f t="shared" si="872"/>
        <v>9.9982101570272788E-3</v>
      </c>
      <c r="Q749" s="18">
        <f t="shared" si="872"/>
        <v>0</v>
      </c>
      <c r="S749" s="3"/>
    </row>
    <row r="750" spans="2:19" x14ac:dyDescent="0.5">
      <c r="B750" s="5" t="str">
        <f t="shared" si="875"/>
        <v>SPS1</v>
      </c>
      <c r="C750" s="5" t="str">
        <f t="shared" si="876"/>
        <v>CH</v>
      </c>
      <c r="D750" t="s">
        <v>459</v>
      </c>
      <c r="E750" s="5" t="s">
        <v>442</v>
      </c>
      <c r="F750" s="18">
        <f t="shared" ref="F750:K750" si="883">IFERROR(F$736/F$735,0)*F744</f>
        <v>0</v>
      </c>
      <c r="G750" s="18">
        <f t="shared" si="883"/>
        <v>0</v>
      </c>
      <c r="H750" s="18">
        <f t="shared" si="883"/>
        <v>0</v>
      </c>
      <c r="I750" s="18">
        <f t="shared" si="883"/>
        <v>0</v>
      </c>
      <c r="J750" s="18">
        <f t="shared" si="883"/>
        <v>0</v>
      </c>
      <c r="K750" s="18">
        <f t="shared" si="883"/>
        <v>3.0926667603943057E-2</v>
      </c>
      <c r="L750" s="18">
        <f t="shared" ref="L750:O750" si="884">IFERROR(L$736/L$735,0)*L744</f>
        <v>1.9490304759478199E-2</v>
      </c>
      <c r="M750" s="18">
        <f t="shared" si="884"/>
        <v>6.3097678145471526E-8</v>
      </c>
      <c r="N750" s="18">
        <f t="shared" si="884"/>
        <v>2.0651626614461669E-5</v>
      </c>
      <c r="O750" s="18">
        <f t="shared" si="884"/>
        <v>1.8485665883322135E-5</v>
      </c>
      <c r="P750" s="18">
        <f t="shared" si="872"/>
        <v>1.7516812317999659E-5</v>
      </c>
      <c r="Q750" s="18">
        <f t="shared" si="872"/>
        <v>0</v>
      </c>
      <c r="S750" s="3"/>
    </row>
    <row r="751" spans="2:19" x14ac:dyDescent="0.5">
      <c r="B751" s="5" t="str">
        <f>B747</f>
        <v>SPS1</v>
      </c>
      <c r="C751" s="5" t="str">
        <f>C747</f>
        <v>CH</v>
      </c>
      <c r="D751" t="s">
        <v>935</v>
      </c>
      <c r="E751" s="5" t="s">
        <v>442</v>
      </c>
      <c r="F751" s="18">
        <f>IFERROR(F$737/F$735,0)*F739</f>
        <v>0</v>
      </c>
      <c r="G751" s="18">
        <f t="shared" ref="G751:K751" si="885">IFERROR(G$737/G$735,0)*G739</f>
        <v>0</v>
      </c>
      <c r="H751" s="18">
        <f t="shared" si="885"/>
        <v>0</v>
      </c>
      <c r="I751" s="18">
        <f t="shared" si="885"/>
        <v>0</v>
      </c>
      <c r="J751" s="18">
        <f t="shared" si="885"/>
        <v>0</v>
      </c>
      <c r="K751" s="18">
        <f t="shared" si="885"/>
        <v>9.4991190043239269E-3</v>
      </c>
      <c r="L751" s="18">
        <f t="shared" ref="L751:O751" si="886">IFERROR(L$737/L$735,0)*L739</f>
        <v>8.7898174196059956E-2</v>
      </c>
      <c r="M751" s="18">
        <f t="shared" si="886"/>
        <v>0.18575464269335734</v>
      </c>
      <c r="N751" s="18">
        <f t="shared" si="886"/>
        <v>0.14752471075856061</v>
      </c>
      <c r="O751" s="18">
        <f t="shared" si="886"/>
        <v>0.1299063700193987</v>
      </c>
      <c r="P751" s="18">
        <f t="shared" ref="P751:Q756" si="887">IFERROR(P$737/P$735,0)*P739</f>
        <v>0.12315822359713527</v>
      </c>
      <c r="Q751" s="18">
        <f t="shared" si="887"/>
        <v>0.65036532974022321</v>
      </c>
      <c r="S751" s="3"/>
    </row>
    <row r="752" spans="2:19" x14ac:dyDescent="0.5">
      <c r="B752" s="5" t="str">
        <f>B751</f>
        <v>SPS1</v>
      </c>
      <c r="C752" s="5" t="str">
        <f>C751</f>
        <v>CH</v>
      </c>
      <c r="D752" t="s">
        <v>460</v>
      </c>
      <c r="E752" s="5" t="s">
        <v>442</v>
      </c>
      <c r="F752" s="18">
        <f t="shared" ref="F752:K752" si="888">IFERROR(F$737/F$735,0)*F740</f>
        <v>0</v>
      </c>
      <c r="G752" s="18">
        <f t="shared" si="888"/>
        <v>0</v>
      </c>
      <c r="H752" s="18">
        <f t="shared" si="888"/>
        <v>0</v>
      </c>
      <c r="I752" s="18">
        <f t="shared" si="888"/>
        <v>0</v>
      </c>
      <c r="J752" s="18">
        <f t="shared" si="888"/>
        <v>0</v>
      </c>
      <c r="K752" s="18">
        <f t="shared" si="888"/>
        <v>9.4991190043239269E-3</v>
      </c>
      <c r="L752" s="18">
        <f t="shared" ref="L752:O752" si="889">IFERROR(L$737/L$735,0)*L740</f>
        <v>8.7898174196059956E-2</v>
      </c>
      <c r="M752" s="18">
        <f t="shared" si="889"/>
        <v>0.18575464269335734</v>
      </c>
      <c r="N752" s="18">
        <f t="shared" si="889"/>
        <v>0.14752471075856061</v>
      </c>
      <c r="O752" s="18">
        <f t="shared" si="889"/>
        <v>0.1299063700193987</v>
      </c>
      <c r="P752" s="18">
        <f t="shared" si="887"/>
        <v>0.12315822359713527</v>
      </c>
      <c r="Q752" s="18">
        <f t="shared" si="887"/>
        <v>0.65036532974022321</v>
      </c>
      <c r="S752" s="3"/>
    </row>
    <row r="753" spans="2:19" x14ac:dyDescent="0.5">
      <c r="B753" s="5" t="str">
        <f t="shared" ref="B753:B756" si="890">B752</f>
        <v>SPS1</v>
      </c>
      <c r="C753" s="5" t="str">
        <f t="shared" ref="C753:C756" si="891">C752</f>
        <v>CH</v>
      </c>
      <c r="D753" t="s">
        <v>936</v>
      </c>
      <c r="E753" s="5" t="s">
        <v>442</v>
      </c>
      <c r="F753" s="18">
        <f t="shared" ref="F753:K753" si="892">IFERROR(F$737/F$735,0)*F741</f>
        <v>0</v>
      </c>
      <c r="G753" s="18">
        <f t="shared" si="892"/>
        <v>0</v>
      </c>
      <c r="H753" s="18">
        <f t="shared" si="892"/>
        <v>0</v>
      </c>
      <c r="I753" s="18">
        <f t="shared" si="892"/>
        <v>0</v>
      </c>
      <c r="J753" s="18">
        <f t="shared" si="892"/>
        <v>0</v>
      </c>
      <c r="K753" s="18">
        <f t="shared" si="892"/>
        <v>2.8715813036273748E-2</v>
      </c>
      <c r="L753" s="18">
        <f t="shared" ref="L753:O753" si="893">IFERROR(L$737/L$735,0)*L741</f>
        <v>4.9465022682633454E-2</v>
      </c>
      <c r="M753" s="18">
        <f t="shared" si="893"/>
        <v>6.5811599171996605E-3</v>
      </c>
      <c r="N753" s="18">
        <f t="shared" si="893"/>
        <v>8.7366887014506522E-3</v>
      </c>
      <c r="O753" s="18">
        <f t="shared" si="893"/>
        <v>2.9946643408340144E-3</v>
      </c>
      <c r="P753" s="18">
        <f t="shared" si="887"/>
        <v>4.0076115300913028E-3</v>
      </c>
      <c r="Q753" s="18">
        <f t="shared" si="887"/>
        <v>1.7531064884327544E-2</v>
      </c>
      <c r="S753" s="3"/>
    </row>
    <row r="754" spans="2:19" x14ac:dyDescent="0.5">
      <c r="B754" s="5" t="str">
        <f t="shared" si="890"/>
        <v>SPS1</v>
      </c>
      <c r="C754" s="5" t="str">
        <f t="shared" si="891"/>
        <v>CH</v>
      </c>
      <c r="D754" t="s">
        <v>461</v>
      </c>
      <c r="E754" s="5" t="s">
        <v>442</v>
      </c>
      <c r="F754" s="18">
        <f t="shared" ref="F754:K754" si="894">IFERROR(F$737/F$735,0)*F742</f>
        <v>0</v>
      </c>
      <c r="G754" s="18">
        <f t="shared" si="894"/>
        <v>0</v>
      </c>
      <c r="H754" s="18">
        <f t="shared" si="894"/>
        <v>0</v>
      </c>
      <c r="I754" s="18">
        <f t="shared" si="894"/>
        <v>0</v>
      </c>
      <c r="J754" s="18">
        <f t="shared" si="894"/>
        <v>0</v>
      </c>
      <c r="K754" s="18">
        <f t="shared" si="894"/>
        <v>8.30638456367804E-3</v>
      </c>
      <c r="L754" s="18">
        <f t="shared" ref="L754:O754" si="895">IFERROR(L$737/L$735,0)*L742</f>
        <v>1.9439256500581866E-2</v>
      </c>
      <c r="M754" s="18">
        <f t="shared" si="895"/>
        <v>2.3927933230851461E-3</v>
      </c>
      <c r="N754" s="18">
        <f t="shared" si="895"/>
        <v>5.3086453224343898E-3</v>
      </c>
      <c r="O754" s="18">
        <f t="shared" si="895"/>
        <v>8.3684153268483388E-5</v>
      </c>
      <c r="P754" s="18">
        <f t="shared" si="887"/>
        <v>7.4232566746566646E-4</v>
      </c>
      <c r="Q754" s="18">
        <f t="shared" si="887"/>
        <v>3.4384868328725311E-3</v>
      </c>
      <c r="S754" s="3"/>
    </row>
    <row r="755" spans="2:19" x14ac:dyDescent="0.5">
      <c r="B755" s="5" t="str">
        <f t="shared" si="890"/>
        <v>SPS1</v>
      </c>
      <c r="C755" s="5" t="str">
        <f t="shared" si="891"/>
        <v>CH</v>
      </c>
      <c r="D755" t="s">
        <v>462</v>
      </c>
      <c r="E755" s="5" t="s">
        <v>442</v>
      </c>
      <c r="F755" s="18">
        <f t="shared" ref="F755:K755" si="896">IFERROR(F$737/F$735,0)*F743</f>
        <v>0</v>
      </c>
      <c r="G755" s="18">
        <f t="shared" si="896"/>
        <v>0</v>
      </c>
      <c r="H755" s="18">
        <f t="shared" si="896"/>
        <v>0</v>
      </c>
      <c r="I755" s="18">
        <f t="shared" si="896"/>
        <v>0</v>
      </c>
      <c r="J755" s="18">
        <f t="shared" si="896"/>
        <v>0</v>
      </c>
      <c r="K755" s="18">
        <f t="shared" si="896"/>
        <v>1.6980177924467352E-2</v>
      </c>
      <c r="L755" s="18">
        <f t="shared" ref="L755:O755" si="897">IFERROR(L$737/L$735,0)*L743</f>
        <v>2.2210620236743341E-2</v>
      </c>
      <c r="M755" s="18">
        <f t="shared" si="897"/>
        <v>4.1883447498399836E-3</v>
      </c>
      <c r="N755" s="18">
        <f t="shared" si="897"/>
        <v>3.420273800446111E-3</v>
      </c>
      <c r="O755" s="18">
        <f t="shared" si="897"/>
        <v>2.9048057070246961E-3</v>
      </c>
      <c r="P755" s="18">
        <f t="shared" si="887"/>
        <v>3.2595751039562661E-3</v>
      </c>
      <c r="Q755" s="18">
        <f t="shared" si="887"/>
        <v>1.4040520237027395E-2</v>
      </c>
      <c r="S755" s="3"/>
    </row>
    <row r="756" spans="2:19" x14ac:dyDescent="0.5">
      <c r="B756" s="5" t="str">
        <f t="shared" si="890"/>
        <v>SPS1</v>
      </c>
      <c r="C756" s="5" t="str">
        <f t="shared" si="891"/>
        <v>CH</v>
      </c>
      <c r="D756" t="s">
        <v>463</v>
      </c>
      <c r="E756" s="5" t="s">
        <v>442</v>
      </c>
      <c r="F756" s="18">
        <f t="shared" ref="F756:K756" si="898">IFERROR(F$737/F$735,0)*F744</f>
        <v>0</v>
      </c>
      <c r="G756" s="18">
        <f t="shared" si="898"/>
        <v>0</v>
      </c>
      <c r="H756" s="18">
        <f t="shared" si="898"/>
        <v>0</v>
      </c>
      <c r="I756" s="18">
        <f t="shared" si="898"/>
        <v>0</v>
      </c>
      <c r="J756" s="18">
        <f t="shared" si="898"/>
        <v>0</v>
      </c>
      <c r="K756" s="18">
        <f t="shared" si="898"/>
        <v>3.4292505481283561E-3</v>
      </c>
      <c r="L756" s="18">
        <f t="shared" ref="L756:O756" si="899">IFERROR(L$737/L$735,0)*L744</f>
        <v>7.8151459453082439E-3</v>
      </c>
      <c r="M756" s="18">
        <f t="shared" si="899"/>
        <v>2.1844274530968074E-8</v>
      </c>
      <c r="N756" s="18">
        <f t="shared" si="899"/>
        <v>7.7695785701518333E-6</v>
      </c>
      <c r="O756" s="18">
        <f t="shared" si="899"/>
        <v>6.1744805408354075E-6</v>
      </c>
      <c r="P756" s="18">
        <f t="shared" si="887"/>
        <v>5.7107586693699411E-6</v>
      </c>
      <c r="Q756" s="18">
        <f t="shared" si="887"/>
        <v>5.2057814427616377E-5</v>
      </c>
      <c r="S756" s="3"/>
    </row>
    <row r="757" spans="2:19" x14ac:dyDescent="0.5">
      <c r="B757" s="5" t="str">
        <f>B753</f>
        <v>SPS1</v>
      </c>
      <c r="C757" s="5" t="str">
        <f>C753</f>
        <v>CH</v>
      </c>
      <c r="D757" t="s">
        <v>937</v>
      </c>
      <c r="E757" s="5" t="s">
        <v>442</v>
      </c>
      <c r="F757" s="18">
        <f>IFERROR(F$738/F$735,0)*F739</f>
        <v>0</v>
      </c>
      <c r="G757" s="18">
        <f t="shared" ref="G757:K757" si="900">IFERROR(G$738/G$735,0)*G739</f>
        <v>0</v>
      </c>
      <c r="H757" s="18">
        <f t="shared" si="900"/>
        <v>0</v>
      </c>
      <c r="I757" s="18">
        <f t="shared" si="900"/>
        <v>0</v>
      </c>
      <c r="J757" s="18">
        <f t="shared" si="900"/>
        <v>0</v>
      </c>
      <c r="K757" s="18">
        <f t="shared" si="900"/>
        <v>6.76385093375907E-7</v>
      </c>
      <c r="L757" s="18">
        <f t="shared" ref="L757:O757" si="901">IFERROR(L$738/L$735,0)*L739</f>
        <v>1.0365321032740143E-3</v>
      </c>
      <c r="M757" s="18">
        <f t="shared" si="901"/>
        <v>2.1539063584188316E-2</v>
      </c>
      <c r="N757" s="18">
        <f t="shared" si="901"/>
        <v>0.11672562738011487</v>
      </c>
      <c r="O757" s="18">
        <f t="shared" si="901"/>
        <v>0.11376734083401049</v>
      </c>
      <c r="P757" s="18">
        <f t="shared" ref="P757:Q762" si="902">IFERROR(P$738/P$735,0)*P739</f>
        <v>0.14889072213605559</v>
      </c>
      <c r="Q757" s="18">
        <f t="shared" si="902"/>
        <v>0</v>
      </c>
      <c r="S757" s="3"/>
    </row>
    <row r="758" spans="2:19" x14ac:dyDescent="0.5">
      <c r="B758" s="5" t="str">
        <f>B757</f>
        <v>SPS1</v>
      </c>
      <c r="C758" s="5" t="str">
        <f>C757</f>
        <v>CH</v>
      </c>
      <c r="D758" t="s">
        <v>464</v>
      </c>
      <c r="E758" s="5" t="s">
        <v>442</v>
      </c>
      <c r="F758" s="18">
        <f t="shared" ref="F758:K758" si="903">IFERROR(F$738/F$735,0)*F740</f>
        <v>0</v>
      </c>
      <c r="G758" s="18">
        <f t="shared" si="903"/>
        <v>0</v>
      </c>
      <c r="H758" s="18">
        <f t="shared" si="903"/>
        <v>0</v>
      </c>
      <c r="I758" s="18">
        <f t="shared" si="903"/>
        <v>0</v>
      </c>
      <c r="J758" s="18">
        <f t="shared" si="903"/>
        <v>0</v>
      </c>
      <c r="K758" s="18">
        <f t="shared" si="903"/>
        <v>6.76385093375907E-7</v>
      </c>
      <c r="L758" s="18">
        <f t="shared" ref="L758:O758" si="904">IFERROR(L$738/L$735,0)*L740</f>
        <v>1.0365321032740143E-3</v>
      </c>
      <c r="M758" s="18">
        <f t="shared" si="904"/>
        <v>2.1539063584188316E-2</v>
      </c>
      <c r="N758" s="18">
        <f t="shared" si="904"/>
        <v>0.11672562738011487</v>
      </c>
      <c r="O758" s="18">
        <f t="shared" si="904"/>
        <v>0.11376734083401049</v>
      </c>
      <c r="P758" s="18">
        <f t="shared" si="902"/>
        <v>0.14889072213605559</v>
      </c>
      <c r="Q758" s="18">
        <f t="shared" si="902"/>
        <v>0</v>
      </c>
      <c r="S758" s="3"/>
    </row>
    <row r="759" spans="2:19" x14ac:dyDescent="0.5">
      <c r="B759" s="5" t="str">
        <f t="shared" ref="B759:B762" si="905">B758</f>
        <v>SPS1</v>
      </c>
      <c r="C759" s="5" t="str">
        <f t="shared" ref="C759:C762" si="906">C758</f>
        <v>CH</v>
      </c>
      <c r="D759" t="s">
        <v>938</v>
      </c>
      <c r="E759" s="5" t="s">
        <v>442</v>
      </c>
      <c r="F759" s="18">
        <f t="shared" ref="F759:K759" si="907">IFERROR(F$738/F$735,0)*F741</f>
        <v>0</v>
      </c>
      <c r="G759" s="18">
        <f t="shared" si="907"/>
        <v>0</v>
      </c>
      <c r="H759" s="18">
        <f t="shared" si="907"/>
        <v>0</v>
      </c>
      <c r="I759" s="18">
        <f t="shared" si="907"/>
        <v>0</v>
      </c>
      <c r="J759" s="18">
        <f t="shared" si="907"/>
        <v>0</v>
      </c>
      <c r="K759" s="18">
        <f t="shared" si="907"/>
        <v>2.0447104487336066E-6</v>
      </c>
      <c r="L759" s="18">
        <f t="shared" ref="L759:O759" si="908">IFERROR(L$738/L$735,0)*L741</f>
        <v>5.8331227546732322E-4</v>
      </c>
      <c r="M759" s="18">
        <f t="shared" si="908"/>
        <v>7.6311428806804247E-4</v>
      </c>
      <c r="N759" s="18">
        <f t="shared" si="908"/>
        <v>6.9127095024140665E-3</v>
      </c>
      <c r="O759" s="18">
        <f t="shared" si="908"/>
        <v>2.6226196505702167E-3</v>
      </c>
      <c r="P759" s="18">
        <f t="shared" si="902"/>
        <v>4.8449560031649901E-3</v>
      </c>
      <c r="Q759" s="18">
        <f t="shared" si="902"/>
        <v>0</v>
      </c>
      <c r="S759" s="3"/>
    </row>
    <row r="760" spans="2:19" x14ac:dyDescent="0.5">
      <c r="B760" s="5" t="str">
        <f t="shared" si="905"/>
        <v>SPS1</v>
      </c>
      <c r="C760" s="5" t="str">
        <f t="shared" si="906"/>
        <v>CH</v>
      </c>
      <c r="D760" t="s">
        <v>465</v>
      </c>
      <c r="E760" s="5" t="s">
        <v>442</v>
      </c>
      <c r="F760" s="18">
        <f t="shared" ref="F760:K760" si="909">IFERROR(F$738/F$735,0)*F742</f>
        <v>0</v>
      </c>
      <c r="G760" s="18">
        <f t="shared" si="909"/>
        <v>0</v>
      </c>
      <c r="H760" s="18">
        <f t="shared" si="909"/>
        <v>0</v>
      </c>
      <c r="I760" s="18">
        <f t="shared" si="909"/>
        <v>0</v>
      </c>
      <c r="J760" s="18">
        <f t="shared" si="909"/>
        <v>0</v>
      </c>
      <c r="K760" s="18">
        <f t="shared" si="909"/>
        <v>5.9145639676291546E-7</v>
      </c>
      <c r="L760" s="18">
        <f t="shared" ref="L760:O760" si="910">IFERROR(L$738/L$735,0)*L742</f>
        <v>2.2923585854795123E-4</v>
      </c>
      <c r="M760" s="18">
        <f t="shared" si="910"/>
        <v>2.7745485540747272E-4</v>
      </c>
      <c r="N760" s="18">
        <f t="shared" si="910"/>
        <v>4.2003468613051251E-3</v>
      </c>
      <c r="O760" s="18">
        <f t="shared" si="910"/>
        <v>7.3287580785141176E-5</v>
      </c>
      <c r="P760" s="18">
        <f t="shared" si="902"/>
        <v>8.9742610327535951E-4</v>
      </c>
      <c r="Q760" s="18">
        <f t="shared" si="902"/>
        <v>0</v>
      </c>
      <c r="S760" s="3"/>
    </row>
    <row r="761" spans="2:19" x14ac:dyDescent="0.5">
      <c r="B761" s="5" t="str">
        <f t="shared" si="905"/>
        <v>SPS1</v>
      </c>
      <c r="C761" s="5" t="str">
        <f t="shared" si="906"/>
        <v>CH</v>
      </c>
      <c r="D761" t="s">
        <v>466</v>
      </c>
      <c r="E761" s="5" t="s">
        <v>442</v>
      </c>
      <c r="F761" s="18">
        <f t="shared" ref="F761:K761" si="911">IFERROR(F$738/F$735,0)*F743</f>
        <v>0</v>
      </c>
      <c r="G761" s="18">
        <f t="shared" si="911"/>
        <v>0</v>
      </c>
      <c r="H761" s="18">
        <f t="shared" si="911"/>
        <v>0</v>
      </c>
      <c r="I761" s="18">
        <f t="shared" si="911"/>
        <v>0</v>
      </c>
      <c r="J761" s="18">
        <f t="shared" si="911"/>
        <v>0</v>
      </c>
      <c r="K761" s="18">
        <f t="shared" si="911"/>
        <v>1.2090741494819064E-6</v>
      </c>
      <c r="L761" s="18">
        <f t="shared" ref="L761:O761" si="912">IFERROR(L$738/L$735,0)*L743</f>
        <v>2.6191694104658582E-4</v>
      </c>
      <c r="M761" s="18">
        <f t="shared" si="912"/>
        <v>4.8565689972135899E-4</v>
      </c>
      <c r="N761" s="18">
        <f t="shared" si="912"/>
        <v>2.7062151358644526E-3</v>
      </c>
      <c r="O761" s="18">
        <f t="shared" si="912"/>
        <v>2.5439246811246327E-3</v>
      </c>
      <c r="P761" s="18">
        <f t="shared" si="902"/>
        <v>3.940625943682787E-3</v>
      </c>
      <c r="Q761" s="18">
        <f t="shared" si="902"/>
        <v>0</v>
      </c>
      <c r="S761" s="3"/>
    </row>
    <row r="762" spans="2:19" x14ac:dyDescent="0.5">
      <c r="B762" s="5" t="str">
        <f t="shared" si="905"/>
        <v>SPS1</v>
      </c>
      <c r="C762" s="5" t="str">
        <f t="shared" si="906"/>
        <v>CH</v>
      </c>
      <c r="D762" t="s">
        <v>467</v>
      </c>
      <c r="E762" s="5" t="s">
        <v>442</v>
      </c>
      <c r="F762" s="18">
        <f t="shared" ref="F762:K762" si="913">IFERROR(F$738/F$735,0)*F744</f>
        <v>0</v>
      </c>
      <c r="G762" s="18">
        <f t="shared" si="913"/>
        <v>0</v>
      </c>
      <c r="H762" s="18">
        <f t="shared" si="913"/>
        <v>0</v>
      </c>
      <c r="I762" s="18">
        <f t="shared" si="913"/>
        <v>0</v>
      </c>
      <c r="J762" s="18">
        <f t="shared" si="913"/>
        <v>0</v>
      </c>
      <c r="K762" s="18">
        <f t="shared" si="913"/>
        <v>2.4417990248878473E-7</v>
      </c>
      <c r="L762" s="18">
        <f t="shared" ref="L762:O762" si="914">IFERROR(L$738/L$735,0)*L744</f>
        <v>9.2159475872786133E-5</v>
      </c>
      <c r="M762" s="18">
        <f t="shared" si="914"/>
        <v>2.5329392108368133E-9</v>
      </c>
      <c r="N762" s="18">
        <f t="shared" si="914"/>
        <v>6.1475052444896401E-6</v>
      </c>
      <c r="O762" s="18">
        <f t="shared" si="914"/>
        <v>5.4073886604428323E-6</v>
      </c>
      <c r="P762" s="18">
        <f t="shared" si="902"/>
        <v>6.9039562068432468E-6</v>
      </c>
      <c r="Q762" s="18">
        <f t="shared" si="902"/>
        <v>0</v>
      </c>
      <c r="S762" s="3"/>
    </row>
    <row r="763" spans="2:19" x14ac:dyDescent="0.5">
      <c r="B763" s="9" t="str">
        <f t="shared" ref="B763" si="915">B762</f>
        <v>SPS1</v>
      </c>
      <c r="C763" s="9" t="str">
        <f t="shared" ref="C763:C777" si="916">C762</f>
        <v>CH</v>
      </c>
      <c r="D763" s="2" t="s">
        <v>496</v>
      </c>
      <c r="E763" s="9" t="s">
        <v>8</v>
      </c>
      <c r="F763" s="17">
        <f t="shared" ref="F763:K763" si="917">F764+F768+F778+F789+F791+F803+F805+F807+F811+F813+F815</f>
        <v>142.2178747783791</v>
      </c>
      <c r="G763" s="17">
        <f t="shared" si="917"/>
        <v>141.20318914711902</v>
      </c>
      <c r="H763" s="17">
        <f t="shared" si="917"/>
        <v>142.40661425185036</v>
      </c>
      <c r="I763" s="17">
        <f t="shared" si="917"/>
        <v>144.4835821251225</v>
      </c>
      <c r="J763" s="17">
        <f t="shared" si="917"/>
        <v>133.184741529831</v>
      </c>
      <c r="K763" s="17">
        <f t="shared" si="917"/>
        <v>131.00342301979134</v>
      </c>
      <c r="L763" s="17">
        <f t="shared" ref="L763:O763" si="918">L764+L768+L778+L789+L791+L803+L805+L807+L811+L813+L815</f>
        <v>129.03158413377503</v>
      </c>
      <c r="M763" s="17">
        <f t="shared" si="918"/>
        <v>128.85414762822492</v>
      </c>
      <c r="N763" s="17">
        <f t="shared" si="918"/>
        <v>129.22214701308573</v>
      </c>
      <c r="O763" s="17">
        <f t="shared" si="918"/>
        <v>134.23536164735873</v>
      </c>
      <c r="P763" s="17">
        <f>P764+P768+P778+P789+P791+P803+P805+P807+P811+P813+P815</f>
        <v>128.91772402653498</v>
      </c>
      <c r="Q763" s="17">
        <f>Q764+Q768+Q778+Q789+Q791+Q803+Q805+Q807+Q811+Q813+Q815</f>
        <v>128.83236432026436</v>
      </c>
      <c r="S763" s="3"/>
    </row>
    <row r="764" spans="2:19" x14ac:dyDescent="0.5">
      <c r="B764" s="5" t="str">
        <f>B763</f>
        <v>SPS1</v>
      </c>
      <c r="C764" s="5" t="str">
        <f t="shared" si="916"/>
        <v>CH</v>
      </c>
      <c r="D764" t="s">
        <v>939</v>
      </c>
      <c r="E764" t="s">
        <v>8</v>
      </c>
      <c r="F764" s="18">
        <f>[1]Industry!B$11</f>
        <v>60.070058927960368</v>
      </c>
      <c r="G764" s="18">
        <f>[1]Industry!C$11</f>
        <v>62.576502253360324</v>
      </c>
      <c r="H764" s="18">
        <f>[1]Industry!D$11</f>
        <v>64.903938394248797</v>
      </c>
      <c r="I764" s="18">
        <f>[1]Industry!E$11</f>
        <v>70.904822166795583</v>
      </c>
      <c r="J764" s="18">
        <f>[1]Industry!F$11</f>
        <v>70.42860992279023</v>
      </c>
      <c r="K764" s="18">
        <f>[1]Industry!G$11</f>
        <v>70.867654773068494</v>
      </c>
      <c r="L764" s="18">
        <f>[1]Industry!H$11</f>
        <v>71.251130661482961</v>
      </c>
      <c r="M764" s="18">
        <f>[1]Industry!I$11</f>
        <v>73.785510911941287</v>
      </c>
      <c r="N764" s="18">
        <f>[1]Industry!J$11</f>
        <v>74.481638315530205</v>
      </c>
      <c r="O764" s="18">
        <f>[1]Industry!K$11</f>
        <v>76.04059916377949</v>
      </c>
      <c r="P764" s="18">
        <f>[1]Industry!L$11</f>
        <v>74.57010789910953</v>
      </c>
      <c r="Q764" s="18">
        <f>[1]Industry!M$11</f>
        <v>74.687893983388307</v>
      </c>
      <c r="S764" s="3"/>
    </row>
    <row r="765" spans="2:19" x14ac:dyDescent="0.5">
      <c r="B765" s="5" t="str">
        <f t="shared" ref="B765:B777" si="919">B764</f>
        <v>SPS1</v>
      </c>
      <c r="C765" s="5" t="str">
        <f t="shared" si="916"/>
        <v>CH</v>
      </c>
      <c r="D765" t="s">
        <v>758</v>
      </c>
      <c r="E765" t="s">
        <v>8</v>
      </c>
      <c r="F765" s="1">
        <f t="shared" ref="F765:J765" si="920">F764-F766-F767</f>
        <v>11.646968833011854</v>
      </c>
      <c r="G765" s="1">
        <f t="shared" si="920"/>
        <v>12.259011101696188</v>
      </c>
      <c r="H765" s="1">
        <f t="shared" si="920"/>
        <v>12.250126316989125</v>
      </c>
      <c r="I765" s="1">
        <f t="shared" si="920"/>
        <v>16.092971342634158</v>
      </c>
      <c r="J765" s="1">
        <f t="shared" si="920"/>
        <v>16.071718640283606</v>
      </c>
      <c r="K765" s="1">
        <f>K764-K766-K767</f>
        <v>16.050521812672173</v>
      </c>
      <c r="L765" s="1">
        <f t="shared" ref="L765:O765" si="921">L764-L766-L767</f>
        <v>16.029381515117159</v>
      </c>
      <c r="M765" s="1">
        <f t="shared" si="921"/>
        <v>16.008305153583848</v>
      </c>
      <c r="N765" s="1">
        <f t="shared" si="921"/>
        <v>16.008324553144561</v>
      </c>
      <c r="O765" s="1">
        <f t="shared" si="921"/>
        <v>16.008354179390793</v>
      </c>
      <c r="P765" s="1">
        <f>P764-P766-P767</f>
        <v>16.008359313138875</v>
      </c>
      <c r="Q765" s="1">
        <f>Q764-Q766-Q767</f>
        <v>16.008409502134633</v>
      </c>
      <c r="S765" s="3"/>
    </row>
    <row r="766" spans="2:19" x14ac:dyDescent="0.5">
      <c r="B766" s="5" t="str">
        <f t="shared" si="919"/>
        <v>SPS1</v>
      </c>
      <c r="C766" s="5" t="str">
        <f t="shared" si="916"/>
        <v>CH</v>
      </c>
      <c r="D766" t="s">
        <v>721</v>
      </c>
      <c r="E766" t="s">
        <v>8</v>
      </c>
      <c r="F766" s="1" cm="1">
        <f t="array" ref="F766">SUMPRODUCT(([1]OUT_FinalEnergyCons!$B$4:$B$10000="Var_Fin")*1, ([1]OUT_FinalEnergyCons!$C$4:$C$10000="ITOT_ELC")*1, (ISNUMBER(SEARCH("ITOT-SWHELCHP",[1]OUT_FinalEnergyCons!$A$4:$A$10000)))*1,[1]OUT_FinalEnergyCons!D$4:D$10000)</f>
        <v>0.35969244277752394</v>
      </c>
      <c r="G766" s="1" cm="1">
        <f t="array" ref="G766">SUMPRODUCT(([1]OUT_FinalEnergyCons!$B$4:$B$10000="Var_Fin")*1, ([1]OUT_FinalEnergyCons!$C$4:$C$10000="ITOT_ELC")*1, (ISNUMBER(SEARCH("ITOT-SWHELCHP",[1]OUT_FinalEnergyCons!$A$4:$A$10000)))*1,[1]OUT_FinalEnergyCons!E$4:E$10000)</f>
        <v>0.45108716933419635</v>
      </c>
      <c r="H766" s="1" cm="1">
        <f t="array" ref="H766">SUMPRODUCT(([1]OUT_FinalEnergyCons!$B$4:$B$10000="Var_Fin")*1, ([1]OUT_FinalEnergyCons!$C$4:$C$10000="ITOT_ELC")*1, (ISNUMBER(SEARCH("ITOT-SWHELCHP",[1]OUT_FinalEnergyCons!$A$4:$A$10000)))*1,[1]OUT_FinalEnergyCons!F$4:F$10000)</f>
        <v>1.1376734938025725</v>
      </c>
      <c r="I766" s="1" cm="1">
        <f t="array" ref="I766">SUMPRODUCT(([1]OUT_FinalEnergyCons!$B$4:$B$10000="Var_Fin")*1, ([1]OUT_FinalEnergyCons!$C$4:$C$10000="ITOT_ELC")*1, (ISNUMBER(SEARCH("ITOT-SWHELCHP",[1]OUT_FinalEnergyCons!$A$4:$A$10000)))*1,[1]OUT_FinalEnergyCons!G$4:G$10000)</f>
        <v>1.8625417008609857</v>
      </c>
      <c r="J766" s="1" cm="1">
        <f t="array" ref="J766">SUMPRODUCT(([1]OUT_FinalEnergyCons!$B$4:$B$10000="Var_Fin")*1, ([1]OUT_FinalEnergyCons!$C$4:$C$10000="ITOT_ELC")*1, (ISNUMBER(SEARCH("ITOT-SWHELCHP",[1]OUT_FinalEnergyCons!$A$4:$A$10000)))*1,[1]OUT_FinalEnergyCons!H$4:H$10000)</f>
        <v>2.2620853805654182</v>
      </c>
      <c r="K766" s="1" cm="1">
        <f t="array" ref="K766">SUMPRODUCT(([1]OUT_FinalEnergyCons!$B$4:$B$10000="Var_Fin")*1, ([1]OUT_FinalEnergyCons!$C$4:$C$10000="ITOT_ELC")*1, (ISNUMBER(SEARCH("ITOT-SWHELCHP",[1]OUT_FinalEnergyCons!$A$4:$A$10000)))*1,[1]OUT_FinalEnergyCons!I$4:I$10000)</f>
        <v>2.8059148972481571</v>
      </c>
      <c r="L766" s="1" cm="1">
        <f t="array" ref="L766">SUMPRODUCT(([1]OUT_FinalEnergyCons!$B$4:$B$10000="Var_Fin")*1, ([1]OUT_FinalEnergyCons!$C$4:$C$10000="ITOT_ELC")*1, (ISNUMBER(SEARCH("ITOT-SWHELCHP",[1]OUT_FinalEnergyCons!$A$4:$A$10000)))*1,[1]OUT_FinalEnergyCons!J$4:J$10000)</f>
        <v>3.3282401395783299</v>
      </c>
      <c r="M766" s="1" cm="1">
        <f t="array" ref="M766">SUMPRODUCT(([1]OUT_FinalEnergyCons!$B$4:$B$10000="Var_Fin")*1, ([1]OUT_FinalEnergyCons!$C$4:$C$10000="ITOT_ELC")*1, (ISNUMBER(SEARCH("ITOT-SWHELCHP",[1]OUT_FinalEnergyCons!$A$4:$A$10000)))*1,[1]OUT_FinalEnergyCons!K$4:K$10000)</f>
        <v>3.8056093375120335</v>
      </c>
      <c r="N766" s="1" cm="1">
        <f t="array" ref="N766">SUMPRODUCT(([1]OUT_FinalEnergyCons!$B$4:$B$10000="Var_Fin")*1, ([1]OUT_FinalEnergyCons!$C$4:$C$10000="ITOT_ELC")*1, (ISNUMBER(SEARCH("ITOT-SWHELCHP",[1]OUT_FinalEnergyCons!$A$4:$A$10000)))*1,[1]OUT_FinalEnergyCons!L$4:L$10000)</f>
        <v>3.8056419074923165</v>
      </c>
      <c r="O766" s="1" cm="1">
        <f t="array" ref="O766">SUMPRODUCT(([1]OUT_FinalEnergyCons!$B$4:$B$10000="Var_Fin")*1, ([1]OUT_FinalEnergyCons!$C$4:$C$10000="ITOT_ELC")*1, (ISNUMBER(SEARCH("ITOT-SWHELCHP",[1]OUT_FinalEnergyCons!$A$4:$A$10000)))*1,[1]OUT_FinalEnergyCons!M$4:M$10000)</f>
        <v>3.8056808584122352</v>
      </c>
      <c r="P766" s="1" cm="1">
        <f t="array" ref="P766">SUMPRODUCT(([1]OUT_FinalEnergyCons!$B$4:$B$10000="Var_Fin")*1, ([1]OUT_FinalEnergyCons!$C$4:$C$10000="ITOT_ELC")*1, (ISNUMBER(SEARCH("ITOT-SWHELCHP",[1]OUT_FinalEnergyCons!$A$4:$A$10000)))*1,[1]OUT_FinalEnergyCons!N$4:N$10000)</f>
        <v>3.8056845047719849</v>
      </c>
      <c r="Q766" s="1" cm="1">
        <f t="array" ref="Q766">SUMPRODUCT(([1]OUT_FinalEnergyCons!$B$4:$B$10000="Var_Fin")*1, ([1]OUT_FinalEnergyCons!$C$4:$C$10000="ITOT_ELC")*1, (ISNUMBER(SEARCH("ITOT-SWHELCHP",[1]OUT_FinalEnergyCons!$A$4:$A$10000)))*1,[1]OUT_FinalEnergyCons!O$4:O$10000)</f>
        <v>3.80569294864695</v>
      </c>
      <c r="S766" s="3"/>
    </row>
    <row r="767" spans="2:19" x14ac:dyDescent="0.5">
      <c r="B767" s="5" t="str">
        <f t="shared" si="919"/>
        <v>SPS1</v>
      </c>
      <c r="C767" s="5" t="str">
        <f t="shared" si="916"/>
        <v>CH</v>
      </c>
      <c r="D767" t="s">
        <v>468</v>
      </c>
      <c r="E767" t="s">
        <v>8</v>
      </c>
      <c r="F767" s="1">
        <f>[1]Industry!B$11-[1]Industry!B$33</f>
        <v>48.063397652170991</v>
      </c>
      <c r="G767" s="1">
        <f>[1]Industry!C$11-[1]Industry!C$33</f>
        <v>49.866403982329942</v>
      </c>
      <c r="H767" s="1">
        <f>[1]Industry!D$11-[1]Industry!D$33</f>
        <v>51.516138583457099</v>
      </c>
      <c r="I767" s="1">
        <f>[1]Industry!E$11-[1]Industry!E$33</f>
        <v>52.949309123300438</v>
      </c>
      <c r="J767" s="1">
        <f>[1]Industry!F$11-[1]Industry!F$33</f>
        <v>52.0948059019412</v>
      </c>
      <c r="K767" s="1">
        <f>[1]Industry!G$11-[1]Industry!G$33</f>
        <v>52.011218063148164</v>
      </c>
      <c r="L767" s="1">
        <f>[1]Industry!H$11-[1]Industry!H$33</f>
        <v>51.893509006787475</v>
      </c>
      <c r="M767" s="1">
        <f>[1]Industry!I$11-[1]Industry!I$33</f>
        <v>53.971596420845401</v>
      </c>
      <c r="N767" s="1">
        <f>[1]Industry!J$11-[1]Industry!J$33</f>
        <v>54.667671854893328</v>
      </c>
      <c r="O767" s="1">
        <f>[1]Industry!K$11-[1]Industry!K$33</f>
        <v>56.226564125976466</v>
      </c>
      <c r="P767" s="1">
        <f>[1]Industry!L$11-[1]Industry!L$33</f>
        <v>54.756064081198666</v>
      </c>
      <c r="Q767" s="1">
        <f>[1]Industry!M$11-[1]Industry!M$33</f>
        <v>54.873791532606724</v>
      </c>
      <c r="S767" s="3"/>
    </row>
    <row r="768" spans="2:19" x14ac:dyDescent="0.5">
      <c r="B768" s="5" t="str">
        <f t="shared" si="919"/>
        <v>SPS1</v>
      </c>
      <c r="C768" s="5" t="str">
        <f t="shared" si="916"/>
        <v>CH</v>
      </c>
      <c r="D768" t="s">
        <v>469</v>
      </c>
      <c r="E768" t="s">
        <v>8</v>
      </c>
      <c r="F768" s="1">
        <f>SUM(F771,F776)</f>
        <v>11.62787857661773</v>
      </c>
      <c r="G768" s="1">
        <f t="shared" ref="G768:K768" si="922">SUM(G771,G776)</f>
        <v>10.822654094185753</v>
      </c>
      <c r="H768" s="1">
        <f t="shared" si="922"/>
        <v>8.0095307071162338</v>
      </c>
      <c r="I768" s="1">
        <f t="shared" si="922"/>
        <v>6.505426680467421</v>
      </c>
      <c r="J768" s="1">
        <f t="shared" si="922"/>
        <v>4.3863841761897433</v>
      </c>
      <c r="K768" s="1">
        <f t="shared" si="922"/>
        <v>2.9559061813989969</v>
      </c>
      <c r="L768" s="1">
        <f t="shared" ref="L768:O768" si="923">SUM(L771,L776)</f>
        <v>1.5667308330837615</v>
      </c>
      <c r="M768" s="1">
        <f t="shared" si="923"/>
        <v>0.22671585700284247</v>
      </c>
      <c r="N768" s="1">
        <f t="shared" si="923"/>
        <v>0.22669477418147052</v>
      </c>
      <c r="O768" s="1">
        <f t="shared" si="923"/>
        <v>0.22668963643141679</v>
      </c>
      <c r="P768" s="1">
        <f>SUM(P771,P776)</f>
        <v>0.21792401774829415</v>
      </c>
      <c r="Q768" s="1">
        <f>SUM(Q771,Q776)</f>
        <v>0.21716995820911733</v>
      </c>
      <c r="S768" s="3"/>
    </row>
    <row r="769" spans="2:19" x14ac:dyDescent="0.5">
      <c r="B769" s="5" t="str">
        <f t="shared" si="919"/>
        <v>SPS1</v>
      </c>
      <c r="C769" s="5" t="str">
        <f t="shared" si="916"/>
        <v>CH</v>
      </c>
      <c r="D769" t="s">
        <v>470</v>
      </c>
      <c r="E769" t="s">
        <v>8</v>
      </c>
      <c r="F769" s="1">
        <f>SUM(F773,F777)</f>
        <v>8.8978365457705824</v>
      </c>
      <c r="G769" s="1">
        <f t="shared" ref="G769:K769" si="924">SUM(G773,G777)</f>
        <v>8.1043779686286737</v>
      </c>
      <c r="H769" s="1">
        <f t="shared" si="924"/>
        <v>8.0014337439048795</v>
      </c>
      <c r="I769" s="1">
        <f t="shared" si="924"/>
        <v>6.503665146740377</v>
      </c>
      <c r="J769" s="1">
        <f t="shared" si="924"/>
        <v>4.3840760360734441</v>
      </c>
      <c r="K769" s="1">
        <f t="shared" si="924"/>
        <v>2.9511645978522796</v>
      </c>
      <c r="L769" s="1">
        <f t="shared" ref="L769:O769" si="925">SUM(L773,L777)</f>
        <v>1.5645870706399048</v>
      </c>
      <c r="M769" s="1">
        <f t="shared" si="925"/>
        <v>0.22671585700284247</v>
      </c>
      <c r="N769" s="1">
        <f t="shared" si="925"/>
        <v>0.22669477418147052</v>
      </c>
      <c r="O769" s="1">
        <f t="shared" si="925"/>
        <v>0.22668963643141679</v>
      </c>
      <c r="P769" s="1">
        <f>SUM(P773,P777)</f>
        <v>0.21792401774829415</v>
      </c>
      <c r="Q769" s="1">
        <f>SUM(Q773,Q777)</f>
        <v>0.21716995820911733</v>
      </c>
      <c r="S769" s="3"/>
    </row>
    <row r="770" spans="2:19" x14ac:dyDescent="0.5">
      <c r="B770" s="5" t="str">
        <f t="shared" si="919"/>
        <v>SPS1</v>
      </c>
      <c r="C770" s="5" t="str">
        <f t="shared" si="916"/>
        <v>CH</v>
      </c>
      <c r="D770" t="s">
        <v>471</v>
      </c>
      <c r="E770" t="s">
        <v>8</v>
      </c>
      <c r="F770" s="1">
        <f>F775</f>
        <v>2.730042030847148</v>
      </c>
      <c r="G770" s="1">
        <f t="shared" ref="G770:K770" si="926">G775</f>
        <v>2.7182761255570789</v>
      </c>
      <c r="H770" s="1">
        <f t="shared" si="926"/>
        <v>8.0969632113535254E-3</v>
      </c>
      <c r="I770" s="1">
        <f t="shared" si="926"/>
        <v>1.7615337270436907E-3</v>
      </c>
      <c r="J770" s="1">
        <f t="shared" si="926"/>
        <v>2.3081401162989307E-3</v>
      </c>
      <c r="K770" s="1">
        <f t="shared" si="926"/>
        <v>4.741583546717278E-3</v>
      </c>
      <c r="L770" s="1">
        <f t="shared" ref="L770:O770" si="927">L775</f>
        <v>2.1437624438566749E-3</v>
      </c>
      <c r="M770" s="1">
        <f t="shared" si="927"/>
        <v>0</v>
      </c>
      <c r="N770" s="1">
        <f t="shared" si="927"/>
        <v>0</v>
      </c>
      <c r="O770" s="1">
        <f t="shared" si="927"/>
        <v>0</v>
      </c>
      <c r="P770" s="1">
        <f>P775</f>
        <v>0</v>
      </c>
      <c r="Q770" s="1">
        <f>Q775</f>
        <v>0</v>
      </c>
      <c r="S770" s="3"/>
    </row>
    <row r="771" spans="2:19" x14ac:dyDescent="0.5">
      <c r="B771" s="5" t="str">
        <f t="shared" si="919"/>
        <v>SPS1</v>
      </c>
      <c r="C771" s="5" t="str">
        <f t="shared" si="916"/>
        <v>CH</v>
      </c>
      <c r="D771" t="s">
        <v>940</v>
      </c>
      <c r="E771" t="s">
        <v>8</v>
      </c>
      <c r="F771" s="1">
        <f>SUM(F772,F774)</f>
        <v>11.62787857661773</v>
      </c>
      <c r="G771" s="1">
        <f t="shared" ref="G771:K771" si="928">SUM(G772,G774)</f>
        <v>10.822654094185753</v>
      </c>
      <c r="H771" s="1">
        <f t="shared" si="928"/>
        <v>8.0095186857498835</v>
      </c>
      <c r="I771" s="1">
        <f t="shared" si="928"/>
        <v>6.2992507550766854</v>
      </c>
      <c r="J771" s="1">
        <f t="shared" si="928"/>
        <v>4.1888119441709382</v>
      </c>
      <c r="K771" s="1">
        <f t="shared" si="928"/>
        <v>2.7292365323615151</v>
      </c>
      <c r="L771" s="1">
        <f t="shared" ref="L771:O771" si="929">SUM(L772,L774)</f>
        <v>1.3400553760068343</v>
      </c>
      <c r="M771" s="1">
        <f t="shared" si="929"/>
        <v>1.528761082527388E-5</v>
      </c>
      <c r="N771" s="1">
        <f t="shared" si="929"/>
        <v>6.7108043530916361E-5</v>
      </c>
      <c r="O771" s="1">
        <f t="shared" si="929"/>
        <v>8.0124244229006885E-5</v>
      </c>
      <c r="P771" s="1">
        <f>SUM(P772,P774)</f>
        <v>7.2224262405703576E-5</v>
      </c>
      <c r="Q771" s="1">
        <f>SUM(Q772,Q774)</f>
        <v>7.6540478584531863E-5</v>
      </c>
      <c r="S771" s="3"/>
    </row>
    <row r="772" spans="2:19" x14ac:dyDescent="0.5">
      <c r="B772" s="5" t="str">
        <f t="shared" si="919"/>
        <v>SPS1</v>
      </c>
      <c r="C772" s="5" t="str">
        <f t="shared" si="916"/>
        <v>CH</v>
      </c>
      <c r="D772" t="s">
        <v>525</v>
      </c>
      <c r="E772" t="s">
        <v>8</v>
      </c>
      <c r="F772" s="1">
        <f>[1]Industry!B$34</f>
        <v>8.8978365457705824</v>
      </c>
      <c r="G772" s="1">
        <f>[1]Industry!C$34</f>
        <v>8.1043779686286737</v>
      </c>
      <c r="H772" s="1">
        <f>[1]Industry!D$34</f>
        <v>8.0014217225385291</v>
      </c>
      <c r="I772" s="1">
        <f>[1]Industry!E$34</f>
        <v>6.2974892213496414</v>
      </c>
      <c r="J772" s="1">
        <f>[1]Industry!F$34</f>
        <v>4.186503804054639</v>
      </c>
      <c r="K772" s="1">
        <f>[1]Industry!G$34</f>
        <v>2.7244949488147978</v>
      </c>
      <c r="L772" s="1">
        <f>[1]Industry!H$34</f>
        <v>1.3379116135629776</v>
      </c>
      <c r="M772" s="1">
        <f>[1]Industry!I$34</f>
        <v>1.528761082527388E-5</v>
      </c>
      <c r="N772" s="1">
        <f>[1]Industry!J$34</f>
        <v>6.7108043530916361E-5</v>
      </c>
      <c r="O772" s="1">
        <f>[1]Industry!K$34</f>
        <v>8.0124244229006885E-5</v>
      </c>
      <c r="P772" s="1">
        <f>[1]Industry!L$34</f>
        <v>7.2224262405703576E-5</v>
      </c>
      <c r="Q772" s="1">
        <f>[1]Industry!M$34</f>
        <v>7.6540478584531863E-5</v>
      </c>
      <c r="S772" s="3"/>
    </row>
    <row r="773" spans="2:19" x14ac:dyDescent="0.5">
      <c r="B773" s="5" t="str">
        <f t="shared" si="919"/>
        <v>SPS1</v>
      </c>
      <c r="C773" s="5" t="str">
        <f t="shared" si="916"/>
        <v>CH</v>
      </c>
      <c r="D773" t="s">
        <v>526</v>
      </c>
      <c r="E773" t="s">
        <v>8</v>
      </c>
      <c r="F773" s="1">
        <f>F772</f>
        <v>8.8978365457705824</v>
      </c>
      <c r="G773" s="1">
        <f t="shared" ref="G773:K773" si="930">G772</f>
        <v>8.1043779686286737</v>
      </c>
      <c r="H773" s="1">
        <f t="shared" si="930"/>
        <v>8.0014217225385291</v>
      </c>
      <c r="I773" s="1">
        <f t="shared" si="930"/>
        <v>6.2974892213496414</v>
      </c>
      <c r="J773" s="1">
        <f t="shared" si="930"/>
        <v>4.186503804054639</v>
      </c>
      <c r="K773" s="1">
        <f t="shared" si="930"/>
        <v>2.7244949488147978</v>
      </c>
      <c r="L773" s="1">
        <f t="shared" ref="L773:O773" si="931">L772</f>
        <v>1.3379116135629776</v>
      </c>
      <c r="M773" s="1">
        <f t="shared" si="931"/>
        <v>1.528761082527388E-5</v>
      </c>
      <c r="N773" s="1">
        <f t="shared" si="931"/>
        <v>6.7108043530916361E-5</v>
      </c>
      <c r="O773" s="1">
        <f t="shared" si="931"/>
        <v>8.0124244229006885E-5</v>
      </c>
      <c r="P773" s="1">
        <f>P772</f>
        <v>7.2224262405703576E-5</v>
      </c>
      <c r="Q773" s="1">
        <f>Q772</f>
        <v>7.6540478584531863E-5</v>
      </c>
      <c r="S773" s="3"/>
    </row>
    <row r="774" spans="2:19" x14ac:dyDescent="0.5">
      <c r="B774" s="5" t="str">
        <f t="shared" si="919"/>
        <v>SPS1</v>
      </c>
      <c r="C774" s="5" t="str">
        <f t="shared" si="916"/>
        <v>CH</v>
      </c>
      <c r="D774" t="s">
        <v>527</v>
      </c>
      <c r="E774" t="s">
        <v>8</v>
      </c>
      <c r="F774" s="1">
        <f>[1]Industry!B$35</f>
        <v>2.730042030847148</v>
      </c>
      <c r="G774" s="1">
        <f>[1]Industry!C$35</f>
        <v>2.7182761255570789</v>
      </c>
      <c r="H774" s="1">
        <f>[1]Industry!D$35</f>
        <v>8.0969632113535254E-3</v>
      </c>
      <c r="I774" s="1">
        <f>[1]Industry!E$35</f>
        <v>1.7615337270436907E-3</v>
      </c>
      <c r="J774" s="1">
        <f>[1]Industry!F$35</f>
        <v>2.3081401162989307E-3</v>
      </c>
      <c r="K774" s="1">
        <f>[1]Industry!G$35</f>
        <v>4.741583546717278E-3</v>
      </c>
      <c r="L774" s="1">
        <f>[1]Industry!H$35</f>
        <v>2.1437624438566749E-3</v>
      </c>
      <c r="M774" s="1">
        <f>[1]Industry!I$35</f>
        <v>0</v>
      </c>
      <c r="N774" s="1">
        <f>[1]Industry!J$35</f>
        <v>0</v>
      </c>
      <c r="O774" s="1">
        <f>[1]Industry!K$35</f>
        <v>0</v>
      </c>
      <c r="P774" s="1">
        <f>[1]Industry!L$35</f>
        <v>0</v>
      </c>
      <c r="Q774" s="1">
        <f>[1]Industry!M$35</f>
        <v>0</v>
      </c>
      <c r="S774" s="3"/>
    </row>
    <row r="775" spans="2:19" x14ac:dyDescent="0.5">
      <c r="B775" s="5" t="str">
        <f t="shared" si="919"/>
        <v>SPS1</v>
      </c>
      <c r="C775" s="5" t="str">
        <f t="shared" si="916"/>
        <v>CH</v>
      </c>
      <c r="D775" t="s">
        <v>943</v>
      </c>
      <c r="E775" t="s">
        <v>8</v>
      </c>
      <c r="F775" s="1">
        <f>F774</f>
        <v>2.730042030847148</v>
      </c>
      <c r="G775" s="1">
        <f t="shared" ref="G775:K775" si="932">G774</f>
        <v>2.7182761255570789</v>
      </c>
      <c r="H775" s="1">
        <f t="shared" si="932"/>
        <v>8.0969632113535254E-3</v>
      </c>
      <c r="I775" s="1">
        <f t="shared" si="932"/>
        <v>1.7615337270436907E-3</v>
      </c>
      <c r="J775" s="1">
        <f t="shared" si="932"/>
        <v>2.3081401162989307E-3</v>
      </c>
      <c r="K775" s="1">
        <f t="shared" si="932"/>
        <v>4.741583546717278E-3</v>
      </c>
      <c r="L775" s="1">
        <f t="shared" ref="L775:O775" si="933">L774</f>
        <v>2.1437624438566749E-3</v>
      </c>
      <c r="M775" s="1">
        <f t="shared" si="933"/>
        <v>0</v>
      </c>
      <c r="N775" s="1">
        <f t="shared" si="933"/>
        <v>0</v>
      </c>
      <c r="O775" s="1">
        <f t="shared" si="933"/>
        <v>0</v>
      </c>
      <c r="P775" s="1">
        <f>P774</f>
        <v>0</v>
      </c>
      <c r="Q775" s="1">
        <f>Q774</f>
        <v>0</v>
      </c>
      <c r="S775" s="3"/>
    </row>
    <row r="776" spans="2:19" x14ac:dyDescent="0.5">
      <c r="B776" s="5" t="str">
        <f t="shared" si="919"/>
        <v>SPS1</v>
      </c>
      <c r="C776" s="5" t="str">
        <f t="shared" si="916"/>
        <v>CH</v>
      </c>
      <c r="D776" t="s">
        <v>941</v>
      </c>
      <c r="E776" t="s">
        <v>8</v>
      </c>
      <c r="F776" s="1">
        <f>[1]Industry!B$36</f>
        <v>0</v>
      </c>
      <c r="G776" s="1">
        <f>[1]Industry!C$36</f>
        <v>0</v>
      </c>
      <c r="H776" s="1">
        <f>[1]Industry!D$36</f>
        <v>1.2021366350344572E-5</v>
      </c>
      <c r="I776" s="1">
        <f>[1]Industry!E$36</f>
        <v>0.20617592539073534</v>
      </c>
      <c r="J776" s="1">
        <f>[1]Industry!F$36</f>
        <v>0.19757223201880489</v>
      </c>
      <c r="K776" s="1">
        <f>[1]Industry!G$36</f>
        <v>0.22666964903748194</v>
      </c>
      <c r="L776" s="1">
        <f>[1]Industry!H$36</f>
        <v>0.22667545707692724</v>
      </c>
      <c r="M776" s="1">
        <f>[1]Industry!I$36</f>
        <v>0.22670056939201719</v>
      </c>
      <c r="N776" s="1">
        <f>[1]Industry!J$36</f>
        <v>0.22662766613793961</v>
      </c>
      <c r="O776" s="1">
        <f>[1]Industry!K$36</f>
        <v>0.22660951218718778</v>
      </c>
      <c r="P776" s="1">
        <f>[1]Industry!L$36</f>
        <v>0.21785179348588846</v>
      </c>
      <c r="Q776" s="1">
        <f>[1]Industry!M$36</f>
        <v>0.21709341773053281</v>
      </c>
      <c r="S776" s="3"/>
    </row>
    <row r="777" spans="2:19" x14ac:dyDescent="0.5">
      <c r="B777" s="5" t="str">
        <f t="shared" si="919"/>
        <v>SPS1</v>
      </c>
      <c r="C777" s="5" t="str">
        <f t="shared" si="916"/>
        <v>CH</v>
      </c>
      <c r="D777" t="s">
        <v>942</v>
      </c>
      <c r="E777" t="s">
        <v>8</v>
      </c>
      <c r="F777" s="1">
        <f>F776</f>
        <v>0</v>
      </c>
      <c r="G777" s="1">
        <f t="shared" ref="G777:K777" si="934">G776</f>
        <v>0</v>
      </c>
      <c r="H777" s="1">
        <f t="shared" si="934"/>
        <v>1.2021366350344572E-5</v>
      </c>
      <c r="I777" s="1">
        <f t="shared" si="934"/>
        <v>0.20617592539073534</v>
      </c>
      <c r="J777" s="1">
        <f t="shared" si="934"/>
        <v>0.19757223201880489</v>
      </c>
      <c r="K777" s="1">
        <f t="shared" si="934"/>
        <v>0.22666964903748194</v>
      </c>
      <c r="L777" s="1">
        <f t="shared" ref="L777:O777" si="935">L776</f>
        <v>0.22667545707692724</v>
      </c>
      <c r="M777" s="1">
        <f t="shared" si="935"/>
        <v>0.22670056939201719</v>
      </c>
      <c r="N777" s="1">
        <f t="shared" si="935"/>
        <v>0.22662766613793961</v>
      </c>
      <c r="O777" s="1">
        <f t="shared" si="935"/>
        <v>0.22660951218718778</v>
      </c>
      <c r="P777" s="1">
        <f>P776</f>
        <v>0.21785179348588846</v>
      </c>
      <c r="Q777" s="1">
        <f>Q776</f>
        <v>0.21709341773053281</v>
      </c>
      <c r="S777" s="3"/>
    </row>
    <row r="778" spans="2:19" x14ac:dyDescent="0.5">
      <c r="B778" s="5" t="str">
        <f t="shared" ref="B778:B779" si="936">B777</f>
        <v>SPS1</v>
      </c>
      <c r="C778" s="5" t="str">
        <f t="shared" ref="C778:C779" si="937">C777</f>
        <v>CH</v>
      </c>
      <c r="D778" t="s">
        <v>472</v>
      </c>
      <c r="E778" t="s">
        <v>8</v>
      </c>
      <c r="F778" s="1">
        <f>SUM([1]Industry!B$37:B$39)</f>
        <v>35.989158954761436</v>
      </c>
      <c r="G778" s="1">
        <f>SUM([1]Industry!C$37:C$39)</f>
        <v>30.237737337748275</v>
      </c>
      <c r="H778" s="1">
        <f>SUM([1]Industry!D$37:D$39)</f>
        <v>37.218786505060308</v>
      </c>
      <c r="I778" s="1">
        <f>SUM([1]Industry!E$37:E$39)</f>
        <v>30.403754239016791</v>
      </c>
      <c r="J778" s="1">
        <f>SUM([1]Industry!F$37:F$39)</f>
        <v>17.053083021253162</v>
      </c>
      <c r="K778" s="1">
        <f>SUM([1]Industry!G$37:G$39)</f>
        <v>11.725847214046587</v>
      </c>
      <c r="L778" s="1">
        <f>SUM([1]Industry!H$37:H$39)</f>
        <v>8.6387665694043445</v>
      </c>
      <c r="M778" s="1">
        <f>SUM([1]Industry!I$37:I$39)</f>
        <v>5.5819901841051918</v>
      </c>
      <c r="N778" s="1">
        <f>SUM([1]Industry!J$37:J$39)</f>
        <v>5.00689843555209</v>
      </c>
      <c r="O778" s="1">
        <f>SUM([1]Industry!K$37:K$39)</f>
        <v>5.0569833628399845</v>
      </c>
      <c r="P778" s="1">
        <f>SUM([1]Industry!L$37:L$39)</f>
        <v>4.9675932360106296</v>
      </c>
      <c r="Q778" s="1">
        <f>SUM([1]Industry!M$37:M$39)</f>
        <v>4.9488542759408141</v>
      </c>
      <c r="S778" s="3"/>
    </row>
    <row r="779" spans="2:19" x14ac:dyDescent="0.5">
      <c r="B779" s="5" t="str">
        <f t="shared" si="936"/>
        <v>SPS1</v>
      </c>
      <c r="C779" s="5" t="str">
        <f t="shared" si="937"/>
        <v>CH</v>
      </c>
      <c r="D779" t="s">
        <v>678</v>
      </c>
      <c r="E779" t="s">
        <v>8</v>
      </c>
      <c r="F779" s="1">
        <f>SUM([1]Industry!B$37:B$38)-F780</f>
        <v>35.543147523643277</v>
      </c>
      <c r="G779" s="1">
        <f>SUM([1]Industry!C$37:C$38)-G780</f>
        <v>29.667718266976028</v>
      </c>
      <c r="H779" s="1">
        <f>SUM([1]Industry!D$37:D$38)-H780</f>
        <v>36.064378851711481</v>
      </c>
      <c r="I779" s="1">
        <f>SUM([1]Industry!E$37:E$38)-I780</f>
        <v>26.05894436678097</v>
      </c>
      <c r="J779" s="1">
        <f>SUM([1]Industry!F$37:F$38)-J780</f>
        <v>12.708304365778789</v>
      </c>
      <c r="K779" s="1">
        <f>SUM([1]Industry!G$37:G$38)-K780</f>
        <v>7.3811257795361618</v>
      </c>
      <c r="L779" s="1">
        <f>SUM([1]Industry!H$37:H$38)-L780</f>
        <v>4.2940486853706243</v>
      </c>
      <c r="M779" s="1">
        <f>SUM([1]Industry!I$37:I$38)-M780</f>
        <v>1.2372839623627736</v>
      </c>
      <c r="N779" s="1">
        <f>SUM([1]Industry!J$37:J$38)-N780</f>
        <v>0.68345000671580092</v>
      </c>
      <c r="O779" s="1">
        <f>SUM([1]Industry!K$37:K$38)-O780</f>
        <v>0.73353267131349875</v>
      </c>
      <c r="P779" s="1">
        <f>SUM([1]Industry!L$37:L$38)-P780</f>
        <v>0.64412918303622113</v>
      </c>
      <c r="Q779" s="1">
        <f>SUM([1]Industry!M$37:M$38)-Q780</f>
        <v>0.62523900230996943</v>
      </c>
      <c r="S779" s="3"/>
    </row>
    <row r="780" spans="2:19" x14ac:dyDescent="0.5">
      <c r="B780" s="5" t="str">
        <f t="shared" ref="B780" si="938">B779</f>
        <v>SPS1</v>
      </c>
      <c r="C780" s="5" t="str">
        <f t="shared" ref="C780" si="939">C779</f>
        <v>CH</v>
      </c>
      <c r="D780" t="s">
        <v>722</v>
      </c>
      <c r="E780" t="s">
        <v>8</v>
      </c>
      <c r="F780" s="1" cm="1">
        <f t="array" ref="F780">SUMPRODUCT(([1]OUT_FinalEnergyCons!$B$4:$B$10000="Var_Fin")*1,  ([1]OUT_FinalEnergyCons!$C$4:$C$10000="Inga")*1,(ISNUMBER(SEARCH("ITOT-SWHNGAHP",[1]OUT_FinalEnergyCons!$A$4:$A$10000)))*1,[1]OUT_FinalEnergyCons!H$4:H$10000)</f>
        <v>9.2477420086894812E-3</v>
      </c>
      <c r="G780" s="1" cm="1">
        <f t="array" ref="G780">SUMPRODUCT(([1]OUT_FinalEnergyCons!$B$4:$B$10000="Var_Fin")*1,  ([1]OUT_FinalEnergyCons!$C$4:$C$10000="Inga")*1,(ISNUMBER(SEARCH("ITOT-SWHNGAHP",[1]OUT_FinalEnergyCons!$A$4:$A$10000)))*1,[1]OUT_FinalEnergyCons!I$4:I$10000)</f>
        <v>1.7914384233757536E-2</v>
      </c>
      <c r="H780" s="1" cm="1">
        <f t="array" ref="H780">SUMPRODUCT(([1]OUT_FinalEnergyCons!$B$4:$B$10000="Var_Fin")*1,  ([1]OUT_FinalEnergyCons!$C$4:$C$10000="Inga")*1,(ISNUMBER(SEARCH("ITOT-SWHNGAHP",[1]OUT_FinalEnergyCons!$A$4:$A$10000)))*1,[1]OUT_FinalEnergyCons!J$4:J$10000)</f>
        <v>1.3321905931035397E-2</v>
      </c>
      <c r="I780" s="1" cm="1">
        <f t="array" ref="I780">SUMPRODUCT(([1]OUT_FinalEnergyCons!$B$4:$B$10000="Var_Fin")*1,  ([1]OUT_FinalEnergyCons!$C$4:$C$10000="Inga")*1,(ISNUMBER(SEARCH("ITOT-SWHNGAHP",[1]OUT_FinalEnergyCons!$A$4:$A$10000)))*1,[1]OUT_FinalEnergyCons!K$4:K$10000)</f>
        <v>2.140593313535397E-2</v>
      </c>
      <c r="J780" s="1" cm="1">
        <f t="array" ref="J780">SUMPRODUCT(([1]OUT_FinalEnergyCons!$B$4:$B$10000="Var_Fin")*1,  ([1]OUT_FinalEnergyCons!$C$4:$C$10000="Inga")*1,(ISNUMBER(SEARCH("ITOT-SWHNGAHP",[1]OUT_FinalEnergyCons!$A$4:$A$10000)))*1,[1]OUT_FinalEnergyCons!L$4:L$10000)</f>
        <v>2.135342561690191E-2</v>
      </c>
      <c r="K780" s="1" cm="1">
        <f t="array" ref="K780">SUMPRODUCT(([1]OUT_FinalEnergyCons!$B$4:$B$10000="Var_Fin")*1,  ([1]OUT_FinalEnergyCons!$C$4:$C$10000="Inga")*1,(ISNUMBER(SEARCH("ITOT-SWHNGAHP",[1]OUT_FinalEnergyCons!$A$4:$A$10000)))*1,[1]OUT_FinalEnergyCons!M$4:M$10000)</f>
        <v>2.1289816169201468E-2</v>
      </c>
      <c r="L780" s="1" cm="1">
        <f t="array" ref="L780">SUMPRODUCT(([1]OUT_FinalEnergyCons!$B$4:$B$10000="Var_Fin")*1,  ([1]OUT_FinalEnergyCons!$C$4:$C$10000="Inga")*1,(ISNUMBER(SEARCH("ITOT-SWHNGAHP",[1]OUT_FinalEnergyCons!$A$4:$A$10000)))*1,[1]OUT_FinalEnergyCons!N$4:N$10000)</f>
        <v>2.128447089005614E-2</v>
      </c>
      <c r="M780" s="1" cm="1">
        <f t="array" ref="M780">SUMPRODUCT(([1]OUT_FinalEnergyCons!$B$4:$B$10000="Var_Fin")*1,  ([1]OUT_FinalEnergyCons!$C$4:$C$10000="Inga")*1,(ISNUMBER(SEARCH("ITOT-SWHNGAHP",[1]OUT_FinalEnergyCons!$A$4:$A$10000)))*1,[1]OUT_FinalEnergyCons!O$4:O$10000)</f>
        <v>2.1271100866137923E-2</v>
      </c>
      <c r="N780" s="1" cm="1">
        <f t="array" ref="N780">SUMPRODUCT(([1]OUT_FinalEnergyCons!$B$4:$B$10000="Var_Fin")*1,  ([1]OUT_FinalEnergyCons!$C$4:$C$10000="Inga")*1,(ISNUMBER(SEARCH("ITOT-SWHNGAHP",[1]OUT_FinalEnergyCons!$A$4:$A$10000)))*1,[1]OUT_FinalEnergyCons!P$4:P$10000)</f>
        <v>0</v>
      </c>
      <c r="O780" s="1" cm="1">
        <f t="array" ref="O780">SUMPRODUCT(([1]OUT_FinalEnergyCons!$B$4:$B$10000="Var_Fin")*1,  ([1]OUT_FinalEnergyCons!$C$4:$C$10000="Inga")*1,(ISNUMBER(SEARCH("ITOT-SWHNGAHP",[1]OUT_FinalEnergyCons!$A$4:$A$10000)))*1,[1]OUT_FinalEnergyCons!Q$4:Q$10000)</f>
        <v>0</v>
      </c>
      <c r="P780" s="1" cm="1">
        <f t="array" ref="P780">SUMPRODUCT(([1]OUT_FinalEnergyCons!$B$4:$B$10000="Var_Fin")*1,  ([1]OUT_FinalEnergyCons!$C$4:$C$10000="Inga")*1,(ISNUMBER(SEARCH("ITOT-SWHNGAHP",[1]OUT_FinalEnergyCons!$A$4:$A$10000)))*1,[1]OUT_FinalEnergyCons!R$4:R$10000)</f>
        <v>0</v>
      </c>
      <c r="Q780" s="1" cm="1">
        <f t="array" ref="Q780">SUMPRODUCT(([1]OUT_FinalEnergyCons!$B$4:$B$10000="Var_Fin")*1,  ([1]OUT_FinalEnergyCons!$C$4:$C$10000="Inga")*1,(ISNUMBER(SEARCH("ITOT-SWHNGAHP",[1]OUT_FinalEnergyCons!$A$4:$A$10000)))*1,[1]OUT_FinalEnergyCons!S$4:S$10000)</f>
        <v>0</v>
      </c>
      <c r="S780" s="3"/>
    </row>
    <row r="781" spans="2:19" x14ac:dyDescent="0.5">
      <c r="B781" s="5" t="str">
        <f>B779</f>
        <v>SPS1</v>
      </c>
      <c r="C781" s="5" t="str">
        <f>C779</f>
        <v>CH</v>
      </c>
      <c r="D781" t="s">
        <v>473</v>
      </c>
      <c r="E781" t="s">
        <v>8</v>
      </c>
      <c r="F781" s="1">
        <f t="shared" ref="F781:K781" si="940">F778-F779</f>
        <v>0.44601143111815844</v>
      </c>
      <c r="G781" s="1">
        <f t="shared" si="940"/>
        <v>0.57001907077224701</v>
      </c>
      <c r="H781" s="1">
        <f t="shared" si="940"/>
        <v>1.1544076533488266</v>
      </c>
      <c r="I781" s="1">
        <f t="shared" si="940"/>
        <v>4.344809872235821</v>
      </c>
      <c r="J781" s="1">
        <f t="shared" si="940"/>
        <v>4.3447786554743733</v>
      </c>
      <c r="K781" s="1">
        <f t="shared" si="940"/>
        <v>4.3447214345104248</v>
      </c>
      <c r="L781" s="1">
        <f t="shared" ref="L781:O781" si="941">L778-L779</f>
        <v>4.3447178840337202</v>
      </c>
      <c r="M781" s="1">
        <f t="shared" si="941"/>
        <v>4.3447062217424186</v>
      </c>
      <c r="N781" s="1">
        <f t="shared" si="941"/>
        <v>4.3234484288362891</v>
      </c>
      <c r="O781" s="1">
        <f t="shared" si="941"/>
        <v>4.3234506915264861</v>
      </c>
      <c r="P781" s="1">
        <f>P778-P779</f>
        <v>4.3234640529744084</v>
      </c>
      <c r="Q781" s="1">
        <f>Q778-Q779</f>
        <v>4.3236152736308444</v>
      </c>
      <c r="S781" s="3"/>
    </row>
    <row r="782" spans="2:19" x14ac:dyDescent="0.5">
      <c r="B782" s="5" t="str">
        <f t="shared" ref="B782:B790" si="942">B781</f>
        <v>SPS1</v>
      </c>
      <c r="C782" s="5" t="str">
        <f t="shared" ref="C782:C790" si="943">C781</f>
        <v>CH</v>
      </c>
      <c r="D782" t="s">
        <v>944</v>
      </c>
      <c r="E782" t="s">
        <v>8</v>
      </c>
      <c r="F782" s="1">
        <f>[1]Industry!B$37</f>
        <v>35.244302085898184</v>
      </c>
      <c r="G782" s="1">
        <f>[1]Industry!C$37</f>
        <v>29.685247137318143</v>
      </c>
      <c r="H782" s="1">
        <f>[1]Industry!D$37</f>
        <v>33.61739519525014</v>
      </c>
      <c r="I782" s="1">
        <f>[1]Industry!E$37</f>
        <v>23.50634965810417</v>
      </c>
      <c r="J782" s="1">
        <f>[1]Industry!F$37</f>
        <v>10.37958211103232</v>
      </c>
      <c r="K782" s="1">
        <f>[1]Industry!G$37</f>
        <v>5.1650240586130884</v>
      </c>
      <c r="L782" s="1">
        <f>[1]Industry!H$37</f>
        <v>1.9734019078989269</v>
      </c>
      <c r="M782" s="1">
        <f>[1]Industry!I$37</f>
        <v>0.11976770593960091</v>
      </c>
      <c r="N782" s="1">
        <f>[1]Industry!J$37</f>
        <v>1.2391769425715527E-2</v>
      </c>
      <c r="O782" s="1">
        <f>[1]Industry!K$37</f>
        <v>1.1042763927946798E-3</v>
      </c>
      <c r="P782" s="1">
        <f>[1]Industry!L$37</f>
        <v>4.1445773710703142E-3</v>
      </c>
      <c r="Q782" s="1">
        <f>[1]Industry!M$37</f>
        <v>3.1747621870546337E-4</v>
      </c>
      <c r="S782" s="3"/>
    </row>
    <row r="783" spans="2:19" x14ac:dyDescent="0.5">
      <c r="B783" s="5" t="str">
        <f t="shared" si="942"/>
        <v>SPS1</v>
      </c>
      <c r="C783" s="5" t="str">
        <f t="shared" si="943"/>
        <v>CH</v>
      </c>
      <c r="D783" t="s">
        <v>679</v>
      </c>
      <c r="E783" t="s">
        <v>8</v>
      </c>
      <c r="F783" s="1">
        <f>[1]Industry!B$37*F779/SUM(F779:F780)</f>
        <v>35.235134483813106</v>
      </c>
      <c r="G783" s="1">
        <f>[1]Industry!C$37*G779/SUM(G779:G780)</f>
        <v>29.667332985730393</v>
      </c>
      <c r="H783" s="1">
        <f>[1]Industry!D$37*H779/SUM(H779:H780)</f>
        <v>33.60498177180483</v>
      </c>
      <c r="I783" s="1">
        <f>[1]Industry!E$37*I779/SUM(I779:I780)</f>
        <v>23.487056383924518</v>
      </c>
      <c r="J783" s="1">
        <f>[1]Industry!F$37*J779/SUM(J779:J780)</f>
        <v>10.362170831155476</v>
      </c>
      <c r="K783" s="1">
        <f>[1]Industry!G$37*K779/SUM(K779:K780)</f>
        <v>5.1501691222351349</v>
      </c>
      <c r="L783" s="1">
        <f>[1]Industry!H$37*L779/SUM(L779:L780)</f>
        <v>1.9636685190869601</v>
      </c>
      <c r="M783" s="1">
        <f>[1]Industry!I$37*M779/SUM(M779:M780)</f>
        <v>0.11774348703334886</v>
      </c>
      <c r="N783" s="1">
        <f>[1]Industry!J$37*N779/SUM(N779:N780)</f>
        <v>1.2391769425715527E-2</v>
      </c>
      <c r="O783" s="1">
        <f>[1]Industry!K$37*O779/SUM(O779:O780)</f>
        <v>1.1042763927946798E-3</v>
      </c>
      <c r="P783" s="1">
        <f>[1]Industry!L$37*P779/SUM(P779:P780)</f>
        <v>4.1445773710703142E-3</v>
      </c>
      <c r="Q783" s="1">
        <f>[1]Industry!M$37*Q779/SUM(Q779:Q780)</f>
        <v>3.1747621870546337E-4</v>
      </c>
      <c r="S783" s="3"/>
    </row>
    <row r="784" spans="2:19" x14ac:dyDescent="0.5">
      <c r="B784" s="5" t="str">
        <f t="shared" ref="B784" si="944">B783</f>
        <v>SPS1</v>
      </c>
      <c r="C784" s="5" t="str">
        <f t="shared" ref="C784" si="945">C783</f>
        <v>CH</v>
      </c>
      <c r="D784" t="s">
        <v>723</v>
      </c>
      <c r="E784" t="s">
        <v>8</v>
      </c>
      <c r="F784" s="1">
        <f>F782-F783</f>
        <v>9.1676020850783857E-3</v>
      </c>
      <c r="G784" s="1">
        <f t="shared" ref="G784:K784" si="946">G782-G783</f>
        <v>1.7914151587749672E-2</v>
      </c>
      <c r="H784" s="1">
        <f t="shared" si="946"/>
        <v>1.241342344530949E-2</v>
      </c>
      <c r="I784" s="1">
        <f t="shared" si="946"/>
        <v>1.9293274179652542E-2</v>
      </c>
      <c r="J784" s="1">
        <f t="shared" si="946"/>
        <v>1.7411279876844432E-2</v>
      </c>
      <c r="K784" s="1">
        <f t="shared" si="946"/>
        <v>1.4854936377953543E-2</v>
      </c>
      <c r="L784" s="1">
        <f t="shared" ref="L784:O784" si="947">L782-L783</f>
        <v>9.7333888119668366E-3</v>
      </c>
      <c r="M784" s="1">
        <f t="shared" si="947"/>
        <v>2.0242189062520538E-3</v>
      </c>
      <c r="N784" s="1">
        <f t="shared" si="947"/>
        <v>0</v>
      </c>
      <c r="O784" s="1">
        <f t="shared" si="947"/>
        <v>0</v>
      </c>
      <c r="P784" s="1">
        <f>P782-P783</f>
        <v>0</v>
      </c>
      <c r="Q784" s="1">
        <f>Q782-Q783</f>
        <v>0</v>
      </c>
      <c r="S784" s="3"/>
    </row>
    <row r="785" spans="2:19" x14ac:dyDescent="0.5">
      <c r="B785" s="5" t="str">
        <f>B783</f>
        <v>SPS1</v>
      </c>
      <c r="C785" s="5" t="str">
        <f>C783</f>
        <v>CH</v>
      </c>
      <c r="D785" t="s">
        <v>945</v>
      </c>
      <c r="E785" t="s">
        <v>8</v>
      </c>
      <c r="F785" s="1">
        <f>SUM(F786:F788)</f>
        <v>0.7448568688632542</v>
      </c>
      <c r="G785" s="1">
        <f t="shared" ref="G785:K785" si="948">SUM(G786:G788)</f>
        <v>0.55249020043013319</v>
      </c>
      <c r="H785" s="1">
        <f t="shared" si="948"/>
        <v>3.601391309810166</v>
      </c>
      <c r="I785" s="1">
        <f t="shared" si="948"/>
        <v>6.8974045809126174</v>
      </c>
      <c r="J785" s="1">
        <f t="shared" si="948"/>
        <v>6.6735009102208425</v>
      </c>
      <c r="K785" s="1">
        <f t="shared" si="948"/>
        <v>6.5608231554334981</v>
      </c>
      <c r="L785" s="1">
        <f t="shared" ref="L785:O785" si="949">SUM(L786:L788)</f>
        <v>6.6653646615054178</v>
      </c>
      <c r="M785" s="1">
        <f t="shared" si="949"/>
        <v>5.4622224781655913</v>
      </c>
      <c r="N785" s="1">
        <f t="shared" si="949"/>
        <v>4.9945066661263748</v>
      </c>
      <c r="O785" s="1">
        <f t="shared" si="949"/>
        <v>5.0558790864471899</v>
      </c>
      <c r="P785" s="1">
        <f>SUM(P786:P788)</f>
        <v>4.9634486586395594</v>
      </c>
      <c r="Q785" s="1">
        <f>SUM(Q786:Q788)</f>
        <v>4.9485367997221079</v>
      </c>
      <c r="S785" s="3"/>
    </row>
    <row r="786" spans="2:19" x14ac:dyDescent="0.5">
      <c r="B786" s="5" t="str">
        <f t="shared" si="942"/>
        <v>SPS1</v>
      </c>
      <c r="C786" s="5" t="str">
        <f t="shared" si="943"/>
        <v>CH</v>
      </c>
      <c r="D786" t="s">
        <v>680</v>
      </c>
      <c r="E786" t="s">
        <v>8</v>
      </c>
      <c r="F786" s="1">
        <f>[1]Industry!B$38*F779/SUM(F779:F780)</f>
        <v>0.30801303983016592</v>
      </c>
      <c r="G786" s="1">
        <f>[1]Industry!C$38*G779/SUM(G779:G780)</f>
        <v>3.8528124563419773E-4</v>
      </c>
      <c r="H786" s="1">
        <f>[1]Industry!D$38*H779/SUM(H779:H780)</f>
        <v>2.4593970799066431</v>
      </c>
      <c r="I786" s="1">
        <f>[1]Industry!E$38*I779/SUM(I779:I780)</f>
        <v>2.5718879828564507</v>
      </c>
      <c r="J786" s="1">
        <f>[1]Industry!F$38*J779/SUM(J779:J780)</f>
        <v>2.3461335346233132</v>
      </c>
      <c r="K786" s="1">
        <f>[1]Industry!G$38*K779/SUM(K779:K780)</f>
        <v>2.2309566573010278</v>
      </c>
      <c r="L786" s="1">
        <f>[1]Industry!H$38*L779/SUM(L779:L780)</f>
        <v>2.3303801662836641</v>
      </c>
      <c r="M786" s="1">
        <f>[1]Industry!I$38*M779/SUM(M779:M780)</f>
        <v>1.1195404753294247</v>
      </c>
      <c r="N786" s="1">
        <f>[1]Industry!J$38*N779/SUM(N779:N780)</f>
        <v>0.6710582372900854</v>
      </c>
      <c r="O786" s="1">
        <f>[1]Industry!K$38*O779/SUM(O779:O780)</f>
        <v>0.73242839492070411</v>
      </c>
      <c r="P786" s="1">
        <f>[1]Industry!L$38*P779/SUM(P779:P780)</f>
        <v>0.63998460566515081</v>
      </c>
      <c r="Q786" s="1">
        <f>[1]Industry!M$38*Q779/SUM(Q779:Q780)</f>
        <v>0.62492152609126395</v>
      </c>
      <c r="S786" s="3"/>
    </row>
    <row r="787" spans="2:19" x14ac:dyDescent="0.5">
      <c r="B787" s="5" t="str">
        <f t="shared" ref="B787" si="950">B786</f>
        <v>SPS1</v>
      </c>
      <c r="C787" s="5" t="str">
        <f t="shared" ref="C787" si="951">C786</f>
        <v>CH</v>
      </c>
      <c r="D787" t="s">
        <v>724</v>
      </c>
      <c r="E787" t="s">
        <v>8</v>
      </c>
      <c r="F787" s="1">
        <f>[1]Industry!B$38-F786</f>
        <v>8.0139923617272846E-5</v>
      </c>
      <c r="G787" s="1">
        <f>[1]Industry!C$38-G786</f>
        <v>2.3264600972148618E-7</v>
      </c>
      <c r="H787" s="1">
        <f>[1]Industry!D$38-H786</f>
        <v>9.0848248573216495E-4</v>
      </c>
      <c r="I787" s="1">
        <f>[1]Industry!E$38-I786</f>
        <v>2.1126589557032283E-3</v>
      </c>
      <c r="J787" s="1">
        <f>[1]Industry!F$38-J786</f>
        <v>3.9421457400563575E-3</v>
      </c>
      <c r="K787" s="1">
        <f>[1]Industry!G$38-K786</f>
        <v>6.434879791247905E-3</v>
      </c>
      <c r="L787" s="1">
        <f>[1]Industry!H$38-L786</f>
        <v>1.1551082078089969E-2</v>
      </c>
      <c r="M787" s="1">
        <f>[1]Industry!I$38-M786</f>
        <v>1.9246881959885886E-2</v>
      </c>
      <c r="N787" s="1">
        <f>[1]Industry!J$38-N786</f>
        <v>0</v>
      </c>
      <c r="O787" s="1">
        <f>[1]Industry!K$38-O786</f>
        <v>0</v>
      </c>
      <c r="P787" s="1">
        <f>[1]Industry!L$38-P786</f>
        <v>0</v>
      </c>
      <c r="Q787" s="1">
        <f>[1]Industry!M$38-Q786</f>
        <v>0</v>
      </c>
      <c r="S787" s="3"/>
    </row>
    <row r="788" spans="2:19" x14ac:dyDescent="0.5">
      <c r="B788" s="5" t="str">
        <f>B786</f>
        <v>SPS1</v>
      </c>
      <c r="C788" s="5" t="str">
        <f>C786</f>
        <v>CH</v>
      </c>
      <c r="D788" t="s">
        <v>672</v>
      </c>
      <c r="E788" t="s">
        <v>8</v>
      </c>
      <c r="F788" s="1">
        <f>[1]Industry!B$39</f>
        <v>0.436763689109471</v>
      </c>
      <c r="G788" s="1">
        <f>[1]Industry!C$39</f>
        <v>0.55210468653848932</v>
      </c>
      <c r="H788" s="1">
        <f>[1]Industry!D$39</f>
        <v>1.1410857474177907</v>
      </c>
      <c r="I788" s="1">
        <f>[1]Industry!E$39</f>
        <v>4.3234039391004639</v>
      </c>
      <c r="J788" s="1">
        <f>[1]Industry!F$39</f>
        <v>4.3234252298574729</v>
      </c>
      <c r="K788" s="1">
        <f>[1]Industry!G$39</f>
        <v>4.3234316183412229</v>
      </c>
      <c r="L788" s="1">
        <f>[1]Industry!H$39</f>
        <v>4.3234334131436638</v>
      </c>
      <c r="M788" s="1">
        <f>[1]Industry!I$39</f>
        <v>4.3234351208762805</v>
      </c>
      <c r="N788" s="1">
        <f>[1]Industry!J$39</f>
        <v>4.3234484288362891</v>
      </c>
      <c r="O788" s="1">
        <f>[1]Industry!K$39</f>
        <v>4.3234506915264861</v>
      </c>
      <c r="P788" s="1">
        <f>[1]Industry!L$39</f>
        <v>4.3234640529744084</v>
      </c>
      <c r="Q788" s="1">
        <f>[1]Industry!M$39</f>
        <v>4.3236152736308444</v>
      </c>
      <c r="S788" s="3"/>
    </row>
    <row r="789" spans="2:19" x14ac:dyDescent="0.5">
      <c r="B789" s="5" t="str">
        <f t="shared" si="942"/>
        <v>SPS1</v>
      </c>
      <c r="C789" s="5" t="str">
        <f t="shared" si="943"/>
        <v>CH</v>
      </c>
      <c r="D789" t="s">
        <v>946</v>
      </c>
      <c r="E789" t="s">
        <v>8</v>
      </c>
      <c r="F789" s="1">
        <f>[1]Industry!B$18</f>
        <v>3.56004273918029</v>
      </c>
      <c r="G789" s="1">
        <f>[1]Industry!C$18</f>
        <v>3.4647590848767336</v>
      </c>
      <c r="H789" s="1">
        <f>[1]Industry!D$18</f>
        <v>1.7091200775204762E-2</v>
      </c>
      <c r="I789" s="1">
        <f>[1]Industry!E$18</f>
        <v>1.3738607678468987E-3</v>
      </c>
      <c r="J789" s="1">
        <f>[1]Industry!F$18</f>
        <v>1.740733318647451E-3</v>
      </c>
      <c r="K789" s="1">
        <f>[1]Industry!G$18</f>
        <v>3.9947130196455504E-3</v>
      </c>
      <c r="L789" s="1">
        <f>[1]Industry!H$18</f>
        <v>1.9201830249886559E-3</v>
      </c>
      <c r="M789" s="1">
        <f>[1]Industry!I$18</f>
        <v>4.1694470104093183E-5</v>
      </c>
      <c r="N789" s="1">
        <f>[1]Industry!J$18</f>
        <v>1.1309141021156351E-4</v>
      </c>
      <c r="O789" s="1">
        <f>[1]Industry!K$18</f>
        <v>1.5727616072570364E-4</v>
      </c>
      <c r="P789" s="1">
        <f>[1]Industry!L$18</f>
        <v>1.5267060017638086E-4</v>
      </c>
      <c r="Q789" s="1">
        <f>[1]Industry!M$18</f>
        <v>1.7477235583997954E-4</v>
      </c>
      <c r="S789" s="3"/>
    </row>
    <row r="790" spans="2:19" x14ac:dyDescent="0.5">
      <c r="B790" s="5" t="str">
        <f t="shared" si="942"/>
        <v>SPS1</v>
      </c>
      <c r="C790" s="5" t="str">
        <f t="shared" si="943"/>
        <v>CH</v>
      </c>
      <c r="D790" t="s">
        <v>947</v>
      </c>
      <c r="E790" t="s">
        <v>8</v>
      </c>
      <c r="F790" s="1">
        <f>F789</f>
        <v>3.56004273918029</v>
      </c>
      <c r="G790" s="1">
        <f t="shared" ref="G790:K790" si="952">G789</f>
        <v>3.4647590848767336</v>
      </c>
      <c r="H790" s="1">
        <f t="shared" si="952"/>
        <v>1.7091200775204762E-2</v>
      </c>
      <c r="I790" s="1">
        <f t="shared" si="952"/>
        <v>1.3738607678468987E-3</v>
      </c>
      <c r="J790" s="1">
        <f t="shared" si="952"/>
        <v>1.740733318647451E-3</v>
      </c>
      <c r="K790" s="1">
        <f t="shared" si="952"/>
        <v>3.9947130196455504E-3</v>
      </c>
      <c r="L790" s="1">
        <f t="shared" ref="L790:O790" si="953">L789</f>
        <v>1.9201830249886559E-3</v>
      </c>
      <c r="M790" s="1">
        <f t="shared" si="953"/>
        <v>4.1694470104093183E-5</v>
      </c>
      <c r="N790" s="1">
        <f t="shared" si="953"/>
        <v>1.1309141021156351E-4</v>
      </c>
      <c r="O790" s="1">
        <f t="shared" si="953"/>
        <v>1.5727616072570364E-4</v>
      </c>
      <c r="P790" s="1">
        <f>P789</f>
        <v>1.5267060017638086E-4</v>
      </c>
      <c r="Q790" s="1">
        <f>Q789</f>
        <v>1.7477235583997954E-4</v>
      </c>
      <c r="S790" s="3"/>
    </row>
    <row r="791" spans="2:19" x14ac:dyDescent="0.5">
      <c r="B791" s="5" t="str">
        <f t="shared" ref="B791:B792" si="954">B790</f>
        <v>SPS1</v>
      </c>
      <c r="C791" s="5" t="str">
        <f t="shared" ref="C791:C792" si="955">C790</f>
        <v>CH</v>
      </c>
      <c r="D791" t="s">
        <v>948</v>
      </c>
      <c r="E791" t="s">
        <v>8</v>
      </c>
      <c r="F791" s="1">
        <f>[1]Industry!B$19</f>
        <v>12.728695887806097</v>
      </c>
      <c r="G791" s="1">
        <f>[1]Industry!C$19</f>
        <v>13.638482139124372</v>
      </c>
      <c r="H791" s="1">
        <f>[1]Industry!D$19</f>
        <v>13.523064933960748</v>
      </c>
      <c r="I791" s="1">
        <f>[1]Industry!E$19</f>
        <v>14.638434901954808</v>
      </c>
      <c r="J791" s="1">
        <f>[1]Industry!F$19</f>
        <v>14.167910551842391</v>
      </c>
      <c r="K791" s="1">
        <f>[1]Industry!G$19</f>
        <v>15.118385057300356</v>
      </c>
      <c r="L791" s="1">
        <f>[1]Industry!H$19</f>
        <v>16.98711177102458</v>
      </c>
      <c r="M791" s="1">
        <f>[1]Industry!I$19</f>
        <v>21.924966209937775</v>
      </c>
      <c r="N791" s="1">
        <f>[1]Industry!J$19</f>
        <v>21.605055414695514</v>
      </c>
      <c r="O791" s="1">
        <f>[1]Industry!K$19</f>
        <v>21.298215730160866</v>
      </c>
      <c r="P791" s="1">
        <f>[1]Industry!L$19</f>
        <v>21.272816883365348</v>
      </c>
      <c r="Q791" s="1">
        <f>[1]Industry!M$19</f>
        <v>21.139607412567802</v>
      </c>
      <c r="S791" s="3"/>
    </row>
    <row r="792" spans="2:19" x14ac:dyDescent="0.5">
      <c r="B792" s="5" t="str">
        <f t="shared" si="954"/>
        <v>SPS1</v>
      </c>
      <c r="C792" s="5" t="str">
        <f t="shared" si="955"/>
        <v>CH</v>
      </c>
      <c r="D792" t="s">
        <v>949</v>
      </c>
      <c r="E792" t="s">
        <v>8</v>
      </c>
      <c r="F792" s="1">
        <f>SUM(F793:F801)</f>
        <v>4.3132877212586873</v>
      </c>
      <c r="G792" s="1">
        <f t="shared" ref="G792:K792" si="956">SUM(G793:G801)</f>
        <v>5.8559554771970923</v>
      </c>
      <c r="H792" s="1">
        <f t="shared" si="956"/>
        <v>6.083099450754113</v>
      </c>
      <c r="I792" s="1">
        <f t="shared" si="956"/>
        <v>6.7485043421264734</v>
      </c>
      <c r="J792" s="1">
        <f t="shared" si="956"/>
        <v>6.9306129357747235</v>
      </c>
      <c r="K792" s="1">
        <f t="shared" si="956"/>
        <v>7.6940551778640822</v>
      </c>
      <c r="L792" s="1">
        <f t="shared" ref="L792:O792" si="957">SUM(L793:L801)</f>
        <v>10.252526297398814</v>
      </c>
      <c r="M792" s="1">
        <f t="shared" si="957"/>
        <v>13.202675527470483</v>
      </c>
      <c r="N792" s="1">
        <f t="shared" si="957"/>
        <v>12.937941252162924</v>
      </c>
      <c r="O792" s="1">
        <f t="shared" si="957"/>
        <v>13.029879787809644</v>
      </c>
      <c r="P792" s="1">
        <f>SUM(P793:P801)</f>
        <v>13.820539902396764</v>
      </c>
      <c r="Q792" s="1">
        <f>SUM(Q793:Q801)</f>
        <v>14.149798733339818</v>
      </c>
      <c r="S792" s="3"/>
    </row>
    <row r="793" spans="2:19" x14ac:dyDescent="0.5">
      <c r="B793" s="5" t="str">
        <f t="shared" ref="B793:B802" si="958">B792</f>
        <v>SPS1</v>
      </c>
      <c r="C793" s="5" t="str">
        <f t="shared" ref="C793:C810" si="959">C792</f>
        <v>CH</v>
      </c>
      <c r="D793" t="s">
        <v>481</v>
      </c>
      <c r="E793" t="s">
        <v>8</v>
      </c>
      <c r="F793" s="1">
        <f>F235</f>
        <v>0.93006795162730349</v>
      </c>
      <c r="G793" s="1">
        <f t="shared" ref="G793:K793" si="960">G235</f>
        <v>2.0711828864240585</v>
      </c>
      <c r="H793" s="1">
        <f t="shared" si="960"/>
        <v>9.0889216989872013E-2</v>
      </c>
      <c r="I793" s="1">
        <f t="shared" si="960"/>
        <v>1.3075520758979899</v>
      </c>
      <c r="J793" s="1">
        <f t="shared" si="960"/>
        <v>0.84199512602426008</v>
      </c>
      <c r="K793" s="1">
        <f t="shared" si="960"/>
        <v>0</v>
      </c>
      <c r="L793" s="1">
        <f t="shared" ref="L793:O793" si="961">L235</f>
        <v>0</v>
      </c>
      <c r="M793" s="1">
        <f t="shared" si="961"/>
        <v>0</v>
      </c>
      <c r="N793" s="1">
        <f t="shared" si="961"/>
        <v>5.2674542162728846E-3</v>
      </c>
      <c r="O793" s="1">
        <f t="shared" si="961"/>
        <v>7.4867959959330254E-3</v>
      </c>
      <c r="P793" s="1">
        <f>P235</f>
        <v>1.2083464307072177E-2</v>
      </c>
      <c r="Q793" s="1">
        <f>Q235</f>
        <v>1.7681794138878614E-2</v>
      </c>
      <c r="S793" s="3"/>
    </row>
    <row r="794" spans="2:19" x14ac:dyDescent="0.5">
      <c r="B794" s="5" t="str">
        <f t="shared" si="958"/>
        <v>SPS1</v>
      </c>
      <c r="C794" s="5" t="str">
        <f t="shared" si="959"/>
        <v>CH</v>
      </c>
      <c r="D794" t="s">
        <v>482</v>
      </c>
      <c r="E794" t="s">
        <v>8</v>
      </c>
      <c r="F794" s="1">
        <f>F241</f>
        <v>0.78781211917116545</v>
      </c>
      <c r="G794" s="1">
        <f t="shared" ref="G794:K794" si="962">G241</f>
        <v>9.9620793624358675E-2</v>
      </c>
      <c r="H794" s="1">
        <f t="shared" si="962"/>
        <v>6.8170475242305031E-2</v>
      </c>
      <c r="I794" s="1">
        <f t="shared" si="962"/>
        <v>8.6626732033809509E-2</v>
      </c>
      <c r="J794" s="1">
        <f t="shared" si="962"/>
        <v>0.61600589471837353</v>
      </c>
      <c r="K794" s="1">
        <f t="shared" si="962"/>
        <v>0.39550823522249395</v>
      </c>
      <c r="L794" s="1">
        <f t="shared" ref="L794:O794" si="963">L241</f>
        <v>0.12401733949957189</v>
      </c>
      <c r="M794" s="1">
        <f t="shared" si="963"/>
        <v>0.37660356255082217</v>
      </c>
      <c r="N794" s="1">
        <f t="shared" si="963"/>
        <v>0.4640534121293397</v>
      </c>
      <c r="O794" s="1">
        <f t="shared" si="963"/>
        <v>0.44342009087444384</v>
      </c>
      <c r="P794" s="1">
        <f t="shared" ref="P794:Q796" si="964">P241</f>
        <v>0.46626922611506011</v>
      </c>
      <c r="Q794" s="1">
        <f t="shared" si="964"/>
        <v>0.46637316646977772</v>
      </c>
      <c r="S794" s="3"/>
    </row>
    <row r="795" spans="2:19" x14ac:dyDescent="0.5">
      <c r="B795" s="5" t="str">
        <f t="shared" si="958"/>
        <v>SPS1</v>
      </c>
      <c r="C795" s="5" t="str">
        <f t="shared" si="959"/>
        <v>CH</v>
      </c>
      <c r="D795" t="s">
        <v>483</v>
      </c>
      <c r="E795" t="s">
        <v>8</v>
      </c>
      <c r="F795" s="1">
        <f>F242</f>
        <v>0</v>
      </c>
      <c r="G795" s="1">
        <f t="shared" ref="G795:K795" si="965">G242</f>
        <v>0</v>
      </c>
      <c r="H795" s="1">
        <f t="shared" si="965"/>
        <v>0</v>
      </c>
      <c r="I795" s="1">
        <f t="shared" si="965"/>
        <v>0</v>
      </c>
      <c r="J795" s="1">
        <f t="shared" si="965"/>
        <v>0</v>
      </c>
      <c r="K795" s="1">
        <f t="shared" si="965"/>
        <v>4.4066449494733224E-3</v>
      </c>
      <c r="L795" s="1">
        <f t="shared" ref="L795:O795" si="966">L242</f>
        <v>4.6586565032103108E-3</v>
      </c>
      <c r="M795" s="1">
        <f t="shared" si="966"/>
        <v>0.21781866437086883</v>
      </c>
      <c r="N795" s="1">
        <f t="shared" si="966"/>
        <v>0.26832157145061608</v>
      </c>
      <c r="O795" s="1">
        <f t="shared" si="966"/>
        <v>0.25645589509422134</v>
      </c>
      <c r="P795" s="1">
        <f t="shared" si="964"/>
        <v>0.26965996555023836</v>
      </c>
      <c r="Q795" s="1">
        <f t="shared" si="964"/>
        <v>0.26972352593501142</v>
      </c>
      <c r="S795" s="3"/>
    </row>
    <row r="796" spans="2:19" x14ac:dyDescent="0.5">
      <c r="B796" s="5" t="str">
        <f t="shared" si="958"/>
        <v>SPS1</v>
      </c>
      <c r="C796" s="5" t="str">
        <f t="shared" si="959"/>
        <v>CH</v>
      </c>
      <c r="D796" t="s">
        <v>484</v>
      </c>
      <c r="E796" t="s">
        <v>8</v>
      </c>
      <c r="F796" s="1">
        <f>F243</f>
        <v>0</v>
      </c>
      <c r="G796" s="1">
        <f t="shared" ref="G796:K796" si="967">G243</f>
        <v>0</v>
      </c>
      <c r="H796" s="1">
        <f t="shared" si="967"/>
        <v>0</v>
      </c>
      <c r="I796" s="1">
        <f t="shared" si="967"/>
        <v>0</v>
      </c>
      <c r="J796" s="1">
        <f t="shared" si="967"/>
        <v>2.057197406273218E-3</v>
      </c>
      <c r="K796" s="1">
        <f t="shared" si="967"/>
        <v>3.6698093893360625E-3</v>
      </c>
      <c r="L796" s="1">
        <f t="shared" ref="L796:O796" si="968">L243</f>
        <v>2.5287594055869275E-3</v>
      </c>
      <c r="M796" s="1">
        <f t="shared" si="968"/>
        <v>2.7099545594447554E-3</v>
      </c>
      <c r="N796" s="1">
        <f t="shared" si="968"/>
        <v>3.0248677604215305E-3</v>
      </c>
      <c r="O796" s="1">
        <f t="shared" si="968"/>
        <v>1.9205411282560295E-3</v>
      </c>
      <c r="P796" s="1">
        <f t="shared" si="964"/>
        <v>1.7419246085512141E-3</v>
      </c>
      <c r="Q796" s="1">
        <f t="shared" si="964"/>
        <v>1.697081606121448E-3</v>
      </c>
      <c r="S796" s="3"/>
    </row>
    <row r="797" spans="2:19" x14ac:dyDescent="0.5">
      <c r="B797" s="5" t="str">
        <f t="shared" si="958"/>
        <v>SPS1</v>
      </c>
      <c r="C797" s="5" t="str">
        <f t="shared" si="959"/>
        <v>CH</v>
      </c>
      <c r="D797" t="s">
        <v>485</v>
      </c>
      <c r="E797" t="s">
        <v>8</v>
      </c>
      <c r="F797" s="1">
        <f>F274</f>
        <v>1.935257622212696</v>
      </c>
      <c r="G797" s="1">
        <f t="shared" ref="G797:K797" si="969">G274</f>
        <v>1.9673347770153415</v>
      </c>
      <c r="H797" s="1">
        <f t="shared" si="969"/>
        <v>2.5505036369789567</v>
      </c>
      <c r="I797" s="1">
        <f t="shared" si="969"/>
        <v>2.2435319650864538</v>
      </c>
      <c r="J797" s="1">
        <f t="shared" si="969"/>
        <v>1.9428551013173674</v>
      </c>
      <c r="K797" s="1">
        <f t="shared" si="969"/>
        <v>1.4189873982460031</v>
      </c>
      <c r="L797" s="1">
        <f t="shared" ref="L797:O797" si="970">L274</f>
        <v>5.5317459910642075E-3</v>
      </c>
      <c r="M797" s="1">
        <f t="shared" si="970"/>
        <v>2.3296893299344923E-3</v>
      </c>
      <c r="N797" s="1">
        <f t="shared" si="970"/>
        <v>2.1901884585542319E-3</v>
      </c>
      <c r="O797" s="1">
        <f t="shared" si="970"/>
        <v>1.1902415513738163E-3</v>
      </c>
      <c r="P797" s="1">
        <f>P274</f>
        <v>1.1157500212441995E-3</v>
      </c>
      <c r="Q797" s="1">
        <f>Q274</f>
        <v>7.1079428756126717E-4</v>
      </c>
      <c r="S797" s="3"/>
    </row>
    <row r="798" spans="2:19" x14ac:dyDescent="0.5">
      <c r="B798" s="5" t="str">
        <f t="shared" si="958"/>
        <v>SPS1</v>
      </c>
      <c r="C798" s="5" t="str">
        <f t="shared" si="959"/>
        <v>CH</v>
      </c>
      <c r="D798" t="s">
        <v>486</v>
      </c>
      <c r="E798" t="s">
        <v>8</v>
      </c>
      <c r="F798" s="1">
        <f>F275</f>
        <v>0</v>
      </c>
      <c r="G798" s="1">
        <f t="shared" ref="G798:K798" si="971">G275</f>
        <v>0</v>
      </c>
      <c r="H798" s="1">
        <f t="shared" si="971"/>
        <v>0</v>
      </c>
      <c r="I798" s="1">
        <f t="shared" si="971"/>
        <v>0</v>
      </c>
      <c r="J798" s="1">
        <f t="shared" si="971"/>
        <v>0</v>
      </c>
      <c r="K798" s="1">
        <f t="shared" si="971"/>
        <v>0.21665535777870429</v>
      </c>
      <c r="L798" s="1">
        <f t="shared" ref="L798:O798" si="972">L275</f>
        <v>1.2358830929002229</v>
      </c>
      <c r="M798" s="1">
        <f t="shared" si="972"/>
        <v>2.2112162116698579</v>
      </c>
      <c r="N798" s="1">
        <f t="shared" si="972"/>
        <v>2.0085215370453788</v>
      </c>
      <c r="O798" s="1">
        <f t="shared" si="972"/>
        <v>2.0100263254708133</v>
      </c>
      <c r="P798" s="1">
        <f>P275</f>
        <v>2.0102574521084415</v>
      </c>
      <c r="Q798" s="1">
        <f>Q275</f>
        <v>2.0109589661430225</v>
      </c>
      <c r="S798" s="3"/>
    </row>
    <row r="799" spans="2:19" x14ac:dyDescent="0.5">
      <c r="B799" s="5" t="str">
        <f t="shared" si="958"/>
        <v>SPS1</v>
      </c>
      <c r="C799" s="5" t="str">
        <f t="shared" si="959"/>
        <v>CH</v>
      </c>
      <c r="D799" t="s">
        <v>487</v>
      </c>
      <c r="E799" t="s">
        <v>8</v>
      </c>
      <c r="F799" s="1">
        <f>F283</f>
        <v>0.66015002824752234</v>
      </c>
      <c r="G799" s="1">
        <f t="shared" ref="G799:K799" si="973">G283</f>
        <v>1.7178170201333334</v>
      </c>
      <c r="H799" s="1">
        <f t="shared" si="973"/>
        <v>3.3735361215429793</v>
      </c>
      <c r="I799" s="1">
        <f t="shared" si="973"/>
        <v>3.1107935691082202</v>
      </c>
      <c r="J799" s="1">
        <f t="shared" si="973"/>
        <v>3.0893541834833025</v>
      </c>
      <c r="K799" s="1">
        <f t="shared" si="973"/>
        <v>1.9263507522140051</v>
      </c>
      <c r="L799" s="1">
        <f t="shared" ref="L799:O799" si="974">L283</f>
        <v>0.78623631817442785</v>
      </c>
      <c r="M799" s="1">
        <f t="shared" si="974"/>
        <v>0.73106917025826945</v>
      </c>
      <c r="N799" s="1">
        <f t="shared" si="974"/>
        <v>1.5675532571300721E-2</v>
      </c>
      <c r="O799" s="1">
        <f t="shared" si="974"/>
        <v>8.0502881304536089E-3</v>
      </c>
      <c r="P799" s="1">
        <f>P283</f>
        <v>9.0203422642449738E-3</v>
      </c>
      <c r="Q799" s="1">
        <f>Q283</f>
        <v>1.0342937297341592E-2</v>
      </c>
      <c r="S799" s="3"/>
    </row>
    <row r="800" spans="2:19" x14ac:dyDescent="0.5">
      <c r="B800" s="5" t="str">
        <f t="shared" si="958"/>
        <v>SPS1</v>
      </c>
      <c r="C800" s="5" t="str">
        <f t="shared" si="959"/>
        <v>CH</v>
      </c>
      <c r="D800" t="s">
        <v>488</v>
      </c>
      <c r="E800" t="s">
        <v>8</v>
      </c>
      <c r="F800" s="1">
        <f>F284</f>
        <v>0</v>
      </c>
      <c r="G800" s="1">
        <f t="shared" ref="G800:K800" si="975">G284</f>
        <v>0</v>
      </c>
      <c r="H800" s="1">
        <f t="shared" si="975"/>
        <v>0</v>
      </c>
      <c r="I800" s="1">
        <f t="shared" si="975"/>
        <v>0</v>
      </c>
      <c r="J800" s="1">
        <f t="shared" si="975"/>
        <v>0</v>
      </c>
      <c r="K800" s="1">
        <f t="shared" si="975"/>
        <v>3.5126562603055342</v>
      </c>
      <c r="L800" s="1">
        <f t="shared" ref="L800:O800" si="976">L284</f>
        <v>7.8958155536248302</v>
      </c>
      <c r="M800" s="1">
        <f t="shared" si="976"/>
        <v>9.3177698324937257</v>
      </c>
      <c r="N800" s="1">
        <f t="shared" si="976"/>
        <v>9.318092771571882</v>
      </c>
      <c r="O800" s="1">
        <f t="shared" si="976"/>
        <v>9.3177755185779834</v>
      </c>
      <c r="P800" s="1">
        <f>P284</f>
        <v>9.3177464712452078</v>
      </c>
      <c r="Q800" s="1">
        <f>Q284</f>
        <v>9.3179633465662928</v>
      </c>
      <c r="S800" s="3"/>
    </row>
    <row r="801" spans="2:19" x14ac:dyDescent="0.5">
      <c r="B801" s="5" t="str">
        <f t="shared" si="958"/>
        <v>SPS1</v>
      </c>
      <c r="C801" s="5" t="str">
        <f t="shared" si="959"/>
        <v>CH</v>
      </c>
      <c r="D801" t="s">
        <v>489</v>
      </c>
      <c r="E801" t="s">
        <v>8</v>
      </c>
      <c r="F801" s="1">
        <f>F289</f>
        <v>0</v>
      </c>
      <c r="G801" s="1">
        <f t="shared" ref="G801:K801" si="977">G289</f>
        <v>0</v>
      </c>
      <c r="H801" s="1">
        <f t="shared" si="977"/>
        <v>0</v>
      </c>
      <c r="I801" s="1">
        <f t="shared" si="977"/>
        <v>0</v>
      </c>
      <c r="J801" s="1">
        <f t="shared" si="977"/>
        <v>0.4383454328251466</v>
      </c>
      <c r="K801" s="1">
        <f t="shared" si="977"/>
        <v>0.21582071975853137</v>
      </c>
      <c r="L801" s="1">
        <f t="shared" ref="L801:O801" si="978">L289</f>
        <v>0.197854831299902</v>
      </c>
      <c r="M801" s="1">
        <f t="shared" si="978"/>
        <v>0.34315844223755976</v>
      </c>
      <c r="N801" s="1">
        <f t="shared" si="978"/>
        <v>0.85279391695915807</v>
      </c>
      <c r="O801" s="1">
        <f t="shared" si="978"/>
        <v>0.98355409098616675</v>
      </c>
      <c r="P801" s="1">
        <f>P289</f>
        <v>1.7326453061767038</v>
      </c>
      <c r="Q801" s="1">
        <f>Q289</f>
        <v>2.0543471208958111</v>
      </c>
      <c r="S801" s="3"/>
    </row>
    <row r="802" spans="2:19" x14ac:dyDescent="0.5">
      <c r="B802" s="5" t="str">
        <f t="shared" si="958"/>
        <v>SPS1</v>
      </c>
      <c r="C802" s="5" t="str">
        <f t="shared" si="959"/>
        <v>CH</v>
      </c>
      <c r="D802" t="s">
        <v>950</v>
      </c>
      <c r="E802" t="s">
        <v>8</v>
      </c>
      <c r="F802" s="1" cm="1">
        <f t="array" ref="F802">SUMPRODUCT(([1]OUT_FinalEnergyCons!$B$4:$B$10000="Var_Fin")*1, ([1]OUT_FinalEnergyCons!$C$4:$C$10000="ITOT_LTH_DH")*1, (ISNUMBER(SEARCH("ITOT-SWHLTHDH",[1]OUT_FinalEnergyCons!$A$4:$A$10000)))*1,[1]OUT_FinalEnergyCons!D$4:D$10000)</f>
        <v>7.1200284219780059</v>
      </c>
      <c r="G802" s="1" cm="1">
        <f t="array" ref="G802">SUMPRODUCT(([1]OUT_FinalEnergyCons!$B$4:$B$10000="Var_Fin")*1, ([1]OUT_FinalEnergyCons!$C$4:$C$10000="ITOT_LTH_DH")*1, (ISNUMBER(SEARCH("ITOT-SWHLTHDH",[1]OUT_FinalEnergyCons!$A$4:$A$10000)))*1,[1]OUT_FinalEnergyCons!E$4:E$10000)</f>
        <v>7.6289342334814352</v>
      </c>
      <c r="H802" s="1" cm="1">
        <f t="array" ref="H802">SUMPRODUCT(([1]OUT_FinalEnergyCons!$B$4:$B$10000="Var_Fin")*1, ([1]OUT_FinalEnergyCons!$C$4:$C$10000="ITOT_LTH_DH")*1, (ISNUMBER(SEARCH("ITOT-SWHLTHDH",[1]OUT_FinalEnergyCons!$A$4:$A$10000)))*1,[1]OUT_FinalEnergyCons!F$4:F$10000)</f>
        <v>7.3930135101957442</v>
      </c>
      <c r="I802" s="1" cm="1">
        <f t="array" ref="I802">SUMPRODUCT(([1]OUT_FinalEnergyCons!$B$4:$B$10000="Var_Fin")*1, ([1]OUT_FinalEnergyCons!$C$4:$C$10000="ITOT_LTH_DH")*1, (ISNUMBER(SEARCH("ITOT-SWHLTHDH",[1]OUT_FinalEnergyCons!$A$4:$A$10000)))*1,[1]OUT_FinalEnergyCons!G$4:G$10000)</f>
        <v>7.8095056383037402</v>
      </c>
      <c r="J802" s="1" cm="1">
        <f t="array" ref="J802">SUMPRODUCT(([1]OUT_FinalEnergyCons!$B$4:$B$10000="Var_Fin")*1, ([1]OUT_FinalEnergyCons!$C$4:$C$10000="ITOT_LTH_DH")*1, (ISNUMBER(SEARCH("ITOT-SWHLTHDH",[1]OUT_FinalEnergyCons!$A$4:$A$10000)))*1,[1]OUT_FinalEnergyCons!H$4:H$10000)</f>
        <v>7.2442610808675392</v>
      </c>
      <c r="K802" s="1" cm="1">
        <f t="array" ref="K802">SUMPRODUCT(([1]OUT_FinalEnergyCons!$B$4:$B$10000="Var_Fin")*1, ([1]OUT_FinalEnergyCons!$C$4:$C$10000="ITOT_LTH_DH")*1, (ISNUMBER(SEARCH("ITOT-SWHLTHDH",[1]OUT_FinalEnergyCons!$A$4:$A$10000)))*1,[1]OUT_FinalEnergyCons!I$4:I$10000)</f>
        <v>7.4400730420667607</v>
      </c>
      <c r="L802" s="1" cm="1">
        <f t="array" ref="L802">SUMPRODUCT(([1]OUT_FinalEnergyCons!$B$4:$B$10000="Var_Fin")*1, ([1]OUT_FinalEnergyCons!$C$4:$C$10000="ITOT_LTH_DH")*1, (ISNUMBER(SEARCH("ITOT-SWHLTHDH",[1]OUT_FinalEnergyCons!$A$4:$A$10000)))*1,[1]OUT_FinalEnergyCons!J$4:J$10000)</f>
        <v>6.767533109437978</v>
      </c>
      <c r="M802" s="1" cm="1">
        <f t="array" ref="M802">SUMPRODUCT(([1]OUT_FinalEnergyCons!$B$4:$B$10000="Var_Fin")*1, ([1]OUT_FinalEnergyCons!$C$4:$C$10000="ITOT_LTH_DH")*1, (ISNUMBER(SEARCH("ITOT-SWHLTHDH",[1]OUT_FinalEnergyCons!$A$4:$A$10000)))*1,[1]OUT_FinalEnergyCons!K$4:K$10000)</f>
        <v>7.9837336117365947</v>
      </c>
      <c r="N802" s="1" cm="1">
        <f t="array" ref="N802">SUMPRODUCT(([1]OUT_FinalEnergyCons!$B$4:$B$10000="Var_Fin")*1, ([1]OUT_FinalEnergyCons!$C$4:$C$10000="ITOT_LTH_DH")*1, (ISNUMBER(SEARCH("ITOT-SWHLTHDH",[1]OUT_FinalEnergyCons!$A$4:$A$10000)))*1,[1]OUT_FinalEnergyCons!L$4:L$10000)</f>
        <v>7.9122824048074136</v>
      </c>
      <c r="O802" s="1" cm="1">
        <f t="array" ref="O802">SUMPRODUCT(([1]OUT_FinalEnergyCons!$B$4:$B$10000="Var_Fin")*1, ([1]OUT_FinalEnergyCons!$C$4:$C$10000="ITOT_LTH_DH")*1, (ISNUMBER(SEARCH("ITOT-SWHLTHDH",[1]OUT_FinalEnergyCons!$A$4:$A$10000)))*1,[1]OUT_FinalEnergyCons!M$4:M$10000)</f>
        <v>7.5239618921230926</v>
      </c>
      <c r="P802" s="1" cm="1">
        <f t="array" ref="P802">SUMPRODUCT(([1]OUT_FinalEnergyCons!$B$4:$B$10000="Var_Fin")*1, ([1]OUT_FinalEnergyCons!$C$4:$C$10000="ITOT_LTH_DH")*1, (ISNUMBER(SEARCH("ITOT-SWHLTHDH",[1]OUT_FinalEnergyCons!$A$4:$A$10000)))*1,[1]OUT_FinalEnergyCons!N$4:N$10000)</f>
        <v>6.720246425247475</v>
      </c>
      <c r="Q802" s="1" cm="1">
        <f t="array" ref="Q802">SUMPRODUCT(([1]OUT_FinalEnergyCons!$B$4:$B$10000="Var_Fin")*1, ([1]OUT_FinalEnergyCons!$C$4:$C$10000="ITOT_LTH_DH")*1, (ISNUMBER(SEARCH("ITOT-SWHLTHDH",[1]OUT_FinalEnergyCons!$A$4:$A$10000)))*1,[1]OUT_FinalEnergyCons!O$4:O$10000)</f>
        <v>6.2903048558163324</v>
      </c>
      <c r="S802" s="3"/>
    </row>
    <row r="803" spans="2:19" x14ac:dyDescent="0.5">
      <c r="B803" s="5" t="str">
        <f>B802</f>
        <v>SPS1</v>
      </c>
      <c r="C803" s="5" t="str">
        <f t="shared" si="959"/>
        <v>CH</v>
      </c>
      <c r="D803" t="s">
        <v>951</v>
      </c>
      <c r="E803" t="s">
        <v>8</v>
      </c>
      <c r="F803" s="1">
        <f>F804</f>
        <v>9.0019491883868472</v>
      </c>
      <c r="G803" s="1">
        <f t="shared" ref="G803:O803" si="979">G804</f>
        <v>10.609972066250592</v>
      </c>
      <c r="H803" s="1">
        <f t="shared" si="979"/>
        <v>9.8551864515677803</v>
      </c>
      <c r="I803" s="1">
        <f t="shared" si="979"/>
        <v>11.55321843566713</v>
      </c>
      <c r="J803" s="1">
        <f t="shared" si="979"/>
        <v>11.034566990280547</v>
      </c>
      <c r="K803" s="1">
        <f t="shared" si="979"/>
        <v>9.5202082954506828</v>
      </c>
      <c r="L803" s="1">
        <f t="shared" si="979"/>
        <v>8.4794514084961001</v>
      </c>
      <c r="M803" s="1">
        <f t="shared" si="979"/>
        <v>8.5003862812297566</v>
      </c>
      <c r="N803" s="1">
        <f t="shared" si="979"/>
        <v>8.4183211406086293</v>
      </c>
      <c r="O803" s="1">
        <f t="shared" si="979"/>
        <v>12.04644988921512</v>
      </c>
      <c r="P803" s="1">
        <f>P804</f>
        <v>8.3695560227635202</v>
      </c>
      <c r="Q803" s="1">
        <f>Q804</f>
        <v>8.3369440350726602</v>
      </c>
      <c r="S803" s="3"/>
    </row>
    <row r="804" spans="2:19" x14ac:dyDescent="0.5">
      <c r="B804" s="5" t="str">
        <f t="shared" ref="B804:B806" si="980">B803</f>
        <v>SPS1</v>
      </c>
      <c r="C804" s="5" t="str">
        <f t="shared" si="959"/>
        <v>CH</v>
      </c>
      <c r="D804" t="s">
        <v>952</v>
      </c>
      <c r="E804" t="s">
        <v>8</v>
      </c>
      <c r="F804" s="1" cm="1">
        <f t="array" ref="F804">SUMPRODUCT(([1]OUT_FinalEnergyCons!$B$4:$B$10000="Var_Fin")*1, ([1]OUT_FinalEnergyCons!$C$4:$C$10000="iWOD")*1, (ISNUMBER(SEARCH("ITOT-SWHWOD*BR",[1]OUT_FinalEnergyCons!$A$4:$A$10000)))*1,[1]OUT_FinalEnergyCons!D$4:D$10000)</f>
        <v>9.0019491883868472</v>
      </c>
      <c r="G804" s="1" cm="1">
        <f t="array" ref="G804">SUMPRODUCT(([1]OUT_FinalEnergyCons!$B$4:$B$10000="Var_Fin")*1, ([1]OUT_FinalEnergyCons!$C$4:$C$10000="iWOD")*1, (ISNUMBER(SEARCH("ITOT-SWHWOD*BR",[1]OUT_FinalEnergyCons!$A$4:$A$10000)))*1,[1]OUT_FinalEnergyCons!E$4:E$10000)</f>
        <v>10.609972066250592</v>
      </c>
      <c r="H804" s="1" cm="1">
        <f t="array" ref="H804">SUMPRODUCT(([1]OUT_FinalEnergyCons!$B$4:$B$10000="Var_Fin")*1, ([1]OUT_FinalEnergyCons!$C$4:$C$10000="iWOD")*1, (ISNUMBER(SEARCH("ITOT-SWHWOD*BR",[1]OUT_FinalEnergyCons!$A$4:$A$10000)))*1,[1]OUT_FinalEnergyCons!F$4:F$10000)</f>
        <v>9.8551864515677803</v>
      </c>
      <c r="I804" s="1" cm="1">
        <f t="array" ref="I804">SUMPRODUCT(([1]OUT_FinalEnergyCons!$B$4:$B$10000="Var_Fin")*1, ([1]OUT_FinalEnergyCons!$C$4:$C$10000="iWOD")*1, (ISNUMBER(SEARCH("ITOT-SWHWOD*BR",[1]OUT_FinalEnergyCons!$A$4:$A$10000)))*1,[1]OUT_FinalEnergyCons!G$4:G$10000)</f>
        <v>11.55321843566713</v>
      </c>
      <c r="J804" s="1" cm="1">
        <f t="array" ref="J804">SUMPRODUCT(([1]OUT_FinalEnergyCons!$B$4:$B$10000="Var_Fin")*1, ([1]OUT_FinalEnergyCons!$C$4:$C$10000="iWOD")*1, (ISNUMBER(SEARCH("ITOT-SWHWOD*BR",[1]OUT_FinalEnergyCons!$A$4:$A$10000)))*1,[1]OUT_FinalEnergyCons!H$4:H$10000)</f>
        <v>11.034566990280547</v>
      </c>
      <c r="K804" s="1" cm="1">
        <f t="array" ref="K804">SUMPRODUCT(([1]OUT_FinalEnergyCons!$B$4:$B$10000="Var_Fin")*1, ([1]OUT_FinalEnergyCons!$C$4:$C$10000="iWOD")*1, (ISNUMBER(SEARCH("ITOT-SWHWOD*BR",[1]OUT_FinalEnergyCons!$A$4:$A$10000)))*1,[1]OUT_FinalEnergyCons!I$4:I$10000)</f>
        <v>9.5202082954506828</v>
      </c>
      <c r="L804" s="1" cm="1">
        <f t="array" ref="L804">SUMPRODUCT(([1]OUT_FinalEnergyCons!$B$4:$B$10000="Var_Fin")*1, ([1]OUT_FinalEnergyCons!$C$4:$C$10000="iWOD")*1, (ISNUMBER(SEARCH("ITOT-SWHWOD*BR",[1]OUT_FinalEnergyCons!$A$4:$A$10000)))*1,[1]OUT_FinalEnergyCons!J$4:J$10000)</f>
        <v>8.4794514084961001</v>
      </c>
      <c r="M804" s="1" cm="1">
        <f t="array" ref="M804">SUMPRODUCT(([1]OUT_FinalEnergyCons!$B$4:$B$10000="Var_Fin")*1, ([1]OUT_FinalEnergyCons!$C$4:$C$10000="iWOD")*1, (ISNUMBER(SEARCH("ITOT-SWHWOD*BR",[1]OUT_FinalEnergyCons!$A$4:$A$10000)))*1,[1]OUT_FinalEnergyCons!K$4:K$10000)</f>
        <v>8.5003862812297566</v>
      </c>
      <c r="N804" s="1" cm="1">
        <f t="array" ref="N804">SUMPRODUCT(([1]OUT_FinalEnergyCons!$B$4:$B$10000="Var_Fin")*1, ([1]OUT_FinalEnergyCons!$C$4:$C$10000="iWOD")*1, (ISNUMBER(SEARCH("ITOT-SWHWOD*BR",[1]OUT_FinalEnergyCons!$A$4:$A$10000)))*1,[1]OUT_FinalEnergyCons!L$4:L$10000)</f>
        <v>8.4183211406086293</v>
      </c>
      <c r="O804" s="1" cm="1">
        <f t="array" ref="O804">SUMPRODUCT(([1]OUT_FinalEnergyCons!$B$4:$B$10000="Var_Fin")*1, ([1]OUT_FinalEnergyCons!$C$4:$C$10000="iWOD")*1, (ISNUMBER(SEARCH("ITOT-SWHWOD*BR",[1]OUT_FinalEnergyCons!$A$4:$A$10000)))*1,[1]OUT_FinalEnergyCons!M$4:M$10000)</f>
        <v>12.04644988921512</v>
      </c>
      <c r="P804" s="1" cm="1">
        <f t="array" ref="P804">SUMPRODUCT(([1]OUT_FinalEnergyCons!$B$4:$B$10000="Var_Fin")*1, ([1]OUT_FinalEnergyCons!$C$4:$C$10000="iWOD")*1, (ISNUMBER(SEARCH("ITOT-SWHWOD*BR",[1]OUT_FinalEnergyCons!$A$4:$A$10000)))*1,[1]OUT_FinalEnergyCons!N$4:N$10000)</f>
        <v>8.3695560227635202</v>
      </c>
      <c r="Q804" s="1" cm="1">
        <f t="array" ref="Q804">SUMPRODUCT(([1]OUT_FinalEnergyCons!$B$4:$B$10000="Var_Fin")*1, ([1]OUT_FinalEnergyCons!$C$4:$C$10000="iWOD")*1, (ISNUMBER(SEARCH("ITOT-SWHWOD*BR",[1]OUT_FinalEnergyCons!$A$4:$A$10000)))*1,[1]OUT_FinalEnergyCons!O$4:O$10000)</f>
        <v>8.3369440350726602</v>
      </c>
      <c r="S804" s="3"/>
    </row>
    <row r="805" spans="2:19" x14ac:dyDescent="0.5">
      <c r="B805" s="5" t="str">
        <f t="shared" si="980"/>
        <v>SPS1</v>
      </c>
      <c r="C805" s="5" t="str">
        <f t="shared" si="959"/>
        <v>CH</v>
      </c>
      <c r="D805" t="s">
        <v>953</v>
      </c>
      <c r="E805" t="s">
        <v>8</v>
      </c>
      <c r="F805" s="1">
        <f>F806</f>
        <v>0.62583999239942545</v>
      </c>
      <c r="G805" s="1">
        <f t="shared" ref="G805:O805" si="981">G806</f>
        <v>0.7376031502473418</v>
      </c>
      <c r="H805" s="1">
        <f t="shared" si="981"/>
        <v>0.73635649024723615</v>
      </c>
      <c r="I805" s="1">
        <f t="shared" si="981"/>
        <v>0.73458389049963158</v>
      </c>
      <c r="J805" s="1">
        <f t="shared" si="981"/>
        <v>0.73255054253989116</v>
      </c>
      <c r="K805" s="1">
        <f t="shared" si="981"/>
        <v>0.73052149461296378</v>
      </c>
      <c r="L805" s="1">
        <f t="shared" si="981"/>
        <v>0.72849115340106263</v>
      </c>
      <c r="M805" s="1">
        <f t="shared" si="981"/>
        <v>0.72647149020320789</v>
      </c>
      <c r="N805" s="1">
        <f t="shared" si="981"/>
        <v>0.7264747056069184</v>
      </c>
      <c r="O805" s="1">
        <f t="shared" si="981"/>
        <v>0.72928285068496179</v>
      </c>
      <c r="P805" s="1">
        <f>P806</f>
        <v>0.72938214761081377</v>
      </c>
      <c r="Q805" s="1">
        <f>Q806</f>
        <v>0.7295584775215922</v>
      </c>
      <c r="S805" s="3"/>
    </row>
    <row r="806" spans="2:19" x14ac:dyDescent="0.5">
      <c r="B806" s="5" t="str">
        <f t="shared" si="980"/>
        <v>SPS1</v>
      </c>
      <c r="C806" s="5" t="str">
        <f t="shared" si="959"/>
        <v>CH</v>
      </c>
      <c r="D806" t="s">
        <v>954</v>
      </c>
      <c r="E806" t="s">
        <v>8</v>
      </c>
      <c r="F806" s="1" cm="1">
        <f t="array" ref="F806">SUMPRODUCT(([1]OUT_FinalEnergyCons!$B$4:$B$10000="Var_Fin")*1, ([1]OUT_FinalEnergyCons!$C$4:$C$10000="IPLT")*1, (ISNUMBER(SEARCH("ITOT-SWHPLT*BR",[1]OUT_FinalEnergyCons!$A$4:$A$10000)))*1,[1]OUT_FinalEnergyCons!D$4:D$10000)</f>
        <v>0.62583999239942545</v>
      </c>
      <c r="G806" s="1" cm="1">
        <f t="array" ref="G806">SUMPRODUCT(([1]OUT_FinalEnergyCons!$B$4:$B$10000="Var_Fin")*1, ([1]OUT_FinalEnergyCons!$C$4:$C$10000="IPLT")*1, (ISNUMBER(SEARCH("ITOT-SWHPLT*BR",[1]OUT_FinalEnergyCons!$A$4:$A$10000)))*1,[1]OUT_FinalEnergyCons!E$4:E$10000)</f>
        <v>0.7376031502473418</v>
      </c>
      <c r="H806" s="1" cm="1">
        <f t="array" ref="H806">SUMPRODUCT(([1]OUT_FinalEnergyCons!$B$4:$B$10000="Var_Fin")*1, ([1]OUT_FinalEnergyCons!$C$4:$C$10000="IPLT")*1, (ISNUMBER(SEARCH("ITOT-SWHPLT*BR",[1]OUT_FinalEnergyCons!$A$4:$A$10000)))*1,[1]OUT_FinalEnergyCons!F$4:F$10000)</f>
        <v>0.73635649024723615</v>
      </c>
      <c r="I806" s="1" cm="1">
        <f t="array" ref="I806">SUMPRODUCT(([1]OUT_FinalEnergyCons!$B$4:$B$10000="Var_Fin")*1, ([1]OUT_FinalEnergyCons!$C$4:$C$10000="IPLT")*1, (ISNUMBER(SEARCH("ITOT-SWHPLT*BR",[1]OUT_FinalEnergyCons!$A$4:$A$10000)))*1,[1]OUT_FinalEnergyCons!G$4:G$10000)</f>
        <v>0.73458389049963158</v>
      </c>
      <c r="J806" s="1" cm="1">
        <f t="array" ref="J806">SUMPRODUCT(([1]OUT_FinalEnergyCons!$B$4:$B$10000="Var_Fin")*1, ([1]OUT_FinalEnergyCons!$C$4:$C$10000="IPLT")*1, (ISNUMBER(SEARCH("ITOT-SWHPLT*BR",[1]OUT_FinalEnergyCons!$A$4:$A$10000)))*1,[1]OUT_FinalEnergyCons!H$4:H$10000)</f>
        <v>0.73255054253989116</v>
      </c>
      <c r="K806" s="1" cm="1">
        <f t="array" ref="K806">SUMPRODUCT(([1]OUT_FinalEnergyCons!$B$4:$B$10000="Var_Fin")*1, ([1]OUT_FinalEnergyCons!$C$4:$C$10000="IPLT")*1, (ISNUMBER(SEARCH("ITOT-SWHPLT*BR",[1]OUT_FinalEnergyCons!$A$4:$A$10000)))*1,[1]OUT_FinalEnergyCons!I$4:I$10000)</f>
        <v>0.73052149461296378</v>
      </c>
      <c r="L806" s="1" cm="1">
        <f t="array" ref="L806">SUMPRODUCT(([1]OUT_FinalEnergyCons!$B$4:$B$10000="Var_Fin")*1, ([1]OUT_FinalEnergyCons!$C$4:$C$10000="IPLT")*1, (ISNUMBER(SEARCH("ITOT-SWHPLT*BR",[1]OUT_FinalEnergyCons!$A$4:$A$10000)))*1,[1]OUT_FinalEnergyCons!J$4:J$10000)</f>
        <v>0.72849115340106263</v>
      </c>
      <c r="M806" s="1" cm="1">
        <f t="array" ref="M806">SUMPRODUCT(([1]OUT_FinalEnergyCons!$B$4:$B$10000="Var_Fin")*1, ([1]OUT_FinalEnergyCons!$C$4:$C$10000="IPLT")*1, (ISNUMBER(SEARCH("ITOT-SWHPLT*BR",[1]OUT_FinalEnergyCons!$A$4:$A$10000)))*1,[1]OUT_FinalEnergyCons!K$4:K$10000)</f>
        <v>0.72647149020320789</v>
      </c>
      <c r="N806" s="1" cm="1">
        <f t="array" ref="N806">SUMPRODUCT(([1]OUT_FinalEnergyCons!$B$4:$B$10000="Var_Fin")*1, ([1]OUT_FinalEnergyCons!$C$4:$C$10000="IPLT")*1, (ISNUMBER(SEARCH("ITOT-SWHPLT*BR",[1]OUT_FinalEnergyCons!$A$4:$A$10000)))*1,[1]OUT_FinalEnergyCons!L$4:L$10000)</f>
        <v>0.7264747056069184</v>
      </c>
      <c r="O806" s="1" cm="1">
        <f t="array" ref="O806">SUMPRODUCT(([1]OUT_FinalEnergyCons!$B$4:$B$10000="Var_Fin")*1, ([1]OUT_FinalEnergyCons!$C$4:$C$10000="IPLT")*1, (ISNUMBER(SEARCH("ITOT-SWHPLT*BR",[1]OUT_FinalEnergyCons!$A$4:$A$10000)))*1,[1]OUT_FinalEnergyCons!M$4:M$10000)</f>
        <v>0.72928285068496179</v>
      </c>
      <c r="P806" s="1" cm="1">
        <f t="array" ref="P806">SUMPRODUCT(([1]OUT_FinalEnergyCons!$B$4:$B$10000="Var_Fin")*1, ([1]OUT_FinalEnergyCons!$C$4:$C$10000="IPLT")*1, (ISNUMBER(SEARCH("ITOT-SWHPLT*BR",[1]OUT_FinalEnergyCons!$A$4:$A$10000)))*1,[1]OUT_FinalEnergyCons!N$4:N$10000)</f>
        <v>0.72938214761081377</v>
      </c>
      <c r="Q806" s="1" cm="1">
        <f t="array" ref="Q806">SUMPRODUCT(([1]OUT_FinalEnergyCons!$B$4:$B$10000="Var_Fin")*1, ([1]OUT_FinalEnergyCons!$C$4:$C$10000="IPLT")*1, (ISNUMBER(SEARCH("ITOT-SWHPLT*BR",[1]OUT_FinalEnergyCons!$A$4:$A$10000)))*1,[1]OUT_FinalEnergyCons!O$4:O$10000)</f>
        <v>0.7295584775215922</v>
      </c>
      <c r="S806" s="3"/>
    </row>
    <row r="807" spans="2:19" x14ac:dyDescent="0.5">
      <c r="B807" s="5" t="str">
        <f>B806</f>
        <v>SPS1</v>
      </c>
      <c r="C807" s="5" t="str">
        <f t="shared" si="959"/>
        <v>CH</v>
      </c>
      <c r="D807" t="s">
        <v>492</v>
      </c>
      <c r="E807" t="s">
        <v>8</v>
      </c>
      <c r="F807" s="1">
        <f>[1]Industry!B$21</f>
        <v>7.7980938249667293</v>
      </c>
      <c r="G807" s="1">
        <f>[1]Industry!C$21</f>
        <v>8.0801934508042166</v>
      </c>
      <c r="H807" s="1">
        <f>[1]Industry!D$21</f>
        <v>5.60830952103358</v>
      </c>
      <c r="I807" s="1">
        <f>[1]Industry!E$21</f>
        <v>5.5456532657202269</v>
      </c>
      <c r="J807" s="1">
        <f>[1]Industry!F$21</f>
        <v>5.4829839575194645</v>
      </c>
      <c r="K807" s="1">
        <f>[1]Industry!G$21</f>
        <v>5.4550422348547833</v>
      </c>
      <c r="L807" s="1">
        <f>[1]Industry!H$21</f>
        <v>5.4261579077703601</v>
      </c>
      <c r="M807" s="1">
        <f>[1]Industry!I$21</f>
        <v>1.5164116211964125E-2</v>
      </c>
      <c r="N807" s="1">
        <f>[1]Industry!J$21</f>
        <v>7.6087381170691732E-3</v>
      </c>
      <c r="O807" s="1">
        <f>[1]Industry!K$21</f>
        <v>3.5300480638641354E-3</v>
      </c>
      <c r="P807" s="1">
        <f>[1]Industry!L$21</f>
        <v>2.3493160529650154E-3</v>
      </c>
      <c r="Q807" s="1">
        <f>[1]Industry!M$21</f>
        <v>1.3079206760910004E-3</v>
      </c>
      <c r="S807" s="3"/>
    </row>
    <row r="808" spans="2:19" x14ac:dyDescent="0.5">
      <c r="B808" s="5" t="str">
        <f t="shared" ref="B808:B810" si="982">B807</f>
        <v>SPS1</v>
      </c>
      <c r="C808" s="5" t="str">
        <f t="shared" si="959"/>
        <v>CH</v>
      </c>
      <c r="D808" t="s">
        <v>495</v>
      </c>
      <c r="E808" t="s">
        <v>8</v>
      </c>
      <c r="F808" s="1">
        <f>F807</f>
        <v>7.7980938249667293</v>
      </c>
      <c r="G808" s="1">
        <f t="shared" ref="G808:K808" si="983">G807</f>
        <v>8.0801934508042166</v>
      </c>
      <c r="H808" s="1">
        <f t="shared" si="983"/>
        <v>5.60830952103358</v>
      </c>
      <c r="I808" s="1">
        <f t="shared" si="983"/>
        <v>5.5456532657202269</v>
      </c>
      <c r="J808" s="1">
        <f t="shared" si="983"/>
        <v>5.4829839575194645</v>
      </c>
      <c r="K808" s="1">
        <f t="shared" si="983"/>
        <v>5.4550422348547833</v>
      </c>
      <c r="L808" s="1">
        <f t="shared" ref="L808:O808" si="984">L807</f>
        <v>5.4261579077703601</v>
      </c>
      <c r="M808" s="1">
        <f t="shared" si="984"/>
        <v>1.5164116211964125E-2</v>
      </c>
      <c r="N808" s="1">
        <f t="shared" si="984"/>
        <v>7.6087381170691732E-3</v>
      </c>
      <c r="O808" s="1">
        <f t="shared" si="984"/>
        <v>3.5300480638641354E-3</v>
      </c>
      <c r="P808" s="1">
        <f>P807</f>
        <v>2.3493160529650154E-3</v>
      </c>
      <c r="Q808" s="1">
        <f>Q807</f>
        <v>1.3079206760910004E-3</v>
      </c>
      <c r="S808" s="3"/>
    </row>
    <row r="809" spans="2:19" x14ac:dyDescent="0.5">
      <c r="B809" s="5" t="str">
        <f t="shared" si="982"/>
        <v>SPS1</v>
      </c>
      <c r="C809" s="5" t="str">
        <f t="shared" si="959"/>
        <v>CH</v>
      </c>
      <c r="D809" t="s">
        <v>493</v>
      </c>
      <c r="E809" t="s">
        <v>8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S809" s="3"/>
    </row>
    <row r="810" spans="2:19" x14ac:dyDescent="0.5">
      <c r="B810" s="5" t="str">
        <f t="shared" si="982"/>
        <v>SPS1</v>
      </c>
      <c r="C810" s="5" t="str">
        <f t="shared" si="959"/>
        <v>CH</v>
      </c>
      <c r="D810" t="s">
        <v>494</v>
      </c>
      <c r="E810" t="s">
        <v>8</v>
      </c>
      <c r="F810" s="1">
        <f>F808</f>
        <v>7.7980938249667293</v>
      </c>
      <c r="G810" s="1">
        <f t="shared" ref="G810:K810" si="985">G808</f>
        <v>8.0801934508042166</v>
      </c>
      <c r="H810" s="1">
        <f t="shared" si="985"/>
        <v>5.60830952103358</v>
      </c>
      <c r="I810" s="1">
        <f t="shared" si="985"/>
        <v>5.5456532657202269</v>
      </c>
      <c r="J810" s="1">
        <f t="shared" si="985"/>
        <v>5.4829839575194645</v>
      </c>
      <c r="K810" s="1">
        <f t="shared" si="985"/>
        <v>5.4550422348547833</v>
      </c>
      <c r="L810" s="1">
        <f t="shared" ref="L810:O810" si="986">L808</f>
        <v>5.4261579077703601</v>
      </c>
      <c r="M810" s="1">
        <f t="shared" si="986"/>
        <v>1.5164116211964125E-2</v>
      </c>
      <c r="N810" s="1">
        <f t="shared" si="986"/>
        <v>7.6087381170691732E-3</v>
      </c>
      <c r="O810" s="1">
        <f t="shared" si="986"/>
        <v>3.5300480638641354E-3</v>
      </c>
      <c r="P810" s="1">
        <f>P808</f>
        <v>2.3493160529650154E-3</v>
      </c>
      <c r="Q810" s="1">
        <f>Q808</f>
        <v>1.3079206760910004E-3</v>
      </c>
      <c r="S810" s="3"/>
    </row>
    <row r="811" spans="2:19" x14ac:dyDescent="0.5">
      <c r="B811" s="5" t="str">
        <f>B810</f>
        <v>SPS1</v>
      </c>
      <c r="C811" s="5" t="str">
        <f t="shared" ref="C811:C812" si="987">C810</f>
        <v>CH</v>
      </c>
      <c r="D811" t="s">
        <v>955</v>
      </c>
      <c r="E811" t="s">
        <v>8</v>
      </c>
      <c r="F811" s="1">
        <f>[1]Industry!B$22</f>
        <v>6.7643841174582955E-2</v>
      </c>
      <c r="G811" s="1">
        <f>[1]Industry!C$22</f>
        <v>8.5504629910869059E-2</v>
      </c>
      <c r="H811" s="1">
        <f>[1]Industry!D$22</f>
        <v>8.4059751866770782E-2</v>
      </c>
      <c r="I811" s="1">
        <f>[1]Industry!E$22</f>
        <v>8.5790528175208103E-2</v>
      </c>
      <c r="J811" s="1">
        <f>[1]Industry!F$22</f>
        <v>7.0101056862322694E-2</v>
      </c>
      <c r="K811" s="1">
        <f>[1]Industry!G$22</f>
        <v>7.8599766137742957E-2</v>
      </c>
      <c r="L811" s="1">
        <f>[1]Industry!H$22</f>
        <v>5.6677337779538005E-2</v>
      </c>
      <c r="M811" s="1">
        <f>[1]Industry!I$22</f>
        <v>8.6768660865463823E-2</v>
      </c>
      <c r="N811" s="1">
        <f>[1]Industry!J$22</f>
        <v>5.4063659843056888E-2</v>
      </c>
      <c r="O811" s="1">
        <f>[1]Industry!K$22</f>
        <v>4.8168606817597347E-2</v>
      </c>
      <c r="P811" s="1">
        <f>[1]Industry!L$22</f>
        <v>8.8235570506150635E-3</v>
      </c>
      <c r="Q811" s="1">
        <f>[1]Industry!M$22</f>
        <v>4.7697291840711779E-3</v>
      </c>
      <c r="S811" s="3"/>
    </row>
    <row r="812" spans="2:19" x14ac:dyDescent="0.5">
      <c r="B812" s="5" t="str">
        <f t="shared" ref="B812" si="988">B811</f>
        <v>SPS1</v>
      </c>
      <c r="C812" s="5" t="str">
        <f t="shared" si="987"/>
        <v>CH</v>
      </c>
      <c r="D812" t="s">
        <v>956</v>
      </c>
      <c r="E812" t="s">
        <v>8</v>
      </c>
      <c r="F812" s="1">
        <f>F811</f>
        <v>6.7643841174582955E-2</v>
      </c>
      <c r="G812" s="1">
        <f t="shared" ref="G812:K812" si="989">G811</f>
        <v>8.5504629910869059E-2</v>
      </c>
      <c r="H812" s="1">
        <f t="shared" si="989"/>
        <v>8.4059751866770782E-2</v>
      </c>
      <c r="I812" s="1">
        <f t="shared" si="989"/>
        <v>8.5790528175208103E-2</v>
      </c>
      <c r="J812" s="1">
        <f t="shared" si="989"/>
        <v>7.0101056862322694E-2</v>
      </c>
      <c r="K812" s="1">
        <f t="shared" si="989"/>
        <v>7.8599766137742957E-2</v>
      </c>
      <c r="L812" s="1">
        <f t="shared" ref="L812:O812" si="990">L811</f>
        <v>5.6677337779538005E-2</v>
      </c>
      <c r="M812" s="1">
        <f t="shared" si="990"/>
        <v>8.6768660865463823E-2</v>
      </c>
      <c r="N812" s="1">
        <f t="shared" si="990"/>
        <v>5.4063659843056888E-2</v>
      </c>
      <c r="O812" s="1">
        <f t="shared" si="990"/>
        <v>4.8168606817597347E-2</v>
      </c>
      <c r="P812" s="1">
        <f>P811</f>
        <v>8.8235570506150635E-3</v>
      </c>
      <c r="Q812" s="1">
        <f>Q811</f>
        <v>4.7697291840711779E-3</v>
      </c>
      <c r="S812" s="3"/>
    </row>
    <row r="813" spans="2:19" x14ac:dyDescent="0.5">
      <c r="B813" s="5" t="str">
        <f>B812</f>
        <v>SPS1</v>
      </c>
      <c r="C813" s="5" t="str">
        <f t="shared" ref="C813:C814" si="991">C812</f>
        <v>CH</v>
      </c>
      <c r="D813" t="s">
        <v>957</v>
      </c>
      <c r="E813" t="s">
        <v>8</v>
      </c>
      <c r="F813" s="1">
        <f>[1]Industry!B$23</f>
        <v>0</v>
      </c>
      <c r="G813" s="1">
        <f>[1]Industry!C$23</f>
        <v>0</v>
      </c>
      <c r="H813" s="1">
        <f>[1]Industry!D$23</f>
        <v>0</v>
      </c>
      <c r="I813" s="1">
        <f>[1]Industry!E$23</f>
        <v>0</v>
      </c>
      <c r="J813" s="1">
        <f>[1]Industry!F$23</f>
        <v>4.6939560202428625</v>
      </c>
      <c r="K813" s="1">
        <f>[1]Industry!G$23</f>
        <v>8.0013116861380897</v>
      </c>
      <c r="L813" s="1">
        <f>[1]Industry!H$23</f>
        <v>7.9337289070809982</v>
      </c>
      <c r="M813" s="1">
        <f>[1]Industry!I$23</f>
        <v>8.6620066665912461</v>
      </c>
      <c r="N813" s="1">
        <f>[1]Industry!J$23</f>
        <v>9.3511295691711762</v>
      </c>
      <c r="O813" s="1">
        <f>[1]Industry!K$23</f>
        <v>9.4411085477091081</v>
      </c>
      <c r="P813" s="1">
        <f>[1]Industry!L$23</f>
        <v>9.4348385268848318</v>
      </c>
      <c r="Q813" s="1">
        <f>[1]Industry!M$23</f>
        <v>9.4218976247203106</v>
      </c>
      <c r="S813" s="3"/>
    </row>
    <row r="814" spans="2:19" x14ac:dyDescent="0.5">
      <c r="B814" s="5" t="str">
        <f t="shared" ref="B814" si="992">B813</f>
        <v>SPS1</v>
      </c>
      <c r="C814" s="5" t="str">
        <f t="shared" si="991"/>
        <v>CH</v>
      </c>
      <c r="D814" t="s">
        <v>958</v>
      </c>
      <c r="E814" t="s">
        <v>8</v>
      </c>
      <c r="F814" s="1">
        <f>F813</f>
        <v>0</v>
      </c>
      <c r="G814" s="1">
        <f t="shared" ref="G814:K814" si="993">G813</f>
        <v>0</v>
      </c>
      <c r="H814" s="1">
        <f t="shared" si="993"/>
        <v>0</v>
      </c>
      <c r="I814" s="1">
        <f t="shared" si="993"/>
        <v>0</v>
      </c>
      <c r="J814" s="1">
        <f t="shared" si="993"/>
        <v>4.6939560202428625</v>
      </c>
      <c r="K814" s="1">
        <f t="shared" si="993"/>
        <v>8.0013116861380897</v>
      </c>
      <c r="L814" s="1">
        <f t="shared" ref="L814:O814" si="994">L813</f>
        <v>7.9337289070809982</v>
      </c>
      <c r="M814" s="1">
        <f t="shared" si="994"/>
        <v>8.6620066665912461</v>
      </c>
      <c r="N814" s="1">
        <f t="shared" si="994"/>
        <v>9.3511295691711762</v>
      </c>
      <c r="O814" s="1">
        <f t="shared" si="994"/>
        <v>9.4411085477091081</v>
      </c>
      <c r="P814" s="1">
        <f>P813</f>
        <v>9.4348385268848318</v>
      </c>
      <c r="Q814" s="1">
        <f>Q813</f>
        <v>9.4218976247203106</v>
      </c>
      <c r="S814" s="3"/>
    </row>
    <row r="815" spans="2:19" x14ac:dyDescent="0.5">
      <c r="B815" s="5" t="str">
        <f>B814</f>
        <v>SPS1</v>
      </c>
      <c r="C815" s="5" t="str">
        <f t="shared" ref="C815:C816" si="995">C814</f>
        <v>CH</v>
      </c>
      <c r="D815" t="s">
        <v>959</v>
      </c>
      <c r="E815" t="s">
        <v>8</v>
      </c>
      <c r="F815" s="1">
        <f>[1]Industry!B$24</f>
        <v>0.74851284512559846</v>
      </c>
      <c r="G815" s="1">
        <f>[1]Industry!C$24</f>
        <v>0.94978094061055096</v>
      </c>
      <c r="H815" s="1">
        <f>[1]Industry!D$24</f>
        <v>2.450290295973689</v>
      </c>
      <c r="I815" s="1">
        <f>[1]Industry!E$24</f>
        <v>4.1105241560578207</v>
      </c>
      <c r="J815" s="1">
        <f>[1]Industry!F$24</f>
        <v>5.1328545569917194</v>
      </c>
      <c r="K815" s="1">
        <f>[1]Industry!G$24</f>
        <v>6.545951603763001</v>
      </c>
      <c r="L815" s="1">
        <f>[1]Industry!H$24</f>
        <v>7.9614174012263179</v>
      </c>
      <c r="M815" s="1">
        <f>[1]Industry!I$24</f>
        <v>9.3441255556661016</v>
      </c>
      <c r="N815" s="1">
        <f>[1]Industry!J$24</f>
        <v>9.3441491683694018</v>
      </c>
      <c r="O815" s="1">
        <f>[1]Industry!K$24</f>
        <v>9.3441765354955848</v>
      </c>
      <c r="P815" s="1">
        <f>[1]Industry!L$24</f>
        <v>9.3441797493382648</v>
      </c>
      <c r="Q815" s="1">
        <f>[1]Industry!M$24</f>
        <v>9.3441861306277438</v>
      </c>
      <c r="S815" s="3"/>
    </row>
    <row r="816" spans="2:19" x14ac:dyDescent="0.5">
      <c r="B816" s="5" t="str">
        <f t="shared" ref="B816" si="996">B815</f>
        <v>SPS1</v>
      </c>
      <c r="C816" s="5" t="str">
        <f t="shared" si="995"/>
        <v>CH</v>
      </c>
      <c r="D816" t="s">
        <v>960</v>
      </c>
      <c r="E816" t="s">
        <v>8</v>
      </c>
      <c r="F816" s="1" cm="1">
        <f t="array" ref="F816">SUMPRODUCT(([1]OUT_FinalEnergyCons!$B$4:$B$10000="Var_FOut")*1, ([1]OUT_FinalEnergyCons!$C$4:$C$10000="ITOT-SWHAelch")*1, (ISNUMBER(SEARCH("ITOT-SWHELCHP",[1]OUT_FinalEnergyCons!$A$4:$A$10000)))*1,[1]OUT_FinalEnergyCons!D$4:D$10000)-F766</f>
        <v>0.74851284512559846</v>
      </c>
      <c r="G816" s="1" cm="1">
        <f t="array" ref="G816">SUMPRODUCT(([1]OUT_FinalEnergyCons!$B$4:$B$10000="Var_FOut")*1, ([1]OUT_FinalEnergyCons!$C$4:$C$10000="ITOT-SWHAelch")*1, (ISNUMBER(SEARCH("ITOT-SWHELCHP",[1]OUT_FinalEnergyCons!$A$4:$A$10000)))*1,[1]OUT_FinalEnergyCons!E$4:E$10000)-G766</f>
        <v>0.94978094061055096</v>
      </c>
      <c r="H816" s="1" cm="1">
        <f t="array" ref="H816">SUMPRODUCT(([1]OUT_FinalEnergyCons!$B$4:$B$10000="Var_FOut")*1, ([1]OUT_FinalEnergyCons!$C$4:$C$10000="ITOT-SWHAelch")*1, (ISNUMBER(SEARCH("ITOT-SWHELCHP",[1]OUT_FinalEnergyCons!$A$4:$A$10000)))*1,[1]OUT_FinalEnergyCons!F$4:F$10000)-H766</f>
        <v>2.4373214539207702</v>
      </c>
      <c r="I816" s="1" cm="1">
        <f t="array" ref="I816">SUMPRODUCT(([1]OUT_FinalEnergyCons!$B$4:$B$10000="Var_FOut")*1, ([1]OUT_FinalEnergyCons!$C$4:$C$10000="ITOT-SWHAelch")*1, (ISNUMBER(SEARCH("ITOT-SWHELCHP",[1]OUT_FinalEnergyCons!$A$4:$A$10000)))*1,[1]OUT_FinalEnergyCons!G$4:G$10000)-I766</f>
        <v>4.1046072995465286</v>
      </c>
      <c r="J816" s="1" cm="1">
        <f t="array" ref="J816">SUMPRODUCT(([1]OUT_FinalEnergyCons!$B$4:$B$10000="Var_FOut")*1, ([1]OUT_FinalEnergyCons!$C$4:$C$10000="ITOT-SWHAelch")*1, (ISNUMBER(SEARCH("ITOT-SWHELCHP",[1]OUT_FinalEnergyCons!$A$4:$A$10000)))*1,[1]OUT_FinalEnergyCons!H$4:H$10000)-J766</f>
        <v>5.1239850851996662</v>
      </c>
      <c r="K816" s="1" cm="1">
        <f t="array" ref="K816">SUMPRODUCT(([1]OUT_FinalEnergyCons!$B$4:$B$10000="Var_FOut")*1, ([1]OUT_FinalEnergyCons!$C$4:$C$10000="ITOT-SWHAelch")*1, (ISNUMBER(SEARCH("ITOT-SWHELCHP",[1]OUT_FinalEnergyCons!$A$4:$A$10000)))*1,[1]OUT_FinalEnergyCons!I$4:I$10000)-K766</f>
        <v>6.5281100973889403</v>
      </c>
      <c r="L816" s="1" cm="1">
        <f t="array" ref="L816">SUMPRODUCT(([1]OUT_FinalEnergyCons!$B$4:$B$10000="Var_FOut")*1, ([1]OUT_FinalEnergyCons!$C$4:$C$10000="ITOT-SWHAelch")*1, (ISNUMBER(SEARCH("ITOT-SWHELCHP",[1]OUT_FinalEnergyCons!$A$4:$A$10000)))*1,[1]OUT_FinalEnergyCons!J$4:J$10000)-L766</f>
        <v>7.9476589654394765</v>
      </c>
      <c r="M816" s="1" cm="1">
        <f t="array" ref="M816">SUMPRODUCT(([1]OUT_FinalEnergyCons!$B$4:$B$10000="Var_FOut")*1, ([1]OUT_FinalEnergyCons!$C$4:$C$10000="ITOT-SWHAelch")*1, (ISNUMBER(SEARCH("ITOT-SWHELCHP",[1]OUT_FinalEnergyCons!$A$4:$A$10000)))*1,[1]OUT_FinalEnergyCons!K$4:K$10000)-M766</f>
        <v>9.3212296889751123</v>
      </c>
      <c r="N816" s="1" cm="1">
        <f t="array" ref="N816">SUMPRODUCT(([1]OUT_FinalEnergyCons!$B$4:$B$10000="Var_FOut")*1, ([1]OUT_FinalEnergyCons!$C$4:$C$10000="ITOT-SWHAelch")*1, (ISNUMBER(SEARCH("ITOT-SWHELCHP",[1]OUT_FinalEnergyCons!$A$4:$A$10000)))*1,[1]OUT_FinalEnergyCons!L$4:L$10000)-N766</f>
        <v>9.3213094639178777</v>
      </c>
      <c r="O816" s="1" cm="1">
        <f t="array" ref="O816">SUMPRODUCT(([1]OUT_FinalEnergyCons!$B$4:$B$10000="Var_FOut")*1, ([1]OUT_FinalEnergyCons!$C$4:$C$10000="ITOT-SWHAelch")*1, (ISNUMBER(SEARCH("ITOT-SWHELCHP",[1]OUT_FinalEnergyCons!$A$4:$A$10000)))*1,[1]OUT_FinalEnergyCons!M$4:M$10000)-O766</f>
        <v>9.3214048679488606</v>
      </c>
      <c r="P816" s="1" cm="1">
        <f t="array" ref="P816">SUMPRODUCT(([1]OUT_FinalEnergyCons!$B$4:$B$10000="Var_FOut")*1, ([1]OUT_FinalEnergyCons!$C$4:$C$10000="ITOT-SWHAelch")*1, (ISNUMBER(SEARCH("ITOT-SWHELCHP",[1]OUT_FinalEnergyCons!$A$4:$A$10000)))*1,[1]OUT_FinalEnergyCons!N$4:N$10000)-P766</f>
        <v>9.3214137991222419</v>
      </c>
      <c r="Q816" s="1" cm="1">
        <f t="array" ref="Q816">SUMPRODUCT(([1]OUT_FinalEnergyCons!$B$4:$B$10000="Var_FOut")*1, ([1]OUT_FinalEnergyCons!$C$4:$C$10000="ITOT-SWHAelch")*1, (ISNUMBER(SEARCH("ITOT-SWHELCHP",[1]OUT_FinalEnergyCons!$A$4:$A$10000)))*1,[1]OUT_FinalEnergyCons!O$4:O$10000)-Q766</f>
        <v>9.3214344810396526</v>
      </c>
      <c r="S816" s="3"/>
    </row>
    <row r="817" spans="2:19" x14ac:dyDescent="0.5">
      <c r="B817" s="5" t="str">
        <f t="shared" ref="B817:B818" si="997">B816</f>
        <v>SPS1</v>
      </c>
      <c r="C817" s="5" t="str">
        <f t="shared" ref="C817:C825" si="998">C816</f>
        <v>CH</v>
      </c>
      <c r="D817" t="s">
        <v>961</v>
      </c>
      <c r="E817" t="s">
        <v>8</v>
      </c>
      <c r="F817" s="1">
        <f>F815-F816</f>
        <v>0</v>
      </c>
      <c r="G817" s="1">
        <f t="shared" ref="G817:K817" si="999">G815-G816</f>
        <v>0</v>
      </c>
      <c r="H817" s="1">
        <f t="shared" si="999"/>
        <v>1.2968842052918816E-2</v>
      </c>
      <c r="I817" s="1">
        <f t="shared" si="999"/>
        <v>5.9168565112921456E-3</v>
      </c>
      <c r="J817" s="1">
        <f t="shared" si="999"/>
        <v>8.8694717920532185E-3</v>
      </c>
      <c r="K817" s="1">
        <f t="shared" si="999"/>
        <v>1.7841506374060678E-2</v>
      </c>
      <c r="L817" s="1">
        <f t="shared" ref="L817:O817" si="1000">L815-L816</f>
        <v>1.3758435786841439E-2</v>
      </c>
      <c r="M817" s="1">
        <f t="shared" si="1000"/>
        <v>2.2895866690989308E-2</v>
      </c>
      <c r="N817" s="1">
        <f t="shared" si="1000"/>
        <v>2.2839704451524057E-2</v>
      </c>
      <c r="O817" s="1">
        <f t="shared" si="1000"/>
        <v>2.2771667546724217E-2</v>
      </c>
      <c r="P817" s="1">
        <f>P815-P816</f>
        <v>2.2765950216022901E-2</v>
      </c>
      <c r="Q817" s="1">
        <f>Q815-Q816</f>
        <v>2.2751649588091283E-2</v>
      </c>
      <c r="S817" s="3"/>
    </row>
    <row r="818" spans="2:19" x14ac:dyDescent="0.5">
      <c r="B818" s="9" t="str">
        <f t="shared" si="997"/>
        <v>SPS1</v>
      </c>
      <c r="C818" s="9" t="str">
        <f t="shared" si="998"/>
        <v>CH</v>
      </c>
      <c r="D818" s="2" t="s">
        <v>684</v>
      </c>
      <c r="E818" s="9" t="s">
        <v>8</v>
      </c>
      <c r="F818" s="17">
        <f>[1]Industry!B$71</f>
        <v>72.708587191037395</v>
      </c>
      <c r="G818" s="17">
        <f>[1]Industry!C$71</f>
        <v>74.35336667179017</v>
      </c>
      <c r="H818" s="17">
        <f>[1]Industry!D$71</f>
        <v>76.14031427031621</v>
      </c>
      <c r="I818" s="17">
        <f>[1]Industry!E$71</f>
        <v>77.133136308011274</v>
      </c>
      <c r="J818" s="17">
        <f>[1]Industry!F$71</f>
        <v>77.717638491007747</v>
      </c>
      <c r="K818" s="17">
        <f>[1]Industry!G$71</f>
        <v>78.26132218981931</v>
      </c>
      <c r="L818" s="17">
        <f>[1]Industry!H$71</f>
        <v>78.777385608158781</v>
      </c>
      <c r="M818" s="17">
        <f>[1]Industry!I$71</f>
        <v>78.896509799055679</v>
      </c>
      <c r="N818" s="17">
        <f>[1]Industry!J$71</f>
        <v>78.561112787486522</v>
      </c>
      <c r="O818" s="17">
        <f>[1]Industry!K$71</f>
        <v>80.56120300921684</v>
      </c>
      <c r="P818" s="17">
        <f>[1]Industry!L$71</f>
        <v>78.202671595303769</v>
      </c>
      <c r="Q818" s="17">
        <f>[1]Industry!M$71</f>
        <v>78.02707670316498</v>
      </c>
      <c r="S818" s="3"/>
    </row>
    <row r="819" spans="2:19" x14ac:dyDescent="0.5">
      <c r="B819" s="5" t="str">
        <f>B818</f>
        <v>SPS1</v>
      </c>
      <c r="C819" s="5" t="str">
        <f t="shared" si="998"/>
        <v>CH</v>
      </c>
      <c r="D819" t="s">
        <v>2031</v>
      </c>
      <c r="E819" t="s">
        <v>8</v>
      </c>
      <c r="F819" s="18">
        <f>SUM(F820:F822)</f>
        <v>58.985518584665542</v>
      </c>
      <c r="G819" s="18">
        <f t="shared" ref="G819:K819" si="1001">SUM(G820:G822)</f>
        <v>61.602382985946392</v>
      </c>
      <c r="H819" s="18">
        <f t="shared" si="1001"/>
        <v>65.426966525902316</v>
      </c>
      <c r="I819" s="18">
        <f t="shared" si="1001"/>
        <v>72.513063025015839</v>
      </c>
      <c r="J819" s="18">
        <f t="shared" si="1001"/>
        <v>73.077665015948412</v>
      </c>
      <c r="K819" s="18">
        <f t="shared" si="1001"/>
        <v>74.941719747023015</v>
      </c>
      <c r="L819" s="18">
        <f t="shared" ref="L819:O819" si="1002">SUM(L820:L822)</f>
        <v>76.847597651354505</v>
      </c>
      <c r="M819" s="18">
        <f t="shared" si="1002"/>
        <v>78.639326179234388</v>
      </c>
      <c r="N819" s="18">
        <f t="shared" si="1002"/>
        <v>79.334594289545265</v>
      </c>
      <c r="O819" s="18">
        <f t="shared" si="1002"/>
        <v>80.899088038231127</v>
      </c>
      <c r="P819" s="18">
        <f>SUM(P820:P822)</f>
        <v>79.426186789323651</v>
      </c>
      <c r="Q819" s="18">
        <f>SUM(Q820:Q822)</f>
        <v>79.545640623793886</v>
      </c>
      <c r="S819" s="3"/>
    </row>
    <row r="820" spans="2:19" x14ac:dyDescent="0.5">
      <c r="B820" s="5" t="str">
        <f t="shared" ref="B820:B825" si="1003">B819</f>
        <v>SPS1</v>
      </c>
      <c r="C820" s="5" t="str">
        <f t="shared" si="998"/>
        <v>CH</v>
      </c>
      <c r="D820" t="s">
        <v>2032</v>
      </c>
      <c r="E820" t="s">
        <v>8</v>
      </c>
      <c r="F820" s="1">
        <f>[1]Industry!B$55</f>
        <v>9.8139156445914235</v>
      </c>
      <c r="G820" s="1">
        <f>[1]Industry!C$55</f>
        <v>10.335110893671704</v>
      </c>
      <c r="H820" s="1">
        <f>[1]Industry!D$55</f>
        <v>10.335832994721882</v>
      </c>
      <c r="I820" s="1">
        <f>[1]Industry!E$55</f>
        <v>13.596148577607744</v>
      </c>
      <c r="J820" s="1">
        <f>[1]Industry!F$55</f>
        <v>13.596150792849889</v>
      </c>
      <c r="K820" s="1">
        <f>[1]Industry!G$55</f>
        <v>13.59615284577368</v>
      </c>
      <c r="L820" s="1">
        <f>[1]Industry!H$55</f>
        <v>13.596155479513733</v>
      </c>
      <c r="M820" s="1">
        <f>[1]Industry!I$55</f>
        <v>13.596165173590332</v>
      </c>
      <c r="N820" s="1">
        <f>[1]Industry!J$55</f>
        <v>13.596181650014874</v>
      </c>
      <c r="O820" s="1">
        <f>[1]Industry!K$55</f>
        <v>13.596206812162482</v>
      </c>
      <c r="P820" s="1">
        <f>[1]Industry!L$55</f>
        <v>13.59621117235465</v>
      </c>
      <c r="Q820" s="1">
        <f>[1]Industry!M$55</f>
        <v>13.596253798845693</v>
      </c>
      <c r="S820" s="3"/>
    </row>
    <row r="821" spans="2:19" x14ac:dyDescent="0.5">
      <c r="B821" s="5" t="str">
        <f t="shared" si="1003"/>
        <v>SPS1</v>
      </c>
      <c r="C821" s="5" t="str">
        <f t="shared" si="998"/>
        <v>CH</v>
      </c>
      <c r="D821" t="s">
        <v>2033</v>
      </c>
      <c r="E821" t="s">
        <v>8</v>
      </c>
      <c r="F821" s="1">
        <f>[1]Industry!B$56</f>
        <v>1.1082052879031223</v>
      </c>
      <c r="G821" s="1">
        <f>[1]Industry!C$56</f>
        <v>1.4008681099447473</v>
      </c>
      <c r="H821" s="1">
        <f>[1]Industry!D$56</f>
        <v>3.5749949477233427</v>
      </c>
      <c r="I821" s="1">
        <f>[1]Industry!E$56</f>
        <v>5.9671490004075141</v>
      </c>
      <c r="J821" s="1">
        <f>[1]Industry!F$56</f>
        <v>7.3860704657650844</v>
      </c>
      <c r="K821" s="1">
        <f>[1]Industry!G$56</f>
        <v>9.3340249946370974</v>
      </c>
      <c r="L821" s="1">
        <f>[1]Industry!H$56</f>
        <v>11.275899105017807</v>
      </c>
      <c r="M821" s="1">
        <f>[1]Industry!I$56</f>
        <v>13.126839026487145</v>
      </c>
      <c r="N821" s="1">
        <f>[1]Industry!J$56</f>
        <v>13.126951371410195</v>
      </c>
      <c r="O821" s="1">
        <f>[1]Industry!K$56</f>
        <v>13.127085726361095</v>
      </c>
      <c r="P821" s="1">
        <f>[1]Industry!L$56</f>
        <v>13.127098303894227</v>
      </c>
      <c r="Q821" s="1">
        <f>[1]Industry!M$56</f>
        <v>13.127127429686603</v>
      </c>
      <c r="S821" s="3"/>
    </row>
    <row r="822" spans="2:19" x14ac:dyDescent="0.5">
      <c r="B822" s="5" t="str">
        <f t="shared" si="1003"/>
        <v>SPS1</v>
      </c>
      <c r="C822" s="5" t="str">
        <f t="shared" si="998"/>
        <v>CH</v>
      </c>
      <c r="D822" t="s">
        <v>2034</v>
      </c>
      <c r="E822" t="s">
        <v>8</v>
      </c>
      <c r="F822" s="1">
        <f>[1]Industry!B$3-([1]Industry!B$6-[1]Industry!B$70)</f>
        <v>48.063397652170998</v>
      </c>
      <c r="G822" s="1">
        <f>[1]Industry!C$3-([1]Industry!C$6-[1]Industry!C$70)</f>
        <v>49.866403982329942</v>
      </c>
      <c r="H822" s="1">
        <f>[1]Industry!D$3-([1]Industry!D$6-[1]Industry!D$70)</f>
        <v>51.516138583457092</v>
      </c>
      <c r="I822" s="1">
        <f>[1]Industry!E$3-([1]Industry!E$6-[1]Industry!E$70)</f>
        <v>52.949765447000587</v>
      </c>
      <c r="J822" s="1">
        <f>[1]Industry!F$3-([1]Industry!F$6-[1]Industry!F$70)</f>
        <v>52.095443757333435</v>
      </c>
      <c r="K822" s="1">
        <f>[1]Industry!G$3-([1]Industry!G$6-[1]Industry!G$70)</f>
        <v>52.011541906612237</v>
      </c>
      <c r="L822" s="1">
        <f>[1]Industry!H$3-([1]Industry!H$6-[1]Industry!H$70)</f>
        <v>51.975543066822965</v>
      </c>
      <c r="M822" s="1">
        <f>[1]Industry!I$3-([1]Industry!I$6-[1]Industry!I$70)</f>
        <v>51.916321979156912</v>
      </c>
      <c r="N822" s="1">
        <f>[1]Industry!J$3-([1]Industry!J$6-[1]Industry!J$70)</f>
        <v>52.611461268120202</v>
      </c>
      <c r="O822" s="1">
        <f>[1]Industry!K$3-([1]Industry!K$6-[1]Industry!K$70)</f>
        <v>54.175795499707554</v>
      </c>
      <c r="P822" s="1">
        <f>[1]Industry!L$3-([1]Industry!L$6-[1]Industry!L$70)</f>
        <v>52.702877313074765</v>
      </c>
      <c r="Q822" s="1">
        <f>[1]Industry!M$3-([1]Industry!M$6-[1]Industry!M$70)</f>
        <v>52.82225939526159</v>
      </c>
      <c r="S822" s="3"/>
    </row>
    <row r="823" spans="2:19" x14ac:dyDescent="0.5">
      <c r="B823" s="5" t="str">
        <f t="shared" si="1003"/>
        <v>SPS1</v>
      </c>
      <c r="C823" s="5" t="str">
        <f t="shared" si="998"/>
        <v>CH</v>
      </c>
      <c r="D823" t="s">
        <v>2035</v>
      </c>
      <c r="E823" t="s">
        <v>8</v>
      </c>
      <c r="F823" s="1">
        <f>SUM(F824:F825)</f>
        <v>8.7635806413366648</v>
      </c>
      <c r="G823" s="1">
        <f t="shared" ref="G823:K823" si="1004">SUM(G824:G825)</f>
        <v>8.1568856880489502</v>
      </c>
      <c r="H823" s="1">
        <f t="shared" si="1004"/>
        <v>6.2515050841916837</v>
      </c>
      <c r="I823" s="1">
        <f t="shared" si="1004"/>
        <v>5.0984701867441924</v>
      </c>
      <c r="J823" s="1">
        <f t="shared" si="1004"/>
        <v>3.4514199782225798</v>
      </c>
      <c r="K823" s="1">
        <f t="shared" si="1004"/>
        <v>2.3348816885793875</v>
      </c>
      <c r="L823" s="1">
        <f t="shared" ref="L823:O823" si="1005">SUM(L824:L825)</f>
        <v>1.2425333416746456</v>
      </c>
      <c r="M823" s="1">
        <f t="shared" si="1005"/>
        <v>0.18054028321790624</v>
      </c>
      <c r="N823" s="1">
        <f t="shared" si="1005"/>
        <v>0.18052349436779311</v>
      </c>
      <c r="O823" s="1">
        <f t="shared" si="1005"/>
        <v>0.18051940303134184</v>
      </c>
      <c r="P823" s="1">
        <f>SUM(P824:P825)</f>
        <v>0.17353909163825168</v>
      </c>
      <c r="Q823" s="1">
        <f>SUM(Q824:Q825)</f>
        <v>0.17293861258678234</v>
      </c>
      <c r="S823" s="3"/>
    </row>
    <row r="824" spans="2:19" x14ac:dyDescent="0.5">
      <c r="B824" s="5" t="str">
        <f t="shared" si="1003"/>
        <v>SPS1</v>
      </c>
      <c r="C824" s="5" t="str">
        <f t="shared" si="998"/>
        <v>CH</v>
      </c>
      <c r="D824" t="s">
        <v>2036</v>
      </c>
      <c r="E824" t="s">
        <v>8</v>
      </c>
      <c r="F824" s="1">
        <f>[1]Industry!B$57</f>
        <v>6.917730973230138</v>
      </c>
      <c r="G824" s="1">
        <f>[1]Industry!C$57</f>
        <v>6.3110402849894154</v>
      </c>
      <c r="H824" s="1">
        <f>[1]Industry!D$57</f>
        <v>6.2459713158969246</v>
      </c>
      <c r="I824" s="1">
        <f>[1]Industry!E$57</f>
        <v>5.0972534073222366</v>
      </c>
      <c r="J824" s="1">
        <f>[1]Industry!F$57</f>
        <v>3.4498087521626459</v>
      </c>
      <c r="K824" s="1">
        <f>[1]Industry!G$57</f>
        <v>2.3315370940851219</v>
      </c>
      <c r="L824" s="1">
        <f>[1]Industry!H$57</f>
        <v>1.2410055089779395</v>
      </c>
      <c r="M824" s="1">
        <f>[1]Industry!I$57</f>
        <v>0.18054028321790624</v>
      </c>
      <c r="N824" s="1">
        <f>[1]Industry!J$57</f>
        <v>0.18052349436779311</v>
      </c>
      <c r="O824" s="1">
        <f>[1]Industry!K$57</f>
        <v>0.18051940303134184</v>
      </c>
      <c r="P824" s="1">
        <f>[1]Industry!L$57</f>
        <v>0.17353909163825168</v>
      </c>
      <c r="Q824" s="1">
        <f>[1]Industry!M$57</f>
        <v>0.17293861258678234</v>
      </c>
      <c r="S824" s="3"/>
    </row>
    <row r="825" spans="2:19" x14ac:dyDescent="0.5">
      <c r="B825" s="5" t="str">
        <f t="shared" si="1003"/>
        <v>SPS1</v>
      </c>
      <c r="C825" s="5" t="str">
        <f t="shared" si="998"/>
        <v>CH</v>
      </c>
      <c r="D825" t="s">
        <v>2037</v>
      </c>
      <c r="E825" t="s">
        <v>8</v>
      </c>
      <c r="F825" s="1">
        <f>[1]Industry!B$58</f>
        <v>1.8458496681065271</v>
      </c>
      <c r="G825" s="1">
        <f>[1]Industry!C$58</f>
        <v>1.8458454030595342</v>
      </c>
      <c r="H825" s="1">
        <f>[1]Industry!D$58</f>
        <v>5.5337682947594171E-3</v>
      </c>
      <c r="I825" s="1">
        <f>[1]Industry!E$58</f>
        <v>1.2167794219554299E-3</v>
      </c>
      <c r="J825" s="1">
        <f>[1]Industry!F$58</f>
        <v>1.6112260599339221E-3</v>
      </c>
      <c r="K825" s="1">
        <f>[1]Industry!G$58</f>
        <v>3.3445944942656985E-3</v>
      </c>
      <c r="L825" s="1">
        <f>[1]Industry!H$58</f>
        <v>1.5278326967061026E-3</v>
      </c>
      <c r="M825" s="1">
        <f>[1]Industry!I$58</f>
        <v>0</v>
      </c>
      <c r="N825" s="1">
        <f>[1]Industry!J$58</f>
        <v>0</v>
      </c>
      <c r="O825" s="1">
        <f>[1]Industry!K$58</f>
        <v>0</v>
      </c>
      <c r="P825" s="1">
        <f>[1]Industry!L$58</f>
        <v>0</v>
      </c>
      <c r="Q825" s="1">
        <f>[1]Industry!M$58</f>
        <v>0</v>
      </c>
      <c r="S825" s="3"/>
    </row>
    <row r="826" spans="2:19" x14ac:dyDescent="0.5">
      <c r="B826" s="5" t="str">
        <f>B825</f>
        <v>SPS1</v>
      </c>
      <c r="C826" s="5" t="str">
        <f>C825</f>
        <v>CH</v>
      </c>
      <c r="D826" t="s">
        <v>2038</v>
      </c>
      <c r="E826" t="s">
        <v>8</v>
      </c>
      <c r="F826" s="1">
        <f>SUM(F827:F829)</f>
        <v>28.930335600202174</v>
      </c>
      <c r="G826" s="1">
        <f t="shared" ref="G826:K826" si="1006">SUM(G827:G829)</f>
        <v>24.310496805105117</v>
      </c>
      <c r="H826" s="1">
        <f t="shared" si="1006"/>
        <v>29.933333435047643</v>
      </c>
      <c r="I826" s="1">
        <f t="shared" si="1006"/>
        <v>24.167738520420048</v>
      </c>
      <c r="J826" s="1">
        <f t="shared" si="1006"/>
        <v>13.614526498218993</v>
      </c>
      <c r="K826" s="1">
        <f t="shared" si="1006"/>
        <v>9.252847719406132</v>
      </c>
      <c r="L826" s="1">
        <f t="shared" ref="L826:O826" si="1007">SUM(L827:L829)</f>
        <v>6.7271349899485529</v>
      </c>
      <c r="M826" s="1">
        <f t="shared" si="1007"/>
        <v>4.1976984492454434</v>
      </c>
      <c r="N826" s="1">
        <f t="shared" si="1007"/>
        <v>3.7138616142230356</v>
      </c>
      <c r="O826" s="1">
        <f t="shared" si="1007"/>
        <v>3.7557224956609723</v>
      </c>
      <c r="P826" s="1">
        <f>SUM(P827:P829)</f>
        <v>3.6810178199629524</v>
      </c>
      <c r="Q826" s="1">
        <f>SUM(Q827:Q829)</f>
        <v>3.658350750211671</v>
      </c>
      <c r="S826" s="3"/>
    </row>
    <row r="827" spans="2:19" x14ac:dyDescent="0.5">
      <c r="B827" s="5" t="str">
        <f t="shared" ref="B827:B856" si="1008">B826</f>
        <v>SPS1</v>
      </c>
      <c r="C827" s="5" t="str">
        <f t="shared" ref="C827:C856" si="1009">C826</f>
        <v>CH</v>
      </c>
      <c r="D827" t="s">
        <v>2039</v>
      </c>
      <c r="E827" t="s">
        <v>8</v>
      </c>
      <c r="F827" s="1">
        <f>[1]Industry!B$59</f>
        <v>28.619796617245338</v>
      </c>
      <c r="G827" s="1">
        <f>[1]Industry!C$59</f>
        <v>23.91795037297625</v>
      </c>
      <c r="H827" s="1">
        <f>[1]Industry!D$59</f>
        <v>29.094405585965063</v>
      </c>
      <c r="I827" s="1">
        <f>[1]Industry!E$59</f>
        <v>21.081465857474001</v>
      </c>
      <c r="J827" s="1">
        <f>[1]Industry!F$59</f>
        <v>10.522453945989588</v>
      </c>
      <c r="K827" s="1">
        <f>[1]Industry!G$59</f>
        <v>6.1431319481577029</v>
      </c>
      <c r="L827" s="1">
        <f>[1]Industry!H$59</f>
        <v>3.6066380411263865</v>
      </c>
      <c r="M827" s="1">
        <f>[1]Industry!I$59</f>
        <v>1.0405233623881769</v>
      </c>
      <c r="N827" s="1">
        <f>[1]Industry!J$59</f>
        <v>0.55678561539248006</v>
      </c>
      <c r="O827" s="1">
        <f>[1]Industry!K$59</f>
        <v>0.5987765140459762</v>
      </c>
      <c r="P827" s="1">
        <f>[1]Industry!L$59</f>
        <v>0.52407328071530013</v>
      </c>
      <c r="Q827" s="1">
        <f>[1]Industry!M$59</f>
        <v>0.50132500274323455</v>
      </c>
      <c r="S827" s="3"/>
    </row>
    <row r="828" spans="2:19" x14ac:dyDescent="0.5">
      <c r="B828" s="5" t="str">
        <f t="shared" si="1008"/>
        <v>SPS1</v>
      </c>
      <c r="C828" s="5" t="str">
        <f t="shared" si="1009"/>
        <v>CH</v>
      </c>
      <c r="D828" t="s">
        <v>2040</v>
      </c>
      <c r="E828" t="s">
        <v>8</v>
      </c>
      <c r="F828" s="1">
        <f>[1]Industry!B$60</f>
        <v>0</v>
      </c>
      <c r="G828" s="1">
        <f>[1]Industry!C$60</f>
        <v>0</v>
      </c>
      <c r="H828" s="1">
        <f>[1]Industry!D$60</f>
        <v>2.7615882668532814E-2</v>
      </c>
      <c r="I828" s="1">
        <f>[1]Industry!E$60</f>
        <v>1.2332462245619664E-2</v>
      </c>
      <c r="J828" s="1">
        <f>[1]Industry!F$60</f>
        <v>1.811721380074259E-2</v>
      </c>
      <c r="K828" s="1">
        <f>[1]Industry!G$60</f>
        <v>3.5755890607819078E-2</v>
      </c>
      <c r="L828" s="1">
        <f>[1]Industry!H$60</f>
        <v>2.7080341717877054E-2</v>
      </c>
      <c r="M828" s="1">
        <f>[1]Industry!I$60</f>
        <v>4.4301799826343732E-2</v>
      </c>
      <c r="N828" s="1">
        <f>[1]Industry!J$60</f>
        <v>4.4193130068425117E-2</v>
      </c>
      <c r="O828" s="1">
        <f>[1]Industry!K$60</f>
        <v>4.4061483715926948E-2</v>
      </c>
      <c r="P828" s="1">
        <f>[1]Industry!L$60</f>
        <v>4.4050421106078798E-2</v>
      </c>
      <c r="Q828" s="1">
        <f>[1]Industry!M$60</f>
        <v>4.4022750454229403E-2</v>
      </c>
      <c r="S828" s="3"/>
    </row>
    <row r="829" spans="2:19" x14ac:dyDescent="0.5">
      <c r="B829" s="5" t="str">
        <f t="shared" si="1008"/>
        <v>SPS1</v>
      </c>
      <c r="C829" s="5" t="str">
        <f t="shared" si="1009"/>
        <v>CH</v>
      </c>
      <c r="D829" t="s">
        <v>2041</v>
      </c>
      <c r="E829" t="s">
        <v>8</v>
      </c>
      <c r="F829" s="1">
        <f>[1]Industry!B$68</f>
        <v>0.31053898295683396</v>
      </c>
      <c r="G829" s="1">
        <f>[1]Industry!C$68</f>
        <v>0.3925464321288657</v>
      </c>
      <c r="H829" s="1">
        <f>[1]Industry!D$68</f>
        <v>0.81131196641405001</v>
      </c>
      <c r="I829" s="1">
        <f>[1]Industry!E$68</f>
        <v>3.0739402007004268</v>
      </c>
      <c r="J829" s="1">
        <f>[1]Industry!F$68</f>
        <v>3.0739553384286631</v>
      </c>
      <c r="K829" s="1">
        <f>[1]Industry!G$68</f>
        <v>3.0739598806406092</v>
      </c>
      <c r="L829" s="1">
        <f>[1]Industry!H$68</f>
        <v>3.0934166071042899</v>
      </c>
      <c r="M829" s="1">
        <f>[1]Industry!I$68</f>
        <v>3.1128732870309226</v>
      </c>
      <c r="N829" s="1">
        <f>[1]Industry!J$68</f>
        <v>3.1128828687621306</v>
      </c>
      <c r="O829" s="1">
        <f>[1]Industry!K$68</f>
        <v>3.1128844978990693</v>
      </c>
      <c r="P829" s="1">
        <f>[1]Industry!L$68</f>
        <v>3.1128941181415732</v>
      </c>
      <c r="Q829" s="1">
        <f>[1]Industry!M$68</f>
        <v>3.113002997014207</v>
      </c>
      <c r="S829" s="3"/>
    </row>
    <row r="830" spans="2:19" x14ac:dyDescent="0.5">
      <c r="B830" s="5" t="str">
        <f t="shared" si="1008"/>
        <v>SPS1</v>
      </c>
      <c r="C830" s="5" t="str">
        <f t="shared" si="1009"/>
        <v>CH</v>
      </c>
      <c r="D830" t="s">
        <v>2042</v>
      </c>
      <c r="E830" t="s">
        <v>8</v>
      </c>
      <c r="F830" s="1">
        <f>F831</f>
        <v>2.367428421554894</v>
      </c>
      <c r="G830" s="1">
        <f t="shared" ref="G830:O830" si="1010">G831</f>
        <v>2.307529550527907</v>
      </c>
      <c r="H830" s="1">
        <f t="shared" si="1010"/>
        <v>1.140837651744917E-2</v>
      </c>
      <c r="I830" s="1">
        <f t="shared" si="1010"/>
        <v>9.2048671445742311E-4</v>
      </c>
      <c r="J830" s="1">
        <f t="shared" si="1010"/>
        <v>1.1706431567904123E-3</v>
      </c>
      <c r="K830" s="1">
        <f t="shared" si="1010"/>
        <v>2.696431288260749E-3</v>
      </c>
      <c r="L830" s="1">
        <f t="shared" si="1010"/>
        <v>1.3009239994298148E-3</v>
      </c>
      <c r="M830" s="1">
        <f t="shared" si="1010"/>
        <v>2.8352239670783415E-5</v>
      </c>
      <c r="N830" s="1">
        <f t="shared" si="1010"/>
        <v>7.6902158943863269E-5</v>
      </c>
      <c r="O830" s="1">
        <f t="shared" si="1010"/>
        <v>1.0694778929347851E-4</v>
      </c>
      <c r="P830" s="1">
        <f>P831</f>
        <v>1.0381600811993906E-4</v>
      </c>
      <c r="Q830" s="1">
        <f>Q831</f>
        <v>1.1884520197118609E-4</v>
      </c>
      <c r="S830" s="3"/>
    </row>
    <row r="831" spans="2:19" x14ac:dyDescent="0.5">
      <c r="B831" s="5" t="str">
        <f t="shared" si="1008"/>
        <v>SPS1</v>
      </c>
      <c r="C831" s="5" t="str">
        <f t="shared" si="1009"/>
        <v>CH</v>
      </c>
      <c r="D831" t="s">
        <v>2043</v>
      </c>
      <c r="E831" t="s">
        <v>8</v>
      </c>
      <c r="F831" s="1">
        <f>[1]Industry!B$61</f>
        <v>2.367428421554894</v>
      </c>
      <c r="G831" s="1">
        <f>[1]Industry!C$61</f>
        <v>2.307529550527907</v>
      </c>
      <c r="H831" s="1">
        <f>[1]Industry!D$61</f>
        <v>1.140837651744917E-2</v>
      </c>
      <c r="I831" s="1">
        <f>[1]Industry!E$61</f>
        <v>9.2048671445742311E-4</v>
      </c>
      <c r="J831" s="1">
        <f>[1]Industry!F$61</f>
        <v>1.1706431567904123E-3</v>
      </c>
      <c r="K831" s="1">
        <f>[1]Industry!G$61</f>
        <v>2.696431288260749E-3</v>
      </c>
      <c r="L831" s="1">
        <f>[1]Industry!H$61</f>
        <v>1.3009239994298148E-3</v>
      </c>
      <c r="M831" s="1">
        <f>[1]Industry!I$61</f>
        <v>2.8352239670783415E-5</v>
      </c>
      <c r="N831" s="1">
        <f>[1]Industry!J$61</f>
        <v>7.6902158943863269E-5</v>
      </c>
      <c r="O831" s="1">
        <f>[1]Industry!K$61</f>
        <v>1.0694778929347851E-4</v>
      </c>
      <c r="P831" s="1">
        <f>[1]Industry!L$61</f>
        <v>1.0381600811993906E-4</v>
      </c>
      <c r="Q831" s="1">
        <f>[1]Industry!M$61</f>
        <v>1.1884520197118609E-4</v>
      </c>
      <c r="S831" s="3"/>
    </row>
    <row r="832" spans="2:19" x14ac:dyDescent="0.5">
      <c r="B832" s="5" t="str">
        <f t="shared" si="1008"/>
        <v>SPS1</v>
      </c>
      <c r="C832" s="5" t="str">
        <f t="shared" si="1009"/>
        <v>CH</v>
      </c>
      <c r="D832" t="s">
        <v>2044</v>
      </c>
      <c r="E832" t="s">
        <v>8</v>
      </c>
      <c r="F832" s="1">
        <f>F833+F843</f>
        <v>11.767377199149287</v>
      </c>
      <c r="G832" s="1">
        <f t="shared" ref="G832:K832" si="1011">G833+G843</f>
        <v>12.63545857484155</v>
      </c>
      <c r="H832" s="1">
        <f t="shared" si="1011"/>
        <v>12.568695137653455</v>
      </c>
      <c r="I832" s="1">
        <f t="shared" si="1011"/>
        <v>13.677813538793117</v>
      </c>
      <c r="J832" s="1">
        <f t="shared" si="1011"/>
        <v>13.308301277411665</v>
      </c>
      <c r="K832" s="1">
        <f t="shared" si="1011"/>
        <v>14.281175198630402</v>
      </c>
      <c r="L832" s="1">
        <f t="shared" ref="L832:O832" si="1012">L833+L843</f>
        <v>16.096406809091405</v>
      </c>
      <c r="M832" s="1">
        <f t="shared" si="1012"/>
        <v>20.121364930962958</v>
      </c>
      <c r="N832" s="1">
        <f t="shared" si="1012"/>
        <v>19.777799781485236</v>
      </c>
      <c r="O832" s="1">
        <f t="shared" si="1012"/>
        <v>19.489536393911663</v>
      </c>
      <c r="P832" s="1">
        <f>P833+P843</f>
        <v>19.458714141218373</v>
      </c>
      <c r="Q832" s="1">
        <f>Q833+Q843</f>
        <v>19.330220926513292</v>
      </c>
      <c r="S832" s="3"/>
    </row>
    <row r="833" spans="2:19" x14ac:dyDescent="0.5">
      <c r="B833" s="5" t="str">
        <f t="shared" si="1008"/>
        <v>SPS1</v>
      </c>
      <c r="C833" s="5" t="str">
        <f t="shared" si="1009"/>
        <v>CH</v>
      </c>
      <c r="D833" t="s">
        <v>2045</v>
      </c>
      <c r="E833" t="s">
        <v>8</v>
      </c>
      <c r="F833" s="1">
        <f>[1]Industry!B$62</f>
        <v>5.1850799356611432</v>
      </c>
      <c r="G833" s="1">
        <f>[1]Industry!C$62</f>
        <v>5.5675839027166312</v>
      </c>
      <c r="H833" s="1">
        <f>[1]Industry!D$62</f>
        <v>5.697432342423479</v>
      </c>
      <c r="I833" s="1">
        <f>[1]Industry!E$62</f>
        <v>6.3807928759756853</v>
      </c>
      <c r="J833" s="1">
        <f>[1]Industry!F$62</f>
        <v>6.5035710637616315</v>
      </c>
      <c r="K833" s="1">
        <f>[1]Industry!G$62</f>
        <v>7.2556832635334834</v>
      </c>
      <c r="L833" s="1">
        <f>[1]Industry!H$62</f>
        <v>9.6866147036939143</v>
      </c>
      <c r="M833" s="1">
        <f>[1]Industry!I$62</f>
        <v>12.53681799981319</v>
      </c>
      <c r="N833" s="1">
        <f>[1]Industry!J$62</f>
        <v>12.261131496918194</v>
      </c>
      <c r="O833" s="1">
        <f>[1]Industry!K$62</f>
        <v>12.341772596394721</v>
      </c>
      <c r="P833" s="1">
        <f>[1]Industry!L$62</f>
        <v>13.074480037233259</v>
      </c>
      <c r="Q833" s="1">
        <f>[1]Industry!M$62</f>
        <v>13.354431313487774</v>
      </c>
      <c r="S833" s="3"/>
    </row>
    <row r="834" spans="2:19" x14ac:dyDescent="0.5">
      <c r="B834" s="5" t="str">
        <f t="shared" si="1008"/>
        <v>SPS1</v>
      </c>
      <c r="C834" s="5" t="str">
        <f t="shared" si="1009"/>
        <v>CH</v>
      </c>
      <c r="D834" t="s">
        <v>2046</v>
      </c>
      <c r="E834" t="s">
        <v>8</v>
      </c>
      <c r="F834" s="1">
        <f>IFERROR(F793/F$792,0)*F$833</f>
        <v>1.1180512375782141</v>
      </c>
      <c r="G834" s="1">
        <f t="shared" ref="G834:K834" si="1013">IFERROR(G793/G$792,0)*G$833</f>
        <v>1.969189236998129</v>
      </c>
      <c r="H834" s="1">
        <f t="shared" si="1013"/>
        <v>8.5126861503381654E-2</v>
      </c>
      <c r="I834" s="1">
        <f t="shared" si="1013"/>
        <v>1.2363063795893092</v>
      </c>
      <c r="J834" s="1">
        <f t="shared" si="1013"/>
        <v>0.79011411951367128</v>
      </c>
      <c r="K834" s="1">
        <f t="shared" si="1013"/>
        <v>0</v>
      </c>
      <c r="L834" s="1">
        <f t="shared" ref="L834:O834" si="1014">IFERROR(L793/L$792,0)*L$833</f>
        <v>0</v>
      </c>
      <c r="M834" s="1">
        <f t="shared" si="1014"/>
        <v>0</v>
      </c>
      <c r="N834" s="1">
        <f t="shared" si="1014"/>
        <v>4.9919030810965312E-3</v>
      </c>
      <c r="O834" s="1">
        <f t="shared" si="1014"/>
        <v>7.0914187361767415E-3</v>
      </c>
      <c r="P834" s="1">
        <f t="shared" ref="P834:Q842" si="1015">IFERROR(P793/P$792,0)*P$833</f>
        <v>1.1431175191356885E-2</v>
      </c>
      <c r="Q834" s="1">
        <f t="shared" si="1015"/>
        <v>1.6687891451806585E-2</v>
      </c>
      <c r="S834" s="3"/>
    </row>
    <row r="835" spans="2:19" x14ac:dyDescent="0.5">
      <c r="B835" s="5" t="str">
        <f t="shared" si="1008"/>
        <v>SPS1</v>
      </c>
      <c r="C835" s="5" t="str">
        <f t="shared" si="1009"/>
        <v>CH</v>
      </c>
      <c r="D835" t="s">
        <v>2047</v>
      </c>
      <c r="E835" t="s">
        <v>8</v>
      </c>
      <c r="F835" s="1">
        <f t="shared" ref="F835:K842" si="1016">IFERROR(F794/F$792,0)*F$833</f>
        <v>0.94704296957798684</v>
      </c>
      <c r="G835" s="1">
        <f t="shared" si="1016"/>
        <v>9.4715051902053149E-2</v>
      </c>
      <c r="H835" s="1">
        <f t="shared" si="1016"/>
        <v>6.3848482765761577E-2</v>
      </c>
      <c r="I835" s="1">
        <f t="shared" si="1016"/>
        <v>8.1906627988656541E-2</v>
      </c>
      <c r="J835" s="1">
        <f t="shared" si="1016"/>
        <v>0.57804961106938224</v>
      </c>
      <c r="K835" s="1">
        <f t="shared" si="1016"/>
        <v>0.37297399310959395</v>
      </c>
      <c r="L835" s="1">
        <f t="shared" ref="L835:O835" si="1017">IFERROR(L794/L$792,0)*L$833</f>
        <v>0.11717191933605077</v>
      </c>
      <c r="M835" s="1">
        <f t="shared" si="1017"/>
        <v>0.35761011561309658</v>
      </c>
      <c r="N835" s="1">
        <f t="shared" si="1017"/>
        <v>0.43977784384823981</v>
      </c>
      <c r="O835" s="1">
        <f t="shared" si="1017"/>
        <v>0.42000310174504107</v>
      </c>
      <c r="P835" s="1">
        <f t="shared" si="1015"/>
        <v>0.44109909828923133</v>
      </c>
      <c r="Q835" s="1">
        <f t="shared" si="1015"/>
        <v>0.44015809238329701</v>
      </c>
      <c r="S835" s="3"/>
    </row>
    <row r="836" spans="2:19" x14ac:dyDescent="0.5">
      <c r="B836" s="5" t="str">
        <f t="shared" si="1008"/>
        <v>SPS1</v>
      </c>
      <c r="C836" s="5" t="str">
        <f t="shared" si="1009"/>
        <v>CH</v>
      </c>
      <c r="D836" t="s">
        <v>2048</v>
      </c>
      <c r="E836" t="s">
        <v>8</v>
      </c>
      <c r="F836" s="1">
        <f t="shared" si="1016"/>
        <v>0</v>
      </c>
      <c r="G836" s="1">
        <f t="shared" si="1016"/>
        <v>0</v>
      </c>
      <c r="H836" s="1">
        <f t="shared" si="1016"/>
        <v>0</v>
      </c>
      <c r="I836" s="1">
        <f t="shared" si="1016"/>
        <v>0</v>
      </c>
      <c r="J836" s="1">
        <f t="shared" si="1016"/>
        <v>0</v>
      </c>
      <c r="K836" s="1">
        <f t="shared" si="1016"/>
        <v>4.1555745662203453E-3</v>
      </c>
      <c r="L836" s="1">
        <f t="shared" ref="L836:O836" si="1018">IFERROR(L795/L$792,0)*L$833</f>
        <v>4.401511322619618E-3</v>
      </c>
      <c r="M836" s="1">
        <f t="shared" si="1018"/>
        <v>0.20683330030327304</v>
      </c>
      <c r="N836" s="1">
        <f t="shared" si="1018"/>
        <v>0.25428512982818929</v>
      </c>
      <c r="O836" s="1">
        <f t="shared" si="1018"/>
        <v>0.24291247423624965</v>
      </c>
      <c r="P836" s="1">
        <f t="shared" si="1015"/>
        <v>0.2551031914329322</v>
      </c>
      <c r="Q836" s="1">
        <f t="shared" si="1015"/>
        <v>0.25456222866575406</v>
      </c>
      <c r="S836" s="3"/>
    </row>
    <row r="837" spans="2:19" x14ac:dyDescent="0.5">
      <c r="B837" s="5" t="str">
        <f t="shared" si="1008"/>
        <v>SPS1</v>
      </c>
      <c r="C837" s="5" t="str">
        <f t="shared" si="1009"/>
        <v>CH</v>
      </c>
      <c r="D837" t="s">
        <v>2049</v>
      </c>
      <c r="E837" t="s">
        <v>8</v>
      </c>
      <c r="F837" s="1">
        <f t="shared" si="1016"/>
        <v>0</v>
      </c>
      <c r="G837" s="1">
        <f t="shared" si="1016"/>
        <v>0</v>
      </c>
      <c r="H837" s="1">
        <f t="shared" si="1016"/>
        <v>0</v>
      </c>
      <c r="I837" s="1">
        <f t="shared" si="1016"/>
        <v>0</v>
      </c>
      <c r="J837" s="1">
        <f t="shared" si="1016"/>
        <v>1.9304395798563558E-3</v>
      </c>
      <c r="K837" s="1">
        <f t="shared" si="1016"/>
        <v>3.4607205109692903E-3</v>
      </c>
      <c r="L837" s="1">
        <f t="shared" ref="L837:O837" si="1019">IFERROR(L796/L$792,0)*L$833</f>
        <v>2.3891787574811989E-3</v>
      </c>
      <c r="M837" s="1">
        <f t="shared" si="1019"/>
        <v>2.5732819858242774E-3</v>
      </c>
      <c r="N837" s="1">
        <f t="shared" si="1019"/>
        <v>2.8666308378171466E-3</v>
      </c>
      <c r="O837" s="1">
        <f t="shared" si="1019"/>
        <v>1.8191174633195738E-3</v>
      </c>
      <c r="P837" s="1">
        <f t="shared" si="1015"/>
        <v>1.6478920998533929E-3</v>
      </c>
      <c r="Q837" s="1">
        <f t="shared" si="1015"/>
        <v>1.6016877815323556E-3</v>
      </c>
      <c r="S837" s="3"/>
    </row>
    <row r="838" spans="2:19" x14ac:dyDescent="0.5">
      <c r="B838" s="5" t="str">
        <f t="shared" si="1008"/>
        <v>SPS1</v>
      </c>
      <c r="C838" s="5" t="str">
        <f t="shared" si="1009"/>
        <v>CH</v>
      </c>
      <c r="D838" t="s">
        <v>2050</v>
      </c>
      <c r="E838" t="s">
        <v>8</v>
      </c>
      <c r="F838" s="1">
        <f t="shared" si="1016"/>
        <v>2.3264076304981862</v>
      </c>
      <c r="G838" s="1">
        <f t="shared" si="1016"/>
        <v>1.8704550399020352</v>
      </c>
      <c r="H838" s="1">
        <f t="shared" si="1016"/>
        <v>2.3888022920603729</v>
      </c>
      <c r="I838" s="1">
        <f t="shared" si="1016"/>
        <v>2.1212867406019207</v>
      </c>
      <c r="J838" s="1">
        <f t="shared" si="1016"/>
        <v>1.8231426765714873</v>
      </c>
      <c r="K838" s="1">
        <f t="shared" si="1016"/>
        <v>1.3381400157149124</v>
      </c>
      <c r="L838" s="1">
        <f t="shared" ref="L838:O838" si="1020">IFERROR(L797/L$792,0)*L$833</f>
        <v>5.226408643081196E-3</v>
      </c>
      <c r="M838" s="1">
        <f t="shared" si="1020"/>
        <v>2.2121948740409024E-3</v>
      </c>
      <c r="N838" s="1">
        <f t="shared" si="1020"/>
        <v>2.0756152907153297E-3</v>
      </c>
      <c r="O838" s="1">
        <f t="shared" si="1020"/>
        <v>1.1273849644859294E-3</v>
      </c>
      <c r="P838" s="1">
        <f t="shared" si="1015"/>
        <v>1.0555196455653692E-3</v>
      </c>
      <c r="Q838" s="1">
        <f t="shared" si="1015"/>
        <v>6.7084017731578979E-4</v>
      </c>
      <c r="S838" s="3"/>
    </row>
    <row r="839" spans="2:19" x14ac:dyDescent="0.5">
      <c r="B839" s="5" t="str">
        <f t="shared" si="1008"/>
        <v>SPS1</v>
      </c>
      <c r="C839" s="5" t="str">
        <f t="shared" si="1009"/>
        <v>CH</v>
      </c>
      <c r="D839" t="s">
        <v>2051</v>
      </c>
      <c r="E839" t="s">
        <v>8</v>
      </c>
      <c r="F839" s="1">
        <f t="shared" si="1016"/>
        <v>0</v>
      </c>
      <c r="G839" s="1">
        <f t="shared" si="1016"/>
        <v>0</v>
      </c>
      <c r="H839" s="1">
        <f t="shared" si="1016"/>
        <v>0</v>
      </c>
      <c r="I839" s="1">
        <f t="shared" si="1016"/>
        <v>0</v>
      </c>
      <c r="J839" s="1">
        <f t="shared" si="1016"/>
        <v>0</v>
      </c>
      <c r="K839" s="1">
        <f t="shared" si="1016"/>
        <v>0.20431133089770689</v>
      </c>
      <c r="L839" s="1">
        <f t="shared" ref="L839:O839" si="1021">IFERROR(L798/L$792,0)*L$833</f>
        <v>1.1676657042831802</v>
      </c>
      <c r="M839" s="1">
        <f t="shared" si="1021"/>
        <v>2.0996967732988456</v>
      </c>
      <c r="N839" s="1">
        <f t="shared" si="1021"/>
        <v>1.9034517316260511</v>
      </c>
      <c r="O839" s="1">
        <f t="shared" si="1021"/>
        <v>1.9038769524901218</v>
      </c>
      <c r="P839" s="1">
        <f t="shared" si="1015"/>
        <v>1.9017398099428224</v>
      </c>
      <c r="Q839" s="1">
        <f t="shared" si="1015"/>
        <v>1.897921934700245</v>
      </c>
      <c r="S839" s="3"/>
    </row>
    <row r="840" spans="2:19" x14ac:dyDescent="0.5">
      <c r="B840" s="5" t="str">
        <f t="shared" si="1008"/>
        <v>SPS1</v>
      </c>
      <c r="C840" s="5" t="str">
        <f t="shared" si="1009"/>
        <v>CH</v>
      </c>
      <c r="D840" t="s">
        <v>2052</v>
      </c>
      <c r="E840" t="s">
        <v>8</v>
      </c>
      <c r="F840" s="1">
        <f t="shared" si="1016"/>
        <v>0.79357809800675627</v>
      </c>
      <c r="G840" s="1">
        <f t="shared" si="1016"/>
        <v>1.6332245739144138</v>
      </c>
      <c r="H840" s="1">
        <f t="shared" si="1016"/>
        <v>3.1596547060939635</v>
      </c>
      <c r="I840" s="1">
        <f t="shared" si="1016"/>
        <v>2.9412931277957992</v>
      </c>
      <c r="J840" s="1">
        <f t="shared" si="1016"/>
        <v>2.8989982068832743</v>
      </c>
      <c r="K840" s="1">
        <f t="shared" si="1016"/>
        <v>1.8165961368130443</v>
      </c>
      <c r="L840" s="1">
        <f t="shared" ref="L840:O840" si="1022">IFERROR(L799/L$792,0)*L$833</f>
        <v>0.74283820975312587</v>
      </c>
      <c r="M840" s="1">
        <f t="shared" si="1022"/>
        <v>0.69419877158477394</v>
      </c>
      <c r="N840" s="1">
        <f t="shared" si="1022"/>
        <v>1.4855513902477413E-2</v>
      </c>
      <c r="O840" s="1">
        <f t="shared" si="1022"/>
        <v>7.6251528839481209E-3</v>
      </c>
      <c r="P840" s="1">
        <f t="shared" si="1015"/>
        <v>8.5334064874288892E-3</v>
      </c>
      <c r="Q840" s="1">
        <f t="shared" si="1015"/>
        <v>9.7615555047868424E-3</v>
      </c>
      <c r="S840" s="3"/>
    </row>
    <row r="841" spans="2:19" x14ac:dyDescent="0.5">
      <c r="B841" s="5" t="str">
        <f t="shared" si="1008"/>
        <v>SPS1</v>
      </c>
      <c r="C841" s="5" t="str">
        <f t="shared" si="1009"/>
        <v>CH</v>
      </c>
      <c r="D841" t="s">
        <v>2053</v>
      </c>
      <c r="E841" t="s">
        <v>8</v>
      </c>
      <c r="F841" s="1">
        <f t="shared" si="1016"/>
        <v>0</v>
      </c>
      <c r="G841" s="1">
        <f t="shared" si="1016"/>
        <v>0</v>
      </c>
      <c r="H841" s="1">
        <f t="shared" si="1016"/>
        <v>0</v>
      </c>
      <c r="I841" s="1">
        <f t="shared" si="1016"/>
        <v>0</v>
      </c>
      <c r="J841" s="1">
        <f t="shared" si="1016"/>
        <v>0</v>
      </c>
      <c r="K841" s="1">
        <f t="shared" si="1016"/>
        <v>3.3125212452037873</v>
      </c>
      <c r="L841" s="1">
        <f t="shared" ref="L841:O841" si="1023">IFERROR(L800/L$792,0)*L$833</f>
        <v>7.4599879893799637</v>
      </c>
      <c r="M841" s="1">
        <f t="shared" si="1023"/>
        <v>8.8478418113865764</v>
      </c>
      <c r="N841" s="1">
        <f t="shared" si="1023"/>
        <v>8.8306445782960825</v>
      </c>
      <c r="O841" s="1">
        <f t="shared" si="1023"/>
        <v>8.8257043370524286</v>
      </c>
      <c r="P841" s="1">
        <f t="shared" si="1015"/>
        <v>8.8147562317134387</v>
      </c>
      <c r="Q841" s="1">
        <f t="shared" si="1015"/>
        <v>8.7941958637276834</v>
      </c>
      <c r="S841" s="3"/>
    </row>
    <row r="842" spans="2:19" x14ac:dyDescent="0.5">
      <c r="B842" s="5" t="str">
        <f t="shared" si="1008"/>
        <v>SPS1</v>
      </c>
      <c r="C842" s="5" t="str">
        <f t="shared" si="1009"/>
        <v>CH</v>
      </c>
      <c r="D842" t="s">
        <v>2054</v>
      </c>
      <c r="E842" t="s">
        <v>8</v>
      </c>
      <c r="F842" s="1">
        <f t="shared" si="1016"/>
        <v>0</v>
      </c>
      <c r="G842" s="1">
        <f t="shared" si="1016"/>
        <v>0</v>
      </c>
      <c r="H842" s="1">
        <f t="shared" si="1016"/>
        <v>0</v>
      </c>
      <c r="I842" s="1">
        <f t="shared" si="1016"/>
        <v>0</v>
      </c>
      <c r="J842" s="1">
        <f t="shared" si="1016"/>
        <v>0.41133601014395987</v>
      </c>
      <c r="K842" s="1">
        <f t="shared" si="1016"/>
        <v>0.20352424671724764</v>
      </c>
      <c r="L842" s="1">
        <f t="shared" ref="L842:O842" si="1024">IFERROR(L801/L$792,0)*L$833</f>
        <v>0.18693378221841372</v>
      </c>
      <c r="M842" s="1">
        <f t="shared" si="1024"/>
        <v>0.32585175076675854</v>
      </c>
      <c r="N842" s="1">
        <f t="shared" si="1024"/>
        <v>0.80818255020752516</v>
      </c>
      <c r="O842" s="1">
        <f t="shared" si="1024"/>
        <v>0.93161265682294958</v>
      </c>
      <c r="P842" s="1">
        <f t="shared" si="1015"/>
        <v>1.6391137124306305</v>
      </c>
      <c r="Q842" s="1">
        <f t="shared" si="1015"/>
        <v>1.9388712190953543</v>
      </c>
      <c r="S842" s="3"/>
    </row>
    <row r="843" spans="2:19" x14ac:dyDescent="0.5">
      <c r="B843" s="5" t="str">
        <f t="shared" si="1008"/>
        <v>SPS1</v>
      </c>
      <c r="C843" s="5" t="str">
        <f t="shared" si="1009"/>
        <v>CH</v>
      </c>
      <c r="D843" t="s">
        <v>2055</v>
      </c>
      <c r="E843" t="s">
        <v>8</v>
      </c>
      <c r="F843" s="1">
        <f>[1]Industry!B$63</f>
        <v>6.5822972634881447</v>
      </c>
      <c r="G843" s="1">
        <f>[1]Industry!C$63</f>
        <v>7.067874672124919</v>
      </c>
      <c r="H843" s="1">
        <f>[1]Industry!D$63</f>
        <v>6.8712627952299759</v>
      </c>
      <c r="I843" s="1">
        <f>[1]Industry!E$63</f>
        <v>7.2970206628174328</v>
      </c>
      <c r="J843" s="1">
        <f>[1]Industry!F$63</f>
        <v>6.8047302136500338</v>
      </c>
      <c r="K843" s="1">
        <f>[1]Industry!G$63</f>
        <v>7.0254919350969187</v>
      </c>
      <c r="L843" s="1">
        <f>[1]Industry!H$63</f>
        <v>6.409792105397492</v>
      </c>
      <c r="M843" s="1">
        <f>[1]Industry!I$63</f>
        <v>7.5845469311497675</v>
      </c>
      <c r="N843" s="1">
        <f>[1]Industry!J$63</f>
        <v>7.5166682845670394</v>
      </c>
      <c r="O843" s="1">
        <f>[1]Industry!K$63</f>
        <v>7.1477637975169435</v>
      </c>
      <c r="P843" s="1">
        <f>[1]Industry!L$63</f>
        <v>6.3842341039851123</v>
      </c>
      <c r="Q843" s="1">
        <f>[1]Industry!M$63</f>
        <v>5.9757896130255155</v>
      </c>
      <c r="S843" s="3"/>
    </row>
    <row r="844" spans="2:19" x14ac:dyDescent="0.5">
      <c r="B844" s="5" t="str">
        <f t="shared" si="1008"/>
        <v>SPS1</v>
      </c>
      <c r="C844" s="5" t="str">
        <f t="shared" si="1009"/>
        <v>CH</v>
      </c>
      <c r="D844" t="s">
        <v>2056</v>
      </c>
      <c r="E844" t="s">
        <v>8</v>
      </c>
      <c r="F844" s="1">
        <f>F845</f>
        <v>5.3111500211482383</v>
      </c>
      <c r="G844" s="1">
        <f t="shared" ref="G844:O844" si="1025">G845</f>
        <v>6.2669568337986883</v>
      </c>
      <c r="H844" s="1">
        <f t="shared" si="1025"/>
        <v>5.8309853171776007</v>
      </c>
      <c r="I844" s="1">
        <f t="shared" si="1025"/>
        <v>6.8549096051624918</v>
      </c>
      <c r="J844" s="1">
        <f t="shared" si="1025"/>
        <v>6.5655673592169252</v>
      </c>
      <c r="K844" s="1">
        <f t="shared" si="1025"/>
        <v>5.6803909496189071</v>
      </c>
      <c r="L844" s="1">
        <f t="shared" si="1025"/>
        <v>5.0735384260834957</v>
      </c>
      <c r="M844" s="1">
        <f t="shared" si="1025"/>
        <v>5.1002317687378538</v>
      </c>
      <c r="N844" s="1">
        <f t="shared" si="1025"/>
        <v>5.050992684365176</v>
      </c>
      <c r="O844" s="1">
        <f t="shared" si="1025"/>
        <v>7.2278699335290657</v>
      </c>
      <c r="P844" s="1">
        <f>P845</f>
        <v>5.0217336136581094</v>
      </c>
      <c r="Q844" s="1">
        <f>Q845</f>
        <v>5.002166421043599</v>
      </c>
      <c r="S844" s="3"/>
    </row>
    <row r="845" spans="2:19" x14ac:dyDescent="0.5">
      <c r="B845" s="5" t="str">
        <f t="shared" si="1008"/>
        <v>SPS1</v>
      </c>
      <c r="C845" s="5" t="str">
        <f t="shared" si="1009"/>
        <v>CH</v>
      </c>
      <c r="D845" t="s">
        <v>2057</v>
      </c>
      <c r="E845" t="s">
        <v>8</v>
      </c>
      <c r="F845" s="1">
        <f>[1]Industry!B$64</f>
        <v>5.3111500211482383</v>
      </c>
      <c r="G845" s="1">
        <f>[1]Industry!C$64</f>
        <v>6.2669568337986883</v>
      </c>
      <c r="H845" s="1">
        <f>[1]Industry!D$64</f>
        <v>5.8309853171776007</v>
      </c>
      <c r="I845" s="1">
        <f>[1]Industry!E$64</f>
        <v>6.8549096051624918</v>
      </c>
      <c r="J845" s="1">
        <f>[1]Industry!F$64</f>
        <v>6.5655673592169252</v>
      </c>
      <c r="K845" s="1">
        <f>[1]Industry!G$64</f>
        <v>5.6803909496189071</v>
      </c>
      <c r="L845" s="1">
        <f>[1]Industry!H$64</f>
        <v>5.0735384260834957</v>
      </c>
      <c r="M845" s="1">
        <f>[1]Industry!I$64</f>
        <v>5.1002317687378538</v>
      </c>
      <c r="N845" s="1">
        <f>[1]Industry!J$64</f>
        <v>5.050992684365176</v>
      </c>
      <c r="O845" s="1">
        <f>[1]Industry!K$64</f>
        <v>7.2278699335290657</v>
      </c>
      <c r="P845" s="1">
        <f>[1]Industry!L$64</f>
        <v>5.0217336136581094</v>
      </c>
      <c r="Q845" s="1">
        <f>[1]Industry!M$64</f>
        <v>5.002166421043599</v>
      </c>
      <c r="S845" s="3"/>
    </row>
    <row r="846" spans="2:19" x14ac:dyDescent="0.5">
      <c r="B846" s="5" t="str">
        <f t="shared" si="1008"/>
        <v>SPS1</v>
      </c>
      <c r="C846" s="5" t="str">
        <f t="shared" si="1009"/>
        <v>CH</v>
      </c>
      <c r="D846" t="s">
        <v>2058</v>
      </c>
      <c r="E846" t="s">
        <v>8</v>
      </c>
      <c r="F846" s="1">
        <f>F847</f>
        <v>0.46155699439457626</v>
      </c>
      <c r="G846" s="1">
        <f t="shared" ref="G846:O846" si="1026">G847</f>
        <v>0.54459699259928729</v>
      </c>
      <c r="H846" s="1">
        <f t="shared" si="1026"/>
        <v>0.54459698757868569</v>
      </c>
      <c r="I846" s="1">
        <f t="shared" si="1026"/>
        <v>0.54481638545389333</v>
      </c>
      <c r="J846" s="1">
        <f t="shared" si="1026"/>
        <v>0.54483446601404362</v>
      </c>
      <c r="K846" s="1">
        <f t="shared" si="1026"/>
        <v>0.54484728139883543</v>
      </c>
      <c r="L846" s="1">
        <f t="shared" si="1026"/>
        <v>0.54485067514787799</v>
      </c>
      <c r="M846" s="1">
        <f t="shared" si="1026"/>
        <v>0.54485361765240525</v>
      </c>
      <c r="N846" s="1">
        <f t="shared" si="1026"/>
        <v>0.54485602920518927</v>
      </c>
      <c r="O846" s="1">
        <f t="shared" si="1026"/>
        <v>0.54696213801372207</v>
      </c>
      <c r="P846" s="1">
        <f>P847</f>
        <v>0.54703661070811105</v>
      </c>
      <c r="Q846" s="1">
        <f>Q847</f>
        <v>0.54716885814119465</v>
      </c>
      <c r="S846" s="3"/>
    </row>
    <row r="847" spans="2:19" x14ac:dyDescent="0.5">
      <c r="B847" s="5" t="str">
        <f t="shared" si="1008"/>
        <v>SPS1</v>
      </c>
      <c r="C847" s="5" t="str">
        <f t="shared" si="1009"/>
        <v>CH</v>
      </c>
      <c r="D847" t="s">
        <v>2059</v>
      </c>
      <c r="E847" t="s">
        <v>8</v>
      </c>
      <c r="F847" s="1">
        <f>[1]Industry!B$65</f>
        <v>0.46155699439457626</v>
      </c>
      <c r="G847" s="1">
        <f>[1]Industry!C$65</f>
        <v>0.54459699259928729</v>
      </c>
      <c r="H847" s="1">
        <f>[1]Industry!D$65</f>
        <v>0.54459698757868569</v>
      </c>
      <c r="I847" s="1">
        <f>[1]Industry!E$65</f>
        <v>0.54481638545389333</v>
      </c>
      <c r="J847" s="1">
        <f>[1]Industry!F$65</f>
        <v>0.54483446601404362</v>
      </c>
      <c r="K847" s="1">
        <f>[1]Industry!G$65</f>
        <v>0.54484728139883543</v>
      </c>
      <c r="L847" s="1">
        <f>[1]Industry!H$65</f>
        <v>0.54485067514787799</v>
      </c>
      <c r="M847" s="1">
        <f>[1]Industry!I$65</f>
        <v>0.54485361765240525</v>
      </c>
      <c r="N847" s="1">
        <f>[1]Industry!J$65</f>
        <v>0.54485602920518927</v>
      </c>
      <c r="O847" s="1">
        <f>[1]Industry!K$65</f>
        <v>0.54696213801372207</v>
      </c>
      <c r="P847" s="1">
        <f>[1]Industry!L$65</f>
        <v>0.54703661070811105</v>
      </c>
      <c r="Q847" s="1">
        <f>[1]Industry!M$65</f>
        <v>0.54716885814119465</v>
      </c>
      <c r="S847" s="3"/>
    </row>
    <row r="848" spans="2:19" x14ac:dyDescent="0.5">
      <c r="B848" s="5" t="str">
        <f t="shared" si="1008"/>
        <v>SPS1</v>
      </c>
      <c r="C848" s="5" t="str">
        <f t="shared" si="1009"/>
        <v>CH</v>
      </c>
      <c r="D848" t="s">
        <v>2060</v>
      </c>
      <c r="E848" t="s">
        <v>8</v>
      </c>
      <c r="F848" s="1">
        <f>F849</f>
        <v>4.1173935395824302</v>
      </c>
      <c r="G848" s="1">
        <f t="shared" ref="G848:O848" si="1027">G849</f>
        <v>4.2663421420246266</v>
      </c>
      <c r="H848" s="1">
        <f t="shared" si="1027"/>
        <v>2.9611874271057284</v>
      </c>
      <c r="I848" s="1">
        <f t="shared" si="1027"/>
        <v>2.928104924300281</v>
      </c>
      <c r="J848" s="1">
        <f t="shared" si="1027"/>
        <v>2.8950155295702777</v>
      </c>
      <c r="K848" s="1">
        <f t="shared" si="1027"/>
        <v>2.8802623000033236</v>
      </c>
      <c r="L848" s="1">
        <f t="shared" si="1027"/>
        <v>2.9084206385649143</v>
      </c>
      <c r="M848" s="1">
        <f t="shared" si="1027"/>
        <v>8.2492792193084811E-3</v>
      </c>
      <c r="N848" s="1">
        <f t="shared" si="1027"/>
        <v>4.1391535356856317E-3</v>
      </c>
      <c r="O848" s="1">
        <f t="shared" si="1027"/>
        <v>1.9203461467420888E-3</v>
      </c>
      <c r="P848" s="1">
        <f>P849</f>
        <v>1.2780279328129694E-3</v>
      </c>
      <c r="Q848" s="1">
        <f>Q849</f>
        <v>7.1150884779350501E-4</v>
      </c>
      <c r="S848" s="3"/>
    </row>
    <row r="849" spans="2:19" x14ac:dyDescent="0.5">
      <c r="B849" s="5" t="str">
        <f t="shared" si="1008"/>
        <v>SPS1</v>
      </c>
      <c r="C849" s="5" t="str">
        <f t="shared" si="1009"/>
        <v>CH</v>
      </c>
      <c r="D849" t="s">
        <v>2061</v>
      </c>
      <c r="E849" t="s">
        <v>8</v>
      </c>
      <c r="F849" s="1">
        <f>[1]Industry!B$66</f>
        <v>4.1173935395824302</v>
      </c>
      <c r="G849" s="1">
        <f>[1]Industry!C$66</f>
        <v>4.2663421420246266</v>
      </c>
      <c r="H849" s="1">
        <f>[1]Industry!D$66</f>
        <v>2.9611874271057284</v>
      </c>
      <c r="I849" s="1">
        <f>[1]Industry!E$66</f>
        <v>2.928104924300281</v>
      </c>
      <c r="J849" s="1">
        <f>[1]Industry!F$66</f>
        <v>2.8950155295702777</v>
      </c>
      <c r="K849" s="1">
        <f>[1]Industry!G$66</f>
        <v>2.8802623000033236</v>
      </c>
      <c r="L849" s="1">
        <f>[1]Industry!H$66</f>
        <v>2.9084206385649143</v>
      </c>
      <c r="M849" s="1">
        <f>[1]Industry!I$66</f>
        <v>8.2492792193084811E-3</v>
      </c>
      <c r="N849" s="1">
        <f>[1]Industry!J$66</f>
        <v>4.1391535356856317E-3</v>
      </c>
      <c r="O849" s="1">
        <f>[1]Industry!K$66</f>
        <v>1.9203461467420888E-3</v>
      </c>
      <c r="P849" s="1">
        <f>[1]Industry!L$66</f>
        <v>1.2780279328129694E-3</v>
      </c>
      <c r="Q849" s="1">
        <f>[1]Industry!M$66</f>
        <v>7.1150884779350501E-4</v>
      </c>
      <c r="S849" s="3"/>
    </row>
    <row r="850" spans="2:19" x14ac:dyDescent="0.5">
      <c r="B850" s="5" t="str">
        <f t="shared" si="1008"/>
        <v>SPS1</v>
      </c>
      <c r="C850" s="5" t="str">
        <f t="shared" si="1009"/>
        <v>CH</v>
      </c>
      <c r="D850" t="s">
        <v>2062</v>
      </c>
      <c r="E850" t="s">
        <v>8</v>
      </c>
      <c r="F850" s="1">
        <f>F851</f>
        <v>6.7643841174582955E-2</v>
      </c>
      <c r="G850" s="1">
        <f t="shared" ref="G850:O850" si="1028">G851</f>
        <v>8.5504629910869059E-2</v>
      </c>
      <c r="H850" s="1">
        <f t="shared" si="1028"/>
        <v>8.4059751866770782E-2</v>
      </c>
      <c r="I850" s="1">
        <f t="shared" si="1028"/>
        <v>8.5790528175208103E-2</v>
      </c>
      <c r="J850" s="1">
        <f t="shared" si="1028"/>
        <v>7.0101056862322694E-2</v>
      </c>
      <c r="K850" s="1">
        <f t="shared" si="1028"/>
        <v>7.8599766137742957E-2</v>
      </c>
      <c r="L850" s="1">
        <f t="shared" si="1028"/>
        <v>5.6677337779538005E-2</v>
      </c>
      <c r="M850" s="1">
        <f t="shared" si="1028"/>
        <v>8.6768660865463823E-2</v>
      </c>
      <c r="N850" s="1">
        <f t="shared" si="1028"/>
        <v>5.4063659843056888E-2</v>
      </c>
      <c r="O850" s="1">
        <f t="shared" si="1028"/>
        <v>4.8168606817597347E-2</v>
      </c>
      <c r="P850" s="1">
        <f>P851</f>
        <v>8.8235570506150635E-3</v>
      </c>
      <c r="Q850" s="1">
        <f>Q851</f>
        <v>4.7697291840711779E-3</v>
      </c>
      <c r="S850" s="3"/>
    </row>
    <row r="851" spans="2:19" x14ac:dyDescent="0.5">
      <c r="B851" s="5" t="str">
        <f t="shared" si="1008"/>
        <v>SPS1</v>
      </c>
      <c r="C851" s="5" t="str">
        <f t="shared" si="1009"/>
        <v>CH</v>
      </c>
      <c r="D851" t="s">
        <v>2063</v>
      </c>
      <c r="E851" t="s">
        <v>8</v>
      </c>
      <c r="F851" s="1">
        <f>[1]Industry!B$67</f>
        <v>6.7643841174582955E-2</v>
      </c>
      <c r="G851" s="1">
        <f>[1]Industry!C$67</f>
        <v>8.5504629910869059E-2</v>
      </c>
      <c r="H851" s="1">
        <f>[1]Industry!D$67</f>
        <v>8.4059751866770782E-2</v>
      </c>
      <c r="I851" s="1">
        <f>[1]Industry!E$67</f>
        <v>8.5790528175208103E-2</v>
      </c>
      <c r="J851" s="1">
        <f>[1]Industry!F$67</f>
        <v>7.0101056862322694E-2</v>
      </c>
      <c r="K851" s="1">
        <f>[1]Industry!G$67</f>
        <v>7.8599766137742957E-2</v>
      </c>
      <c r="L851" s="1">
        <f>[1]Industry!H$67</f>
        <v>5.6677337779538005E-2</v>
      </c>
      <c r="M851" s="1">
        <f>[1]Industry!I$67</f>
        <v>8.6768660865463823E-2</v>
      </c>
      <c r="N851" s="1">
        <f>[1]Industry!J$67</f>
        <v>5.4063659843056888E-2</v>
      </c>
      <c r="O851" s="1">
        <f>[1]Industry!K$67</f>
        <v>4.8168606817597347E-2</v>
      </c>
      <c r="P851" s="1">
        <f>[1]Industry!L$67</f>
        <v>8.8235570506150635E-3</v>
      </c>
      <c r="Q851" s="1">
        <f>[1]Industry!M$67</f>
        <v>4.7697291840711779E-3</v>
      </c>
      <c r="S851" s="3"/>
    </row>
    <row r="852" spans="2:19" x14ac:dyDescent="0.5">
      <c r="B852" s="5" t="str">
        <f t="shared" si="1008"/>
        <v>SPS1</v>
      </c>
      <c r="C852" s="5" t="str">
        <f t="shared" si="1009"/>
        <v>CH</v>
      </c>
      <c r="D852" t="s">
        <v>2064</v>
      </c>
      <c r="E852" t="s">
        <v>8</v>
      </c>
      <c r="F852" s="1">
        <f>F853</f>
        <v>0</v>
      </c>
      <c r="G852" s="1">
        <f t="shared" ref="G852:O852" si="1029">G853</f>
        <v>0</v>
      </c>
      <c r="H852" s="1">
        <f t="shared" si="1029"/>
        <v>0</v>
      </c>
      <c r="I852" s="1">
        <f t="shared" si="1029"/>
        <v>0</v>
      </c>
      <c r="J852" s="1">
        <f t="shared" si="1029"/>
        <v>3.5725966477644655</v>
      </c>
      <c r="K852" s="1">
        <f t="shared" si="1029"/>
        <v>6.3233570303193671</v>
      </c>
      <c r="L852" s="1">
        <f t="shared" si="1029"/>
        <v>6.3234492112092227</v>
      </c>
      <c r="M852" s="1">
        <f t="shared" si="1029"/>
        <v>7.0025766992111143</v>
      </c>
      <c r="N852" s="1">
        <f t="shared" si="1029"/>
        <v>7.5801428304661282</v>
      </c>
      <c r="O852" s="1">
        <f t="shared" si="1029"/>
        <v>7.6554716904278974</v>
      </c>
      <c r="P852" s="1">
        <f>P853</f>
        <v>7.655479111244345</v>
      </c>
      <c r="Q852" s="1">
        <f>Q853</f>
        <v>7.6556030809841138</v>
      </c>
      <c r="S852" s="3"/>
    </row>
    <row r="853" spans="2:19" x14ac:dyDescent="0.5">
      <c r="B853" s="5" t="str">
        <f t="shared" si="1008"/>
        <v>SPS1</v>
      </c>
      <c r="C853" s="5" t="str">
        <f t="shared" si="1009"/>
        <v>CH</v>
      </c>
      <c r="D853" t="s">
        <v>2065</v>
      </c>
      <c r="E853" t="s">
        <v>8</v>
      </c>
      <c r="F853" s="1">
        <f>[1]Industry!B$69</f>
        <v>0</v>
      </c>
      <c r="G853" s="1">
        <f>[1]Industry!C$69</f>
        <v>0</v>
      </c>
      <c r="H853" s="1">
        <f>[1]Industry!D$69</f>
        <v>0</v>
      </c>
      <c r="I853" s="1">
        <f>[1]Industry!E$69</f>
        <v>0</v>
      </c>
      <c r="J853" s="1">
        <f>[1]Industry!F$69</f>
        <v>3.5725966477644655</v>
      </c>
      <c r="K853" s="1">
        <f>[1]Industry!G$69</f>
        <v>6.3233570303193671</v>
      </c>
      <c r="L853" s="1">
        <f>[1]Industry!H$69</f>
        <v>6.3234492112092227</v>
      </c>
      <c r="M853" s="1">
        <f>[1]Industry!I$69</f>
        <v>7.0025766992111143</v>
      </c>
      <c r="N853" s="1">
        <f>[1]Industry!J$69</f>
        <v>7.5801428304661282</v>
      </c>
      <c r="O853" s="1">
        <f>[1]Industry!K$69</f>
        <v>7.6554716904278974</v>
      </c>
      <c r="P853" s="1">
        <f>[1]Industry!L$69</f>
        <v>7.655479111244345</v>
      </c>
      <c r="Q853" s="1">
        <f>[1]Industry!M$69</f>
        <v>7.6556030809841138</v>
      </c>
      <c r="S853" s="3"/>
    </row>
    <row r="854" spans="2:19" x14ac:dyDescent="0.5">
      <c r="B854" s="5" t="str">
        <f t="shared" si="1008"/>
        <v>SPS1</v>
      </c>
      <c r="C854" s="5" t="str">
        <f t="shared" si="1009"/>
        <v>CH</v>
      </c>
      <c r="D854" t="s">
        <v>2066</v>
      </c>
      <c r="E854" t="s">
        <v>8</v>
      </c>
      <c r="F854" s="1">
        <f>SUM(F855:F856)</f>
        <v>0</v>
      </c>
      <c r="G854" s="1">
        <f t="shared" ref="G854:K854" si="1030">SUM(G855:G856)</f>
        <v>4.8942145819325082</v>
      </c>
      <c r="H854" s="1">
        <f t="shared" si="1030"/>
        <v>4.8943336318201798</v>
      </c>
      <c r="I854" s="1">
        <f t="shared" si="1030"/>
        <v>5.0984634416515346</v>
      </c>
      <c r="J854" s="1">
        <f t="shared" si="1030"/>
        <v>15.421532875155629</v>
      </c>
      <c r="K854" s="1">
        <f t="shared" si="1030"/>
        <v>17.289525998819133</v>
      </c>
      <c r="L854" s="1">
        <f t="shared" ref="L854:O854" si="1031">SUM(L855:L856)</f>
        <v>18.996497911906957</v>
      </c>
      <c r="M854" s="1">
        <f t="shared" si="1031"/>
        <v>19.747939496045145</v>
      </c>
      <c r="N854" s="1">
        <f t="shared" si="1031"/>
        <v>19.747985032757963</v>
      </c>
      <c r="O854" s="1">
        <f t="shared" si="1031"/>
        <v>19.748481674539871</v>
      </c>
      <c r="P854" s="1">
        <f>SUM(P855:P856)</f>
        <v>19.749006451430297</v>
      </c>
      <c r="Q854" s="1">
        <f>SUM(Q855:Q856)</f>
        <v>19.750018696308814</v>
      </c>
      <c r="S854" s="3"/>
    </row>
    <row r="855" spans="2:19" x14ac:dyDescent="0.5">
      <c r="B855" s="5" t="str">
        <f t="shared" si="1008"/>
        <v>SPS1</v>
      </c>
      <c r="C855" s="5" t="str">
        <f t="shared" si="1009"/>
        <v>CH</v>
      </c>
      <c r="D855" t="s">
        <v>2067</v>
      </c>
      <c r="E855" t="s">
        <v>8</v>
      </c>
      <c r="F855" s="1">
        <f>[1]Industry!B$6-F856</f>
        <v>0</v>
      </c>
      <c r="G855" s="1">
        <f>[1]Industry!C$6-G856</f>
        <v>0.85059813061578993</v>
      </c>
      <c r="H855" s="1">
        <f>[1]Industry!D$6-H856</f>
        <v>0.85061882108822573</v>
      </c>
      <c r="I855" s="1">
        <f>[1]Industry!E$6-I856</f>
        <v>0.8871888874192031</v>
      </c>
      <c r="J855" s="1">
        <f>[1]Industry!F$6-J856</f>
        <v>2.709649099200929</v>
      </c>
      <c r="K855" s="1">
        <f>[1]Industry!G$6-K856</f>
        <v>3.3374400147929713</v>
      </c>
      <c r="L855" s="1">
        <f>[1]Industry!H$6-L856</f>
        <v>4.0654792417787924</v>
      </c>
      <c r="M855" s="1">
        <f>[1]Industry!I$6-M856</f>
        <v>4.8167459384190661</v>
      </c>
      <c r="N855" s="1">
        <f>[1]Industry!J$6-N856</f>
        <v>4.8164614163467636</v>
      </c>
      <c r="O855" s="1">
        <f>[1]Industry!K$6-O856</f>
        <v>4.8168491591749092</v>
      </c>
      <c r="P855" s="1">
        <f>[1]Industry!L$6-P856</f>
        <v>4.8173701217971008</v>
      </c>
      <c r="Q855" s="1">
        <f>[1]Industry!M$6-Q856</f>
        <v>4.8183719543906065</v>
      </c>
      <c r="S855" s="3"/>
    </row>
    <row r="856" spans="2:19" x14ac:dyDescent="0.5">
      <c r="B856" s="5" t="str">
        <f t="shared" si="1008"/>
        <v>SPS1</v>
      </c>
      <c r="C856" s="5" t="str">
        <f t="shared" si="1009"/>
        <v>CH</v>
      </c>
      <c r="D856" t="s">
        <v>2068</v>
      </c>
      <c r="E856" t="s">
        <v>8</v>
      </c>
      <c r="F856" s="1">
        <f>[1]Industry!B$70</f>
        <v>0</v>
      </c>
      <c r="G856" s="1">
        <f>[1]Industry!C$70</f>
        <v>4.0436164513167183</v>
      </c>
      <c r="H856" s="1">
        <f>[1]Industry!D$70</f>
        <v>4.043714810731954</v>
      </c>
      <c r="I856" s="1">
        <f>[1]Industry!E$70</f>
        <v>4.2112745542323315</v>
      </c>
      <c r="J856" s="1">
        <f>[1]Industry!F$70</f>
        <v>12.7118837759547</v>
      </c>
      <c r="K856" s="1">
        <f>[1]Industry!G$70</f>
        <v>13.952085984026162</v>
      </c>
      <c r="L856" s="1">
        <f>[1]Industry!H$70</f>
        <v>14.931018670128164</v>
      </c>
      <c r="M856" s="1">
        <f>[1]Industry!I$70</f>
        <v>14.931193557626079</v>
      </c>
      <c r="N856" s="1">
        <f>[1]Industry!J$70</f>
        <v>14.9315236164112</v>
      </c>
      <c r="O856" s="1">
        <f>[1]Industry!K$70</f>
        <v>14.931632515364962</v>
      </c>
      <c r="P856" s="1">
        <f>[1]Industry!L$70</f>
        <v>14.931636329633196</v>
      </c>
      <c r="Q856" s="1">
        <f>[1]Industry!M$70</f>
        <v>14.931646741918208</v>
      </c>
      <c r="S856" s="3"/>
    </row>
    <row r="857" spans="2:19" x14ac:dyDescent="0.5">
      <c r="B857" s="9" t="str">
        <f>B856</f>
        <v>SPS1</v>
      </c>
      <c r="C857" s="9" t="str">
        <f>C856</f>
        <v>CH</v>
      </c>
      <c r="D857" s="2" t="s">
        <v>687</v>
      </c>
      <c r="E857" s="2" t="s">
        <v>240</v>
      </c>
      <c r="F857" s="1" t="s">
        <v>292</v>
      </c>
      <c r="G857" s="1" t="s">
        <v>292</v>
      </c>
      <c r="H857" s="1" t="s">
        <v>292</v>
      </c>
      <c r="I857" s="1" t="s">
        <v>292</v>
      </c>
      <c r="J857" s="1" t="s">
        <v>292</v>
      </c>
      <c r="K857" s="1" t="s">
        <v>292</v>
      </c>
      <c r="L857" s="1" t="s">
        <v>292</v>
      </c>
      <c r="M857" s="1" t="s">
        <v>292</v>
      </c>
      <c r="N857" s="1" t="s">
        <v>292</v>
      </c>
      <c r="O857" s="1" t="s">
        <v>292</v>
      </c>
      <c r="P857" s="1" t="s">
        <v>292</v>
      </c>
      <c r="Q857" s="1" t="s">
        <v>292</v>
      </c>
      <c r="S857" s="3"/>
    </row>
    <row r="858" spans="2:19" x14ac:dyDescent="0.5">
      <c r="B858" s="5" t="str">
        <f>B857</f>
        <v>SPS1</v>
      </c>
      <c r="C858" s="5" t="str">
        <f>C857</f>
        <v>CH</v>
      </c>
      <c r="D858" t="s">
        <v>2069</v>
      </c>
      <c r="E858" t="s">
        <v>240</v>
      </c>
      <c r="F858" s="4">
        <f>IFERROR(F820/F765,"-")</f>
        <v>0.84261542941328438</v>
      </c>
      <c r="G858" s="4">
        <f t="shared" ref="G858:K858" si="1032">IFERROR(G820/G765,"-")</f>
        <v>0.843062365139853</v>
      </c>
      <c r="H858" s="4">
        <f t="shared" si="1032"/>
        <v>0.84373276872970693</v>
      </c>
      <c r="I858" s="4">
        <f t="shared" si="1032"/>
        <v>0.84485010804613014</v>
      </c>
      <c r="J858" s="4">
        <f t="shared" si="1032"/>
        <v>0.84596744736255336</v>
      </c>
      <c r="K858" s="4">
        <f t="shared" si="1032"/>
        <v>0.84708478667897735</v>
      </c>
      <c r="L858" s="4">
        <f t="shared" ref="L858:O858" si="1033">IFERROR(L820/L765,"-")</f>
        <v>0.84820212599539957</v>
      </c>
      <c r="M858" s="4">
        <f t="shared" si="1033"/>
        <v>0.8493194653118229</v>
      </c>
      <c r="N858" s="4">
        <f t="shared" si="1033"/>
        <v>0.84931946531182345</v>
      </c>
      <c r="O858" s="4">
        <f t="shared" si="1033"/>
        <v>0.84931946531182345</v>
      </c>
      <c r="P858" s="4">
        <f t="shared" ref="P858:Q860" si="1034">IFERROR(P820/P765,"-")</f>
        <v>0.8493194653118229</v>
      </c>
      <c r="Q858" s="4">
        <f t="shared" si="1034"/>
        <v>0.84931946531182301</v>
      </c>
      <c r="S858" s="3"/>
    </row>
    <row r="859" spans="2:19" x14ac:dyDescent="0.5">
      <c r="B859" s="5" t="str">
        <f t="shared" ref="B859:B881" si="1035">B858</f>
        <v>SPS1</v>
      </c>
      <c r="C859" s="5" t="str">
        <f t="shared" ref="C859:C881" si="1036">C858</f>
        <v>CH</v>
      </c>
      <c r="D859" t="s">
        <v>2070</v>
      </c>
      <c r="E859" t="s">
        <v>240</v>
      </c>
      <c r="F859" s="4">
        <f t="shared" ref="F859:K859" si="1037">IFERROR(F821/F766,"-")</f>
        <v>3.0809801822513316</v>
      </c>
      <c r="G859" s="4">
        <f t="shared" si="1037"/>
        <v>3.105537477406918</v>
      </c>
      <c r="H859" s="4">
        <f t="shared" si="1037"/>
        <v>3.1423734201402898</v>
      </c>
      <c r="I859" s="4">
        <f t="shared" si="1037"/>
        <v>3.2037666580292492</v>
      </c>
      <c r="J859" s="4">
        <f t="shared" si="1037"/>
        <v>3.2651598959182095</v>
      </c>
      <c r="K859" s="4">
        <f t="shared" si="1037"/>
        <v>3.3265531338071761</v>
      </c>
      <c r="L859" s="4">
        <f t="shared" ref="L859:O859" si="1038">IFERROR(L821/L766,"-")</f>
        <v>3.3879463716961249</v>
      </c>
      <c r="M859" s="4">
        <f t="shared" si="1038"/>
        <v>3.4493396095850941</v>
      </c>
      <c r="N859" s="4">
        <f t="shared" si="1038"/>
        <v>3.4493396095850875</v>
      </c>
      <c r="O859" s="4">
        <f t="shared" si="1038"/>
        <v>3.4493396095850861</v>
      </c>
      <c r="P859" s="4">
        <f t="shared" si="1034"/>
        <v>3.4493396095850906</v>
      </c>
      <c r="Q859" s="4">
        <f t="shared" si="1034"/>
        <v>3.4493396095850906</v>
      </c>
      <c r="S859" s="3"/>
    </row>
    <row r="860" spans="2:19" x14ac:dyDescent="0.5">
      <c r="B860" s="5" t="str">
        <f t="shared" si="1035"/>
        <v>SPS1</v>
      </c>
      <c r="C860" s="5" t="str">
        <f t="shared" si="1036"/>
        <v>CH</v>
      </c>
      <c r="D860" t="s">
        <v>2071</v>
      </c>
      <c r="E860" t="s">
        <v>240</v>
      </c>
      <c r="F860" s="4">
        <f t="shared" ref="F860:K860" si="1039">IFERROR(F822/F767,"-")</f>
        <v>1.0000000000000002</v>
      </c>
      <c r="G860" s="4">
        <f t="shared" si="1039"/>
        <v>1</v>
      </c>
      <c r="H860" s="4">
        <f t="shared" si="1039"/>
        <v>0.99999999999999989</v>
      </c>
      <c r="I860" s="4">
        <f t="shared" si="1039"/>
        <v>1.0000086181237811</v>
      </c>
      <c r="J860" s="4">
        <f t="shared" si="1039"/>
        <v>1.0000122441264765</v>
      </c>
      <c r="K860" s="4">
        <f t="shared" si="1039"/>
        <v>1.0000062264156875</v>
      </c>
      <c r="L860" s="4">
        <f t="shared" ref="L860:O860" si="1040">IFERROR(L822/L767,"-")</f>
        <v>1.0015808154354096</v>
      </c>
      <c r="M860" s="4">
        <f t="shared" si="1040"/>
        <v>0.96191933205639468</v>
      </c>
      <c r="N860" s="4">
        <f t="shared" si="1040"/>
        <v>0.96238708331624201</v>
      </c>
      <c r="O860" s="4">
        <f t="shared" si="1040"/>
        <v>0.96352669493241427</v>
      </c>
      <c r="P860" s="4">
        <f t="shared" si="1034"/>
        <v>0.96250302496031859</v>
      </c>
      <c r="Q860" s="4">
        <f t="shared" si="1034"/>
        <v>0.96261362519252769</v>
      </c>
      <c r="S860" s="3"/>
    </row>
    <row r="861" spans="2:19" x14ac:dyDescent="0.5">
      <c r="B861" s="5" t="str">
        <f t="shared" si="1035"/>
        <v>SPS1</v>
      </c>
      <c r="C861" s="5" t="str">
        <f t="shared" si="1036"/>
        <v>CH</v>
      </c>
      <c r="D861" t="s">
        <v>2072</v>
      </c>
      <c r="E861" t="s">
        <v>240</v>
      </c>
      <c r="F861" s="4">
        <f>IFERROR(F824/F769,"-")</f>
        <v>0.77746213224363514</v>
      </c>
      <c r="G861" s="4">
        <f t="shared" ref="G861:K862" si="1041">IFERROR(G824/G769,"-")</f>
        <v>0.77871988564932326</v>
      </c>
      <c r="H861" s="4">
        <f t="shared" si="1041"/>
        <v>0.78060651575785589</v>
      </c>
      <c r="I861" s="4">
        <f t="shared" si="1041"/>
        <v>0.78375089927207719</v>
      </c>
      <c r="J861" s="4">
        <f t="shared" si="1041"/>
        <v>0.78689528278629817</v>
      </c>
      <c r="K861" s="4">
        <f t="shared" si="1041"/>
        <v>0.79003966630051958</v>
      </c>
      <c r="L861" s="4">
        <f t="shared" ref="L861:O861" si="1042">IFERROR(L824/L769,"-")</f>
        <v>0.79318404981473944</v>
      </c>
      <c r="M861" s="4">
        <f t="shared" si="1042"/>
        <v>0.79632843332896075</v>
      </c>
      <c r="N861" s="4">
        <f t="shared" si="1042"/>
        <v>0.79632843332896142</v>
      </c>
      <c r="O861" s="4">
        <f t="shared" si="1042"/>
        <v>0.79632843332896075</v>
      </c>
      <c r="P861" s="4">
        <f>IFERROR(P824/P769,"-")</f>
        <v>0.79632843332896064</v>
      </c>
      <c r="Q861" s="4">
        <f>IFERROR(Q824/Q769,"-")</f>
        <v>0.79632843332896097</v>
      </c>
      <c r="S861" s="3"/>
    </row>
    <row r="862" spans="2:19" x14ac:dyDescent="0.5">
      <c r="B862" s="5" t="str">
        <f t="shared" si="1035"/>
        <v>SPS1</v>
      </c>
      <c r="C862" s="5" t="str">
        <f t="shared" si="1036"/>
        <v>CH</v>
      </c>
      <c r="D862" t="s">
        <v>2073</v>
      </c>
      <c r="E862" t="s">
        <v>240</v>
      </c>
      <c r="F862" s="4">
        <f>IFERROR(F825/F770,"-")</f>
        <v>0.67612499999999964</v>
      </c>
      <c r="G862" s="4">
        <f t="shared" si="1041"/>
        <v>0.67904999999999993</v>
      </c>
      <c r="H862" s="4">
        <f t="shared" si="1041"/>
        <v>0.68343749999999903</v>
      </c>
      <c r="I862" s="4">
        <f t="shared" si="1041"/>
        <v>0.69075000000000031</v>
      </c>
      <c r="J862" s="4">
        <f t="shared" si="1041"/>
        <v>0.69806249999999992</v>
      </c>
      <c r="K862" s="4">
        <f t="shared" si="1041"/>
        <v>0.70537499999999964</v>
      </c>
      <c r="L862" s="4">
        <f t="shared" ref="L862:O862" si="1043">IFERROR(L825/L770,"-")</f>
        <v>0.71268749999999936</v>
      </c>
      <c r="M862" s="4" t="str">
        <f t="shared" si="1043"/>
        <v>-</v>
      </c>
      <c r="N862" s="4" t="str">
        <f t="shared" si="1043"/>
        <v>-</v>
      </c>
      <c r="O862" s="4" t="str">
        <f t="shared" si="1043"/>
        <v>-</v>
      </c>
      <c r="P862" s="4" t="str">
        <f>IFERROR(P825/P770,"-")</f>
        <v>-</v>
      </c>
      <c r="Q862" s="4" t="str">
        <f>IFERROR(Q825/Q770,"-")</f>
        <v>-</v>
      </c>
      <c r="S862" s="3"/>
    </row>
    <row r="863" spans="2:19" x14ac:dyDescent="0.5">
      <c r="B863" s="5" t="str">
        <f t="shared" si="1035"/>
        <v>SPS1</v>
      </c>
      <c r="C863" s="5" t="str">
        <f t="shared" si="1036"/>
        <v>CH</v>
      </c>
      <c r="D863" t="s">
        <v>2074</v>
      </c>
      <c r="E863" t="s">
        <v>240</v>
      </c>
      <c r="F863" s="4">
        <f>IFERROR(F827/F779,"-")</f>
        <v>0.80521277971253025</v>
      </c>
      <c r="G863" s="4">
        <f t="shared" ref="G863:K865" si="1044">IFERROR(G827/G779,"-")</f>
        <v>0.80619446894235858</v>
      </c>
      <c r="H863" s="4">
        <f t="shared" si="1044"/>
        <v>0.8067352471421908</v>
      </c>
      <c r="I863" s="4">
        <f t="shared" si="1044"/>
        <v>0.80899155241099929</v>
      </c>
      <c r="J863" s="4">
        <f t="shared" si="1044"/>
        <v>0.82799826342880889</v>
      </c>
      <c r="K863" s="4">
        <f t="shared" si="1044"/>
        <v>0.83227574378819813</v>
      </c>
      <c r="L863" s="4">
        <f t="shared" ref="L863:O863" si="1045">IFERROR(L827/L779,"-")</f>
        <v>0.83991549826014456</v>
      </c>
      <c r="M863" s="4">
        <f t="shared" si="1045"/>
        <v>0.84097377323241651</v>
      </c>
      <c r="N863" s="4">
        <f t="shared" si="1045"/>
        <v>0.81466911979124212</v>
      </c>
      <c r="O863" s="4">
        <f t="shared" si="1045"/>
        <v>0.81629154018972094</v>
      </c>
      <c r="P863" s="4">
        <f t="shared" ref="P863:Q865" si="1046">IFERROR(P827/P779,"-")</f>
        <v>0.81361517924864779</v>
      </c>
      <c r="Q863" s="4">
        <f t="shared" si="1046"/>
        <v>0.80181338798614632</v>
      </c>
      <c r="S863" s="3"/>
    </row>
    <row r="864" spans="2:19" x14ac:dyDescent="0.5">
      <c r="B864" s="5" t="str">
        <f t="shared" si="1035"/>
        <v>SPS1</v>
      </c>
      <c r="C864" s="5" t="str">
        <f t="shared" si="1036"/>
        <v>CH</v>
      </c>
      <c r="D864" t="s">
        <v>2075</v>
      </c>
      <c r="E864" t="s">
        <v>240</v>
      </c>
      <c r="F864" s="4">
        <f>IFERROR(F828/F780,"-")</f>
        <v>0</v>
      </c>
      <c r="G864" s="4">
        <f t="shared" si="1044"/>
        <v>0</v>
      </c>
      <c r="H864" s="4">
        <f t="shared" si="1044"/>
        <v>2.0729678479561571</v>
      </c>
      <c r="I864" s="4">
        <f t="shared" si="1044"/>
        <v>0.57612355264491644</v>
      </c>
      <c r="J864" s="4">
        <f t="shared" si="1044"/>
        <v>0.84844530923423567</v>
      </c>
      <c r="K864" s="4">
        <f t="shared" si="1044"/>
        <v>1.6794832949072007</v>
      </c>
      <c r="L864" s="4">
        <f t="shared" ref="L864:O864" si="1047">IFERROR(L828/L780,"-")</f>
        <v>1.2723051401070382</v>
      </c>
      <c r="M864" s="4">
        <f t="shared" si="1047"/>
        <v>2.0827224742687878</v>
      </c>
      <c r="N864" s="4" t="str">
        <f t="shared" si="1047"/>
        <v>-</v>
      </c>
      <c r="O864" s="4" t="str">
        <f t="shared" si="1047"/>
        <v>-</v>
      </c>
      <c r="P864" s="4" t="str">
        <f t="shared" si="1046"/>
        <v>-</v>
      </c>
      <c r="Q864" s="4" t="str">
        <f t="shared" si="1046"/>
        <v>-</v>
      </c>
      <c r="S864" s="3"/>
    </row>
    <row r="865" spans="2:19" x14ac:dyDescent="0.5">
      <c r="B865" s="5" t="str">
        <f t="shared" si="1035"/>
        <v>SPS1</v>
      </c>
      <c r="C865" s="5" t="str">
        <f t="shared" si="1036"/>
        <v>CH</v>
      </c>
      <c r="D865" t="s">
        <v>2076</v>
      </c>
      <c r="E865" t="s">
        <v>240</v>
      </c>
      <c r="F865" s="4">
        <f>IFERROR(F829/F781,"-")</f>
        <v>0.69625790123429643</v>
      </c>
      <c r="G865" s="4">
        <f t="shared" si="1044"/>
        <v>0.68865491043493332</v>
      </c>
      <c r="H865" s="4">
        <f t="shared" si="1044"/>
        <v>0.70279503437153357</v>
      </c>
      <c r="I865" s="4">
        <f t="shared" si="1044"/>
        <v>0.70749705766033666</v>
      </c>
      <c r="J865" s="4">
        <f t="shared" si="1044"/>
        <v>0.70750562506918813</v>
      </c>
      <c r="K865" s="4">
        <f t="shared" si="1044"/>
        <v>0.70751598853356445</v>
      </c>
      <c r="L865" s="4">
        <f t="shared" ref="L865:O865" si="1048">IFERROR(L829/L781,"-")</f>
        <v>0.71199481523810748</v>
      </c>
      <c r="M865" s="4">
        <f t="shared" si="1048"/>
        <v>0.71647497624880219</v>
      </c>
      <c r="N865" s="4">
        <f t="shared" si="1048"/>
        <v>0.72000000000000053</v>
      </c>
      <c r="O865" s="4">
        <f t="shared" si="1048"/>
        <v>0.71999999999999986</v>
      </c>
      <c r="P865" s="4">
        <f t="shared" si="1046"/>
        <v>0.71999999999999986</v>
      </c>
      <c r="Q865" s="4">
        <f t="shared" si="1046"/>
        <v>0.71999999999999975</v>
      </c>
      <c r="S865" s="3"/>
    </row>
    <row r="866" spans="2:19" x14ac:dyDescent="0.5">
      <c r="B866" s="5" t="str">
        <f t="shared" si="1035"/>
        <v>SPS1</v>
      </c>
      <c r="C866" s="5" t="str">
        <f t="shared" si="1036"/>
        <v>CH</v>
      </c>
      <c r="D866" t="s">
        <v>2077</v>
      </c>
      <c r="E866" t="s">
        <v>240</v>
      </c>
      <c r="F866" s="4">
        <f>IFERROR(F831/F790,"-")</f>
        <v>0.66500000000000026</v>
      </c>
      <c r="G866" s="4">
        <f t="shared" ref="G866:K866" si="1049">IFERROR(G831/G790,"-")</f>
        <v>0.6660000000000007</v>
      </c>
      <c r="H866" s="4">
        <f t="shared" si="1049"/>
        <v>0.66749999999999943</v>
      </c>
      <c r="I866" s="4">
        <f t="shared" si="1049"/>
        <v>0.67000000000000071</v>
      </c>
      <c r="J866" s="4">
        <f t="shared" si="1049"/>
        <v>0.67250000000000087</v>
      </c>
      <c r="K866" s="4">
        <f t="shared" si="1049"/>
        <v>0.6750000000000006</v>
      </c>
      <c r="L866" s="4">
        <f t="shared" ref="L866:O866" si="1050">IFERROR(L831/L790,"-")</f>
        <v>0.67750000000000021</v>
      </c>
      <c r="M866" s="4">
        <f t="shared" si="1050"/>
        <v>0.68000000000000116</v>
      </c>
      <c r="N866" s="4">
        <f t="shared" si="1050"/>
        <v>0.68000000000000071</v>
      </c>
      <c r="O866" s="4">
        <f t="shared" si="1050"/>
        <v>0.68000000000000027</v>
      </c>
      <c r="P866" s="4">
        <f>IFERROR(P831/P790,"-")</f>
        <v>0.68000000000000049</v>
      </c>
      <c r="Q866" s="4">
        <f>IFERROR(Q831/Q790,"-")</f>
        <v>0.68</v>
      </c>
      <c r="S866" s="3"/>
    </row>
    <row r="867" spans="2:19" x14ac:dyDescent="0.5">
      <c r="B867" s="5" t="str">
        <f t="shared" si="1035"/>
        <v>SPS1</v>
      </c>
      <c r="C867" s="5" t="str">
        <f t="shared" si="1036"/>
        <v>CH</v>
      </c>
      <c r="D867" t="s">
        <v>2078</v>
      </c>
      <c r="E867" t="s">
        <v>240</v>
      </c>
      <c r="F867" s="4">
        <f>IFERROR(F834/F793,"-")</f>
        <v>1.2021177975458714</v>
      </c>
      <c r="G867" s="4">
        <f t="shared" ref="G867:K867" si="1051">IFERROR(G834/G793,"-")</f>
        <v>0.95075584580460504</v>
      </c>
      <c r="H867" s="4">
        <f t="shared" si="1051"/>
        <v>0.93660022962754241</v>
      </c>
      <c r="I867" s="4">
        <f t="shared" si="1051"/>
        <v>0.94551215387750331</v>
      </c>
      <c r="J867" s="4">
        <f t="shared" si="1051"/>
        <v>0.93838324604613688</v>
      </c>
      <c r="K867" s="4" t="str">
        <f t="shared" si="1051"/>
        <v>-</v>
      </c>
      <c r="L867" s="4" t="str">
        <f t="shared" ref="L867:O867" si="1052">IFERROR(L834/L793,"-")</f>
        <v>-</v>
      </c>
      <c r="M867" s="4" t="str">
        <f t="shared" si="1052"/>
        <v>-</v>
      </c>
      <c r="N867" s="4">
        <f t="shared" si="1052"/>
        <v>0.9476879866700908</v>
      </c>
      <c r="O867" s="4">
        <f t="shared" si="1052"/>
        <v>0.94719005834123693</v>
      </c>
      <c r="P867" s="4">
        <f t="shared" ref="P867:Q876" si="1053">IFERROR(P834/P793,"-")</f>
        <v>0.94601803761413672</v>
      </c>
      <c r="Q867" s="4">
        <f t="shared" si="1053"/>
        <v>0.94378948882304636</v>
      </c>
      <c r="S867" s="3"/>
    </row>
    <row r="868" spans="2:19" x14ac:dyDescent="0.5">
      <c r="B868" s="5" t="str">
        <f t="shared" si="1035"/>
        <v>SPS1</v>
      </c>
      <c r="C868" s="5" t="str">
        <f t="shared" si="1036"/>
        <v>CH</v>
      </c>
      <c r="D868" t="s">
        <v>2079</v>
      </c>
      <c r="E868" t="s">
        <v>240</v>
      </c>
      <c r="F868" s="4">
        <f t="shared" ref="F868:K876" si="1054">IFERROR(F835/F794,"-")</f>
        <v>1.2021177975458712</v>
      </c>
      <c r="G868" s="4">
        <f t="shared" si="1054"/>
        <v>0.95075584580460515</v>
      </c>
      <c r="H868" s="4">
        <f t="shared" si="1054"/>
        <v>0.9366002296275423</v>
      </c>
      <c r="I868" s="4">
        <f t="shared" si="1054"/>
        <v>0.94551215387750331</v>
      </c>
      <c r="J868" s="4">
        <f t="shared" si="1054"/>
        <v>0.93838324604613699</v>
      </c>
      <c r="K868" s="4">
        <f t="shared" si="1054"/>
        <v>0.9430245944178044</v>
      </c>
      <c r="L868" s="4">
        <f t="shared" ref="L868:O868" si="1055">IFERROR(L835/L794,"-")</f>
        <v>0.94480271717532893</v>
      </c>
      <c r="M868" s="4">
        <f t="shared" si="1055"/>
        <v>0.9495664703512664</v>
      </c>
      <c r="N868" s="4">
        <f t="shared" si="1055"/>
        <v>0.9476879866700908</v>
      </c>
      <c r="O868" s="4">
        <f t="shared" si="1055"/>
        <v>0.94719005834123704</v>
      </c>
      <c r="P868" s="4">
        <f t="shared" si="1053"/>
        <v>0.94601803761413672</v>
      </c>
      <c r="Q868" s="4">
        <f t="shared" si="1053"/>
        <v>0.94378948882304636</v>
      </c>
      <c r="S868" s="3"/>
    </row>
    <row r="869" spans="2:19" x14ac:dyDescent="0.5">
      <c r="B869" s="5" t="str">
        <f t="shared" si="1035"/>
        <v>SPS1</v>
      </c>
      <c r="C869" s="5" t="str">
        <f t="shared" si="1036"/>
        <v>CH</v>
      </c>
      <c r="D869" t="s">
        <v>2080</v>
      </c>
      <c r="E869" t="s">
        <v>240</v>
      </c>
      <c r="F869" s="4" t="str">
        <f t="shared" si="1054"/>
        <v>-</v>
      </c>
      <c r="G869" s="4" t="str">
        <f t="shared" si="1054"/>
        <v>-</v>
      </c>
      <c r="H869" s="4" t="str">
        <f t="shared" si="1054"/>
        <v>-</v>
      </c>
      <c r="I869" s="4" t="str">
        <f t="shared" si="1054"/>
        <v>-</v>
      </c>
      <c r="J869" s="4" t="str">
        <f t="shared" si="1054"/>
        <v>-</v>
      </c>
      <c r="K869" s="4">
        <f t="shared" si="1054"/>
        <v>0.94302459441780428</v>
      </c>
      <c r="L869" s="4">
        <f t="shared" ref="L869:O869" si="1056">IFERROR(L836/L795,"-")</f>
        <v>0.94480271717532893</v>
      </c>
      <c r="M869" s="4">
        <f t="shared" si="1056"/>
        <v>0.94956647035126629</v>
      </c>
      <c r="N869" s="4">
        <f t="shared" si="1056"/>
        <v>0.94768798667009091</v>
      </c>
      <c r="O869" s="4">
        <f t="shared" si="1056"/>
        <v>0.94719005834123693</v>
      </c>
      <c r="P869" s="4">
        <f t="shared" si="1053"/>
        <v>0.94601803761413672</v>
      </c>
      <c r="Q869" s="4">
        <f t="shared" si="1053"/>
        <v>0.94378948882304614</v>
      </c>
      <c r="S869" s="3"/>
    </row>
    <row r="870" spans="2:19" x14ac:dyDescent="0.5">
      <c r="B870" s="5" t="str">
        <f t="shared" si="1035"/>
        <v>SPS1</v>
      </c>
      <c r="C870" s="5" t="str">
        <f t="shared" si="1036"/>
        <v>CH</v>
      </c>
      <c r="D870" t="s">
        <v>2081</v>
      </c>
      <c r="E870" t="s">
        <v>240</v>
      </c>
      <c r="F870" s="4" t="str">
        <f t="shared" si="1054"/>
        <v>-</v>
      </c>
      <c r="G870" s="4" t="str">
        <f t="shared" si="1054"/>
        <v>-</v>
      </c>
      <c r="H870" s="4" t="str">
        <f t="shared" si="1054"/>
        <v>-</v>
      </c>
      <c r="I870" s="4" t="str">
        <f t="shared" si="1054"/>
        <v>-</v>
      </c>
      <c r="J870" s="4">
        <f t="shared" si="1054"/>
        <v>0.93838324604613688</v>
      </c>
      <c r="K870" s="4">
        <f t="shared" si="1054"/>
        <v>0.94302459441780428</v>
      </c>
      <c r="L870" s="4">
        <f t="shared" ref="L870:O870" si="1057">IFERROR(L837/L796,"-")</f>
        <v>0.94480271717532893</v>
      </c>
      <c r="M870" s="4">
        <f t="shared" si="1057"/>
        <v>0.9495664703512664</v>
      </c>
      <c r="N870" s="4">
        <f t="shared" si="1057"/>
        <v>0.94768798667009069</v>
      </c>
      <c r="O870" s="4">
        <f t="shared" si="1057"/>
        <v>0.94719005834123704</v>
      </c>
      <c r="P870" s="4">
        <f t="shared" si="1053"/>
        <v>0.94601803761413672</v>
      </c>
      <c r="Q870" s="4">
        <f t="shared" si="1053"/>
        <v>0.94378948882304625</v>
      </c>
      <c r="S870" s="3"/>
    </row>
    <row r="871" spans="2:19" x14ac:dyDescent="0.5">
      <c r="B871" s="5" t="str">
        <f t="shared" si="1035"/>
        <v>SPS1</v>
      </c>
      <c r="C871" s="5" t="str">
        <f t="shared" si="1036"/>
        <v>CH</v>
      </c>
      <c r="D871" t="s">
        <v>2082</v>
      </c>
      <c r="E871" t="s">
        <v>240</v>
      </c>
      <c r="F871" s="4">
        <f t="shared" si="1054"/>
        <v>1.2021177975458714</v>
      </c>
      <c r="G871" s="4">
        <f t="shared" si="1054"/>
        <v>0.95075584580460515</v>
      </c>
      <c r="H871" s="4">
        <f t="shared" si="1054"/>
        <v>0.93660022962754241</v>
      </c>
      <c r="I871" s="4">
        <f t="shared" si="1054"/>
        <v>0.94551215387750343</v>
      </c>
      <c r="J871" s="4">
        <f t="shared" si="1054"/>
        <v>0.93838324604613688</v>
      </c>
      <c r="K871" s="4">
        <f t="shared" si="1054"/>
        <v>0.94302459441780428</v>
      </c>
      <c r="L871" s="4">
        <f t="shared" ref="L871:O871" si="1058">IFERROR(L838/L797,"-")</f>
        <v>0.94480271717532893</v>
      </c>
      <c r="M871" s="4">
        <f t="shared" si="1058"/>
        <v>0.94956647035126629</v>
      </c>
      <c r="N871" s="4">
        <f t="shared" si="1058"/>
        <v>0.9476879866700908</v>
      </c>
      <c r="O871" s="4">
        <f t="shared" si="1058"/>
        <v>0.94719005834123693</v>
      </c>
      <c r="P871" s="4">
        <f t="shared" si="1053"/>
        <v>0.94601803761413683</v>
      </c>
      <c r="Q871" s="4">
        <f t="shared" si="1053"/>
        <v>0.94378948882304636</v>
      </c>
      <c r="S871" s="3"/>
    </row>
    <row r="872" spans="2:19" x14ac:dyDescent="0.5">
      <c r="B872" s="5" t="str">
        <f t="shared" si="1035"/>
        <v>SPS1</v>
      </c>
      <c r="C872" s="5" t="str">
        <f t="shared" si="1036"/>
        <v>CH</v>
      </c>
      <c r="D872" t="s">
        <v>2083</v>
      </c>
      <c r="E872" t="s">
        <v>240</v>
      </c>
      <c r="F872" s="4" t="str">
        <f t="shared" si="1054"/>
        <v>-</v>
      </c>
      <c r="G872" s="4" t="str">
        <f t="shared" si="1054"/>
        <v>-</v>
      </c>
      <c r="H872" s="4" t="str">
        <f t="shared" si="1054"/>
        <v>-</v>
      </c>
      <c r="I872" s="4" t="str">
        <f t="shared" si="1054"/>
        <v>-</v>
      </c>
      <c r="J872" s="4" t="str">
        <f t="shared" si="1054"/>
        <v>-</v>
      </c>
      <c r="K872" s="4">
        <f t="shared" si="1054"/>
        <v>0.94302459441780428</v>
      </c>
      <c r="L872" s="4">
        <f t="shared" ref="L872:O872" si="1059">IFERROR(L839/L798,"-")</f>
        <v>0.94480271717532904</v>
      </c>
      <c r="M872" s="4">
        <f t="shared" si="1059"/>
        <v>0.94956647035126629</v>
      </c>
      <c r="N872" s="4">
        <f t="shared" si="1059"/>
        <v>0.94768798667009069</v>
      </c>
      <c r="O872" s="4">
        <f t="shared" si="1059"/>
        <v>0.94719005834123693</v>
      </c>
      <c r="P872" s="4">
        <f t="shared" si="1053"/>
        <v>0.94601803761413683</v>
      </c>
      <c r="Q872" s="4">
        <f t="shared" si="1053"/>
        <v>0.94378948882304636</v>
      </c>
      <c r="S872" s="3"/>
    </row>
    <row r="873" spans="2:19" x14ac:dyDescent="0.5">
      <c r="B873" s="5" t="str">
        <f t="shared" si="1035"/>
        <v>SPS1</v>
      </c>
      <c r="C873" s="5" t="str">
        <f t="shared" si="1036"/>
        <v>CH</v>
      </c>
      <c r="D873" t="s">
        <v>2084</v>
      </c>
      <c r="E873" t="s">
        <v>240</v>
      </c>
      <c r="F873" s="4">
        <f t="shared" si="1054"/>
        <v>1.2021177975458712</v>
      </c>
      <c r="G873" s="4">
        <f t="shared" si="1054"/>
        <v>0.95075584580460515</v>
      </c>
      <c r="H873" s="4">
        <f t="shared" si="1054"/>
        <v>0.93660022962754252</v>
      </c>
      <c r="I873" s="4">
        <f t="shared" si="1054"/>
        <v>0.94551215387750331</v>
      </c>
      <c r="J873" s="4">
        <f t="shared" si="1054"/>
        <v>0.93838324604613688</v>
      </c>
      <c r="K873" s="4">
        <f t="shared" si="1054"/>
        <v>0.94302459441780428</v>
      </c>
      <c r="L873" s="4">
        <f t="shared" ref="L873:O873" si="1060">IFERROR(L840/L799,"-")</f>
        <v>0.94480271717532893</v>
      </c>
      <c r="M873" s="4">
        <f t="shared" si="1060"/>
        <v>0.9495664703512664</v>
      </c>
      <c r="N873" s="4">
        <f t="shared" si="1060"/>
        <v>0.94768798667009091</v>
      </c>
      <c r="O873" s="4">
        <f t="shared" si="1060"/>
        <v>0.94719005834123693</v>
      </c>
      <c r="P873" s="4">
        <f t="shared" si="1053"/>
        <v>0.94601803761413672</v>
      </c>
      <c r="Q873" s="4">
        <f t="shared" si="1053"/>
        <v>0.94378948882304636</v>
      </c>
      <c r="S873" s="3"/>
    </row>
    <row r="874" spans="2:19" x14ac:dyDescent="0.5">
      <c r="B874" s="5" t="str">
        <f t="shared" si="1035"/>
        <v>SPS1</v>
      </c>
      <c r="C874" s="5" t="str">
        <f t="shared" si="1036"/>
        <v>CH</v>
      </c>
      <c r="D874" t="s">
        <v>2085</v>
      </c>
      <c r="E874" t="s">
        <v>240</v>
      </c>
      <c r="F874" s="4" t="str">
        <f t="shared" si="1054"/>
        <v>-</v>
      </c>
      <c r="G874" s="4" t="str">
        <f t="shared" si="1054"/>
        <v>-</v>
      </c>
      <c r="H874" s="4" t="str">
        <f t="shared" si="1054"/>
        <v>-</v>
      </c>
      <c r="I874" s="4" t="str">
        <f t="shared" si="1054"/>
        <v>-</v>
      </c>
      <c r="J874" s="4" t="str">
        <f t="shared" si="1054"/>
        <v>-</v>
      </c>
      <c r="K874" s="4">
        <f t="shared" si="1054"/>
        <v>0.94302459441780417</v>
      </c>
      <c r="L874" s="4">
        <f t="shared" ref="L874:O874" si="1061">IFERROR(L841/L800,"-")</f>
        <v>0.94480271717532893</v>
      </c>
      <c r="M874" s="4">
        <f t="shared" si="1061"/>
        <v>0.94956647035126629</v>
      </c>
      <c r="N874" s="4">
        <f t="shared" si="1061"/>
        <v>0.94768798667009069</v>
      </c>
      <c r="O874" s="4">
        <f t="shared" si="1061"/>
        <v>0.94719005834123682</v>
      </c>
      <c r="P874" s="4">
        <f t="shared" si="1053"/>
        <v>0.94601803761413672</v>
      </c>
      <c r="Q874" s="4">
        <f t="shared" si="1053"/>
        <v>0.94378948882304636</v>
      </c>
      <c r="S874" s="3"/>
    </row>
    <row r="875" spans="2:19" x14ac:dyDescent="0.5">
      <c r="B875" s="5" t="str">
        <f t="shared" si="1035"/>
        <v>SPS1</v>
      </c>
      <c r="C875" s="5" t="str">
        <f t="shared" si="1036"/>
        <v>CH</v>
      </c>
      <c r="D875" t="s">
        <v>2086</v>
      </c>
      <c r="E875" t="s">
        <v>240</v>
      </c>
      <c r="F875" s="4" t="str">
        <f t="shared" si="1054"/>
        <v>-</v>
      </c>
      <c r="G875" s="4" t="str">
        <f t="shared" si="1054"/>
        <v>-</v>
      </c>
      <c r="H875" s="4" t="str">
        <f t="shared" si="1054"/>
        <v>-</v>
      </c>
      <c r="I875" s="4" t="str">
        <f t="shared" si="1054"/>
        <v>-</v>
      </c>
      <c r="J875" s="4">
        <f t="shared" si="1054"/>
        <v>0.93838324604613677</v>
      </c>
      <c r="K875" s="4">
        <f t="shared" si="1054"/>
        <v>0.94302459441780428</v>
      </c>
      <c r="L875" s="4">
        <f t="shared" ref="L875:O875" si="1062">IFERROR(L842/L801,"-")</f>
        <v>0.94480271717532893</v>
      </c>
      <c r="M875" s="4">
        <f t="shared" si="1062"/>
        <v>0.9495664703512664</v>
      </c>
      <c r="N875" s="4">
        <f t="shared" si="1062"/>
        <v>0.94768798667009091</v>
      </c>
      <c r="O875" s="4">
        <f t="shared" si="1062"/>
        <v>0.94719005834123693</v>
      </c>
      <c r="P875" s="4">
        <f t="shared" si="1053"/>
        <v>0.94601803761413683</v>
      </c>
      <c r="Q875" s="4">
        <f t="shared" si="1053"/>
        <v>0.94378948882304625</v>
      </c>
      <c r="S875" s="3"/>
    </row>
    <row r="876" spans="2:19" x14ac:dyDescent="0.5">
      <c r="B876" s="5" t="str">
        <f t="shared" si="1035"/>
        <v>SPS1</v>
      </c>
      <c r="C876" s="5" t="str">
        <f t="shared" si="1036"/>
        <v>CH</v>
      </c>
      <c r="D876" t="s">
        <v>2087</v>
      </c>
      <c r="E876" t="s">
        <v>240</v>
      </c>
      <c r="F876" s="4">
        <f t="shared" si="1054"/>
        <v>0.9244762623657512</v>
      </c>
      <c r="G876" s="4">
        <f t="shared" si="1054"/>
        <v>0.92645636412827237</v>
      </c>
      <c r="H876" s="4">
        <f t="shared" si="1054"/>
        <v>0.92942651677205523</v>
      </c>
      <c r="I876" s="4">
        <f t="shared" si="1054"/>
        <v>0.93437677117835827</v>
      </c>
      <c r="J876" s="4">
        <f t="shared" si="1054"/>
        <v>0.93932702558466197</v>
      </c>
      <c r="K876" s="4">
        <f>IFERROR(K843/K802,"-")</f>
        <v>0.94427727999096678</v>
      </c>
      <c r="L876" s="4">
        <f t="shared" ref="L876:O876" si="1063">IFERROR(L843/L802,"-")</f>
        <v>0.94713863999548353</v>
      </c>
      <c r="M876" s="4">
        <f t="shared" si="1063"/>
        <v>0.95000000000000029</v>
      </c>
      <c r="N876" s="4">
        <f t="shared" si="1063"/>
        <v>0.94999999999999951</v>
      </c>
      <c r="O876" s="4">
        <f t="shared" si="1063"/>
        <v>0.95000000000000073</v>
      </c>
      <c r="P876" s="4">
        <f t="shared" si="1053"/>
        <v>0.95000000000000162</v>
      </c>
      <c r="Q876" s="4">
        <f t="shared" si="1053"/>
        <v>0.95</v>
      </c>
      <c r="S876" s="3"/>
    </row>
    <row r="877" spans="2:19" x14ac:dyDescent="0.5">
      <c r="B877" s="5" t="str">
        <f t="shared" si="1035"/>
        <v>SPS1</v>
      </c>
      <c r="C877" s="5" t="str">
        <f t="shared" si="1036"/>
        <v>CH</v>
      </c>
      <c r="D877" t="s">
        <v>2088</v>
      </c>
      <c r="E877" t="s">
        <v>240</v>
      </c>
      <c r="F877" s="4">
        <f>IFERROR(F845/F804,"-")</f>
        <v>0.58999999999999986</v>
      </c>
      <c r="G877" s="4">
        <f t="shared" ref="G877:K877" si="1064">IFERROR(G845/G804,"-")</f>
        <v>0.59066666666666723</v>
      </c>
      <c r="H877" s="4">
        <f t="shared" si="1064"/>
        <v>0.59166666666666645</v>
      </c>
      <c r="I877" s="4">
        <f t="shared" si="1064"/>
        <v>0.59333333333333282</v>
      </c>
      <c r="J877" s="4">
        <f t="shared" si="1064"/>
        <v>0.59499999999999997</v>
      </c>
      <c r="K877" s="4">
        <f t="shared" si="1064"/>
        <v>0.59666666666666668</v>
      </c>
      <c r="L877" s="4">
        <f t="shared" ref="L877:O877" si="1065">IFERROR(L845/L804,"-")</f>
        <v>0.59833333333333283</v>
      </c>
      <c r="M877" s="4">
        <f t="shared" si="1065"/>
        <v>0.6</v>
      </c>
      <c r="N877" s="4">
        <f t="shared" si="1065"/>
        <v>0.59999999999999976</v>
      </c>
      <c r="O877" s="4">
        <f t="shared" si="1065"/>
        <v>0.59999999999999942</v>
      </c>
      <c r="P877" s="4">
        <f>IFERROR(P845/P804,"-")</f>
        <v>0.59999999999999964</v>
      </c>
      <c r="Q877" s="4">
        <f>IFERROR(Q845/Q804,"-")</f>
        <v>0.60000000000000031</v>
      </c>
      <c r="S877" s="3"/>
    </row>
    <row r="878" spans="2:19" x14ac:dyDescent="0.5">
      <c r="B878" s="5" t="str">
        <f t="shared" si="1035"/>
        <v>SPS1</v>
      </c>
      <c r="C878" s="5" t="str">
        <f t="shared" si="1036"/>
        <v>CH</v>
      </c>
      <c r="D878" t="s">
        <v>2089</v>
      </c>
      <c r="E878" t="s">
        <v>240</v>
      </c>
      <c r="F878" s="4">
        <f>IFERROR(F847/F806,"-")</f>
        <v>0.73749999999999993</v>
      </c>
      <c r="G878" s="4">
        <f t="shared" ref="G878:K878" si="1066">IFERROR(G847/G806,"-")</f>
        <v>0.73833333333333329</v>
      </c>
      <c r="H878" s="4">
        <f t="shared" si="1066"/>
        <v>0.73958333333333415</v>
      </c>
      <c r="I878" s="4">
        <f t="shared" si="1066"/>
        <v>0.74166666666666659</v>
      </c>
      <c r="J878" s="4">
        <f t="shared" si="1066"/>
        <v>0.74374999999999936</v>
      </c>
      <c r="K878" s="4">
        <f t="shared" si="1066"/>
        <v>0.74583333333333324</v>
      </c>
      <c r="L878" s="4">
        <f t="shared" ref="L878:O878" si="1067">IFERROR(L847/L806,"-")</f>
        <v>0.74791666666666656</v>
      </c>
      <c r="M878" s="4">
        <f t="shared" si="1067"/>
        <v>0.74999999999999911</v>
      </c>
      <c r="N878" s="4">
        <f t="shared" si="1067"/>
        <v>0.75000000000000067</v>
      </c>
      <c r="O878" s="4">
        <f t="shared" si="1067"/>
        <v>0.750000000000001</v>
      </c>
      <c r="P878" s="4">
        <f>IFERROR(P847/P806,"-")</f>
        <v>0.750000000000001</v>
      </c>
      <c r="Q878" s="4">
        <f>IFERROR(Q847/Q806,"-")</f>
        <v>0.75000000000000067</v>
      </c>
      <c r="S878" s="3"/>
    </row>
    <row r="879" spans="2:19" x14ac:dyDescent="0.5">
      <c r="B879" s="5" t="str">
        <f t="shared" si="1035"/>
        <v>SPS1</v>
      </c>
      <c r="C879" s="5" t="str">
        <f t="shared" si="1036"/>
        <v>CH</v>
      </c>
      <c r="D879" t="s">
        <v>2090</v>
      </c>
      <c r="E879" t="s">
        <v>240</v>
      </c>
      <c r="F879" s="4">
        <f>IFERROR(F849/F808,"-")</f>
        <v>0.52799999999999958</v>
      </c>
      <c r="G879" s="4">
        <f t="shared" ref="G879:K879" si="1068">IFERROR(G849/G808,"-")</f>
        <v>0.52800000000000002</v>
      </c>
      <c r="H879" s="4">
        <f t="shared" si="1068"/>
        <v>0.52799999999999969</v>
      </c>
      <c r="I879" s="4">
        <f t="shared" si="1068"/>
        <v>0.52800000000000025</v>
      </c>
      <c r="J879" s="4">
        <f t="shared" si="1068"/>
        <v>0.52800000000000014</v>
      </c>
      <c r="K879" s="4">
        <f t="shared" si="1068"/>
        <v>0.52799999999999958</v>
      </c>
      <c r="L879" s="4">
        <f t="shared" ref="L879:O879" si="1069">IFERROR(L849/L808,"-")</f>
        <v>0.53600000000000025</v>
      </c>
      <c r="M879" s="4">
        <f t="shared" si="1069"/>
        <v>0.54399999999999982</v>
      </c>
      <c r="N879" s="4">
        <f t="shared" si="1069"/>
        <v>0.54400000000000015</v>
      </c>
      <c r="O879" s="4">
        <f t="shared" si="1069"/>
        <v>0.54399999999999982</v>
      </c>
      <c r="P879" s="4">
        <f>IFERROR(P849/P808,"-")</f>
        <v>0.54400000000000048</v>
      </c>
      <c r="Q879" s="4">
        <f>IFERROR(Q849/Q808,"-")</f>
        <v>0.54400000000000059</v>
      </c>
      <c r="S879" s="3"/>
    </row>
    <row r="880" spans="2:19" x14ac:dyDescent="0.5">
      <c r="B880" s="5" t="str">
        <f t="shared" si="1035"/>
        <v>SPS1</v>
      </c>
      <c r="C880" s="5" t="str">
        <f t="shared" si="1036"/>
        <v>CH</v>
      </c>
      <c r="D880" t="s">
        <v>2091</v>
      </c>
      <c r="E880" t="s">
        <v>240</v>
      </c>
      <c r="F880" s="4">
        <f>IFERROR(F851/F812,"-")</f>
        <v>1</v>
      </c>
      <c r="G880" s="4">
        <f t="shared" ref="G880:K880" si="1070">IFERROR(G851/G812,"-")</f>
        <v>1</v>
      </c>
      <c r="H880" s="4">
        <f t="shared" si="1070"/>
        <v>1</v>
      </c>
      <c r="I880" s="4">
        <f t="shared" si="1070"/>
        <v>1</v>
      </c>
      <c r="J880" s="4">
        <f t="shared" si="1070"/>
        <v>1</v>
      </c>
      <c r="K880" s="4">
        <f t="shared" si="1070"/>
        <v>1</v>
      </c>
      <c r="L880" s="4">
        <f t="shared" ref="L880:O880" si="1071">IFERROR(L851/L812,"-")</f>
        <v>1</v>
      </c>
      <c r="M880" s="4">
        <f t="shared" si="1071"/>
        <v>1</v>
      </c>
      <c r="N880" s="4">
        <f t="shared" si="1071"/>
        <v>1</v>
      </c>
      <c r="O880" s="4">
        <f t="shared" si="1071"/>
        <v>1</v>
      </c>
      <c r="P880" s="4">
        <f>IFERROR(P851/P812,"-")</f>
        <v>1</v>
      </c>
      <c r="Q880" s="4">
        <f>IFERROR(Q851/Q812,"-")</f>
        <v>1</v>
      </c>
      <c r="S880" s="3"/>
    </row>
    <row r="881" spans="2:19" x14ac:dyDescent="0.5">
      <c r="B881" s="5" t="str">
        <f t="shared" si="1035"/>
        <v>SPS1</v>
      </c>
      <c r="C881" s="5" t="str">
        <f t="shared" si="1036"/>
        <v>CH</v>
      </c>
      <c r="D881" t="s">
        <v>2092</v>
      </c>
      <c r="E881" t="s">
        <v>240</v>
      </c>
      <c r="F881" s="4" t="str">
        <f>IFERROR(F853/F814,"-")</f>
        <v>-</v>
      </c>
      <c r="G881" s="4" t="str">
        <f t="shared" ref="G881:K881" si="1072">IFERROR(G853/G814,"-")</f>
        <v>-</v>
      </c>
      <c r="H881" s="4" t="str">
        <f t="shared" si="1072"/>
        <v>-</v>
      </c>
      <c r="I881" s="4" t="str">
        <f t="shared" si="1072"/>
        <v>-</v>
      </c>
      <c r="J881" s="4">
        <f t="shared" si="1072"/>
        <v>0.76110569258798066</v>
      </c>
      <c r="K881" s="4">
        <f t="shared" si="1072"/>
        <v>0.79029005222659887</v>
      </c>
      <c r="L881" s="4">
        <f t="shared" ref="L881:O881" si="1073">IFERROR(L853/L814,"-")</f>
        <v>0.79703368810162245</v>
      </c>
      <c r="M881" s="4">
        <f t="shared" si="1073"/>
        <v>0.80842430267567944</v>
      </c>
      <c r="N881" s="4">
        <f t="shared" si="1073"/>
        <v>0.81061253342658834</v>
      </c>
      <c r="O881" s="4">
        <f t="shared" si="1073"/>
        <v>0.81086576345798955</v>
      </c>
      <c r="P881" s="4">
        <f>IFERROR(P853/P814,"-")</f>
        <v>0.81140541933281074</v>
      </c>
      <c r="Q881" s="4">
        <f>IFERROR(Q853/Q814,"-")</f>
        <v>0.81253303590330306</v>
      </c>
      <c r="S881" s="3"/>
    </row>
    <row r="882" spans="2:19" x14ac:dyDescent="0.5">
      <c r="B882" s="9" t="str">
        <f>B816</f>
        <v>SPS1</v>
      </c>
      <c r="C882" s="9" t="str">
        <f>C816</f>
        <v>CH</v>
      </c>
      <c r="D882" s="2" t="s">
        <v>674</v>
      </c>
      <c r="E882" s="9" t="s">
        <v>8</v>
      </c>
      <c r="F882" s="17">
        <f t="shared" ref="F882:K882" si="1074">F883+F887+F894+F905+F913+F915+F917+F919+F923</f>
        <v>140.10137963207268</v>
      </c>
      <c r="G882" s="17">
        <f t="shared" si="1074"/>
        <v>137.05023718898596</v>
      </c>
      <c r="H882" s="17">
        <f t="shared" si="1074"/>
        <v>130.55170968468326</v>
      </c>
      <c r="I882" s="17">
        <f t="shared" si="1074"/>
        <v>128.825517618248</v>
      </c>
      <c r="J882" s="17">
        <f t="shared" si="1074"/>
        <v>127.09338458082323</v>
      </c>
      <c r="K882" s="17">
        <f t="shared" si="1074"/>
        <v>126.71462870222869</v>
      </c>
      <c r="L882" s="17">
        <f t="shared" ref="L882:O882" si="1075">L883+L887+L894+L905+L913+L915+L917+L919+L923</f>
        <v>123.21456030024206</v>
      </c>
      <c r="M882" s="17">
        <f t="shared" si="1075"/>
        <v>114.73168764402752</v>
      </c>
      <c r="N882" s="17">
        <f t="shared" si="1075"/>
        <v>111.94523971620727</v>
      </c>
      <c r="O882" s="17">
        <f t="shared" si="1075"/>
        <v>112.72142179636822</v>
      </c>
      <c r="P882" s="17">
        <f>P883+P887+P894+P905+P913+P915+P917+P919+P923</f>
        <v>113.1885648376477</v>
      </c>
      <c r="Q882" s="17">
        <f>Q883+Q887+Q894+Q905+Q913+Q915+Q917+Q919+Q923</f>
        <v>113.94092317183997</v>
      </c>
      <c r="S882" s="3"/>
    </row>
    <row r="883" spans="2:19" x14ac:dyDescent="0.5">
      <c r="B883" s="5" t="str">
        <f>B882</f>
        <v>SPS1</v>
      </c>
      <c r="C883" s="5" t="str">
        <f>C882</f>
        <v>CH</v>
      </c>
      <c r="D883" t="s">
        <v>962</v>
      </c>
      <c r="E883" t="s">
        <v>8</v>
      </c>
      <c r="F883" s="1">
        <f>[1]Services!B$11</f>
        <v>60.950040020946091</v>
      </c>
      <c r="G883" s="1">
        <f>[1]Services!C$11</f>
        <v>60.129121954825536</v>
      </c>
      <c r="H883" s="1">
        <f>[1]Services!D$11</f>
        <v>65.118891795942403</v>
      </c>
      <c r="I883" s="1">
        <f>[1]Services!E$11</f>
        <v>65.419148097371604</v>
      </c>
      <c r="J883" s="1">
        <f>[1]Services!F$11</f>
        <v>65.395978876683785</v>
      </c>
      <c r="K883" s="1">
        <f>[1]Services!G$11</f>
        <v>65.454299729028705</v>
      </c>
      <c r="L883" s="1">
        <f>[1]Services!H$11</f>
        <v>64.700738471688084</v>
      </c>
      <c r="M883" s="1">
        <f>[1]Services!I$11</f>
        <v>66.412953914847122</v>
      </c>
      <c r="N883" s="1">
        <f>[1]Services!J$11</f>
        <v>68.876314311139552</v>
      </c>
      <c r="O883" s="1">
        <f>[1]Services!K$11</f>
        <v>70.064465579853916</v>
      </c>
      <c r="P883" s="1">
        <f>[1]Services!L$11</f>
        <v>70.275461273418756</v>
      </c>
      <c r="Q883" s="1">
        <f>[1]Services!M$11</f>
        <v>71.481596381133983</v>
      </c>
      <c r="S883" s="3"/>
    </row>
    <row r="884" spans="2:19" x14ac:dyDescent="0.5">
      <c r="B884" s="5" t="str">
        <f>B883</f>
        <v>SPS1</v>
      </c>
      <c r="C884" s="5" t="str">
        <f>C883</f>
        <v>CH</v>
      </c>
      <c r="D884" t="s">
        <v>759</v>
      </c>
      <c r="E884" t="s">
        <v>8</v>
      </c>
      <c r="F884" s="1" cm="1">
        <f t="array" ref="F884">SUMPRODUCT(([1]OUT_FinalEnergyCons!$B$4:$B$10000="Var_Fin")*1, ISNUMBER(SEARCH("SCOM_ELC",[1]OUT_FinalEnergyCons!$C$4:$C$10000))*1, (ISNUMBER(SEARCH("SCOM-SHELCBR",[1]OUT_FinalEnergyCons!$A$4:$A$10000)))*1,[1]OUT_FinalEnergyCons!D$4:D$10000)</f>
        <v>2.6236301547319383</v>
      </c>
      <c r="G884" s="1" cm="1">
        <f t="array" ref="G884">SUMPRODUCT(([1]OUT_FinalEnergyCons!$B$4:$B$10000="Var_Fin")*1, ISNUMBER(SEARCH("SCOM_ELC",[1]OUT_FinalEnergyCons!$C$4:$C$10000))*1, (ISNUMBER(SEARCH("SCOM-SHELCBR",[1]OUT_FinalEnergyCons!$A$4:$A$10000)))*1,[1]OUT_FinalEnergyCons!E$4:E$10000)</f>
        <v>1.990413028448379E-3</v>
      </c>
      <c r="H884" s="1" cm="1">
        <f t="array" ref="H884">SUMPRODUCT(([1]OUT_FinalEnergyCons!$B$4:$B$10000="Var_Fin")*1, ISNUMBER(SEARCH("SCOM_ELC",[1]OUT_FinalEnergyCons!$C$4:$C$10000))*1, (ISNUMBER(SEARCH("SCOM-SHELCBR",[1]OUT_FinalEnergyCons!$A$4:$A$10000)))*1,[1]OUT_FinalEnergyCons!F$4:F$10000)</f>
        <v>2.1197127793179344</v>
      </c>
      <c r="I884" s="1" cm="1">
        <f t="array" ref="I884">SUMPRODUCT(([1]OUT_FinalEnergyCons!$B$4:$B$10000="Var_Fin")*1, ISNUMBER(SEARCH("SCOM_ELC",[1]OUT_FinalEnergyCons!$C$4:$C$10000))*1, (ISNUMBER(SEARCH("SCOM-SHELCBR",[1]OUT_FinalEnergyCons!$A$4:$A$10000)))*1,[1]OUT_FinalEnergyCons!G$4:G$10000)</f>
        <v>1.8209022096107501</v>
      </c>
      <c r="J884" s="1" cm="1">
        <f t="array" ref="J884">SUMPRODUCT(([1]OUT_FinalEnergyCons!$B$4:$B$10000="Var_Fin")*1, ISNUMBER(SEARCH("SCOM_ELC",[1]OUT_FinalEnergyCons!$C$4:$C$10000))*1, (ISNUMBER(SEARCH("SCOM-SHELCBR",[1]OUT_FinalEnergyCons!$A$4:$A$10000)))*1,[1]OUT_FinalEnergyCons!H$4:H$10000)</f>
        <v>1.5191188505538338</v>
      </c>
      <c r="K884" s="1" cm="1">
        <f t="array" ref="K884">SUMPRODUCT(([1]OUT_FinalEnergyCons!$B$4:$B$10000="Var_Fin")*1, ISNUMBER(SEARCH("SCOM_ELC",[1]OUT_FinalEnergyCons!$C$4:$C$10000))*1, (ISNUMBER(SEARCH("SCOM-SHELCBR",[1]OUT_FinalEnergyCons!$A$4:$A$10000)))*1,[1]OUT_FinalEnergyCons!I$4:I$10000)</f>
        <v>1.2558654878930462</v>
      </c>
      <c r="L884" s="1" cm="1">
        <f t="array" ref="L884">SUMPRODUCT(([1]OUT_FinalEnergyCons!$B$4:$B$10000="Var_Fin")*1, ISNUMBER(SEARCH("SCOM_ELC",[1]OUT_FinalEnergyCons!$C$4:$C$10000))*1, (ISNUMBER(SEARCH("SCOM-SHELCBR",[1]OUT_FinalEnergyCons!$A$4:$A$10000)))*1,[1]OUT_FinalEnergyCons!J$4:J$10000)</f>
        <v>0.94025654784402124</v>
      </c>
      <c r="M884" s="1" cm="1">
        <f t="array" ref="M884">SUMPRODUCT(([1]OUT_FinalEnergyCons!$B$4:$B$10000="Var_Fin")*1, ISNUMBER(SEARCH("SCOM_ELC",[1]OUT_FinalEnergyCons!$C$4:$C$10000))*1, (ISNUMBER(SEARCH("SCOM-SHELCBR",[1]OUT_FinalEnergyCons!$A$4:$A$10000)))*1,[1]OUT_FinalEnergyCons!K$4:K$10000)</f>
        <v>0.70065911942789938</v>
      </c>
      <c r="N884" s="1" cm="1">
        <f t="array" ref="N884">SUMPRODUCT(([1]OUT_FinalEnergyCons!$B$4:$B$10000="Var_Fin")*1, ISNUMBER(SEARCH("SCOM_ELC",[1]OUT_FinalEnergyCons!$C$4:$C$10000))*1, (ISNUMBER(SEARCH("SCOM-SHELCBR",[1]OUT_FinalEnergyCons!$A$4:$A$10000)))*1,[1]OUT_FinalEnergyCons!L$4:L$10000)</f>
        <v>1.6357679934758713</v>
      </c>
      <c r="O884" s="1" cm="1">
        <f t="array" ref="O884">SUMPRODUCT(([1]OUT_FinalEnergyCons!$B$4:$B$10000="Var_Fin")*1, ISNUMBER(SEARCH("SCOM_ELC",[1]OUT_FinalEnergyCons!$C$4:$C$10000))*1, (ISNUMBER(SEARCH("SCOM-SHELCBR",[1]OUT_FinalEnergyCons!$A$4:$A$10000)))*1,[1]OUT_FinalEnergyCons!M$4:M$10000)</f>
        <v>1.6478102688026008</v>
      </c>
      <c r="P884" s="1" cm="1">
        <f t="array" ref="P884">SUMPRODUCT(([1]OUT_FinalEnergyCons!$B$4:$B$10000="Var_Fin")*1, ISNUMBER(SEARCH("SCOM_ELC",[1]OUT_FinalEnergyCons!$C$4:$C$10000))*1, (ISNUMBER(SEARCH("SCOM-SHELCBR",[1]OUT_FinalEnergyCons!$A$4:$A$10000)))*1,[1]OUT_FinalEnergyCons!N$4:N$10000)</f>
        <v>0.69509876130772552</v>
      </c>
      <c r="Q884" s="1" cm="1">
        <f t="array" ref="Q884">SUMPRODUCT(([1]OUT_FinalEnergyCons!$B$4:$B$10000="Var_Fin")*1, ISNUMBER(SEARCH("SCOM_ELC",[1]OUT_FinalEnergyCons!$C$4:$C$10000))*1, (ISNUMBER(SEARCH("SCOM-SHELCBR",[1]OUT_FinalEnergyCons!$A$4:$A$10000)))*1,[1]OUT_FinalEnergyCons!O$4:O$10000)</f>
        <v>0.70506427122753323</v>
      </c>
      <c r="S884" s="3"/>
    </row>
    <row r="885" spans="2:19" x14ac:dyDescent="0.5">
      <c r="B885" s="5" t="str">
        <f t="shared" ref="B885:B924" si="1076">B884</f>
        <v>SPS1</v>
      </c>
      <c r="C885" s="5" t="str">
        <f t="shared" ref="C885:C924" si="1077">C884</f>
        <v>CH</v>
      </c>
      <c r="D885" t="s">
        <v>725</v>
      </c>
      <c r="E885" t="s">
        <v>8</v>
      </c>
      <c r="F885" s="1" cm="1">
        <f t="array" ref="F885">SUMPRODUCT(([1]OUT_FinalEnergyCons!$B$4:$B$10000="Var_Fin")*1, ISNUMBER(SEARCH("SCOM_ELC",[1]OUT_FinalEnergyCons!$C$4:$C$10000))*1,(ISNUMBER(SEARCH("SCOM-SHELCHP",[1]OUT_FinalEnergyCons!$A$4:$A$10000)))*1,[1]OUT_FinalEnergyCons!D$4:D$10000)</f>
        <v>1.3316352913017102</v>
      </c>
      <c r="G885" s="1" cm="1">
        <f t="array" ref="G885">SUMPRODUCT(([1]OUT_FinalEnergyCons!$B$4:$B$10000="Var_Fin")*1, ISNUMBER(SEARCH("SCOM_ELC",[1]OUT_FinalEnergyCons!$C$4:$C$10000))*1,(ISNUMBER(SEARCH("SCOM-SHELCHP",[1]OUT_FinalEnergyCons!$A$4:$A$10000)))*1,[1]OUT_FinalEnergyCons!E$4:E$10000)</f>
        <v>1.425208717456006</v>
      </c>
      <c r="H885" s="1" cm="1">
        <f t="array" ref="H885">SUMPRODUCT(([1]OUT_FinalEnergyCons!$B$4:$B$10000="Var_Fin")*1, ISNUMBER(SEARCH("SCOM_ELC",[1]OUT_FinalEnergyCons!$C$4:$C$10000))*1,(ISNUMBER(SEARCH("SCOM-SHELCHP",[1]OUT_FinalEnergyCons!$A$4:$A$10000)))*1,[1]OUT_FinalEnergyCons!F$4:F$10000)</f>
        <v>1.4608682298308737</v>
      </c>
      <c r="I885" s="1" cm="1">
        <f t="array" ref="I885">SUMPRODUCT(([1]OUT_FinalEnergyCons!$B$4:$B$10000="Var_Fin")*1, ISNUMBER(SEARCH("SCOM_ELC",[1]OUT_FinalEnergyCons!$C$4:$C$10000))*1,(ISNUMBER(SEARCH("SCOM-SHELCHP",[1]OUT_FinalEnergyCons!$A$4:$A$10000)))*1,[1]OUT_FinalEnergyCons!G$4:G$10000)</f>
        <v>1.5281310426955059</v>
      </c>
      <c r="J885" s="1" cm="1">
        <f t="array" ref="J885">SUMPRODUCT(([1]OUT_FinalEnergyCons!$B$4:$B$10000="Var_Fin")*1, ISNUMBER(SEARCH("SCOM_ELC",[1]OUT_FinalEnergyCons!$C$4:$C$10000))*1,(ISNUMBER(SEARCH("SCOM-SHELCHP",[1]OUT_FinalEnergyCons!$A$4:$A$10000)))*1,[1]OUT_FinalEnergyCons!H$4:H$10000)</f>
        <v>1.5843303221239045</v>
      </c>
      <c r="K885" s="1" cm="1">
        <f t="array" ref="K885">SUMPRODUCT(([1]OUT_FinalEnergyCons!$B$4:$B$10000="Var_Fin")*1, ISNUMBER(SEARCH("SCOM_ELC",[1]OUT_FinalEnergyCons!$C$4:$C$10000))*1,(ISNUMBER(SEARCH("SCOM-SHELCHP",[1]OUT_FinalEnergyCons!$A$4:$A$10000)))*1,[1]OUT_FinalEnergyCons!I$4:I$10000)</f>
        <v>1.5404383141857649</v>
      </c>
      <c r="L885" s="1" cm="1">
        <f t="array" ref="L885">SUMPRODUCT(([1]OUT_FinalEnergyCons!$B$4:$B$10000="Var_Fin")*1, ISNUMBER(SEARCH("SCOM_ELC",[1]OUT_FinalEnergyCons!$C$4:$C$10000))*1,(ISNUMBER(SEARCH("SCOM-SHELCHP",[1]OUT_FinalEnergyCons!$A$4:$A$10000)))*1,[1]OUT_FinalEnergyCons!J$4:J$10000)</f>
        <v>1.62508929120687</v>
      </c>
      <c r="M885" s="1" cm="1">
        <f t="array" ref="M885">SUMPRODUCT(([1]OUT_FinalEnergyCons!$B$4:$B$10000="Var_Fin")*1, ISNUMBER(SEARCH("SCOM_ELC",[1]OUT_FinalEnergyCons!$C$4:$C$10000))*1,(ISNUMBER(SEARCH("SCOM-SHELCHP",[1]OUT_FinalEnergyCons!$A$4:$A$10000)))*1,[1]OUT_FinalEnergyCons!K$4:K$10000)</f>
        <v>4.0997062353881617</v>
      </c>
      <c r="N885" s="1" cm="1">
        <f t="array" ref="N885">SUMPRODUCT(([1]OUT_FinalEnergyCons!$B$4:$B$10000="Var_Fin")*1, ISNUMBER(SEARCH("SCOM_ELC",[1]OUT_FinalEnergyCons!$C$4:$C$10000))*1,(ISNUMBER(SEARCH("SCOM-SHELCHP",[1]OUT_FinalEnergyCons!$A$4:$A$10000)))*1,[1]OUT_FinalEnergyCons!L$4:L$10000)</f>
        <v>4.5801359100426575</v>
      </c>
      <c r="O885" s="1" cm="1">
        <f t="array" ref="O885">SUMPRODUCT(([1]OUT_FinalEnergyCons!$B$4:$B$10000="Var_Fin")*1, ISNUMBER(SEARCH("SCOM_ELC",[1]OUT_FinalEnergyCons!$C$4:$C$10000))*1,(ISNUMBER(SEARCH("SCOM-SHELCHP",[1]OUT_FinalEnergyCons!$A$4:$A$10000)))*1,[1]OUT_FinalEnergyCons!M$4:M$10000)</f>
        <v>4.9016613687481483</v>
      </c>
      <c r="P885" s="1" cm="1">
        <f t="array" ref="P885">SUMPRODUCT(([1]OUT_FinalEnergyCons!$B$4:$B$10000="Var_Fin")*1, ISNUMBER(SEARCH("SCOM_ELC",[1]OUT_FinalEnergyCons!$C$4:$C$10000))*1,(ISNUMBER(SEARCH("SCOM-SHELCHP",[1]OUT_FinalEnergyCons!$A$4:$A$10000)))*1,[1]OUT_FinalEnergyCons!N$4:N$10000)</f>
        <v>5.2552081557291164</v>
      </c>
      <c r="Q885" s="1" cm="1">
        <f t="array" ref="Q885">SUMPRODUCT(([1]OUT_FinalEnergyCons!$B$4:$B$10000="Var_Fin")*1, ISNUMBER(SEARCH("SCOM_ELC",[1]OUT_FinalEnergyCons!$C$4:$C$10000))*1,(ISNUMBER(SEARCH("SCOM-SHELCHP",[1]OUT_FinalEnergyCons!$A$4:$A$10000)))*1,[1]OUT_FinalEnergyCons!O$4:O$10000)</f>
        <v>5.6779380552275782</v>
      </c>
      <c r="S885" s="3"/>
    </row>
    <row r="886" spans="2:19" x14ac:dyDescent="0.5">
      <c r="B886" s="5" t="str">
        <f t="shared" si="1076"/>
        <v>SPS1</v>
      </c>
      <c r="C886" s="5" t="str">
        <f t="shared" si="1077"/>
        <v>CH</v>
      </c>
      <c r="D886" t="s">
        <v>508</v>
      </c>
      <c r="E886" t="s">
        <v>8</v>
      </c>
      <c r="F886" s="1">
        <f>[1]Services!B$11-[1]Services!B$28</f>
        <v>56.994774574912441</v>
      </c>
      <c r="G886" s="1">
        <f>[1]Services!C$11-[1]Services!C$28</f>
        <v>58.701922824341082</v>
      </c>
      <c r="H886" s="1">
        <f>[1]Services!D$11-[1]Services!D$28</f>
        <v>61.538310786793595</v>
      </c>
      <c r="I886" s="1">
        <f>[1]Services!E$11-[1]Services!E$28</f>
        <v>62.070114845065348</v>
      </c>
      <c r="J886" s="1">
        <f>[1]Services!F$11-[1]Services!F$28</f>
        <v>62.292529704006043</v>
      </c>
      <c r="K886" s="1">
        <f>[1]Services!G$11-[1]Services!G$28</f>
        <v>62.657995926949894</v>
      </c>
      <c r="L886" s="1">
        <f>[1]Services!H$11-[1]Services!H$28</f>
        <v>62.135392632637192</v>
      </c>
      <c r="M886" s="1">
        <f>[1]Services!I$11-[1]Services!I$28</f>
        <v>61.612588560031064</v>
      </c>
      <c r="N886" s="1">
        <f>[1]Services!J$11-[1]Services!J$28</f>
        <v>62.660410407621022</v>
      </c>
      <c r="O886" s="1">
        <f>[1]Services!K$11-[1]Services!K$28</f>
        <v>63.514993942303164</v>
      </c>
      <c r="P886" s="1">
        <f>[1]Services!L$11-[1]Services!L$28</f>
        <v>64.325154356381915</v>
      </c>
      <c r="Q886" s="1">
        <f>[1]Services!M$11-[1]Services!M$28</f>
        <v>65.09859405467887</v>
      </c>
      <c r="S886" s="3"/>
    </row>
    <row r="887" spans="2:19" x14ac:dyDescent="0.5">
      <c r="B887" s="5" t="str">
        <f t="shared" si="1076"/>
        <v>SPS1</v>
      </c>
      <c r="C887" s="5" t="str">
        <f t="shared" si="1077"/>
        <v>CH</v>
      </c>
      <c r="D887" t="s">
        <v>499</v>
      </c>
      <c r="E887" t="s">
        <v>8</v>
      </c>
      <c r="F887" s="1">
        <f>F888</f>
        <v>30.256668214695765</v>
      </c>
      <c r="G887" s="1">
        <f t="shared" ref="G887:O887" si="1078">G888</f>
        <v>25.577801378722434</v>
      </c>
      <c r="H887" s="1">
        <f t="shared" si="1078"/>
        <v>18.960812120930751</v>
      </c>
      <c r="I887" s="1">
        <f t="shared" si="1078"/>
        <v>15.795182603870595</v>
      </c>
      <c r="J887" s="1">
        <f t="shared" si="1078"/>
        <v>8.7315241495403377</v>
      </c>
      <c r="K887" s="1">
        <f t="shared" si="1078"/>
        <v>5.9647793550804815</v>
      </c>
      <c r="L887" s="1">
        <f t="shared" si="1078"/>
        <v>3.1573232631014565</v>
      </c>
      <c r="M887" s="1">
        <f t="shared" si="1078"/>
        <v>0.85505935585326975</v>
      </c>
      <c r="N887" s="1">
        <f t="shared" si="1078"/>
        <v>0.84191286857331549</v>
      </c>
      <c r="O887" s="1">
        <f t="shared" si="1078"/>
        <v>0.8480977492886691</v>
      </c>
      <c r="P887" s="1">
        <f>P888</f>
        <v>0.84840575331989188</v>
      </c>
      <c r="Q887" s="1">
        <f>Q888</f>
        <v>0.8489485471363164</v>
      </c>
      <c r="S887" s="3"/>
    </row>
    <row r="888" spans="2:19" x14ac:dyDescent="0.5">
      <c r="B888" s="5" t="str">
        <f t="shared" si="1076"/>
        <v>SPS1</v>
      </c>
      <c r="C888" s="5" t="str">
        <f t="shared" si="1077"/>
        <v>CH</v>
      </c>
      <c r="D888" t="s">
        <v>500</v>
      </c>
      <c r="E888" t="s">
        <v>8</v>
      </c>
      <c r="F888" s="1">
        <f>SUM(F891,F893)</f>
        <v>30.256668214695765</v>
      </c>
      <c r="G888" s="1">
        <f t="shared" ref="G888:K888" si="1079">SUM(G891,G893)</f>
        <v>25.577801378722434</v>
      </c>
      <c r="H888" s="1">
        <f t="shared" si="1079"/>
        <v>18.960812120930751</v>
      </c>
      <c r="I888" s="1">
        <f t="shared" si="1079"/>
        <v>15.795182603870595</v>
      </c>
      <c r="J888" s="1">
        <f t="shared" si="1079"/>
        <v>8.7315241495403377</v>
      </c>
      <c r="K888" s="1">
        <f t="shared" si="1079"/>
        <v>5.9647793550804815</v>
      </c>
      <c r="L888" s="1">
        <f t="shared" ref="L888:O888" si="1080">SUM(L891,L893)</f>
        <v>3.1573232631014565</v>
      </c>
      <c r="M888" s="1">
        <f t="shared" si="1080"/>
        <v>0.85505935585326975</v>
      </c>
      <c r="N888" s="1">
        <f t="shared" si="1080"/>
        <v>0.84191286857331549</v>
      </c>
      <c r="O888" s="1">
        <f t="shared" si="1080"/>
        <v>0.8480977492886691</v>
      </c>
      <c r="P888" s="1">
        <f>SUM(P891,P893)</f>
        <v>0.84840575331989188</v>
      </c>
      <c r="Q888" s="1">
        <f>SUM(Q891,Q893)</f>
        <v>0.8489485471363164</v>
      </c>
      <c r="S888" s="3"/>
    </row>
    <row r="889" spans="2:19" x14ac:dyDescent="0.5">
      <c r="B889" s="5" t="str">
        <f>B888</f>
        <v>SPS1</v>
      </c>
      <c r="C889" s="5" t="str">
        <f>C888</f>
        <v>CH</v>
      </c>
      <c r="D889" t="s">
        <v>963</v>
      </c>
      <c r="E889" t="s">
        <v>8</v>
      </c>
      <c r="F889" s="1">
        <f>F890</f>
        <v>30.256668214695765</v>
      </c>
      <c r="G889" s="1">
        <f t="shared" ref="G889:O889" si="1081">G890</f>
        <v>25.577801378722434</v>
      </c>
      <c r="H889" s="1">
        <f t="shared" si="1081"/>
        <v>18.960804742308845</v>
      </c>
      <c r="I889" s="1">
        <f t="shared" si="1081"/>
        <v>15.794779110761686</v>
      </c>
      <c r="J889" s="1">
        <f t="shared" si="1081"/>
        <v>8.7294424003864535</v>
      </c>
      <c r="K889" s="1">
        <f t="shared" si="1081"/>
        <v>5.9635717318387789</v>
      </c>
      <c r="L889" s="1">
        <f t="shared" si="1081"/>
        <v>3.1557634233262362</v>
      </c>
      <c r="M889" s="1">
        <f t="shared" si="1081"/>
        <v>1.5324158044074062E-5</v>
      </c>
      <c r="N889" s="1">
        <f t="shared" si="1081"/>
        <v>6.0847758775744678E-5</v>
      </c>
      <c r="O889" s="1">
        <f t="shared" si="1081"/>
        <v>8.2902284016026436E-5</v>
      </c>
      <c r="P889" s="1">
        <f>P890</f>
        <v>8.232218760153316E-5</v>
      </c>
      <c r="Q889" s="1">
        <f>Q890</f>
        <v>1.0378313693010578E-4</v>
      </c>
      <c r="S889" s="3"/>
    </row>
    <row r="890" spans="2:19" x14ac:dyDescent="0.5">
      <c r="B890" s="5" t="str">
        <f t="shared" si="1076"/>
        <v>SPS1</v>
      </c>
      <c r="C890" s="5" t="str">
        <f t="shared" si="1077"/>
        <v>CH</v>
      </c>
      <c r="D890" t="s">
        <v>528</v>
      </c>
      <c r="E890" t="s">
        <v>8</v>
      </c>
      <c r="F890" s="1">
        <f>[1]Services!B$12</f>
        <v>30.256668214695765</v>
      </c>
      <c r="G890" s="1">
        <f>[1]Services!C$12</f>
        <v>25.577801378722434</v>
      </c>
      <c r="H890" s="1">
        <f>[1]Services!D$12</f>
        <v>18.960804742308845</v>
      </c>
      <c r="I890" s="1">
        <f>[1]Services!E$12</f>
        <v>15.794779110761686</v>
      </c>
      <c r="J890" s="1">
        <f>[1]Services!F$12</f>
        <v>8.7294424003864535</v>
      </c>
      <c r="K890" s="1">
        <f>[1]Services!G$12</f>
        <v>5.9635717318387789</v>
      </c>
      <c r="L890" s="1">
        <f>[1]Services!H$12</f>
        <v>3.1557634233262362</v>
      </c>
      <c r="M890" s="1">
        <f>[1]Services!I$12</f>
        <v>1.5324158044074062E-5</v>
      </c>
      <c r="N890" s="1">
        <f>[1]Services!J$12</f>
        <v>6.0847758775744678E-5</v>
      </c>
      <c r="O890" s="1">
        <f>[1]Services!K$12</f>
        <v>8.2902284016026436E-5</v>
      </c>
      <c r="P890" s="1">
        <f>[1]Services!L$12</f>
        <v>8.232218760153316E-5</v>
      </c>
      <c r="Q890" s="1">
        <f>[1]Services!M$12</f>
        <v>1.0378313693010578E-4</v>
      </c>
      <c r="S890" s="3"/>
    </row>
    <row r="891" spans="2:19" x14ac:dyDescent="0.5">
      <c r="B891" s="5" t="str">
        <f>B890</f>
        <v>SPS1</v>
      </c>
      <c r="C891" s="5" t="str">
        <f t="shared" si="1077"/>
        <v>CH</v>
      </c>
      <c r="D891" t="s">
        <v>529</v>
      </c>
      <c r="E891" t="s">
        <v>8</v>
      </c>
      <c r="F891" s="1">
        <f>F890</f>
        <v>30.256668214695765</v>
      </c>
      <c r="G891" s="1">
        <f t="shared" ref="G891:K891" si="1082">G890</f>
        <v>25.577801378722434</v>
      </c>
      <c r="H891" s="1">
        <f t="shared" si="1082"/>
        <v>18.960804742308845</v>
      </c>
      <c r="I891" s="1">
        <f t="shared" si="1082"/>
        <v>15.794779110761686</v>
      </c>
      <c r="J891" s="1">
        <f t="shared" si="1082"/>
        <v>8.7294424003864535</v>
      </c>
      <c r="K891" s="1">
        <f t="shared" si="1082"/>
        <v>5.9635717318387789</v>
      </c>
      <c r="L891" s="1">
        <f t="shared" ref="L891:O891" si="1083">L890</f>
        <v>3.1557634233262362</v>
      </c>
      <c r="M891" s="1">
        <f t="shared" si="1083"/>
        <v>1.5324158044074062E-5</v>
      </c>
      <c r="N891" s="1">
        <f t="shared" si="1083"/>
        <v>6.0847758775744678E-5</v>
      </c>
      <c r="O891" s="1">
        <f t="shared" si="1083"/>
        <v>8.2902284016026436E-5</v>
      </c>
      <c r="P891" s="1">
        <f>P890</f>
        <v>8.232218760153316E-5</v>
      </c>
      <c r="Q891" s="1">
        <f>Q890</f>
        <v>1.0378313693010578E-4</v>
      </c>
      <c r="S891" s="3"/>
    </row>
    <row r="892" spans="2:19" x14ac:dyDescent="0.5">
      <c r="B892" s="5" t="str">
        <f>B891</f>
        <v>SPS1</v>
      </c>
      <c r="C892" s="5" t="str">
        <f>C891</f>
        <v>CH</v>
      </c>
      <c r="D892" t="s">
        <v>964</v>
      </c>
      <c r="E892" t="s">
        <v>8</v>
      </c>
      <c r="F892">
        <f>F893</f>
        <v>0</v>
      </c>
      <c r="G892">
        <f t="shared" ref="G892:O892" si="1084">G893</f>
        <v>0</v>
      </c>
      <c r="H892">
        <f t="shared" si="1084"/>
        <v>7.378621903722516E-6</v>
      </c>
      <c r="I892">
        <f t="shared" si="1084"/>
        <v>4.0349310890803878E-4</v>
      </c>
      <c r="J892">
        <f t="shared" si="1084"/>
        <v>2.0817491538834203E-3</v>
      </c>
      <c r="K892">
        <f t="shared" si="1084"/>
        <v>1.2076232417023822E-3</v>
      </c>
      <c r="L892">
        <f t="shared" si="1084"/>
        <v>1.5598397752204264E-3</v>
      </c>
      <c r="M892">
        <f t="shared" si="1084"/>
        <v>0.85504403169522569</v>
      </c>
      <c r="N892">
        <f t="shared" si="1084"/>
        <v>0.84185202081453969</v>
      </c>
      <c r="O892">
        <f t="shared" si="1084"/>
        <v>0.84801484700465313</v>
      </c>
      <c r="P892">
        <f>P893</f>
        <v>0.84832343113229036</v>
      </c>
      <c r="Q892">
        <f>Q893</f>
        <v>0.84884476399938624</v>
      </c>
      <c r="S892" s="3"/>
    </row>
    <row r="893" spans="2:19" x14ac:dyDescent="0.5">
      <c r="B893" s="5" t="str">
        <f t="shared" si="1076"/>
        <v>SPS1</v>
      </c>
      <c r="C893" s="5" t="str">
        <f t="shared" si="1077"/>
        <v>CH</v>
      </c>
      <c r="D893" t="s">
        <v>965</v>
      </c>
      <c r="E893" t="s">
        <v>8</v>
      </c>
      <c r="F893">
        <f>[1]Services!B$13</f>
        <v>0</v>
      </c>
      <c r="G893">
        <f>[1]Services!C$13</f>
        <v>0</v>
      </c>
      <c r="H893">
        <f>[1]Services!D$13</f>
        <v>7.378621903722516E-6</v>
      </c>
      <c r="I893">
        <f>[1]Services!E$13</f>
        <v>4.0349310890803878E-4</v>
      </c>
      <c r="J893">
        <f>[1]Services!F$13</f>
        <v>2.0817491538834203E-3</v>
      </c>
      <c r="K893">
        <f>[1]Services!G$13</f>
        <v>1.2076232417023822E-3</v>
      </c>
      <c r="L893">
        <f>[1]Services!H$13</f>
        <v>1.5598397752204264E-3</v>
      </c>
      <c r="M893">
        <f>[1]Services!I$13</f>
        <v>0.85504403169522569</v>
      </c>
      <c r="N893">
        <f>[1]Services!J$13</f>
        <v>0.84185202081453969</v>
      </c>
      <c r="O893">
        <f>[1]Services!K$13</f>
        <v>0.84801484700465313</v>
      </c>
      <c r="P893">
        <f>[1]Services!L$13</f>
        <v>0.84832343113229036</v>
      </c>
      <c r="Q893">
        <f>[1]Services!M$13</f>
        <v>0.84884476399938624</v>
      </c>
      <c r="S893" s="3"/>
    </row>
    <row r="894" spans="2:19" x14ac:dyDescent="0.5">
      <c r="B894" s="5" t="str">
        <f t="shared" si="1076"/>
        <v>SPS1</v>
      </c>
      <c r="C894" s="5" t="str">
        <f t="shared" si="1077"/>
        <v>CH</v>
      </c>
      <c r="D894" t="s">
        <v>501</v>
      </c>
      <c r="E894" t="s">
        <v>8</v>
      </c>
      <c r="F894" s="1">
        <f>SUM(F895:F897)</f>
        <v>26.951025438103994</v>
      </c>
      <c r="G894" s="1">
        <f t="shared" ref="G894:K894" si="1085">SUM(G895:G897)</f>
        <v>28.287059460023929</v>
      </c>
      <c r="H894" s="1">
        <f t="shared" si="1085"/>
        <v>23.546315870690744</v>
      </c>
      <c r="I894" s="1">
        <f t="shared" si="1085"/>
        <v>23.888930333003195</v>
      </c>
      <c r="J894" s="1">
        <f t="shared" si="1085"/>
        <v>24.411599970973068</v>
      </c>
      <c r="K894" s="1">
        <f t="shared" si="1085"/>
        <v>21.495524810674585</v>
      </c>
      <c r="L894" s="1">
        <f t="shared" ref="L894:O894" si="1086">SUM(L895:L897)</f>
        <v>10.109594959823642</v>
      </c>
      <c r="M894" s="1">
        <f t="shared" si="1086"/>
        <v>8.3710229579923308</v>
      </c>
      <c r="N894" s="1">
        <f t="shared" si="1086"/>
        <v>8.2870877339941345</v>
      </c>
      <c r="O894" s="1">
        <f t="shared" si="1086"/>
        <v>8.338687260783658</v>
      </c>
      <c r="P894" s="1">
        <f>SUM(P895:P897)</f>
        <v>8.8710279174732953</v>
      </c>
      <c r="Q894" s="1">
        <f>SUM(Q895:Q897)</f>
        <v>7.6663865386738355</v>
      </c>
      <c r="S894" s="3"/>
    </row>
    <row r="895" spans="2:19" x14ac:dyDescent="0.5">
      <c r="B895" s="5" t="str">
        <f t="shared" si="1076"/>
        <v>SPS1</v>
      </c>
      <c r="C895" s="5" t="str">
        <f t="shared" si="1077"/>
        <v>CH</v>
      </c>
      <c r="D895" t="s">
        <v>681</v>
      </c>
      <c r="E895" t="s">
        <v>8</v>
      </c>
      <c r="F895" s="1">
        <f>SUM([1]Services!B$14:B$15)-F896</f>
        <v>25.548716569465288</v>
      </c>
      <c r="G895" s="1">
        <f>SUM([1]Services!C$14:C$15)</f>
        <v>26.749804291227086</v>
      </c>
      <c r="H895" s="1">
        <f>SUM([1]Services!D$14:D$15)</f>
        <v>22.108898774561336</v>
      </c>
      <c r="I895" s="1">
        <f>SUM([1]Services!E$14:E$15)</f>
        <v>22.495422224152929</v>
      </c>
      <c r="J895" s="1">
        <f>SUM([1]Services!F$14:F$15)</f>
        <v>22.778181867419402</v>
      </c>
      <c r="K895" s="1">
        <f>SUM([1]Services!G$14:G$15)</f>
        <v>17.6649640979529</v>
      </c>
      <c r="L895" s="1">
        <f>SUM([1]Services!H$14:H$15)</f>
        <v>6.2799206164363461</v>
      </c>
      <c r="M895" s="1">
        <f>SUM([1]Services!I$14:I$15)</f>
        <v>4.4255587566281722</v>
      </c>
      <c r="N895" s="1">
        <f>SUM([1]Services!J$14:J$15)</f>
        <v>4.5896878397828296</v>
      </c>
      <c r="O895" s="1">
        <f>SUM([1]Services!K$14:K$15)</f>
        <v>4.5780792702378799</v>
      </c>
      <c r="P895" s="1">
        <f>SUM([1]Services!L$14:L$15)</f>
        <v>4.5012867248809281</v>
      </c>
      <c r="Q895" s="1">
        <f>SUM([1]Services!M$14:M$15)</f>
        <v>4.5012427116740987</v>
      </c>
      <c r="S895" s="3"/>
    </row>
    <row r="896" spans="2:19" x14ac:dyDescent="0.5">
      <c r="B896" s="5" t="str">
        <f t="shared" ref="B896" si="1087">B895</f>
        <v>SPS1</v>
      </c>
      <c r="C896" s="5" t="str">
        <f t="shared" ref="C896" si="1088">C895</f>
        <v>CH</v>
      </c>
      <c r="D896" t="s">
        <v>726</v>
      </c>
      <c r="E896" t="s">
        <v>8</v>
      </c>
      <c r="F896" s="1" cm="1">
        <f t="array" ref="F896">SUMPRODUCT(([1]OUT_FinalEnergyCons!$B$4:$B$10000="Var_Fin")*1, ([1]OUT_FinalEnergyCons!$C$4:$C$10000="SNGA")*1,(ISNUMBER(SEARCH("SCOM-SHngahp",[1]OUT_FinalEnergyCons!$A$4:$A$10000)))*1,[1]OUT_FinalEnergyCons!D$4:D$10000)</f>
        <v>0</v>
      </c>
      <c r="G896" s="1" cm="1">
        <f t="array" ref="G896">SUMPRODUCT(([1]OUT_FinalEnergyCons!$B$4:$B$10000="Var_Fin")*1, ([1]OUT_FinalEnergyCons!$C$4:$C$10000="SNGA")*1,(ISNUMBER(SEARCH("SCOM-SHngahp",[1]OUT_FinalEnergyCons!$A$4:$A$10000)))*1,[1]OUT_FinalEnergyCons!E$4:E$10000)</f>
        <v>0</v>
      </c>
      <c r="H896" s="1" cm="1">
        <f t="array" ref="H896">SUMPRODUCT(([1]OUT_FinalEnergyCons!$B$4:$B$10000="Var_Fin")*1, ([1]OUT_FinalEnergyCons!$C$4:$C$10000="SNGA")*1,(ISNUMBER(SEARCH("SCOM-SHngahp",[1]OUT_FinalEnergyCons!$A$4:$A$10000)))*1,[1]OUT_FinalEnergyCons!F$4:F$10000)</f>
        <v>3.9507236503074656E-3</v>
      </c>
      <c r="I896" s="1" cm="1">
        <f t="array" ref="I896">SUMPRODUCT(([1]OUT_FinalEnergyCons!$B$4:$B$10000="Var_Fin")*1, ([1]OUT_FinalEnergyCons!$C$4:$C$10000="SNGA")*1,(ISNUMBER(SEARCH("SCOM-SHngahp",[1]OUT_FinalEnergyCons!$A$4:$A$10000)))*1,[1]OUT_FinalEnergyCons!G$4:G$10000)</f>
        <v>3.3755804754095576E-3</v>
      </c>
      <c r="J896" s="1" cm="1">
        <f t="array" ref="J896">SUMPRODUCT(([1]OUT_FinalEnergyCons!$B$4:$B$10000="Var_Fin")*1, ([1]OUT_FinalEnergyCons!$C$4:$C$10000="SNGA")*1,(ISNUMBER(SEARCH("SCOM-SHngahp",[1]OUT_FinalEnergyCons!$A$4:$A$10000)))*1,[1]OUT_FinalEnergyCons!H$4:H$10000)</f>
        <v>2.8450509099937498E-2</v>
      </c>
      <c r="K896" s="1" cm="1">
        <f t="array" ref="K896">SUMPRODUCT(([1]OUT_FinalEnergyCons!$B$4:$B$10000="Var_Fin")*1, ([1]OUT_FinalEnergyCons!$C$4:$C$10000="SNGA")*1,(ISNUMBER(SEARCH("SCOM-SHngahp",[1]OUT_FinalEnergyCons!$A$4:$A$10000)))*1,[1]OUT_FinalEnergyCons!I$4:I$10000)</f>
        <v>0.2287007124856402</v>
      </c>
      <c r="L896" s="1" cm="1">
        <f t="array" ref="L896">SUMPRODUCT(([1]OUT_FinalEnergyCons!$B$4:$B$10000="Var_Fin")*1, ([1]OUT_FinalEnergyCons!$C$4:$C$10000="SNGA")*1,(ISNUMBER(SEARCH("SCOM-SHngahp",[1]OUT_FinalEnergyCons!$A$4:$A$10000)))*1,[1]OUT_FinalEnergyCons!J$4:J$10000)</f>
        <v>0.22234968843789588</v>
      </c>
      <c r="M896" s="1" cm="1">
        <f t="array" ref="M896">SUMPRODUCT(([1]OUT_FinalEnergyCons!$B$4:$B$10000="Var_Fin")*1, ([1]OUT_FinalEnergyCons!$C$4:$C$10000="SNGA")*1,(ISNUMBER(SEARCH("SCOM-SHngahp",[1]OUT_FinalEnergyCons!$A$4:$A$10000)))*1,[1]OUT_FinalEnergyCons!K$4:K$10000)</f>
        <v>0.33800200780719442</v>
      </c>
      <c r="N896" s="1" cm="1">
        <f t="array" ref="N896">SUMPRODUCT(([1]OUT_FinalEnergyCons!$B$4:$B$10000="Var_Fin")*1, ([1]OUT_FinalEnergyCons!$C$4:$C$10000="SNGA")*1,(ISNUMBER(SEARCH("SCOM-SHngahp",[1]OUT_FinalEnergyCons!$A$4:$A$10000)))*1,[1]OUT_FinalEnergyCons!L$4:L$10000)</f>
        <v>9.147793686004857E-2</v>
      </c>
      <c r="O896" s="1" cm="1">
        <f t="array" ref="O896">SUMPRODUCT(([1]OUT_FinalEnergyCons!$B$4:$B$10000="Var_Fin")*1, ([1]OUT_FinalEnergyCons!$C$4:$C$10000="SNGA")*1,(ISNUMBER(SEARCH("SCOM-SHngahp",[1]OUT_FinalEnergyCons!$A$4:$A$10000)))*1,[1]OUT_FinalEnergyCons!M$4:M$10000)</f>
        <v>0.15263385801969392</v>
      </c>
      <c r="P896" s="1" cm="1">
        <f t="array" ref="P896">SUMPRODUCT(([1]OUT_FinalEnergyCons!$B$4:$B$10000="Var_Fin")*1, ([1]OUT_FinalEnergyCons!$C$4:$C$10000="SNGA")*1,(ISNUMBER(SEARCH("SCOM-SHngahp",[1]OUT_FinalEnergyCons!$A$4:$A$10000)))*1,[1]OUT_FinalEnergyCons!N$4:N$10000)</f>
        <v>0.2065539678027791</v>
      </c>
      <c r="Q896" s="1" cm="1">
        <f t="array" ref="Q896">SUMPRODUCT(([1]OUT_FinalEnergyCons!$B$4:$B$10000="Var_Fin")*1, ([1]OUT_FinalEnergyCons!$C$4:$C$10000="SNGA")*1,(ISNUMBER(SEARCH("SCOM-SHngahp",[1]OUT_FinalEnergyCons!$A$4:$A$10000)))*1,[1]OUT_FinalEnergyCons!O$4:O$10000)</f>
        <v>0.1949219875404464</v>
      </c>
      <c r="S896" s="3"/>
    </row>
    <row r="897" spans="2:19" x14ac:dyDescent="0.5">
      <c r="B897" s="5" t="str">
        <f>B895</f>
        <v>SPS1</v>
      </c>
      <c r="C897" s="5" t="str">
        <f>C895</f>
        <v>CH</v>
      </c>
      <c r="D897" t="s">
        <v>502</v>
      </c>
      <c r="E897" t="s">
        <v>8</v>
      </c>
      <c r="F897" s="1">
        <f>[1]Services!B$16</f>
        <v>1.4023088686387044</v>
      </c>
      <c r="G897" s="1">
        <f>[1]Services!C$16</f>
        <v>1.5372551687968441</v>
      </c>
      <c r="H897" s="1">
        <f>[1]Services!D$16</f>
        <v>1.4334663724790992</v>
      </c>
      <c r="I897" s="1">
        <f>[1]Services!E$16</f>
        <v>1.3901325283748562</v>
      </c>
      <c r="J897" s="1">
        <f>[1]Services!F$16</f>
        <v>1.6049675944537307</v>
      </c>
      <c r="K897" s="1">
        <f>[1]Services!G$16</f>
        <v>3.6018600002360435</v>
      </c>
      <c r="L897" s="1">
        <f>[1]Services!H$16</f>
        <v>3.6073246549493998</v>
      </c>
      <c r="M897" s="1">
        <f>[1]Services!I$16</f>
        <v>3.6074621935569637</v>
      </c>
      <c r="N897" s="1">
        <f>[1]Services!J$16</f>
        <v>3.6059219573512555</v>
      </c>
      <c r="O897" s="1">
        <f>[1]Services!K$16</f>
        <v>3.607974132526083</v>
      </c>
      <c r="P897" s="1">
        <f>[1]Services!L$16</f>
        <v>4.1631872247895894</v>
      </c>
      <c r="Q897" s="1">
        <f>[1]Services!M$16</f>
        <v>2.9702218394592901</v>
      </c>
      <c r="S897" s="3"/>
    </row>
    <row r="898" spans="2:19" x14ac:dyDescent="0.5">
      <c r="B898" s="5" t="str">
        <f t="shared" si="1076"/>
        <v>SPS1</v>
      </c>
      <c r="C898" s="5" t="str">
        <f t="shared" si="1077"/>
        <v>CH</v>
      </c>
      <c r="D898" t="s">
        <v>966</v>
      </c>
      <c r="E898" t="s">
        <v>8</v>
      </c>
      <c r="F898" s="1">
        <f>[1]Services!B$14</f>
        <v>25.264183813859272</v>
      </c>
      <c r="G898" s="1">
        <f>[1]Services!C$14</f>
        <v>23.91426097799874</v>
      </c>
      <c r="H898" s="1">
        <f>[1]Services!D$14</f>
        <v>22.105726682287216</v>
      </c>
      <c r="I898" s="1">
        <f>[1]Services!E$14</f>
        <v>22.49422407411593</v>
      </c>
      <c r="J898" s="1">
        <f>[1]Services!F$14</f>
        <v>22.776782097287224</v>
      </c>
      <c r="K898" s="1">
        <f>[1]Services!G$14</f>
        <v>17.578276941544203</v>
      </c>
      <c r="L898" s="1">
        <f>[1]Services!H$14</f>
        <v>5.7179904184146384</v>
      </c>
      <c r="M898" s="1">
        <f>[1]Services!I$14</f>
        <v>3.1602702275486814</v>
      </c>
      <c r="N898" s="1">
        <f>[1]Services!J$14</f>
        <v>3.3612732115174651</v>
      </c>
      <c r="O898" s="1">
        <f>[1]Services!K$14</f>
        <v>3.3411120656176312</v>
      </c>
      <c r="P898" s="1">
        <f>[1]Services!L$14</f>
        <v>3.2718455136483366</v>
      </c>
      <c r="Q898" s="1">
        <f>[1]Services!M$14</f>
        <v>3.2896149346444186</v>
      </c>
      <c r="S898" s="3"/>
    </row>
    <row r="899" spans="2:19" x14ac:dyDescent="0.5">
      <c r="B899" s="5" t="str">
        <f t="shared" si="1076"/>
        <v>SPS1</v>
      </c>
      <c r="C899" s="5" t="str">
        <f t="shared" si="1077"/>
        <v>CH</v>
      </c>
      <c r="D899" t="s">
        <v>682</v>
      </c>
      <c r="E899" t="s">
        <v>8</v>
      </c>
      <c r="F899" s="1">
        <f>[1]Services!B$14*IFERROR(F895/SUM(F895:F896),0)</f>
        <v>25.264183813859272</v>
      </c>
      <c r="G899" s="1">
        <f>[1]Services!C$14*IFERROR(G895/SUM(G895:G896),0)</f>
        <v>23.91426097799874</v>
      </c>
      <c r="H899" s="1">
        <f>[1]Services!D$14*IFERROR(H895/SUM(H895:H896),0)</f>
        <v>22.101777231212715</v>
      </c>
      <c r="I899" s="1">
        <f>[1]Services!E$14*IFERROR(I895/SUM(I895:I896),0)</f>
        <v>22.490849179854759</v>
      </c>
      <c r="J899" s="1">
        <f>[1]Services!F$14*IFERROR(J895/SUM(J895:J896),0)</f>
        <v>22.748368825409642</v>
      </c>
      <c r="K899" s="1">
        <f>[1]Services!G$14*IFERROR(K895/SUM(K895:K896),0)</f>
        <v>17.353607232829425</v>
      </c>
      <c r="L899" s="1">
        <f>[1]Services!H$14*IFERROR(L895/SUM(L895:L896),0)</f>
        <v>5.5224597301452958</v>
      </c>
      <c r="M899" s="1">
        <f>[1]Services!I$14*IFERROR(M895/SUM(M895:M896),0)</f>
        <v>2.9360308958916272</v>
      </c>
      <c r="N899" s="1">
        <f>[1]Services!J$14*IFERROR(N895/SUM(N895:N896),0)</f>
        <v>3.295588219085285</v>
      </c>
      <c r="O899" s="1">
        <f>[1]Services!K$14*IFERROR(O895/SUM(O895:O896),0)</f>
        <v>3.2333129218468479</v>
      </c>
      <c r="P899" s="1">
        <f>[1]Services!L$14*IFERROR(P895/SUM(P895:P896),0)</f>
        <v>3.1282950587801328</v>
      </c>
      <c r="Q899" s="1">
        <f>[1]Services!M$14*IFERROR(Q895/SUM(Q895:Q896),0)</f>
        <v>3.1530740928355967</v>
      </c>
      <c r="S899" s="3"/>
    </row>
    <row r="900" spans="2:19" x14ac:dyDescent="0.5">
      <c r="B900" s="5" t="str">
        <f>B899</f>
        <v>SPS1</v>
      </c>
      <c r="C900" s="5" t="str">
        <f t="shared" ref="C900" si="1089">C899</f>
        <v>CH</v>
      </c>
      <c r="D900" t="s">
        <v>727</v>
      </c>
      <c r="E900" t="s">
        <v>8</v>
      </c>
      <c r="F900" s="1">
        <f>F898-F899</f>
        <v>0</v>
      </c>
      <c r="G900" s="1">
        <f t="shared" ref="G900:K900" si="1090">G898-G899</f>
        <v>0</v>
      </c>
      <c r="H900" s="1">
        <f t="shared" si="1090"/>
        <v>3.9494510745008427E-3</v>
      </c>
      <c r="I900" s="1">
        <f t="shared" si="1090"/>
        <v>3.3748942611708799E-3</v>
      </c>
      <c r="J900" s="1">
        <f t="shared" si="1090"/>
        <v>2.8413271877582247E-2</v>
      </c>
      <c r="K900" s="1">
        <f t="shared" si="1090"/>
        <v>0.22466970871477798</v>
      </c>
      <c r="L900" s="1">
        <f t="shared" ref="L900:O900" si="1091">L898-L899</f>
        <v>0.19553068826934261</v>
      </c>
      <c r="M900" s="1">
        <f t="shared" si="1091"/>
        <v>0.22423933165705412</v>
      </c>
      <c r="N900" s="1">
        <f t="shared" si="1091"/>
        <v>6.5684992432180067E-2</v>
      </c>
      <c r="O900" s="1">
        <f t="shared" si="1091"/>
        <v>0.10779914377078326</v>
      </c>
      <c r="P900" s="1">
        <f>P898-P899</f>
        <v>0.14355045486820384</v>
      </c>
      <c r="Q900" s="1">
        <f>Q898-Q899</f>
        <v>0.13654084180882187</v>
      </c>
      <c r="S900" s="3"/>
    </row>
    <row r="901" spans="2:19" x14ac:dyDescent="0.5">
      <c r="B901" s="5" t="str">
        <f>B899</f>
        <v>SPS1</v>
      </c>
      <c r="C901" s="5" t="str">
        <f>C899</f>
        <v>CH</v>
      </c>
      <c r="D901" t="s">
        <v>967</v>
      </c>
      <c r="E901" t="s">
        <v>8</v>
      </c>
      <c r="F901" s="1">
        <f>[1]Services!B$15+F904</f>
        <v>1.6868416242447204</v>
      </c>
      <c r="G901" s="1">
        <f>[1]Services!C$15+G904</f>
        <v>4.3727984820251917</v>
      </c>
      <c r="H901" s="1">
        <f>[1]Services!D$15+H904</f>
        <v>1.4366384647532182</v>
      </c>
      <c r="I901" s="1">
        <f>[1]Services!E$15+I904</f>
        <v>1.391330678411854</v>
      </c>
      <c r="J901" s="1">
        <f>[1]Services!F$15+J904</f>
        <v>1.6063673645859093</v>
      </c>
      <c r="K901" s="1">
        <f>[1]Services!G$15+K904</f>
        <v>3.6885471566447414</v>
      </c>
      <c r="L901" s="1">
        <f>[1]Services!H$15+L904</f>
        <v>4.1692548529711075</v>
      </c>
      <c r="M901" s="1">
        <f>[1]Services!I$15+M904</f>
        <v>4.8727507226364546</v>
      </c>
      <c r="N901" s="1">
        <f>[1]Services!J$15+N904</f>
        <v>4.8343365856166205</v>
      </c>
      <c r="O901" s="1">
        <f>[1]Services!K$15+O904</f>
        <v>4.8449413371463317</v>
      </c>
      <c r="P901" s="1">
        <f>[1]Services!L$15+P904</f>
        <v>5.3926284360221812</v>
      </c>
      <c r="Q901" s="1">
        <f>[1]Services!M$15+Q904</f>
        <v>4.1818496164889707</v>
      </c>
      <c r="S901" s="3"/>
    </row>
    <row r="902" spans="2:19" x14ac:dyDescent="0.5">
      <c r="B902" s="5" t="str">
        <f t="shared" si="1076"/>
        <v>SPS1</v>
      </c>
      <c r="C902" s="5" t="str">
        <f t="shared" si="1077"/>
        <v>CH</v>
      </c>
      <c r="D902" t="s">
        <v>683</v>
      </c>
      <c r="E902" t="s">
        <v>8</v>
      </c>
      <c r="F902" s="1">
        <f>[1]Services!B$15*F895/SUM(F895:F896)</f>
        <v>0.28453275560601599</v>
      </c>
      <c r="G902" s="1">
        <f>[1]Services!C$15*G895/SUM(G895:G896)</f>
        <v>2.8355433132283476</v>
      </c>
      <c r="H902" s="1">
        <f>[1]Services!D$15*H895/SUM(H895:H896)</f>
        <v>3.1715255420942481E-3</v>
      </c>
      <c r="I902" s="1">
        <f>[1]Services!E$15*I895/SUM(I895:I896)</f>
        <v>1.1979702739763614E-3</v>
      </c>
      <c r="J902" s="1">
        <f>[1]Services!F$15*J895/SUM(J895:J896)</f>
        <v>1.3980239658782302E-3</v>
      </c>
      <c r="K902" s="1">
        <f>[1]Services!G$15*K895/SUM(K895:K896)</f>
        <v>8.5579199226977709E-2</v>
      </c>
      <c r="L902" s="1">
        <f>[1]Services!H$15*L895/SUM(L895:L896)</f>
        <v>0.54271460122310766</v>
      </c>
      <c r="M902" s="1">
        <f>[1]Services!I$15*M895/SUM(M895:M896)</f>
        <v>1.1755090375534762</v>
      </c>
      <c r="N902" s="1">
        <f>[1]Services!J$15*N895/SUM(N895:N896)</f>
        <v>1.2044093182284688</v>
      </c>
      <c r="O902" s="1">
        <f>[1]Services!K$15*O895/SUM(O895:O896)</f>
        <v>1.197057137878458</v>
      </c>
      <c r="P902" s="1">
        <f>[1]Services!L$15*P895/SUM(P895:P896)</f>
        <v>1.1755001420806566</v>
      </c>
      <c r="Q902" s="1">
        <f>[1]Services!M$15*Q895/SUM(Q895:Q896)</f>
        <v>1.1613371868173443</v>
      </c>
      <c r="S902" s="3"/>
    </row>
    <row r="903" spans="2:19" x14ac:dyDescent="0.5">
      <c r="B903" s="5" t="str">
        <f>B902</f>
        <v>SPS1</v>
      </c>
      <c r="C903" s="5" t="str">
        <f t="shared" ref="C903" si="1092">C902</f>
        <v>CH</v>
      </c>
      <c r="D903" t="s">
        <v>728</v>
      </c>
      <c r="E903" t="s">
        <v>8</v>
      </c>
      <c r="F903" s="1">
        <f>[1]Services!B$15*F896/SUM(F895:F896)</f>
        <v>0</v>
      </c>
      <c r="G903" s="1">
        <f>[1]Services!C$15*G896/SUM(G895:G896)</f>
        <v>0</v>
      </c>
      <c r="H903" s="1">
        <f>[1]Services!D$15*H896/SUM(H895:H896)</f>
        <v>5.6673202471408745E-7</v>
      </c>
      <c r="I903" s="1">
        <f>[1]Services!E$15*I896/SUM(I895:I896)</f>
        <v>1.7976302141214494E-7</v>
      </c>
      <c r="J903" s="1">
        <f>[1]Services!F$15*J896/SUM(J895:J896)</f>
        <v>1.7461663004825001E-6</v>
      </c>
      <c r="K903" s="1">
        <f>[1]Services!G$15*K896/SUM(K895:K896)</f>
        <v>1.1079571817204231E-3</v>
      </c>
      <c r="L903" s="1">
        <f>[1]Services!H$15*L896/SUM(L895:L896)</f>
        <v>1.9215596798599761E-2</v>
      </c>
      <c r="M903" s="1">
        <f>[1]Services!I$15*M896/SUM(M895:M896)</f>
        <v>8.9779491526014374E-2</v>
      </c>
      <c r="N903" s="1">
        <f>[1]Services!J$15*N896/SUM(N895:N896)</f>
        <v>2.4005310036895943E-2</v>
      </c>
      <c r="O903" s="1">
        <f>[1]Services!K$15*O896/SUM(O895:O896)</f>
        <v>3.9910066741790588E-2</v>
      </c>
      <c r="P903" s="1">
        <f>[1]Services!L$15*P896/SUM(P895:P896)</f>
        <v>5.3941069151935223E-2</v>
      </c>
      <c r="Q903" s="1">
        <f>[1]Services!M$15*Q896/SUM(Q895:Q896)</f>
        <v>5.0290590212336284E-2</v>
      </c>
      <c r="S903" s="3"/>
    </row>
    <row r="904" spans="2:19" x14ac:dyDescent="0.5">
      <c r="B904" s="5" t="str">
        <f>B902</f>
        <v>SPS1</v>
      </c>
      <c r="C904" s="5" t="str">
        <f>C902</f>
        <v>CH</v>
      </c>
      <c r="D904" t="s">
        <v>673</v>
      </c>
      <c r="E904" t="s">
        <v>8</v>
      </c>
      <c r="F904" s="1">
        <f>[1]Services!B$16</f>
        <v>1.4023088686387044</v>
      </c>
      <c r="G904" s="1">
        <f>[1]Services!C$16</f>
        <v>1.5372551687968441</v>
      </c>
      <c r="H904" s="1">
        <f>[1]Services!D$16</f>
        <v>1.4334663724790992</v>
      </c>
      <c r="I904" s="1">
        <f>[1]Services!E$16</f>
        <v>1.3901325283748562</v>
      </c>
      <c r="J904" s="1">
        <f>[1]Services!F$16</f>
        <v>1.6049675944537307</v>
      </c>
      <c r="K904" s="1">
        <f>[1]Services!G$16</f>
        <v>3.6018600002360435</v>
      </c>
      <c r="L904" s="1">
        <f>[1]Services!H$16</f>
        <v>3.6073246549493998</v>
      </c>
      <c r="M904" s="1">
        <f>[1]Services!I$16</f>
        <v>3.6074621935569637</v>
      </c>
      <c r="N904" s="1">
        <f>[1]Services!J$16</f>
        <v>3.6059219573512555</v>
      </c>
      <c r="O904" s="1">
        <f>[1]Services!K$16</f>
        <v>3.607974132526083</v>
      </c>
      <c r="P904" s="1">
        <f>[1]Services!L$16</f>
        <v>4.1631872247895894</v>
      </c>
      <c r="Q904" s="1">
        <f>[1]Services!M$16</f>
        <v>2.9702218394592901</v>
      </c>
      <c r="S904" s="3"/>
    </row>
    <row r="905" spans="2:19" x14ac:dyDescent="0.5">
      <c r="B905" s="5" t="str">
        <f>B904</f>
        <v>SPS1</v>
      </c>
      <c r="C905" s="5" t="str">
        <f>C904</f>
        <v>CH</v>
      </c>
      <c r="D905" t="s">
        <v>968</v>
      </c>
      <c r="E905" t="s">
        <v>8</v>
      </c>
      <c r="F905" s="1">
        <f>[1]Services!B$17</f>
        <v>7.7269676486008443</v>
      </c>
      <c r="G905" s="1">
        <f>[1]Services!C$17</f>
        <v>8.3697758243927662</v>
      </c>
      <c r="H905" s="1">
        <f>[1]Services!D$17</f>
        <v>8.3494232333980651</v>
      </c>
      <c r="I905" s="1">
        <f>[1]Services!E$17</f>
        <v>8.1547550243360867</v>
      </c>
      <c r="J905" s="1">
        <f>[1]Services!F$17</f>
        <v>7.8400627305339778</v>
      </c>
      <c r="K905" s="1">
        <f>[1]Services!G$17</f>
        <v>7.3632992831804769</v>
      </c>
      <c r="L905" s="1">
        <f>[1]Services!H$17</f>
        <v>8.5398823527494656</v>
      </c>
      <c r="M905" s="1">
        <f>[1]Services!I$17</f>
        <v>8.8762820954417876</v>
      </c>
      <c r="N905" s="1">
        <f>[1]Services!J$17</f>
        <v>8.830958277627861</v>
      </c>
      <c r="O905" s="1">
        <f>[1]Services!K$17</f>
        <v>8.736787396065651</v>
      </c>
      <c r="P905" s="1">
        <f>[1]Services!L$17</f>
        <v>8.9850441406641277</v>
      </c>
      <c r="Q905" s="1">
        <f>[1]Services!M$17</f>
        <v>9.1645732598808465</v>
      </c>
      <c r="S905" s="3"/>
    </row>
    <row r="906" spans="2:19" x14ac:dyDescent="0.5">
      <c r="B906" s="5" t="str">
        <f t="shared" si="1076"/>
        <v>SPS1</v>
      </c>
      <c r="C906" s="5" t="str">
        <f t="shared" si="1077"/>
        <v>CH</v>
      </c>
      <c r="D906" t="s">
        <v>969</v>
      </c>
      <c r="E906" t="s">
        <v>8</v>
      </c>
      <c r="F906" s="1">
        <f>[1]Services!B$51/0.99</f>
        <v>2.1169389513149723</v>
      </c>
      <c r="G906" s="1">
        <f>[1]Services!C$51/0.99</f>
        <v>2.2930447648831942</v>
      </c>
      <c r="H906" s="1">
        <f>[1]Services!D$51/0.99</f>
        <v>2.2726881771574639</v>
      </c>
      <c r="I906" s="1">
        <f>[1]Services!E$51/0.99</f>
        <v>2.0780177855861499</v>
      </c>
      <c r="J906" s="1">
        <f>[1]Services!F$51/0.99</f>
        <v>1.7633146782993787</v>
      </c>
      <c r="K906" s="1">
        <f>[1]Services!G$51/0.99</f>
        <v>1.2720157623129142</v>
      </c>
      <c r="L906" s="1">
        <f>[1]Services!H$51/0.99</f>
        <v>0.73886500844103875</v>
      </c>
      <c r="M906" s="1">
        <f>[1]Services!I$51/0.99</f>
        <v>0.72373412846817164</v>
      </c>
      <c r="N906" s="1">
        <f>[1]Services!J$51/0.99</f>
        <v>0.67837809922432124</v>
      </c>
      <c r="O906" s="1">
        <f>[1]Services!K$51/0.99</f>
        <v>0.58417941907228232</v>
      </c>
      <c r="P906" s="1">
        <f>[1]Services!L$51/0.99</f>
        <v>0.72494411354319421</v>
      </c>
      <c r="Q906" s="1">
        <f>[1]Services!M$51/0.99</f>
        <v>0.90438034457353345</v>
      </c>
      <c r="S906" s="3"/>
    </row>
    <row r="907" spans="2:19" x14ac:dyDescent="0.5">
      <c r="B907" s="5" t="str">
        <f t="shared" si="1076"/>
        <v>SPS1</v>
      </c>
      <c r="C907" s="5" t="str">
        <f t="shared" si="1077"/>
        <v>CH</v>
      </c>
      <c r="D907" t="s">
        <v>507</v>
      </c>
      <c r="E907" t="s">
        <v>8</v>
      </c>
      <c r="F907" s="1">
        <f>IF(F906-SUM(F908:F911)&lt;0,0,F906-SUM(F908:F911))</f>
        <v>1.4243291821629971</v>
      </c>
      <c r="G907" s="1">
        <f t="shared" ref="G907:K907" si="1093">IF(G906-SUM(G908:G911)&lt;0,0,G906-SUM(G908:G911))</f>
        <v>1.5546718637697032</v>
      </c>
      <c r="H907" s="1">
        <f t="shared" si="1093"/>
        <v>1.361453738327588</v>
      </c>
      <c r="I907" s="1">
        <f t="shared" si="1093"/>
        <v>1.2246722071096277</v>
      </c>
      <c r="J907" s="1">
        <f t="shared" si="1093"/>
        <v>0.9907228912100785</v>
      </c>
      <c r="K907" s="1">
        <f t="shared" si="1093"/>
        <v>0.83551383834978066</v>
      </c>
      <c r="L907" s="1">
        <f t="shared" ref="L907:O907" si="1094">IF(L906-SUM(L908:L911)&lt;0,0,L906-SUM(L908:L911))</f>
        <v>0.72156226284439617</v>
      </c>
      <c r="M907" s="1">
        <f t="shared" si="1094"/>
        <v>0.68642158467451586</v>
      </c>
      <c r="N907" s="1">
        <f t="shared" si="1094"/>
        <v>0.63002391564290439</v>
      </c>
      <c r="O907" s="1">
        <f t="shared" si="1094"/>
        <v>0.53948128491567571</v>
      </c>
      <c r="P907" s="1">
        <f>IF(P906-SUM(P908:P911)&lt;0,0,P906-SUM(P908:P911))</f>
        <v>0.59748837157405355</v>
      </c>
      <c r="Q907" s="1">
        <f>IF(Q906-SUM(Q908:Q911)&lt;0,0,Q906-SUM(Q908:Q911))</f>
        <v>0.64432793084634898</v>
      </c>
      <c r="S907" s="3"/>
    </row>
    <row r="908" spans="2:19" x14ac:dyDescent="0.5">
      <c r="B908" s="5" t="str">
        <f t="shared" si="1076"/>
        <v>SPS1</v>
      </c>
      <c r="C908" s="5" t="str">
        <f t="shared" si="1077"/>
        <v>CH</v>
      </c>
      <c r="D908" t="s">
        <v>503</v>
      </c>
      <c r="E908" t="s">
        <v>8</v>
      </c>
      <c r="F908" s="1">
        <f t="shared" ref="F908:K908" si="1095">F249*F906/SUM(F248:F250)</f>
        <v>0.69260976915197525</v>
      </c>
      <c r="G908" s="1">
        <f t="shared" si="1095"/>
        <v>0.73837290111349085</v>
      </c>
      <c r="H908" s="1">
        <f t="shared" si="1095"/>
        <v>0.91123443882987576</v>
      </c>
      <c r="I908" s="1">
        <f t="shared" si="1095"/>
        <v>0.84583383253799183</v>
      </c>
      <c r="J908" s="1">
        <f t="shared" si="1095"/>
        <v>0.75354716856491588</v>
      </c>
      <c r="K908" s="1">
        <f t="shared" si="1095"/>
        <v>0.41272763004446189</v>
      </c>
      <c r="L908" s="1">
        <f t="shared" ref="L908:O908" si="1096">L249*L906/SUM(L248:L250)</f>
        <v>0</v>
      </c>
      <c r="M908" s="1">
        <f t="shared" si="1096"/>
        <v>0</v>
      </c>
      <c r="N908" s="1">
        <f t="shared" si="1096"/>
        <v>8.2893419454701227E-3</v>
      </c>
      <c r="O908" s="1">
        <f t="shared" si="1096"/>
        <v>8.1775736118323891E-3</v>
      </c>
      <c r="P908" s="1">
        <f>P249*P906/SUM(P248:P250)</f>
        <v>1.3926159502181883E-2</v>
      </c>
      <c r="Q908" s="1">
        <f>Q249*Q906/SUM(Q248:Q250)</f>
        <v>2.1056551485839018E-2</v>
      </c>
      <c r="S908" s="3"/>
    </row>
    <row r="909" spans="2:19" x14ac:dyDescent="0.5">
      <c r="B909" s="5" t="str">
        <f t="shared" si="1076"/>
        <v>SPS1</v>
      </c>
      <c r="C909" s="5" t="str">
        <f t="shared" si="1077"/>
        <v>CH</v>
      </c>
      <c r="D909" t="s">
        <v>504</v>
      </c>
      <c r="E909" t="s">
        <v>8</v>
      </c>
      <c r="F909" s="1">
        <f>F250*F906/SUM(F248:F250)</f>
        <v>0</v>
      </c>
      <c r="G909" s="1">
        <f>G250*G906/SUM(G248:G250)</f>
        <v>0</v>
      </c>
      <c r="H909" s="1">
        <f t="shared" ref="H909:K909" si="1097">H250*H906/SUM(H248:H250)</f>
        <v>0</v>
      </c>
      <c r="I909" s="1">
        <f t="shared" si="1097"/>
        <v>0</v>
      </c>
      <c r="J909" s="1">
        <f t="shared" si="1097"/>
        <v>0</v>
      </c>
      <c r="K909" s="1">
        <f t="shared" si="1097"/>
        <v>0</v>
      </c>
      <c r="L909" s="1">
        <f t="shared" ref="L909:O909" si="1098">L250*L906/SUM(L248:L250)</f>
        <v>0</v>
      </c>
      <c r="M909" s="1">
        <f t="shared" si="1098"/>
        <v>0</v>
      </c>
      <c r="N909" s="1">
        <f t="shared" si="1098"/>
        <v>8.8036711987633776E-4</v>
      </c>
      <c r="O909" s="1">
        <f t="shared" si="1098"/>
        <v>9.6011769600869493E-4</v>
      </c>
      <c r="P909" s="1">
        <f>P250*P906/SUM(P248:P250)</f>
        <v>1.7667655497245762E-3</v>
      </c>
      <c r="Q909" s="1">
        <f>Q250*Q906/SUM(Q248:Q250)</f>
        <v>3.5015265952898509E-3</v>
      </c>
      <c r="S909" s="3"/>
    </row>
    <row r="910" spans="2:19" x14ac:dyDescent="0.5">
      <c r="B910" s="5" t="str">
        <f t="shared" si="1076"/>
        <v>SPS1</v>
      </c>
      <c r="C910" s="5" t="str">
        <f t="shared" si="1077"/>
        <v>CH</v>
      </c>
      <c r="D910" t="s">
        <v>505</v>
      </c>
      <c r="E910" t="s">
        <v>8</v>
      </c>
      <c r="F910" s="1">
        <f>F287*F906/SUM(F248:F250)</f>
        <v>0</v>
      </c>
      <c r="G910" s="1">
        <f t="shared" ref="G910:K910" si="1099">G287*G906/SUM(G248:G250)</f>
        <v>0</v>
      </c>
      <c r="H910" s="1">
        <f t="shared" si="1099"/>
        <v>0</v>
      </c>
      <c r="I910" s="1">
        <f t="shared" si="1099"/>
        <v>3.2448679824196506E-3</v>
      </c>
      <c r="J910" s="1">
        <f t="shared" si="1099"/>
        <v>5.1462674734367988E-3</v>
      </c>
      <c r="K910" s="1">
        <f t="shared" si="1099"/>
        <v>1.1759058079071981E-2</v>
      </c>
      <c r="L910" s="1">
        <f t="shared" ref="L910:O910" si="1100">L287*L906/SUM(L248:L250)</f>
        <v>8.2956262718062064E-3</v>
      </c>
      <c r="M910" s="1">
        <f t="shared" si="1100"/>
        <v>1.1346076557366252E-2</v>
      </c>
      <c r="N910" s="1">
        <f t="shared" si="1100"/>
        <v>7.69234094420157E-3</v>
      </c>
      <c r="O910" s="1">
        <f t="shared" si="1100"/>
        <v>4.5431436813104025E-3</v>
      </c>
      <c r="P910" s="1">
        <f>P287*P906/SUM(P248:P250)</f>
        <v>9.6141616565647674E-3</v>
      </c>
      <c r="Q910" s="1">
        <f>Q287*Q906/SUM(Q248:Q250)</f>
        <v>8.9032451927409089E-3</v>
      </c>
      <c r="S910" s="3"/>
    </row>
    <row r="911" spans="2:19" x14ac:dyDescent="0.5">
      <c r="B911" s="5" t="str">
        <f t="shared" si="1076"/>
        <v>SPS1</v>
      </c>
      <c r="C911" s="5" t="str">
        <f t="shared" si="1077"/>
        <v>CH</v>
      </c>
      <c r="D911" t="s">
        <v>506</v>
      </c>
      <c r="E911" t="s">
        <v>8</v>
      </c>
      <c r="F911" s="1">
        <f t="shared" ref="F911:K911" si="1101">F290</f>
        <v>0</v>
      </c>
      <c r="G911" s="1">
        <f t="shared" si="1101"/>
        <v>0</v>
      </c>
      <c r="H911" s="1">
        <f t="shared" si="1101"/>
        <v>0</v>
      </c>
      <c r="I911" s="1">
        <f t="shared" si="1101"/>
        <v>4.2668779561106538E-3</v>
      </c>
      <c r="J911" s="1">
        <f t="shared" si="1101"/>
        <v>1.3898351050947527E-2</v>
      </c>
      <c r="K911" s="1">
        <f t="shared" si="1101"/>
        <v>1.2015235839599786E-2</v>
      </c>
      <c r="L911" s="1">
        <f t="shared" ref="L911:O911" si="1102">L290</f>
        <v>9.0071193248363341E-3</v>
      </c>
      <c r="M911" s="1">
        <f t="shared" si="1102"/>
        <v>2.596646723628954E-2</v>
      </c>
      <c r="N911" s="1">
        <f t="shared" si="1102"/>
        <v>3.1492133571868801E-2</v>
      </c>
      <c r="O911" s="1">
        <f t="shared" si="1102"/>
        <v>3.1017299167455124E-2</v>
      </c>
      <c r="P911" s="1">
        <f>P290</f>
        <v>0.10214865526066945</v>
      </c>
      <c r="Q911" s="1">
        <f>Q290</f>
        <v>0.22659109045331471</v>
      </c>
      <c r="S911" s="3"/>
    </row>
    <row r="912" spans="2:19" x14ac:dyDescent="0.5">
      <c r="B912" s="5" t="str">
        <f t="shared" si="1076"/>
        <v>SPS1</v>
      </c>
      <c r="C912" s="5" t="str">
        <f t="shared" si="1077"/>
        <v>CH</v>
      </c>
      <c r="D912" t="s">
        <v>970</v>
      </c>
      <c r="E912" t="s">
        <v>8</v>
      </c>
      <c r="F912" s="1">
        <f>F905-F906</f>
        <v>5.6100286972858715</v>
      </c>
      <c r="G912" s="1">
        <f t="shared" ref="G912:K912" si="1103">G905-G906</f>
        <v>6.076731059509572</v>
      </c>
      <c r="H912" s="1">
        <f t="shared" si="1103"/>
        <v>6.0767350562406008</v>
      </c>
      <c r="I912" s="1">
        <f t="shared" si="1103"/>
        <v>6.0767372387499368</v>
      </c>
      <c r="J912" s="1">
        <f t="shared" si="1103"/>
        <v>6.0767480522345991</v>
      </c>
      <c r="K912" s="1">
        <f t="shared" si="1103"/>
        <v>6.0912835208675631</v>
      </c>
      <c r="L912" s="1">
        <f t="shared" ref="L912:O912" si="1104">L905-L906</f>
        <v>7.801017344308427</v>
      </c>
      <c r="M912" s="1">
        <f t="shared" si="1104"/>
        <v>8.1525479669736161</v>
      </c>
      <c r="N912" s="1">
        <f t="shared" si="1104"/>
        <v>8.1525801784035394</v>
      </c>
      <c r="O912" s="1">
        <f t="shared" si="1104"/>
        <v>8.1526079769933695</v>
      </c>
      <c r="P912" s="1">
        <f>P905-P906</f>
        <v>8.2601000271209344</v>
      </c>
      <c r="Q912" s="1">
        <f>Q905-Q906</f>
        <v>8.2601929153073126</v>
      </c>
      <c r="S912" s="3"/>
    </row>
    <row r="913" spans="2:19" x14ac:dyDescent="0.5">
      <c r="B913" s="5" t="str">
        <f t="shared" si="1076"/>
        <v>SPS1</v>
      </c>
      <c r="C913" s="5" t="str">
        <f t="shared" si="1077"/>
        <v>CH</v>
      </c>
      <c r="D913" t="s">
        <v>971</v>
      </c>
      <c r="E913" t="s">
        <v>8</v>
      </c>
      <c r="F913" s="1">
        <f>F914</f>
        <v>8.5744064569769716</v>
      </c>
      <c r="G913" s="1">
        <f t="shared" ref="G913:O913" si="1105">G914</f>
        <v>8.4065412009288245</v>
      </c>
      <c r="H913" s="1">
        <f t="shared" si="1105"/>
        <v>8.5215536579743958</v>
      </c>
      <c r="I913" s="1">
        <f t="shared" si="1105"/>
        <v>8.4079702612746754</v>
      </c>
      <c r="J913" s="1">
        <f t="shared" si="1105"/>
        <v>10.47583280898816</v>
      </c>
      <c r="K913" s="1">
        <f t="shared" si="1105"/>
        <v>13.417035268423405</v>
      </c>
      <c r="L913" s="1">
        <f t="shared" si="1105"/>
        <v>22.990746123966304</v>
      </c>
      <c r="M913" s="1">
        <f t="shared" si="1105"/>
        <v>8.7774781429198487</v>
      </c>
      <c r="N913" s="1">
        <f t="shared" si="1105"/>
        <v>3.1732642511257532</v>
      </c>
      <c r="O913" s="1">
        <f t="shared" si="1105"/>
        <v>2.1493328630134494</v>
      </c>
      <c r="P913" s="1">
        <f>P914</f>
        <v>0.51972088376129599</v>
      </c>
      <c r="Q913" s="1">
        <f>Q914</f>
        <v>0.52146249150492263</v>
      </c>
      <c r="S913" s="3"/>
    </row>
    <row r="914" spans="2:19" x14ac:dyDescent="0.5">
      <c r="B914" s="5" t="str">
        <f t="shared" si="1076"/>
        <v>SPS1</v>
      </c>
      <c r="C914" s="5" t="str">
        <f t="shared" si="1077"/>
        <v>CH</v>
      </c>
      <c r="D914" t="s">
        <v>972</v>
      </c>
      <c r="E914" t="s">
        <v>8</v>
      </c>
      <c r="F914" s="1" cm="1">
        <f t="array" ref="F914">SUMPRODUCT(([1]OUT_FinalEnergyCons!$B$4:$B$10000="Var_Fin")*1, ISNUMBER(SEARCH("WOD",[1]OUT_FinalEnergyCons!$C$4:$C$10000))*1,(ISNUMBER(SEARCH("SCOM-SHWODBR",[1]OUT_FinalEnergyCons!$A$4:$A$10000)))*1,[1]OUT_FinalEnergyCons!D$4:D$10000)</f>
        <v>8.5744064569769716</v>
      </c>
      <c r="G914" s="1" cm="1">
        <f t="array" ref="G914">SUMPRODUCT(([1]OUT_FinalEnergyCons!$B$4:$B$10000="Var_Fin")*1, ISNUMBER(SEARCH("WOD",[1]OUT_FinalEnergyCons!$C$4:$C$10000))*1,(ISNUMBER(SEARCH("SCOM-SHWODBR",[1]OUT_FinalEnergyCons!$A$4:$A$10000)))*1,[1]OUT_FinalEnergyCons!E$4:E$10000)</f>
        <v>8.4065412009288245</v>
      </c>
      <c r="H914" s="1" cm="1">
        <f t="array" ref="H914">SUMPRODUCT(([1]OUT_FinalEnergyCons!$B$4:$B$10000="Var_Fin")*1, ISNUMBER(SEARCH("WOD",[1]OUT_FinalEnergyCons!$C$4:$C$10000))*1,(ISNUMBER(SEARCH("SCOM-SHWODBR",[1]OUT_FinalEnergyCons!$A$4:$A$10000)))*1,[1]OUT_FinalEnergyCons!F$4:F$10000)</f>
        <v>8.5215536579743958</v>
      </c>
      <c r="I914" s="1" cm="1">
        <f t="array" ref="I914">SUMPRODUCT(([1]OUT_FinalEnergyCons!$B$4:$B$10000="Var_Fin")*1, ISNUMBER(SEARCH("WOD",[1]OUT_FinalEnergyCons!$C$4:$C$10000))*1,(ISNUMBER(SEARCH("SCOM-SHWODBR",[1]OUT_FinalEnergyCons!$A$4:$A$10000)))*1,[1]OUT_FinalEnergyCons!G$4:G$10000)</f>
        <v>8.4079702612746754</v>
      </c>
      <c r="J914" s="1" cm="1">
        <f t="array" ref="J914">SUMPRODUCT(([1]OUT_FinalEnergyCons!$B$4:$B$10000="Var_Fin")*1, ISNUMBER(SEARCH("WOD",[1]OUT_FinalEnergyCons!$C$4:$C$10000))*1,(ISNUMBER(SEARCH("SCOM-SHWODBR",[1]OUT_FinalEnergyCons!$A$4:$A$10000)))*1,[1]OUT_FinalEnergyCons!H$4:H$10000)</f>
        <v>10.47583280898816</v>
      </c>
      <c r="K914" s="1" cm="1">
        <f t="array" ref="K914">SUMPRODUCT(([1]OUT_FinalEnergyCons!$B$4:$B$10000="Var_Fin")*1, ISNUMBER(SEARCH("WOD",[1]OUT_FinalEnergyCons!$C$4:$C$10000))*1,(ISNUMBER(SEARCH("SCOM-SHWODBR",[1]OUT_FinalEnergyCons!$A$4:$A$10000)))*1,[1]OUT_FinalEnergyCons!I$4:I$10000)</f>
        <v>13.417035268423405</v>
      </c>
      <c r="L914" s="1" cm="1">
        <f t="array" ref="L914">SUMPRODUCT(([1]OUT_FinalEnergyCons!$B$4:$B$10000="Var_Fin")*1, ISNUMBER(SEARCH("WOD",[1]OUT_FinalEnergyCons!$C$4:$C$10000))*1,(ISNUMBER(SEARCH("SCOM-SHWODBR",[1]OUT_FinalEnergyCons!$A$4:$A$10000)))*1,[1]OUT_FinalEnergyCons!J$4:J$10000)</f>
        <v>22.990746123966304</v>
      </c>
      <c r="M914" s="1" cm="1">
        <f t="array" ref="M914">SUMPRODUCT(([1]OUT_FinalEnergyCons!$B$4:$B$10000="Var_Fin")*1, ISNUMBER(SEARCH("WOD",[1]OUT_FinalEnergyCons!$C$4:$C$10000))*1,(ISNUMBER(SEARCH("SCOM-SHWODBR",[1]OUT_FinalEnergyCons!$A$4:$A$10000)))*1,[1]OUT_FinalEnergyCons!K$4:K$10000)</f>
        <v>8.7774781429198487</v>
      </c>
      <c r="N914" s="1" cm="1">
        <f t="array" ref="N914">SUMPRODUCT(([1]OUT_FinalEnergyCons!$B$4:$B$10000="Var_Fin")*1, ISNUMBER(SEARCH("WOD",[1]OUT_FinalEnergyCons!$C$4:$C$10000))*1,(ISNUMBER(SEARCH("SCOM-SHWODBR",[1]OUT_FinalEnergyCons!$A$4:$A$10000)))*1,[1]OUT_FinalEnergyCons!L$4:L$10000)</f>
        <v>3.1732642511257532</v>
      </c>
      <c r="O914" s="1" cm="1">
        <f t="array" ref="O914">SUMPRODUCT(([1]OUT_FinalEnergyCons!$B$4:$B$10000="Var_Fin")*1, ISNUMBER(SEARCH("WOD",[1]OUT_FinalEnergyCons!$C$4:$C$10000))*1,(ISNUMBER(SEARCH("SCOM-SHWODBR",[1]OUT_FinalEnergyCons!$A$4:$A$10000)))*1,[1]OUT_FinalEnergyCons!M$4:M$10000)</f>
        <v>2.1493328630134494</v>
      </c>
      <c r="P914" s="1" cm="1">
        <f t="array" ref="P914">SUMPRODUCT(([1]OUT_FinalEnergyCons!$B$4:$B$10000="Var_Fin")*1, ISNUMBER(SEARCH("WOD",[1]OUT_FinalEnergyCons!$C$4:$C$10000))*1,(ISNUMBER(SEARCH("SCOM-SHWODBR",[1]OUT_FinalEnergyCons!$A$4:$A$10000)))*1,[1]OUT_FinalEnergyCons!N$4:N$10000)</f>
        <v>0.51972088376129599</v>
      </c>
      <c r="Q914" s="1" cm="1">
        <f t="array" ref="Q914">SUMPRODUCT(([1]OUT_FinalEnergyCons!$B$4:$B$10000="Var_Fin")*1, ISNUMBER(SEARCH("WOD",[1]OUT_FinalEnergyCons!$C$4:$C$10000))*1,(ISNUMBER(SEARCH("SCOM-SHWODBR",[1]OUT_FinalEnergyCons!$A$4:$A$10000)))*1,[1]OUT_FinalEnergyCons!O$4:O$10000)</f>
        <v>0.52146249150492263</v>
      </c>
      <c r="S914" s="3"/>
    </row>
    <row r="915" spans="2:19" x14ac:dyDescent="0.5">
      <c r="B915" s="5" t="str">
        <f t="shared" si="1076"/>
        <v>SPS1</v>
      </c>
      <c r="C915" s="5" t="str">
        <f t="shared" si="1077"/>
        <v>CH</v>
      </c>
      <c r="D915" t="s">
        <v>973</v>
      </c>
      <c r="E915" t="s">
        <v>8</v>
      </c>
      <c r="F915" s="1">
        <f>F916</f>
        <v>2.0856645756020882</v>
      </c>
      <c r="G915" s="1">
        <f t="shared" ref="G915:O915" si="1106">G916</f>
        <v>2.4001222873750088</v>
      </c>
      <c r="H915" s="1">
        <f t="shared" si="1106"/>
        <v>2.0094666962344134</v>
      </c>
      <c r="I915" s="1">
        <f t="shared" si="1106"/>
        <v>2.1752547073304038</v>
      </c>
      <c r="J915" s="1">
        <f t="shared" si="1106"/>
        <v>2.2997708887666866</v>
      </c>
      <c r="K915" s="1">
        <f t="shared" si="1106"/>
        <v>2.4399665054912796</v>
      </c>
      <c r="L915" s="1">
        <f t="shared" si="1106"/>
        <v>2.3976168735110543</v>
      </c>
      <c r="M915" s="1">
        <f t="shared" si="1106"/>
        <v>2.4274371819577114</v>
      </c>
      <c r="N915" s="1">
        <f t="shared" si="1106"/>
        <v>2.3888853154271912</v>
      </c>
      <c r="O915" s="1">
        <f t="shared" si="1106"/>
        <v>2.4067004006270194</v>
      </c>
      <c r="P915" s="1">
        <f>P916</f>
        <v>2.407307839292776</v>
      </c>
      <c r="Q915" s="1">
        <f>Q916</f>
        <v>2.4088065124837779</v>
      </c>
      <c r="S915" s="3"/>
    </row>
    <row r="916" spans="2:19" x14ac:dyDescent="0.5">
      <c r="B916" s="5" t="str">
        <f t="shared" si="1076"/>
        <v>SPS1</v>
      </c>
      <c r="C916" s="5" t="str">
        <f t="shared" si="1077"/>
        <v>CH</v>
      </c>
      <c r="D916" t="s">
        <v>974</v>
      </c>
      <c r="E916" t="s">
        <v>8</v>
      </c>
      <c r="F916" s="1" cm="1">
        <f t="array" ref="F916">SUMPRODUCT(([1]OUT_FinalEnergyCons!$B$4:$B$10000="Var_Fin")*1,ISNUMBER(SEARCH("SPLT",[1]OUT_FinalEnergyCons!$C$4:$C$10000))*1, (ISNUMBER(SEARCH("SCOM-SHPLTBR",[1]OUT_FinalEnergyCons!$A$4:$A$10000)))*1,[1]OUT_FinalEnergyCons!D$4:D$10000)</f>
        <v>2.0856645756020882</v>
      </c>
      <c r="G916" s="1" cm="1">
        <f t="array" ref="G916">SUMPRODUCT(([1]OUT_FinalEnergyCons!$B$4:$B$10000="Var_Fin")*1,ISNUMBER(SEARCH("SPLT",[1]OUT_FinalEnergyCons!$C$4:$C$10000))*1, (ISNUMBER(SEARCH("SCOM-SHPLTBR",[1]OUT_FinalEnergyCons!$A$4:$A$10000)))*1,[1]OUT_FinalEnergyCons!E$4:E$10000)</f>
        <v>2.4001222873750088</v>
      </c>
      <c r="H916" s="1" cm="1">
        <f t="array" ref="H916">SUMPRODUCT(([1]OUT_FinalEnergyCons!$B$4:$B$10000="Var_Fin")*1,ISNUMBER(SEARCH("SPLT",[1]OUT_FinalEnergyCons!$C$4:$C$10000))*1, (ISNUMBER(SEARCH("SCOM-SHPLTBR",[1]OUT_FinalEnergyCons!$A$4:$A$10000)))*1,[1]OUT_FinalEnergyCons!F$4:F$10000)</f>
        <v>2.0094666962344134</v>
      </c>
      <c r="I916" s="1" cm="1">
        <f t="array" ref="I916">SUMPRODUCT(([1]OUT_FinalEnergyCons!$B$4:$B$10000="Var_Fin")*1,ISNUMBER(SEARCH("SPLT",[1]OUT_FinalEnergyCons!$C$4:$C$10000))*1, (ISNUMBER(SEARCH("SCOM-SHPLTBR",[1]OUT_FinalEnergyCons!$A$4:$A$10000)))*1,[1]OUT_FinalEnergyCons!G$4:G$10000)</f>
        <v>2.1752547073304038</v>
      </c>
      <c r="J916" s="1" cm="1">
        <f t="array" ref="J916">SUMPRODUCT(([1]OUT_FinalEnergyCons!$B$4:$B$10000="Var_Fin")*1,ISNUMBER(SEARCH("SPLT",[1]OUT_FinalEnergyCons!$C$4:$C$10000))*1, (ISNUMBER(SEARCH("SCOM-SHPLTBR",[1]OUT_FinalEnergyCons!$A$4:$A$10000)))*1,[1]OUT_FinalEnergyCons!H$4:H$10000)</f>
        <v>2.2997708887666866</v>
      </c>
      <c r="K916" s="1" cm="1">
        <f t="array" ref="K916">SUMPRODUCT(([1]OUT_FinalEnergyCons!$B$4:$B$10000="Var_Fin")*1,ISNUMBER(SEARCH("SPLT",[1]OUT_FinalEnergyCons!$C$4:$C$10000))*1, (ISNUMBER(SEARCH("SCOM-SHPLTBR",[1]OUT_FinalEnergyCons!$A$4:$A$10000)))*1,[1]OUT_FinalEnergyCons!I$4:I$10000)</f>
        <v>2.4399665054912796</v>
      </c>
      <c r="L916" s="1" cm="1">
        <f t="array" ref="L916">SUMPRODUCT(([1]OUT_FinalEnergyCons!$B$4:$B$10000="Var_Fin")*1,ISNUMBER(SEARCH("SPLT",[1]OUT_FinalEnergyCons!$C$4:$C$10000))*1, (ISNUMBER(SEARCH("SCOM-SHPLTBR",[1]OUT_FinalEnergyCons!$A$4:$A$10000)))*1,[1]OUT_FinalEnergyCons!J$4:J$10000)</f>
        <v>2.3976168735110543</v>
      </c>
      <c r="M916" s="1" cm="1">
        <f t="array" ref="M916">SUMPRODUCT(([1]OUT_FinalEnergyCons!$B$4:$B$10000="Var_Fin")*1,ISNUMBER(SEARCH("SPLT",[1]OUT_FinalEnergyCons!$C$4:$C$10000))*1, (ISNUMBER(SEARCH("SCOM-SHPLTBR",[1]OUT_FinalEnergyCons!$A$4:$A$10000)))*1,[1]OUT_FinalEnergyCons!K$4:K$10000)</f>
        <v>2.4274371819577114</v>
      </c>
      <c r="N916" s="1" cm="1">
        <f t="array" ref="N916">SUMPRODUCT(([1]OUT_FinalEnergyCons!$B$4:$B$10000="Var_Fin")*1,ISNUMBER(SEARCH("SPLT",[1]OUT_FinalEnergyCons!$C$4:$C$10000))*1, (ISNUMBER(SEARCH("SCOM-SHPLTBR",[1]OUT_FinalEnergyCons!$A$4:$A$10000)))*1,[1]OUT_FinalEnergyCons!L$4:L$10000)</f>
        <v>2.3888853154271912</v>
      </c>
      <c r="O916" s="1" cm="1">
        <f t="array" ref="O916">SUMPRODUCT(([1]OUT_FinalEnergyCons!$B$4:$B$10000="Var_Fin")*1,ISNUMBER(SEARCH("SPLT",[1]OUT_FinalEnergyCons!$C$4:$C$10000))*1, (ISNUMBER(SEARCH("SCOM-SHPLTBR",[1]OUT_FinalEnergyCons!$A$4:$A$10000)))*1,[1]OUT_FinalEnergyCons!M$4:M$10000)</f>
        <v>2.4067004006270194</v>
      </c>
      <c r="P916" s="1" cm="1">
        <f t="array" ref="P916">SUMPRODUCT(([1]OUT_FinalEnergyCons!$B$4:$B$10000="Var_Fin")*1,ISNUMBER(SEARCH("SPLT",[1]OUT_FinalEnergyCons!$C$4:$C$10000))*1, (ISNUMBER(SEARCH("SCOM-SHPLTBR",[1]OUT_FinalEnergyCons!$A$4:$A$10000)))*1,[1]OUT_FinalEnergyCons!N$4:N$10000)</f>
        <v>2.407307839292776</v>
      </c>
      <c r="Q916" s="1" cm="1">
        <f t="array" ref="Q916">SUMPRODUCT(([1]OUT_FinalEnergyCons!$B$4:$B$10000="Var_Fin")*1,ISNUMBER(SEARCH("SPLT",[1]OUT_FinalEnergyCons!$C$4:$C$10000))*1, (ISNUMBER(SEARCH("SCOM-SHPLTBR",[1]OUT_FinalEnergyCons!$A$4:$A$10000)))*1,[1]OUT_FinalEnergyCons!O$4:O$10000)</f>
        <v>2.4088065124837779</v>
      </c>
      <c r="S916" s="3"/>
    </row>
    <row r="917" spans="2:19" x14ac:dyDescent="0.5">
      <c r="B917" s="5" t="str">
        <f t="shared" si="1076"/>
        <v>SPS1</v>
      </c>
      <c r="C917" s="5" t="str">
        <f t="shared" si="1077"/>
        <v>CH</v>
      </c>
      <c r="D917" t="s">
        <v>975</v>
      </c>
      <c r="E917" t="s">
        <v>8</v>
      </c>
      <c r="F917" s="1">
        <f>F918</f>
        <v>0.62700963628317508</v>
      </c>
      <c r="G917" s="1">
        <f t="shared" ref="G917:O917" si="1107">G918</f>
        <v>0.6873475556160199</v>
      </c>
      <c r="H917" s="1">
        <f t="shared" si="1107"/>
        <v>0.68524938090148224</v>
      </c>
      <c r="I917" s="1">
        <f t="shared" si="1107"/>
        <v>0.6875647032137796</v>
      </c>
      <c r="J917" s="1">
        <f t="shared" si="1107"/>
        <v>3.4200452283611193</v>
      </c>
      <c r="K917" s="1">
        <f t="shared" si="1107"/>
        <v>5.7831119583565451</v>
      </c>
      <c r="L917" s="1">
        <f t="shared" si="1107"/>
        <v>6.7634475792239312</v>
      </c>
      <c r="M917" s="1">
        <f t="shared" si="1107"/>
        <v>6.7642054636982971</v>
      </c>
      <c r="N917" s="1">
        <f t="shared" si="1107"/>
        <v>4.9410660559726569</v>
      </c>
      <c r="O917" s="1">
        <f t="shared" si="1107"/>
        <v>4.6981499410589675</v>
      </c>
      <c r="P917" s="1">
        <f>P918</f>
        <v>4.8094154602037085</v>
      </c>
      <c r="Q917" s="1">
        <f>Q918</f>
        <v>4.912920994932148</v>
      </c>
      <c r="S917" s="3"/>
    </row>
    <row r="918" spans="2:19" x14ac:dyDescent="0.5">
      <c r="B918" s="5" t="str">
        <f t="shared" si="1076"/>
        <v>SPS1</v>
      </c>
      <c r="C918" s="5" t="str">
        <f t="shared" si="1077"/>
        <v>CH</v>
      </c>
      <c r="D918" t="s">
        <v>976</v>
      </c>
      <c r="E918" t="s">
        <v>8</v>
      </c>
      <c r="F918" s="1">
        <f>[1]Services!B$19</f>
        <v>0.62700963628317508</v>
      </c>
      <c r="G918" s="1">
        <f>[1]Services!C$19</f>
        <v>0.6873475556160199</v>
      </c>
      <c r="H918" s="1">
        <f>[1]Services!D$19</f>
        <v>0.68524938090148224</v>
      </c>
      <c r="I918" s="1">
        <f>[1]Services!E$19</f>
        <v>0.6875647032137796</v>
      </c>
      <c r="J918" s="1">
        <f>[1]Services!F$19</f>
        <v>3.4200452283611193</v>
      </c>
      <c r="K918" s="1">
        <f>[1]Services!G$19</f>
        <v>5.7831119583565451</v>
      </c>
      <c r="L918" s="1">
        <f>[1]Services!H$19</f>
        <v>6.7634475792239312</v>
      </c>
      <c r="M918" s="1">
        <f>[1]Services!I$19</f>
        <v>6.7642054636982971</v>
      </c>
      <c r="N918" s="1">
        <f>[1]Services!J$19</f>
        <v>4.9410660559726569</v>
      </c>
      <c r="O918" s="1">
        <f>[1]Services!K$19</f>
        <v>4.6981499410589675</v>
      </c>
      <c r="P918" s="1">
        <f>[1]Services!L$19</f>
        <v>4.8094154602037085</v>
      </c>
      <c r="Q918" s="1">
        <f>[1]Services!M$19</f>
        <v>4.912920994932148</v>
      </c>
      <c r="S918" s="3"/>
    </row>
    <row r="919" spans="2:19" x14ac:dyDescent="0.5">
      <c r="B919" s="5" t="str">
        <f t="shared" si="1076"/>
        <v>SPS1</v>
      </c>
      <c r="C919" s="5" t="str">
        <f t="shared" si="1077"/>
        <v>CH</v>
      </c>
      <c r="D919" t="s">
        <v>977</v>
      </c>
      <c r="E919" t="s">
        <v>8</v>
      </c>
      <c r="F919" s="1">
        <f>[1]Services!B$20</f>
        <v>0</v>
      </c>
      <c r="G919" s="1">
        <f>[1]Services!C$20</f>
        <v>0</v>
      </c>
      <c r="H919" s="1">
        <f>[1]Services!D$20</f>
        <v>0</v>
      </c>
      <c r="I919" s="1">
        <f>[1]Services!E$20</f>
        <v>0.6291973853784536</v>
      </c>
      <c r="J919" s="1">
        <f>[1]Services!F$20</f>
        <v>0.55774412166634235</v>
      </c>
      <c r="K919" s="1">
        <f>[1]Services!G$20</f>
        <v>0.79147217511022228</v>
      </c>
      <c r="L919" s="1">
        <f>[1]Services!H$20</f>
        <v>0.16746958991954486</v>
      </c>
      <c r="M919" s="1">
        <f>[1]Services!I$20</f>
        <v>0.76807107223029591</v>
      </c>
      <c r="N919" s="1">
        <f>[1]Services!J$20</f>
        <v>1.7813703542273711</v>
      </c>
      <c r="O919" s="1">
        <f>[1]Services!K$20</f>
        <v>1.7545487731820724</v>
      </c>
      <c r="P919" s="1">
        <f>[1]Services!L$20</f>
        <v>1.7575987334723238</v>
      </c>
      <c r="Q919" s="1">
        <f>[1]Services!M$20</f>
        <v>1.0380018914569087</v>
      </c>
      <c r="S919" s="3"/>
    </row>
    <row r="920" spans="2:19" x14ac:dyDescent="0.5">
      <c r="B920" s="5" t="str">
        <f t="shared" si="1076"/>
        <v>SPS1</v>
      </c>
      <c r="C920" s="5" t="str">
        <f t="shared" si="1077"/>
        <v>CH</v>
      </c>
      <c r="D920" t="s">
        <v>746</v>
      </c>
      <c r="E920" t="s">
        <v>8</v>
      </c>
      <c r="F920" s="1">
        <f>F919-F921</f>
        <v>0</v>
      </c>
      <c r="G920" s="1">
        <f t="shared" ref="G920:K920" si="1108">G919-G921</f>
        <v>0</v>
      </c>
      <c r="H920" s="1">
        <f t="shared" si="1108"/>
        <v>0</v>
      </c>
      <c r="I920" s="1">
        <f t="shared" si="1108"/>
        <v>0</v>
      </c>
      <c r="J920" s="1">
        <f t="shared" si="1108"/>
        <v>0</v>
      </c>
      <c r="K920" s="1">
        <f t="shared" si="1108"/>
        <v>0</v>
      </c>
      <c r="L920" s="1">
        <f t="shared" ref="L920:O920" si="1109">L919-L921</f>
        <v>0</v>
      </c>
      <c r="M920" s="1">
        <f t="shared" si="1109"/>
        <v>0</v>
      </c>
      <c r="N920" s="1">
        <f t="shared" si="1109"/>
        <v>0</v>
      </c>
      <c r="O920" s="1">
        <f t="shared" si="1109"/>
        <v>0</v>
      </c>
      <c r="P920" s="1">
        <f>P919-P921</f>
        <v>0</v>
      </c>
      <c r="Q920" s="1">
        <f>Q919-Q921</f>
        <v>0</v>
      </c>
      <c r="S920" s="3"/>
    </row>
    <row r="921" spans="2:19" x14ac:dyDescent="0.5">
      <c r="B921" s="5" t="str">
        <f t="shared" si="1076"/>
        <v>SPS1</v>
      </c>
      <c r="C921" s="5" t="str">
        <f t="shared" si="1077"/>
        <v>CH</v>
      </c>
      <c r="D921" t="s">
        <v>747</v>
      </c>
      <c r="E921" t="s">
        <v>8</v>
      </c>
      <c r="F921" s="1">
        <f>F922</f>
        <v>0</v>
      </c>
      <c r="G921" s="1">
        <f t="shared" ref="G921:O921" si="1110">G922</f>
        <v>0</v>
      </c>
      <c r="H921" s="1">
        <f t="shared" si="1110"/>
        <v>0</v>
      </c>
      <c r="I921" s="1">
        <f t="shared" si="1110"/>
        <v>0.6291973853784536</v>
      </c>
      <c r="J921" s="1">
        <f t="shared" si="1110"/>
        <v>0.55774412166634235</v>
      </c>
      <c r="K921" s="1">
        <f t="shared" si="1110"/>
        <v>0.79147217511022228</v>
      </c>
      <c r="L921" s="1">
        <f t="shared" si="1110"/>
        <v>0.16746958991954486</v>
      </c>
      <c r="M921" s="1">
        <f t="shared" si="1110"/>
        <v>0.76807107223029591</v>
      </c>
      <c r="N921" s="1">
        <f t="shared" si="1110"/>
        <v>1.7813703542273711</v>
      </c>
      <c r="O921" s="1">
        <f t="shared" si="1110"/>
        <v>1.7545487731820724</v>
      </c>
      <c r="P921" s="1">
        <f>P922</f>
        <v>1.7575987334723238</v>
      </c>
      <c r="Q921" s="1">
        <f>Q922</f>
        <v>1.0380018914569087</v>
      </c>
      <c r="S921" s="3"/>
    </row>
    <row r="922" spans="2:19" x14ac:dyDescent="0.5">
      <c r="B922" s="5" t="str">
        <f>B919</f>
        <v>SPS1</v>
      </c>
      <c r="C922" s="5" t="str">
        <f>C919</f>
        <v>CH</v>
      </c>
      <c r="D922" t="s">
        <v>978</v>
      </c>
      <c r="E922" t="s">
        <v>8</v>
      </c>
      <c r="F922" s="1">
        <f>[1]Services!B$20</f>
        <v>0</v>
      </c>
      <c r="G922" s="1">
        <f>[1]Services!C$20</f>
        <v>0</v>
      </c>
      <c r="H922" s="1">
        <f>[1]Services!D$20</f>
        <v>0</v>
      </c>
      <c r="I922" s="1">
        <f>[1]Services!E$20</f>
        <v>0.6291973853784536</v>
      </c>
      <c r="J922" s="1">
        <f>[1]Services!F$20</f>
        <v>0.55774412166634235</v>
      </c>
      <c r="K922" s="1">
        <f>[1]Services!G$20</f>
        <v>0.79147217511022228</v>
      </c>
      <c r="L922" s="1">
        <f>[1]Services!H$20</f>
        <v>0.16746958991954486</v>
      </c>
      <c r="M922" s="1">
        <f>[1]Services!I$20</f>
        <v>0.76807107223029591</v>
      </c>
      <c r="N922" s="1">
        <f>[1]Services!J$20</f>
        <v>1.7813703542273711</v>
      </c>
      <c r="O922" s="1">
        <f>[1]Services!K$20</f>
        <v>1.7545487731820724</v>
      </c>
      <c r="P922" s="1">
        <f>[1]Services!L$20</f>
        <v>1.7575987334723238</v>
      </c>
      <c r="Q922" s="1">
        <f>[1]Services!M$20</f>
        <v>1.0380018914569087</v>
      </c>
      <c r="S922" s="3"/>
    </row>
    <row r="923" spans="2:19" x14ac:dyDescent="0.5">
      <c r="B923" s="5" t="str">
        <f t="shared" si="1076"/>
        <v>SPS1</v>
      </c>
      <c r="C923" s="5" t="str">
        <f t="shared" si="1077"/>
        <v>CH</v>
      </c>
      <c r="D923" t="s">
        <v>979</v>
      </c>
      <c r="E923" t="s">
        <v>8</v>
      </c>
      <c r="F923" s="1">
        <f>F924</f>
        <v>2.9295976408637605</v>
      </c>
      <c r="G923" s="1">
        <f t="shared" ref="G923:O923" si="1111">G924</f>
        <v>3.1924675271014546</v>
      </c>
      <c r="H923" s="1">
        <f t="shared" si="1111"/>
        <v>3.3599969286110034</v>
      </c>
      <c r="I923" s="1">
        <f t="shared" si="1111"/>
        <v>3.6675145024692153</v>
      </c>
      <c r="J923" s="1">
        <f t="shared" si="1111"/>
        <v>3.9608258053097596</v>
      </c>
      <c r="K923" s="1">
        <f t="shared" si="1111"/>
        <v>4.0051396168829871</v>
      </c>
      <c r="L923" s="1">
        <f t="shared" si="1111"/>
        <v>4.3877410862585515</v>
      </c>
      <c r="M923" s="1">
        <f t="shared" si="1111"/>
        <v>11.479177459086849</v>
      </c>
      <c r="N923" s="1">
        <f t="shared" si="1111"/>
        <v>12.824380548119436</v>
      </c>
      <c r="O923" s="1">
        <f t="shared" si="1111"/>
        <v>13.724651832494814</v>
      </c>
      <c r="P923" s="1">
        <f>P924</f>
        <v>14.714582836041526</v>
      </c>
      <c r="Q923" s="1">
        <f>Q924</f>
        <v>15.898226554637239</v>
      </c>
      <c r="S923" s="3"/>
    </row>
    <row r="924" spans="2:19" x14ac:dyDescent="0.5">
      <c r="B924" s="5" t="str">
        <f t="shared" si="1076"/>
        <v>SPS1</v>
      </c>
      <c r="C924" s="5" t="str">
        <f t="shared" si="1077"/>
        <v>CH</v>
      </c>
      <c r="D924" t="s">
        <v>980</v>
      </c>
      <c r="E924" t="s">
        <v>8</v>
      </c>
      <c r="F924" s="1">
        <f>[1]Services!B$21-F925</f>
        <v>2.9295976408637605</v>
      </c>
      <c r="G924" s="1">
        <f>[1]Services!C$21-G925</f>
        <v>3.1924675271014546</v>
      </c>
      <c r="H924" s="1">
        <f>[1]Services!D$21-H925</f>
        <v>3.3599969286110034</v>
      </c>
      <c r="I924" s="1">
        <f>[1]Services!E$21-I925</f>
        <v>3.6675145024692153</v>
      </c>
      <c r="J924" s="1">
        <f>[1]Services!F$21-J925</f>
        <v>3.9608258053097596</v>
      </c>
      <c r="K924" s="1">
        <f>[1]Services!G$21-K925</f>
        <v>4.0051396168829871</v>
      </c>
      <c r="L924" s="1">
        <f>[1]Services!H$21-L925</f>
        <v>4.3877410862585515</v>
      </c>
      <c r="M924" s="1">
        <f>[1]Services!I$21-M925</f>
        <v>11.479177459086849</v>
      </c>
      <c r="N924" s="1">
        <f>[1]Services!J$21-N925</f>
        <v>12.824380548119436</v>
      </c>
      <c r="O924" s="1">
        <f>[1]Services!K$21-O925</f>
        <v>13.724651832494814</v>
      </c>
      <c r="P924" s="1">
        <f>[1]Services!L$21-P925</f>
        <v>14.714582836041526</v>
      </c>
      <c r="Q924" s="1">
        <f>[1]Services!M$21-Q925</f>
        <v>15.898226554637239</v>
      </c>
      <c r="S924" s="3"/>
    </row>
    <row r="925" spans="2:19" x14ac:dyDescent="0.5">
      <c r="B925" s="5" t="str">
        <f t="shared" ref="B925" si="1112">B924</f>
        <v>SPS1</v>
      </c>
      <c r="C925" s="5" t="str">
        <f t="shared" ref="C925" si="1113">C924</f>
        <v>CH</v>
      </c>
      <c r="D925" t="s">
        <v>981</v>
      </c>
      <c r="E925" t="s">
        <v>8</v>
      </c>
      <c r="F925" s="1">
        <f>[1]Services!B$50-F896</f>
        <v>0</v>
      </c>
      <c r="G925" s="1">
        <f>[1]Services!C$50-G896</f>
        <v>0</v>
      </c>
      <c r="H925" s="1">
        <f>[1]Services!D$50-H896</f>
        <v>3.8717091773013256E-3</v>
      </c>
      <c r="I925" s="1">
        <f>[1]Services!E$50-I896</f>
        <v>3.5106036944259336E-3</v>
      </c>
      <c r="J925" s="1">
        <f>[1]Services!F$50-J896</f>
        <v>3.1295560009931236E-2</v>
      </c>
      <c r="K925" s="1">
        <f>[1]Services!G$50-K896</f>
        <v>0.26529282648334251</v>
      </c>
      <c r="L925" s="1">
        <f>[1]Services!H$50-L896</f>
        <v>0.27126661989423312</v>
      </c>
      <c r="M925" s="1">
        <f>[1]Services!I$50-M896</f>
        <v>0.43264256999320877</v>
      </c>
      <c r="N925" s="1">
        <f>[1]Services!J$50-N896</f>
        <v>0.11709175918086229</v>
      </c>
      <c r="O925" s="1">
        <f>[1]Services!K$50-O896</f>
        <v>0.19537133826520814</v>
      </c>
      <c r="P925" s="1">
        <f>[1]Services!L$50-P896</f>
        <v>0.26438907878755757</v>
      </c>
      <c r="Q925" s="1">
        <f>[1]Services!M$50-Q896</f>
        <v>0.24950014405177098</v>
      </c>
      <c r="S925" s="3"/>
    </row>
    <row r="926" spans="2:19" x14ac:dyDescent="0.5">
      <c r="B926" s="9" t="str">
        <f>B854</f>
        <v>SPS1</v>
      </c>
      <c r="C926" s="9" t="str">
        <f>C854</f>
        <v>CH</v>
      </c>
      <c r="D926" s="2" t="s">
        <v>697</v>
      </c>
      <c r="E926" s="9" t="s">
        <v>8</v>
      </c>
      <c r="F926" s="17">
        <f>[1]Services!B$59</f>
        <v>73.23860757918591</v>
      </c>
      <c r="G926" s="17">
        <f>[1]Services!C$59</f>
        <v>78.633773271279907</v>
      </c>
      <c r="H926" s="17">
        <f>[1]Services!D$59</f>
        <v>79.156429864236031</v>
      </c>
      <c r="I926" s="17">
        <f>[1]Services!E$59</f>
        <v>77.738354842593637</v>
      </c>
      <c r="J926" s="17">
        <f>[1]Services!F$59</f>
        <v>76.435534239300665</v>
      </c>
      <c r="K926" s="17">
        <f>[1]Services!G$59</f>
        <v>75.422023721430435</v>
      </c>
      <c r="L926" s="17">
        <f>[1]Services!H$59</f>
        <v>74.210365679035462</v>
      </c>
      <c r="M926" s="17">
        <f>[1]Services!I$59</f>
        <v>71.813276394452146</v>
      </c>
      <c r="N926" s="17">
        <f>[1]Services!J$59</f>
        <v>69.361589022039055</v>
      </c>
      <c r="O926" s="17">
        <f>[1]Services!K$59</f>
        <v>69.58994843527276</v>
      </c>
      <c r="P926" s="17">
        <f>[1]Services!L$59</f>
        <v>69.699091202119718</v>
      </c>
      <c r="Q926" s="17">
        <f>[1]Services!M$59</f>
        <v>69.860019935217593</v>
      </c>
      <c r="S926" s="3"/>
    </row>
    <row r="927" spans="2:19" x14ac:dyDescent="0.5">
      <c r="B927" s="5" t="str">
        <f>B926</f>
        <v>SPS1</v>
      </c>
      <c r="C927" s="5" t="str">
        <f>C926</f>
        <v>CH</v>
      </c>
      <c r="D927" t="s">
        <v>982</v>
      </c>
      <c r="E927" t="s">
        <v>8</v>
      </c>
      <c r="F927" s="1">
        <f>SUM(F928:F930)</f>
        <v>63.6500700232708</v>
      </c>
      <c r="G927" s="1">
        <f t="shared" ref="G927:K927" si="1114">SUM(G928:G930)</f>
        <v>63.321420296819568</v>
      </c>
      <c r="H927" s="1">
        <f t="shared" si="1114"/>
        <v>68.306662061233823</v>
      </c>
      <c r="I927" s="1">
        <f t="shared" si="1114"/>
        <v>68.950094934120017</v>
      </c>
      <c r="J927" s="1">
        <f t="shared" si="1114"/>
        <v>69.252365261017971</v>
      </c>
      <c r="K927" s="1">
        <f t="shared" si="1114"/>
        <v>69.380947752918374</v>
      </c>
      <c r="L927" s="1">
        <f t="shared" ref="L927:O927" si="1115">SUM(L928:L930)</f>
        <v>69.035590127130419</v>
      </c>
      <c r="M927" s="1">
        <f t="shared" si="1115"/>
        <v>77.857098417962575</v>
      </c>
      <c r="N927" s="1">
        <f t="shared" si="1115"/>
        <v>81.61890645958519</v>
      </c>
      <c r="O927" s="1">
        <f t="shared" si="1115"/>
        <v>83.706726898908599</v>
      </c>
      <c r="P927" s="1">
        <f>SUM(P928:P930)</f>
        <v>84.955289171394895</v>
      </c>
      <c r="Q927" s="1">
        <f>SUM(Q928:Q930)</f>
        <v>87.34456972220984</v>
      </c>
      <c r="S927" s="3"/>
    </row>
    <row r="928" spans="2:19" x14ac:dyDescent="0.5">
      <c r="B928" s="5" t="str">
        <f>B927</f>
        <v>SPS1</v>
      </c>
      <c r="C928" s="5" t="str">
        <f>C927</f>
        <v>CH</v>
      </c>
      <c r="D928" t="s">
        <v>760</v>
      </c>
      <c r="E928" t="s">
        <v>8</v>
      </c>
      <c r="F928" s="1" cm="1">
        <f t="array" ref="F928">SUMPRODUCT(([1]OUT_FinalEnergyCons!$B$4:$B$10000="Var_FOut")*1, ISNUMBER(SEARCH("SCOM-SHAELC",[1]OUT_FinalEnergyCons!$C$4:$C$10000))*1, (ISNUMBER(SEARCH("SCOM-SHELCBR",[1]OUT_FinalEnergyCons!$A$4:$A$10000)))*1,[1]OUT_FinalEnergyCons!D$4:D$10000)</f>
        <v>2.394062516192891</v>
      </c>
      <c r="G928" s="1" cm="1">
        <f t="array" ref="G928">SUMPRODUCT(([1]OUT_FinalEnergyCons!$B$4:$B$10000="Var_FOut")*1, ISNUMBER(SEARCH("SCOM-SHAELC",[1]OUT_FinalEnergyCons!$C$4:$C$10000))*1, (ISNUMBER(SEARCH("SCOM-SHELCBR",[1]OUT_FinalEnergyCons!$A$4:$A$10000)))*1,[1]OUT_FinalEnergyCons!E$4:E$10000)</f>
        <v>1.8212279210302661E-3</v>
      </c>
      <c r="H928" s="1" cm="1">
        <f t="array" ref="H928">SUMPRODUCT(([1]OUT_FinalEnergyCons!$B$4:$B$10000="Var_FOut")*1, ISNUMBER(SEARCH("SCOM-SHAELC",[1]OUT_FinalEnergyCons!$C$4:$C$10000))*1, (ISNUMBER(SEARCH("SCOM-SHELCBR",[1]OUT_FinalEnergyCons!$A$4:$A$10000)))*1,[1]OUT_FinalEnergyCons!F$4:F$10000)</f>
        <v>1.9474861159983512</v>
      </c>
      <c r="I928" s="1" cm="1">
        <f t="array" ref="I928">SUMPRODUCT(([1]OUT_FinalEnergyCons!$B$4:$B$10000="Var_FOut")*1, ISNUMBER(SEARCH("SCOM-SHAELC",[1]OUT_FinalEnergyCons!$C$4:$C$10000))*1, (ISNUMBER(SEARCH("SCOM-SHELCBR",[1]OUT_FinalEnergyCons!$A$4:$A$10000)))*1,[1]OUT_FinalEnergyCons!G$4:G$10000)</f>
        <v>1.6843345438899462</v>
      </c>
      <c r="J928" s="1" cm="1">
        <f t="array" ref="J928">SUMPRODUCT(([1]OUT_FinalEnergyCons!$B$4:$B$10000="Var_FOut")*1, ISNUMBER(SEARCH("SCOM-SHAELC",[1]OUT_FinalEnergyCons!$C$4:$C$10000))*1, (ISNUMBER(SEARCH("SCOM-SHELCBR",[1]OUT_FinalEnergyCons!$A$4:$A$10000)))*1,[1]OUT_FinalEnergyCons!H$4:H$10000)</f>
        <v>1.4146794295782583</v>
      </c>
      <c r="K928" s="1" cm="1">
        <f t="array" ref="K928">SUMPRODUCT(([1]OUT_FinalEnergyCons!$B$4:$B$10000="Var_FOut")*1, ISNUMBER(SEARCH("SCOM-SHAELC",[1]OUT_FinalEnergyCons!$C$4:$C$10000))*1, (ISNUMBER(SEARCH("SCOM-SHELCBR",[1]OUT_FinalEnergyCons!$A$4:$A$10000)))*1,[1]OUT_FinalEnergyCons!I$4:I$10000)</f>
        <v>1.177373894899731</v>
      </c>
      <c r="L928" s="1" cm="1">
        <f t="array" ref="L928">SUMPRODUCT(([1]OUT_FinalEnergyCons!$B$4:$B$10000="Var_FOut")*1, ISNUMBER(SEARCH("SCOM-SHAELC",[1]OUT_FinalEnergyCons!$C$4:$C$10000))*1, (ISNUMBER(SEARCH("SCOM-SHELCBR",[1]OUT_FinalEnergyCons!$A$4:$A$10000)))*1,[1]OUT_FinalEnergyCons!J$4:J$10000)</f>
        <v>0.88736711702779414</v>
      </c>
      <c r="M928" s="1" cm="1">
        <f t="array" ref="M928">SUMPRODUCT(([1]OUT_FinalEnergyCons!$B$4:$B$10000="Var_FOut")*1, ISNUMBER(SEARCH("SCOM-SHAELC",[1]OUT_FinalEnergyCons!$C$4:$C$10000))*1, (ISNUMBER(SEARCH("SCOM-SHELCBR",[1]OUT_FinalEnergyCons!$A$4:$A$10000)))*1,[1]OUT_FinalEnergyCons!K$4:K$10000)</f>
        <v>0.66562616345650416</v>
      </c>
      <c r="N928" s="1" cm="1">
        <f t="array" ref="N928">SUMPRODUCT(([1]OUT_FinalEnergyCons!$B$4:$B$10000="Var_FOut")*1, ISNUMBER(SEARCH("SCOM-SHAELC",[1]OUT_FinalEnergyCons!$C$4:$C$10000))*1, (ISNUMBER(SEARCH("SCOM-SHELCBR",[1]OUT_FinalEnergyCons!$A$4:$A$10000)))*1,[1]OUT_FinalEnergyCons!L$4:L$10000)</f>
        <v>1.5539795938020773</v>
      </c>
      <c r="O928" s="1" cm="1">
        <f t="array" ref="O928">SUMPRODUCT(([1]OUT_FinalEnergyCons!$B$4:$B$10000="Var_FOut")*1, ISNUMBER(SEARCH("SCOM-SHAELC",[1]OUT_FinalEnergyCons!$C$4:$C$10000))*1, (ISNUMBER(SEARCH("SCOM-SHELCBR",[1]OUT_FinalEnergyCons!$A$4:$A$10000)))*1,[1]OUT_FinalEnergyCons!M$4:M$10000)</f>
        <v>1.5654197553624714</v>
      </c>
      <c r="P928" s="1" cm="1">
        <f t="array" ref="P928">SUMPRODUCT(([1]OUT_FinalEnergyCons!$B$4:$B$10000="Var_FOut")*1, ISNUMBER(SEARCH("SCOM-SHAELC",[1]OUT_FinalEnergyCons!$C$4:$C$10000))*1, (ISNUMBER(SEARCH("SCOM-SHELCBR",[1]OUT_FinalEnergyCons!$A$4:$A$10000)))*1,[1]OUT_FinalEnergyCons!N$4:N$10000)</f>
        <v>0.6603438232423402</v>
      </c>
      <c r="Q928" s="1" cm="1">
        <f t="array" ref="Q928">SUMPRODUCT(([1]OUT_FinalEnergyCons!$B$4:$B$10000="Var_FOut")*1, ISNUMBER(SEARCH("SCOM-SHAELC",[1]OUT_FinalEnergyCons!$C$4:$C$10000))*1, (ISNUMBER(SEARCH("SCOM-SHELCBR",[1]OUT_FinalEnergyCons!$A$4:$A$10000)))*1,[1]OUT_FinalEnergyCons!O$4:O$10000)</f>
        <v>0.66981105766615623</v>
      </c>
      <c r="S928" s="3"/>
    </row>
    <row r="929" spans="2:19" x14ac:dyDescent="0.5">
      <c r="B929" s="5" t="str">
        <f t="shared" ref="B929:B932" si="1116">B928</f>
        <v>SPS1</v>
      </c>
      <c r="C929" s="5" t="str">
        <f t="shared" ref="C929:C932" si="1117">C928</f>
        <v>CH</v>
      </c>
      <c r="D929" t="s">
        <v>729</v>
      </c>
      <c r="E929" t="s">
        <v>8</v>
      </c>
      <c r="F929" s="1">
        <f>[1]Services!B$47</f>
        <v>4.2612329321654707</v>
      </c>
      <c r="G929" s="1">
        <f>[1]Services!C$47</f>
        <v>4.6176762445574608</v>
      </c>
      <c r="H929" s="1">
        <f>[1]Services!D$47</f>
        <v>4.8208651584418778</v>
      </c>
      <c r="I929" s="1">
        <f>[1]Services!E$47</f>
        <v>5.1956455451647212</v>
      </c>
      <c r="J929" s="1">
        <f>[1]Services!F$47</f>
        <v>5.5451561274336649</v>
      </c>
      <c r="K929" s="1">
        <f>[1]Services!G$47</f>
        <v>5.5455779310687516</v>
      </c>
      <c r="L929" s="1">
        <f>[1]Services!H$47</f>
        <v>6.0128303774654217</v>
      </c>
      <c r="M929" s="1">
        <f>[1]Services!I$47</f>
        <v>15.578883694475012</v>
      </c>
      <c r="N929" s="1">
        <f>[1]Services!J$47</f>
        <v>17.404516458162092</v>
      </c>
      <c r="O929" s="1">
        <f>[1]Services!K$47</f>
        <v>18.626313201242962</v>
      </c>
      <c r="P929" s="1">
        <f>[1]Services!L$47</f>
        <v>19.969790991770644</v>
      </c>
      <c r="Q929" s="1">
        <f>[1]Services!M$47</f>
        <v>21.576164609864819</v>
      </c>
      <c r="S929" s="3"/>
    </row>
    <row r="930" spans="2:19" x14ac:dyDescent="0.5">
      <c r="B930" s="5" t="str">
        <f t="shared" si="1116"/>
        <v>SPS1</v>
      </c>
      <c r="C930" s="5" t="str">
        <f t="shared" si="1117"/>
        <v>CH</v>
      </c>
      <c r="D930" t="s">
        <v>691</v>
      </c>
      <c r="E930" t="s">
        <v>8</v>
      </c>
      <c r="F930" s="1">
        <f>[1]Services!B$3-([1]Services!B$6-[1]Services!B$58)</f>
        <v>56.994774574912441</v>
      </c>
      <c r="G930" s="1">
        <f>[1]Services!C$3-([1]Services!C$6-[1]Services!C$58)</f>
        <v>58.701922824341075</v>
      </c>
      <c r="H930" s="1">
        <f>[1]Services!D$3-([1]Services!D$6-[1]Services!D$58)</f>
        <v>61.538310786793588</v>
      </c>
      <c r="I930" s="1">
        <f>[1]Services!E$3-([1]Services!E$6-[1]Services!E$58)</f>
        <v>62.070114845065355</v>
      </c>
      <c r="J930" s="1">
        <f>[1]Services!F$3-([1]Services!F$6-[1]Services!F$58)</f>
        <v>62.29252970400605</v>
      </c>
      <c r="K930" s="1">
        <f>[1]Services!G$3-([1]Services!G$6-[1]Services!G$58)</f>
        <v>62.657995926949887</v>
      </c>
      <c r="L930" s="1">
        <f>[1]Services!H$3-([1]Services!H$6-[1]Services!H$58)</f>
        <v>62.135392632637199</v>
      </c>
      <c r="M930" s="1">
        <f>[1]Services!I$3-([1]Services!I$6-[1]Services!I$58)</f>
        <v>61.612588560031064</v>
      </c>
      <c r="N930" s="1">
        <f>[1]Services!J$3-([1]Services!J$6-[1]Services!J$58)</f>
        <v>62.660410407621029</v>
      </c>
      <c r="O930" s="1">
        <f>[1]Services!K$3-([1]Services!K$6-[1]Services!K$58)</f>
        <v>63.514993942303164</v>
      </c>
      <c r="P930" s="1">
        <f>[1]Services!L$3-([1]Services!L$6-[1]Services!L$58)</f>
        <v>64.325154356381915</v>
      </c>
      <c r="Q930" s="1">
        <f>[1]Services!M$3-([1]Services!M$6-[1]Services!M$58)</f>
        <v>65.09859405467887</v>
      </c>
      <c r="S930" s="3"/>
    </row>
    <row r="931" spans="2:19" x14ac:dyDescent="0.5">
      <c r="B931" s="5" t="str">
        <f t="shared" si="1116"/>
        <v>SPS1</v>
      </c>
      <c r="C931" s="5" t="str">
        <f t="shared" si="1117"/>
        <v>CH</v>
      </c>
      <c r="D931" t="s">
        <v>1040</v>
      </c>
      <c r="E931" t="s">
        <v>8</v>
      </c>
      <c r="F931" s="1">
        <f>F932</f>
        <v>24.843097676282081</v>
      </c>
      <c r="G931" s="1">
        <f t="shared" ref="G931:O931" si="1118">G932</f>
        <v>21.042967927136683</v>
      </c>
      <c r="H931" s="1">
        <f t="shared" si="1118"/>
        <v>15.645384734564832</v>
      </c>
      <c r="I931" s="1">
        <f t="shared" si="1118"/>
        <v>13.097490525486755</v>
      </c>
      <c r="J931" s="1">
        <f t="shared" si="1118"/>
        <v>7.2764502303130936</v>
      </c>
      <c r="K931" s="1">
        <f t="shared" si="1118"/>
        <v>4.9955027098798999</v>
      </c>
      <c r="L931" s="1">
        <f t="shared" si="1118"/>
        <v>2.64425823284747</v>
      </c>
      <c r="M931" s="1">
        <f t="shared" si="1118"/>
        <v>0.7161122105271126</v>
      </c>
      <c r="N931" s="1">
        <f t="shared" si="1118"/>
        <v>0.70510202743015105</v>
      </c>
      <c r="O931" s="1">
        <f t="shared" si="1118"/>
        <v>0.71028186502925861</v>
      </c>
      <c r="P931" s="1">
        <f>P932</f>
        <v>0.71053981840540903</v>
      </c>
      <c r="Q931" s="1">
        <f>Q932</f>
        <v>0.71099440822666427</v>
      </c>
      <c r="S931" s="3"/>
    </row>
    <row r="932" spans="2:19" x14ac:dyDescent="0.5">
      <c r="B932" s="5" t="str">
        <f t="shared" si="1116"/>
        <v>SPS1</v>
      </c>
      <c r="C932" s="5" t="str">
        <f t="shared" si="1117"/>
        <v>CH</v>
      </c>
      <c r="D932" t="s">
        <v>1041</v>
      </c>
      <c r="E932" t="s">
        <v>8</v>
      </c>
      <c r="F932" s="1">
        <f>[1]Services!B$48</f>
        <v>24.843097676282081</v>
      </c>
      <c r="G932" s="1">
        <f>[1]Services!C$48</f>
        <v>21.042967927136683</v>
      </c>
      <c r="H932" s="1">
        <f>[1]Services!D$48</f>
        <v>15.645384734564832</v>
      </c>
      <c r="I932" s="1">
        <f>[1]Services!E$48</f>
        <v>13.097490525486755</v>
      </c>
      <c r="J932" s="1">
        <f>[1]Services!F$48</f>
        <v>7.2764502303130936</v>
      </c>
      <c r="K932" s="1">
        <f>[1]Services!G$48</f>
        <v>4.9955027098798999</v>
      </c>
      <c r="L932" s="1">
        <f>[1]Services!H$48</f>
        <v>2.64425823284747</v>
      </c>
      <c r="M932" s="1">
        <f>[1]Services!I$48</f>
        <v>0.7161122105271126</v>
      </c>
      <c r="N932" s="1">
        <f>[1]Services!J$48</f>
        <v>0.70510202743015105</v>
      </c>
      <c r="O932" s="1">
        <f>[1]Services!K$48</f>
        <v>0.71028186502925861</v>
      </c>
      <c r="P932" s="1">
        <f>[1]Services!L$48</f>
        <v>0.71053981840540903</v>
      </c>
      <c r="Q932" s="1">
        <f>[1]Services!M$48</f>
        <v>0.71099440822666427</v>
      </c>
      <c r="S932" s="3"/>
    </row>
    <row r="933" spans="2:19" x14ac:dyDescent="0.5">
      <c r="B933" s="5" t="str">
        <f>B932</f>
        <v>SPS1</v>
      </c>
      <c r="C933" s="5" t="str">
        <f>C932</f>
        <v>CH</v>
      </c>
      <c r="D933" t="s">
        <v>1042</v>
      </c>
      <c r="E933" t="s">
        <v>8</v>
      </c>
      <c r="F933" s="1">
        <f>SUM(F934:F936)</f>
        <v>25.41283607908214</v>
      </c>
      <c r="G933" s="1">
        <f t="shared" ref="G933:K933" si="1119">SUM(G934:G936)</f>
        <v>26.66773631906732</v>
      </c>
      <c r="H933" s="1">
        <f t="shared" si="1119"/>
        <v>22.187244744723905</v>
      </c>
      <c r="I933" s="1">
        <f t="shared" si="1119"/>
        <v>22.714205341504169</v>
      </c>
      <c r="J933" s="1">
        <f t="shared" si="1119"/>
        <v>23.131856972688233</v>
      </c>
      <c r="K933" s="1">
        <f t="shared" si="1119"/>
        <v>20.320991351625182</v>
      </c>
      <c r="L933" s="1">
        <f t="shared" ref="L933:O933" si="1120">SUM(L934:L936)</f>
        <v>9.4048065384150981</v>
      </c>
      <c r="M933" s="1">
        <f t="shared" si="1120"/>
        <v>7.8183702895160216</v>
      </c>
      <c r="N933" s="1">
        <f t="shared" si="1120"/>
        <v>7.7452208543729615</v>
      </c>
      <c r="O933" s="1">
        <f t="shared" si="1120"/>
        <v>7.7807950958322758</v>
      </c>
      <c r="P933" s="1">
        <f>SUM(P934:P936)</f>
        <v>8.2667341749980778</v>
      </c>
      <c r="Q933" s="1">
        <f>SUM(Q934:Q936)</f>
        <v>7.2291670397137846</v>
      </c>
      <c r="S933" s="3"/>
    </row>
    <row r="934" spans="2:19" x14ac:dyDescent="0.5">
      <c r="B934" s="5" t="str">
        <f t="shared" ref="B934:B953" si="1121">B933</f>
        <v>SPS1</v>
      </c>
      <c r="C934" s="5" t="str">
        <f t="shared" ref="C934:C953" si="1122">C933</f>
        <v>CH</v>
      </c>
      <c r="D934" t="s">
        <v>1043</v>
      </c>
      <c r="E934" t="s">
        <v>8</v>
      </c>
      <c r="F934" s="1">
        <f>[1]Services!B$49</f>
        <v>24.189742283855463</v>
      </c>
      <c r="G934" s="1">
        <f>[1]Services!C$49</f>
        <v>25.326942360842715</v>
      </c>
      <c r="H934" s="1">
        <f>[1]Services!D$49</f>
        <v>20.929152941820025</v>
      </c>
      <c r="I934" s="1">
        <f>[1]Services!E$49</f>
        <v>21.494845566085782</v>
      </c>
      <c r="J934" s="1">
        <f>[1]Services!F$49</f>
        <v>21.672258167695819</v>
      </c>
      <c r="K934" s="1">
        <f>[1]Services!G$49</f>
        <v>16.685455520450326</v>
      </c>
      <c r="L934" s="1">
        <f>[1]Services!H$49</f>
        <v>5.7648816660361026</v>
      </c>
      <c r="M934" s="1">
        <f>[1]Services!I$49</f>
        <v>3.9012971864952379</v>
      </c>
      <c r="N934" s="1">
        <f>[1]Services!J$49</f>
        <v>4.3915660271302865</v>
      </c>
      <c r="O934" s="1">
        <f>[1]Services!K$49</f>
        <v>4.2859148611581244</v>
      </c>
      <c r="P934" s="1">
        <f>[1]Services!L$49</f>
        <v>4.1646592309462598</v>
      </c>
      <c r="Q934" s="1">
        <f>[1]Services!M$49</f>
        <v>4.1941174197451767</v>
      </c>
      <c r="S934" s="3"/>
    </row>
    <row r="935" spans="2:19" x14ac:dyDescent="0.5">
      <c r="B935" s="5" t="str">
        <f t="shared" ref="B935" si="1123">B934</f>
        <v>SPS1</v>
      </c>
      <c r="C935" s="5" t="str">
        <f t="shared" ref="C935" si="1124">C934</f>
        <v>CH</v>
      </c>
      <c r="D935" t="s">
        <v>1044</v>
      </c>
      <c r="E935" t="s">
        <v>8</v>
      </c>
      <c r="F935" s="1">
        <f>[1]Services!B$50</f>
        <v>0</v>
      </c>
      <c r="G935" s="1">
        <f>[1]Services!C$50</f>
        <v>0</v>
      </c>
      <c r="H935" s="1">
        <f>[1]Services!D$50</f>
        <v>7.8224328276087912E-3</v>
      </c>
      <c r="I935" s="1">
        <f>[1]Services!E$50</f>
        <v>6.8861841698354912E-3</v>
      </c>
      <c r="J935" s="1">
        <f>[1]Services!F$50</f>
        <v>5.9746069109868738E-2</v>
      </c>
      <c r="K935" s="1">
        <f>[1]Services!G$50</f>
        <v>0.49399353896898268</v>
      </c>
      <c r="L935" s="1">
        <f>[1]Services!H$50</f>
        <v>0.49361630833212899</v>
      </c>
      <c r="M935" s="1">
        <f>[1]Services!I$50</f>
        <v>0.77064457780040319</v>
      </c>
      <c r="N935" s="1">
        <f>[1]Services!J$50</f>
        <v>0.20856969604091086</v>
      </c>
      <c r="O935" s="1">
        <f>[1]Services!K$50</f>
        <v>0.34800519628490206</v>
      </c>
      <c r="P935" s="1">
        <f>[1]Services!L$50</f>
        <v>0.47094304659033664</v>
      </c>
      <c r="Q935" s="1">
        <f>[1]Services!M$50</f>
        <v>0.44442213159221738</v>
      </c>
      <c r="S935" s="3"/>
    </row>
    <row r="936" spans="2:19" x14ac:dyDescent="0.5">
      <c r="B936" s="5" t="str">
        <f>B934</f>
        <v>SPS1</v>
      </c>
      <c r="C936" s="5" t="str">
        <f>C934</f>
        <v>CH</v>
      </c>
      <c r="D936" t="s">
        <v>1045</v>
      </c>
      <c r="E936" t="s">
        <v>8</v>
      </c>
      <c r="F936" s="1">
        <f>[1]Services!B$56</f>
        <v>1.2230937952266778</v>
      </c>
      <c r="G936" s="1">
        <f>[1]Services!C$56</f>
        <v>1.340793958224606</v>
      </c>
      <c r="H936" s="1">
        <f>[1]Services!D$56</f>
        <v>1.2502693700762697</v>
      </c>
      <c r="I936" s="1">
        <f>[1]Services!E$56</f>
        <v>1.2124735912485494</v>
      </c>
      <c r="J936" s="1">
        <f>[1]Services!F$56</f>
        <v>1.3998527358825452</v>
      </c>
      <c r="K936" s="1">
        <f>[1]Services!G$56</f>
        <v>3.1415422922058736</v>
      </c>
      <c r="L936" s="1">
        <f>[1]Services!H$56</f>
        <v>3.1463085640468673</v>
      </c>
      <c r="M936" s="1">
        <f>[1]Services!I$56</f>
        <v>3.1464285252203807</v>
      </c>
      <c r="N936" s="1">
        <f>[1]Services!J$56</f>
        <v>3.1450851312017645</v>
      </c>
      <c r="O936" s="1">
        <f>[1]Services!K$56</f>
        <v>3.1468750383892496</v>
      </c>
      <c r="P936" s="1">
        <f>[1]Services!L$56</f>
        <v>3.6311318974614806</v>
      </c>
      <c r="Q936" s="1">
        <f>[1]Services!M$56</f>
        <v>2.59062748837639</v>
      </c>
      <c r="S936" s="3"/>
    </row>
    <row r="937" spans="2:19" x14ac:dyDescent="0.5">
      <c r="B937" s="5" t="str">
        <f t="shared" si="1121"/>
        <v>SPS1</v>
      </c>
      <c r="C937" s="5" t="str">
        <f t="shared" si="1122"/>
        <v>CH</v>
      </c>
      <c r="D937" t="s">
        <v>983</v>
      </c>
      <c r="E937" t="s">
        <v>8</v>
      </c>
      <c r="F937" s="1">
        <f>F938+F944</f>
        <v>7.6496979721148417</v>
      </c>
      <c r="G937" s="1">
        <f t="shared" ref="G937:K937" si="1125">G938+G944</f>
        <v>8.2860780661488462</v>
      </c>
      <c r="H937" s="1">
        <f t="shared" si="1125"/>
        <v>8.2659290010640856</v>
      </c>
      <c r="I937" s="1">
        <f t="shared" si="1125"/>
        <v>8.0732074740927313</v>
      </c>
      <c r="J937" s="1">
        <f t="shared" si="1125"/>
        <v>7.7616621032286348</v>
      </c>
      <c r="K937" s="1">
        <f t="shared" si="1125"/>
        <v>7.2896662903486806</v>
      </c>
      <c r="L937" s="1">
        <f t="shared" ref="L937:O937" si="1126">L938+L944</f>
        <v>8.4544835292219727</v>
      </c>
      <c r="M937" s="1">
        <f t="shared" si="1126"/>
        <v>8.7875192744873658</v>
      </c>
      <c r="N937" s="1">
        <f t="shared" si="1126"/>
        <v>8.7426486948515816</v>
      </c>
      <c r="O937" s="1">
        <f t="shared" si="1126"/>
        <v>8.6494195221049957</v>
      </c>
      <c r="P937" s="1">
        <f>P938+P944</f>
        <v>8.8951936992574847</v>
      </c>
      <c r="Q937" s="1">
        <f>Q938+Q944</f>
        <v>9.0729275272820473</v>
      </c>
      <c r="S937" s="3"/>
    </row>
    <row r="938" spans="2:19" x14ac:dyDescent="0.5">
      <c r="B938" s="5" t="str">
        <f t="shared" si="1121"/>
        <v>SPS1</v>
      </c>
      <c r="C938" s="5" t="str">
        <f t="shared" si="1122"/>
        <v>CH</v>
      </c>
      <c r="D938" t="s">
        <v>984</v>
      </c>
      <c r="E938" t="s">
        <v>8</v>
      </c>
      <c r="F938" s="1">
        <f>[1]Services!B$51</f>
        <v>2.0957695618018226</v>
      </c>
      <c r="G938" s="1">
        <f>[1]Services!C$51</f>
        <v>2.2701143172343623</v>
      </c>
      <c r="H938" s="1">
        <f>[1]Services!D$51</f>
        <v>2.2499612953858894</v>
      </c>
      <c r="I938" s="1">
        <f>[1]Services!E$51</f>
        <v>2.0572376077302885</v>
      </c>
      <c r="J938" s="1">
        <f>[1]Services!F$51</f>
        <v>1.7456815315163849</v>
      </c>
      <c r="K938" s="1">
        <f>[1]Services!G$51</f>
        <v>1.2592956046897852</v>
      </c>
      <c r="L938" s="1">
        <f>[1]Services!H$51</f>
        <v>0.73147635835662839</v>
      </c>
      <c r="M938" s="1">
        <f>[1]Services!I$51</f>
        <v>0.71649678718348997</v>
      </c>
      <c r="N938" s="1">
        <f>[1]Services!J$51</f>
        <v>0.67159431823207805</v>
      </c>
      <c r="O938" s="1">
        <f>[1]Services!K$51</f>
        <v>0.57833762488155949</v>
      </c>
      <c r="P938" s="1">
        <f>[1]Services!L$51</f>
        <v>0.7176946724077623</v>
      </c>
      <c r="Q938" s="1">
        <f>[1]Services!M$51</f>
        <v>0.89533654112779815</v>
      </c>
      <c r="S938" s="3"/>
    </row>
    <row r="939" spans="2:19" x14ac:dyDescent="0.5">
      <c r="B939" s="5" t="str">
        <f t="shared" si="1121"/>
        <v>SPS1</v>
      </c>
      <c r="C939" s="5" t="str">
        <f t="shared" si="1122"/>
        <v>CH</v>
      </c>
      <c r="D939" t="s">
        <v>692</v>
      </c>
      <c r="E939" t="s">
        <v>8</v>
      </c>
      <c r="F939" s="1">
        <f>IFERROR(F907/F$906,0)*F$938</f>
        <v>1.4100858903413671</v>
      </c>
      <c r="G939" s="1">
        <f t="shared" ref="G939:K939" si="1127">IFERROR(G907/G$906,0)*G$938</f>
        <v>1.5391251451320063</v>
      </c>
      <c r="H939" s="1">
        <f t="shared" si="1127"/>
        <v>1.3478392009443123</v>
      </c>
      <c r="I939" s="1">
        <f t="shared" si="1127"/>
        <v>1.2124254850385314</v>
      </c>
      <c r="J939" s="1">
        <f t="shared" si="1127"/>
        <v>0.98081566229797768</v>
      </c>
      <c r="K939" s="1">
        <f t="shared" si="1127"/>
        <v>0.82715869996628288</v>
      </c>
      <c r="L939" s="1">
        <f t="shared" ref="L939:O939" si="1128">IFERROR(L907/L$906,0)*L$938</f>
        <v>0.71434664021595218</v>
      </c>
      <c r="M939" s="1">
        <f t="shared" si="1128"/>
        <v>0.67955736882777074</v>
      </c>
      <c r="N939" s="1">
        <f t="shared" si="1128"/>
        <v>0.62372367648647542</v>
      </c>
      <c r="O939" s="1">
        <f t="shared" si="1128"/>
        <v>0.53408647206651894</v>
      </c>
      <c r="P939" s="1">
        <f t="shared" ref="P939:Q943" si="1129">IFERROR(P907/P$906,0)*P$938</f>
        <v>0.59151348785831304</v>
      </c>
      <c r="Q939" s="1">
        <f t="shared" si="1129"/>
        <v>0.63788465153788554</v>
      </c>
      <c r="S939" s="3"/>
    </row>
    <row r="940" spans="2:19" x14ac:dyDescent="0.5">
      <c r="B940" s="5" t="str">
        <f t="shared" si="1121"/>
        <v>SPS1</v>
      </c>
      <c r="C940" s="5" t="str">
        <f t="shared" si="1122"/>
        <v>CH</v>
      </c>
      <c r="D940" t="s">
        <v>693</v>
      </c>
      <c r="E940" t="s">
        <v>8</v>
      </c>
      <c r="F940" s="1">
        <f>IFERROR(F908/F$906,0)*F$938</f>
        <v>0.6856836714604555</v>
      </c>
      <c r="G940" s="1">
        <f t="shared" ref="G940:K943" si="1130">IFERROR(G908/G$906,0)*G$938</f>
        <v>0.73098917210235592</v>
      </c>
      <c r="H940" s="1">
        <f t="shared" si="1130"/>
        <v>0.90212209444157709</v>
      </c>
      <c r="I940" s="1">
        <f t="shared" si="1130"/>
        <v>0.83737549421261193</v>
      </c>
      <c r="J940" s="1">
        <f t="shared" si="1130"/>
        <v>0.74601169687926672</v>
      </c>
      <c r="K940" s="1">
        <f t="shared" si="1130"/>
        <v>0.40860035374401726</v>
      </c>
      <c r="L940" s="1">
        <f t="shared" ref="L940:O940" si="1131">IFERROR(L908/L$906,0)*L$938</f>
        <v>0</v>
      </c>
      <c r="M940" s="1">
        <f t="shared" si="1131"/>
        <v>0</v>
      </c>
      <c r="N940" s="1">
        <f t="shared" si="1131"/>
        <v>8.2064485260154221E-3</v>
      </c>
      <c r="O940" s="1">
        <f t="shared" si="1131"/>
        <v>8.0957978757140656E-3</v>
      </c>
      <c r="P940" s="1">
        <f t="shared" si="1129"/>
        <v>1.3786897907160065E-2</v>
      </c>
      <c r="Q940" s="1">
        <f t="shared" si="1129"/>
        <v>2.084598597098063E-2</v>
      </c>
      <c r="S940" s="3"/>
    </row>
    <row r="941" spans="2:19" x14ac:dyDescent="0.5">
      <c r="B941" s="5" t="str">
        <f t="shared" si="1121"/>
        <v>SPS1</v>
      </c>
      <c r="C941" s="5" t="str">
        <f t="shared" si="1122"/>
        <v>CH</v>
      </c>
      <c r="D941" t="s">
        <v>694</v>
      </c>
      <c r="E941" t="s">
        <v>8</v>
      </c>
      <c r="F941" s="1">
        <f>IFERROR(F909/F$906,0)*F$938</f>
        <v>0</v>
      </c>
      <c r="G941" s="1">
        <f t="shared" si="1130"/>
        <v>0</v>
      </c>
      <c r="H941" s="1">
        <f t="shared" si="1130"/>
        <v>0</v>
      </c>
      <c r="I941" s="1">
        <f t="shared" si="1130"/>
        <v>0</v>
      </c>
      <c r="J941" s="1">
        <f t="shared" si="1130"/>
        <v>0</v>
      </c>
      <c r="K941" s="1">
        <f t="shared" si="1130"/>
        <v>0</v>
      </c>
      <c r="L941" s="1">
        <f t="shared" ref="L941:O941" si="1132">IFERROR(L909/L$906,0)*L$938</f>
        <v>0</v>
      </c>
      <c r="M941" s="1">
        <f t="shared" si="1132"/>
        <v>0</v>
      </c>
      <c r="N941" s="1">
        <f t="shared" si="1132"/>
        <v>8.7156344867757437E-4</v>
      </c>
      <c r="O941" s="1">
        <f t="shared" si="1132"/>
        <v>9.505165190486079E-4</v>
      </c>
      <c r="P941" s="1">
        <f t="shared" si="1129"/>
        <v>1.7490978942273304E-3</v>
      </c>
      <c r="Q941" s="1">
        <f t="shared" si="1129"/>
        <v>3.4665113293369525E-3</v>
      </c>
      <c r="S941" s="3"/>
    </row>
    <row r="942" spans="2:19" x14ac:dyDescent="0.5">
      <c r="B942" s="5" t="str">
        <f t="shared" si="1121"/>
        <v>SPS1</v>
      </c>
      <c r="C942" s="5" t="str">
        <f t="shared" si="1122"/>
        <v>CH</v>
      </c>
      <c r="D942" t="s">
        <v>695</v>
      </c>
      <c r="E942" t="s">
        <v>8</v>
      </c>
      <c r="F942" s="1">
        <f>IFERROR(F910/F$906,0)*F$938</f>
        <v>0</v>
      </c>
      <c r="G942" s="1">
        <f t="shared" si="1130"/>
        <v>0</v>
      </c>
      <c r="H942" s="1">
        <f t="shared" si="1130"/>
        <v>0</v>
      </c>
      <c r="I942" s="1">
        <f t="shared" si="1130"/>
        <v>3.2124193025954545E-3</v>
      </c>
      <c r="J942" s="1">
        <f t="shared" si="1130"/>
        <v>5.0948047987024311E-3</v>
      </c>
      <c r="K942" s="1">
        <f t="shared" si="1130"/>
        <v>1.1641467498281263E-2</v>
      </c>
      <c r="L942" s="1">
        <f t="shared" ref="L942:O942" si="1133">IFERROR(L910/L$906,0)*L$938</f>
        <v>8.2126700090881435E-3</v>
      </c>
      <c r="M942" s="1">
        <f t="shared" si="1133"/>
        <v>1.1232615791792589E-2</v>
      </c>
      <c r="N942" s="1">
        <f t="shared" si="1133"/>
        <v>7.6154175347595545E-3</v>
      </c>
      <c r="O942" s="1">
        <f t="shared" si="1133"/>
        <v>4.4977122444972983E-3</v>
      </c>
      <c r="P942" s="1">
        <f t="shared" si="1129"/>
        <v>9.5180200399991206E-3</v>
      </c>
      <c r="Q942" s="1">
        <f t="shared" si="1129"/>
        <v>8.8142127408135009E-3</v>
      </c>
      <c r="S942" s="3"/>
    </row>
    <row r="943" spans="2:19" x14ac:dyDescent="0.5">
      <c r="B943" s="5" t="str">
        <f t="shared" si="1121"/>
        <v>SPS1</v>
      </c>
      <c r="C943" s="5" t="str">
        <f t="shared" si="1122"/>
        <v>CH</v>
      </c>
      <c r="D943" t="s">
        <v>696</v>
      </c>
      <c r="E943" t="s">
        <v>8</v>
      </c>
      <c r="F943" s="1">
        <f>IFERROR(F911/F$906,0)*F$938</f>
        <v>0</v>
      </c>
      <c r="G943" s="1">
        <f t="shared" si="1130"/>
        <v>0</v>
      </c>
      <c r="H943" s="1">
        <f t="shared" si="1130"/>
        <v>0</v>
      </c>
      <c r="I943" s="1">
        <f t="shared" si="1130"/>
        <v>4.224209176549548E-3</v>
      </c>
      <c r="J943" s="1">
        <f t="shared" si="1130"/>
        <v>1.3759367540438053E-2</v>
      </c>
      <c r="K943" s="1">
        <f t="shared" si="1130"/>
        <v>1.1895083481203791E-2</v>
      </c>
      <c r="L943" s="1">
        <f t="shared" ref="L943:O943" si="1134">IFERROR(L911/L$906,0)*L$938</f>
        <v>8.9170481315879718E-3</v>
      </c>
      <c r="M943" s="1">
        <f t="shared" si="1134"/>
        <v>2.5706802563926649E-2</v>
      </c>
      <c r="N943" s="1">
        <f t="shared" si="1134"/>
        <v>3.1177212236150113E-2</v>
      </c>
      <c r="O943" s="1">
        <f t="shared" si="1134"/>
        <v>3.0707126175780572E-2</v>
      </c>
      <c r="P943" s="1">
        <f t="shared" si="1129"/>
        <v>0.10112716870806276</v>
      </c>
      <c r="Q943" s="1">
        <f t="shared" si="1129"/>
        <v>0.22432517954878159</v>
      </c>
      <c r="S943" s="3"/>
    </row>
    <row r="944" spans="2:19" x14ac:dyDescent="0.5">
      <c r="B944" s="5" t="str">
        <f t="shared" si="1121"/>
        <v>SPS1</v>
      </c>
      <c r="C944" s="5" t="str">
        <f t="shared" si="1122"/>
        <v>CH</v>
      </c>
      <c r="D944" t="s">
        <v>985</v>
      </c>
      <c r="E944" t="s">
        <v>8</v>
      </c>
      <c r="F944" s="1">
        <f>[1]Services!B$52</f>
        <v>5.5539284103130191</v>
      </c>
      <c r="G944" s="1">
        <f>[1]Services!C$52</f>
        <v>6.0159637489144835</v>
      </c>
      <c r="H944" s="1">
        <f>[1]Services!D$52</f>
        <v>6.0159677056781957</v>
      </c>
      <c r="I944" s="1">
        <f>[1]Services!E$52</f>
        <v>6.0159698663624432</v>
      </c>
      <c r="J944" s="1">
        <f>[1]Services!F$52</f>
        <v>6.0159805717122499</v>
      </c>
      <c r="K944" s="1">
        <f>[1]Services!G$52</f>
        <v>6.0303706856588954</v>
      </c>
      <c r="L944" s="1">
        <f>[1]Services!H$52</f>
        <v>7.7230071708653449</v>
      </c>
      <c r="M944" s="1">
        <f>[1]Services!I$52</f>
        <v>8.0710224873038765</v>
      </c>
      <c r="N944" s="1">
        <f>[1]Services!J$52</f>
        <v>8.0710543766195038</v>
      </c>
      <c r="O944" s="1">
        <f>[1]Services!K$52</f>
        <v>8.0710818972234364</v>
      </c>
      <c r="P944" s="1">
        <f>[1]Services!L$52</f>
        <v>8.1774990268497216</v>
      </c>
      <c r="Q944" s="1">
        <f>[1]Services!M$52</f>
        <v>8.1775909861542484</v>
      </c>
      <c r="S944" s="3"/>
    </row>
    <row r="945" spans="2:19" x14ac:dyDescent="0.5">
      <c r="B945" s="5" t="str">
        <f t="shared" si="1121"/>
        <v>SPS1</v>
      </c>
      <c r="C945" s="5" t="str">
        <f t="shared" si="1122"/>
        <v>CH</v>
      </c>
      <c r="D945" t="s">
        <v>986</v>
      </c>
      <c r="E945" t="s">
        <v>8</v>
      </c>
      <c r="F945" s="1">
        <f>F946</f>
        <v>6.17357264902342</v>
      </c>
      <c r="G945" s="1">
        <f t="shared" ref="G945:O945" si="1135">G946</f>
        <v>6.0527096646687628</v>
      </c>
      <c r="H945" s="1">
        <f t="shared" si="1135"/>
        <v>6.1355186337415679</v>
      </c>
      <c r="I945" s="1">
        <f t="shared" si="1135"/>
        <v>6.0537385881177652</v>
      </c>
      <c r="J945" s="1">
        <f t="shared" si="1135"/>
        <v>7.5425996224714762</v>
      </c>
      <c r="K945" s="1">
        <f t="shared" si="1135"/>
        <v>9.6602653932648543</v>
      </c>
      <c r="L945" s="1">
        <f t="shared" si="1135"/>
        <v>16.553337209255737</v>
      </c>
      <c r="M945" s="1">
        <f t="shared" si="1135"/>
        <v>6.3197842629022878</v>
      </c>
      <c r="N945" s="1">
        <f t="shared" si="1135"/>
        <v>2.2847502608105419</v>
      </c>
      <c r="O945" s="1">
        <f t="shared" si="1135"/>
        <v>1.547519661369684</v>
      </c>
      <c r="P945" s="1">
        <f>P946</f>
        <v>0.37419903630813317</v>
      </c>
      <c r="Q945" s="1">
        <f>Q946</f>
        <v>0.37545299388354381</v>
      </c>
      <c r="S945" s="3"/>
    </row>
    <row r="946" spans="2:19" x14ac:dyDescent="0.5">
      <c r="B946" s="5" t="str">
        <f t="shared" si="1121"/>
        <v>SPS1</v>
      </c>
      <c r="C946" s="5" t="str">
        <f t="shared" si="1122"/>
        <v>CH</v>
      </c>
      <c r="D946" t="s">
        <v>987</v>
      </c>
      <c r="E946" t="s">
        <v>8</v>
      </c>
      <c r="F946" s="1">
        <f>[1]Services!B$53</f>
        <v>6.17357264902342</v>
      </c>
      <c r="G946" s="1">
        <f>[1]Services!C$53</f>
        <v>6.0527096646687628</v>
      </c>
      <c r="H946" s="1">
        <f>[1]Services!D$53</f>
        <v>6.1355186337415679</v>
      </c>
      <c r="I946" s="1">
        <f>[1]Services!E$53</f>
        <v>6.0537385881177652</v>
      </c>
      <c r="J946" s="1">
        <f>[1]Services!F$53</f>
        <v>7.5425996224714762</v>
      </c>
      <c r="K946" s="1">
        <f>[1]Services!G$53</f>
        <v>9.6602653932648543</v>
      </c>
      <c r="L946" s="1">
        <f>[1]Services!H$53</f>
        <v>16.553337209255737</v>
      </c>
      <c r="M946" s="1">
        <f>[1]Services!I$53</f>
        <v>6.3197842629022878</v>
      </c>
      <c r="N946" s="1">
        <f>[1]Services!J$53</f>
        <v>2.2847502608105419</v>
      </c>
      <c r="O946" s="1">
        <f>[1]Services!K$53</f>
        <v>1.547519661369684</v>
      </c>
      <c r="P946" s="1">
        <f>[1]Services!L$53</f>
        <v>0.37419903630813317</v>
      </c>
      <c r="Q946" s="1">
        <f>[1]Services!M$53</f>
        <v>0.37545299388354381</v>
      </c>
      <c r="S946" s="3"/>
    </row>
    <row r="947" spans="2:19" x14ac:dyDescent="0.5">
      <c r="B947" s="5" t="str">
        <f t="shared" si="1121"/>
        <v>SPS1</v>
      </c>
      <c r="C947" s="5" t="str">
        <f t="shared" si="1122"/>
        <v>CH</v>
      </c>
      <c r="D947" t="s">
        <v>988</v>
      </c>
      <c r="E947" t="s">
        <v>8</v>
      </c>
      <c r="F947" s="1">
        <f>F948</f>
        <v>1.8770981180418789</v>
      </c>
      <c r="G947" s="1">
        <f t="shared" ref="G947:O947" si="1136">G948</f>
        <v>2.1601100586375086</v>
      </c>
      <c r="H947" s="1">
        <f t="shared" si="1136"/>
        <v>1.8085200266109711</v>
      </c>
      <c r="I947" s="1">
        <f t="shared" si="1136"/>
        <v>1.9577292365973631</v>
      </c>
      <c r="J947" s="1">
        <f t="shared" si="1136"/>
        <v>2.069793799890018</v>
      </c>
      <c r="K947" s="1">
        <f t="shared" si="1136"/>
        <v>2.195969854942152</v>
      </c>
      <c r="L947" s="1">
        <f t="shared" si="1136"/>
        <v>2.1578551861599484</v>
      </c>
      <c r="M947" s="1">
        <f t="shared" si="1136"/>
        <v>2.1846934637619411</v>
      </c>
      <c r="N947" s="1">
        <f t="shared" si="1136"/>
        <v>2.1499967838844714</v>
      </c>
      <c r="O947" s="1">
        <f t="shared" si="1136"/>
        <v>2.1660303605643185</v>
      </c>
      <c r="P947" s="1">
        <f>P948</f>
        <v>2.1665770553634975</v>
      </c>
      <c r="Q947" s="1">
        <f>Q948</f>
        <v>2.1679258612354002</v>
      </c>
      <c r="S947" s="3"/>
    </row>
    <row r="948" spans="2:19" x14ac:dyDescent="0.5">
      <c r="B948" s="5" t="str">
        <f t="shared" si="1121"/>
        <v>SPS1</v>
      </c>
      <c r="C948" s="5" t="str">
        <f t="shared" si="1122"/>
        <v>CH</v>
      </c>
      <c r="D948" t="s">
        <v>989</v>
      </c>
      <c r="E948" t="s">
        <v>8</v>
      </c>
      <c r="F948" s="1">
        <f>[1]Services!B$54</f>
        <v>1.8770981180418789</v>
      </c>
      <c r="G948" s="1">
        <f>[1]Services!C$54</f>
        <v>2.1601100586375086</v>
      </c>
      <c r="H948" s="1">
        <f>[1]Services!D$54</f>
        <v>1.8085200266109711</v>
      </c>
      <c r="I948" s="1">
        <f>[1]Services!E$54</f>
        <v>1.9577292365973631</v>
      </c>
      <c r="J948" s="1">
        <f>[1]Services!F$54</f>
        <v>2.069793799890018</v>
      </c>
      <c r="K948" s="1">
        <f>[1]Services!G$54</f>
        <v>2.195969854942152</v>
      </c>
      <c r="L948" s="1">
        <f>[1]Services!H$54</f>
        <v>2.1578551861599484</v>
      </c>
      <c r="M948" s="1">
        <f>[1]Services!I$54</f>
        <v>2.1846934637619411</v>
      </c>
      <c r="N948" s="1">
        <f>[1]Services!J$54</f>
        <v>2.1499967838844714</v>
      </c>
      <c r="O948" s="1">
        <f>[1]Services!K$54</f>
        <v>2.1660303605643185</v>
      </c>
      <c r="P948" s="1">
        <f>[1]Services!L$54</f>
        <v>2.1665770553634975</v>
      </c>
      <c r="Q948" s="1">
        <f>[1]Services!M$54</f>
        <v>2.1679258612354002</v>
      </c>
      <c r="S948" s="3"/>
    </row>
    <row r="949" spans="2:19" x14ac:dyDescent="0.5">
      <c r="B949" s="5" t="str">
        <f t="shared" si="1121"/>
        <v>SPS1</v>
      </c>
      <c r="C949" s="5" t="str">
        <f t="shared" si="1122"/>
        <v>CH</v>
      </c>
      <c r="D949" t="s">
        <v>990</v>
      </c>
      <c r="E949" t="s">
        <v>8</v>
      </c>
      <c r="F949" s="1">
        <f>F950</f>
        <v>0.62700963628317508</v>
      </c>
      <c r="G949" s="1">
        <f t="shared" ref="G949:O949" si="1137">G950</f>
        <v>0.6873475556160199</v>
      </c>
      <c r="H949" s="1">
        <f t="shared" si="1137"/>
        <v>0.68524938090148224</v>
      </c>
      <c r="I949" s="1">
        <f t="shared" si="1137"/>
        <v>0.6875647032137796</v>
      </c>
      <c r="J949" s="1">
        <f t="shared" si="1137"/>
        <v>3.4200452283611193</v>
      </c>
      <c r="K949" s="1">
        <f t="shared" si="1137"/>
        <v>5.7831119583565451</v>
      </c>
      <c r="L949" s="1">
        <f t="shared" si="1137"/>
        <v>6.7634475792239312</v>
      </c>
      <c r="M949" s="1">
        <f t="shared" si="1137"/>
        <v>6.7642054636982971</v>
      </c>
      <c r="N949" s="1">
        <f t="shared" si="1137"/>
        <v>4.9410660559726569</v>
      </c>
      <c r="O949" s="1">
        <f t="shared" si="1137"/>
        <v>4.6981499410589675</v>
      </c>
      <c r="P949" s="1">
        <f>P950</f>
        <v>4.8094154602037085</v>
      </c>
      <c r="Q949" s="1">
        <f>Q950</f>
        <v>4.912920994932148</v>
      </c>
      <c r="S949" s="3"/>
    </row>
    <row r="950" spans="2:19" x14ac:dyDescent="0.5">
      <c r="B950" s="5" t="str">
        <f t="shared" si="1121"/>
        <v>SPS1</v>
      </c>
      <c r="C950" s="5" t="str">
        <f t="shared" si="1122"/>
        <v>CH</v>
      </c>
      <c r="D950" t="s">
        <v>991</v>
      </c>
      <c r="E950" t="s">
        <v>8</v>
      </c>
      <c r="F950" s="1">
        <f>[1]Services!B$55</f>
        <v>0.62700963628317508</v>
      </c>
      <c r="G950" s="1">
        <f>[1]Services!C$55</f>
        <v>0.6873475556160199</v>
      </c>
      <c r="H950" s="1">
        <f>[1]Services!D$55</f>
        <v>0.68524938090148224</v>
      </c>
      <c r="I950" s="1">
        <f>[1]Services!E$55</f>
        <v>0.6875647032137796</v>
      </c>
      <c r="J950" s="1">
        <f>[1]Services!F$55</f>
        <v>3.4200452283611193</v>
      </c>
      <c r="K950" s="1">
        <f>[1]Services!G$55</f>
        <v>5.7831119583565451</v>
      </c>
      <c r="L950" s="1">
        <f>[1]Services!H$55</f>
        <v>6.7634475792239312</v>
      </c>
      <c r="M950" s="1">
        <f>[1]Services!I$55</f>
        <v>6.7642054636982971</v>
      </c>
      <c r="N950" s="1">
        <f>[1]Services!J$55</f>
        <v>4.9410660559726569</v>
      </c>
      <c r="O950" s="1">
        <f>[1]Services!K$55</f>
        <v>4.6981499410589675</v>
      </c>
      <c r="P950" s="1">
        <f>[1]Services!L$55</f>
        <v>4.8094154602037085</v>
      </c>
      <c r="Q950" s="1">
        <f>[1]Services!M$55</f>
        <v>4.912920994932148</v>
      </c>
      <c r="S950" s="3"/>
    </row>
    <row r="951" spans="2:19" x14ac:dyDescent="0.5">
      <c r="B951" s="5" t="str">
        <f t="shared" si="1121"/>
        <v>SPS1</v>
      </c>
      <c r="C951" s="5" t="str">
        <f t="shared" si="1122"/>
        <v>CH</v>
      </c>
      <c r="D951" t="s">
        <v>992</v>
      </c>
      <c r="E951" t="s">
        <v>8</v>
      </c>
      <c r="F951" s="1">
        <f>F952</f>
        <v>0</v>
      </c>
      <c r="G951" s="1">
        <f t="shared" ref="G951:O951" si="1138">G952</f>
        <v>0</v>
      </c>
      <c r="H951" s="1">
        <f t="shared" si="1138"/>
        <v>0</v>
      </c>
      <c r="I951" s="1">
        <f t="shared" si="1138"/>
        <v>0.39654505716936567</v>
      </c>
      <c r="J951" s="1">
        <f t="shared" si="1138"/>
        <v>0.39545797824818718</v>
      </c>
      <c r="K951" s="1">
        <f t="shared" si="1138"/>
        <v>0.57271963796878167</v>
      </c>
      <c r="L951" s="1">
        <f t="shared" si="1138"/>
        <v>0.12903967539689551</v>
      </c>
      <c r="M951" s="1">
        <f t="shared" si="1138"/>
        <v>0.69605255896819984</v>
      </c>
      <c r="N951" s="1">
        <f t="shared" si="1138"/>
        <v>1.5539940035757116</v>
      </c>
      <c r="O951" s="1">
        <f t="shared" si="1138"/>
        <v>1.5653562292740422</v>
      </c>
      <c r="P951" s="1">
        <f>P952</f>
        <v>1.5657397335111018</v>
      </c>
      <c r="Q951" s="1">
        <f>Q952</f>
        <v>0.86593271629269097</v>
      </c>
      <c r="S951" s="3"/>
    </row>
    <row r="952" spans="2:19" x14ac:dyDescent="0.5">
      <c r="B952" s="5" t="str">
        <f t="shared" si="1121"/>
        <v>SPS1</v>
      </c>
      <c r="C952" s="5" t="str">
        <f t="shared" si="1122"/>
        <v>CH</v>
      </c>
      <c r="D952" t="s">
        <v>993</v>
      </c>
      <c r="E952" t="s">
        <v>8</v>
      </c>
      <c r="F952" s="1">
        <f>[1]Services!B$57</f>
        <v>0</v>
      </c>
      <c r="G952" s="1">
        <f>[1]Services!C$57</f>
        <v>0</v>
      </c>
      <c r="H952" s="1">
        <f>[1]Services!D$57</f>
        <v>0</v>
      </c>
      <c r="I952" s="1">
        <f>[1]Services!E$57</f>
        <v>0.39654505716936567</v>
      </c>
      <c r="J952" s="1">
        <f>[1]Services!F$57</f>
        <v>0.39545797824818718</v>
      </c>
      <c r="K952" s="1">
        <f>[1]Services!G$57</f>
        <v>0.57271963796878167</v>
      </c>
      <c r="L952" s="1">
        <f>[1]Services!H$57</f>
        <v>0.12903967539689551</v>
      </c>
      <c r="M952" s="1">
        <f>[1]Services!I$57</f>
        <v>0.69605255896819984</v>
      </c>
      <c r="N952" s="1">
        <f>[1]Services!J$57</f>
        <v>1.5539940035757116</v>
      </c>
      <c r="O952" s="1">
        <f>[1]Services!K$57</f>
        <v>1.5653562292740422</v>
      </c>
      <c r="P952" s="1">
        <f>[1]Services!L$57</f>
        <v>1.5657397335111018</v>
      </c>
      <c r="Q952" s="1">
        <f>[1]Services!M$57</f>
        <v>0.86593271629269097</v>
      </c>
      <c r="S952" s="3"/>
    </row>
    <row r="953" spans="2:19" x14ac:dyDescent="0.5">
      <c r="B953" s="5" t="str">
        <f t="shared" si="1121"/>
        <v>SPS1</v>
      </c>
      <c r="C953" s="5" t="str">
        <f t="shared" si="1122"/>
        <v>CH</v>
      </c>
      <c r="D953" t="s">
        <v>994</v>
      </c>
      <c r="E953" t="s">
        <v>8</v>
      </c>
      <c r="F953" s="1">
        <f>[1]Services!B$58</f>
        <v>0</v>
      </c>
      <c r="G953" s="1">
        <f>[1]Services!C$58</f>
        <v>9.1173262075262809</v>
      </c>
      <c r="H953" s="1">
        <f>[1]Services!D$58</f>
        <v>17.660232068188972</v>
      </c>
      <c r="I953" s="1">
        <f>[1]Services!E$58</f>
        <v>17.877893827357045</v>
      </c>
      <c r="J953" s="1">
        <f>[1]Services!F$58</f>
        <v>17.877832747087986</v>
      </c>
      <c r="K953" s="1">
        <f>[1]Services!G$58</f>
        <v>17.880844699075858</v>
      </c>
      <c r="L953" s="1">
        <f>[1]Services!H$58</f>
        <v>21.202940234021192</v>
      </c>
      <c r="M953" s="1">
        <f>[1]Services!I$58</f>
        <v>22.282029012659407</v>
      </c>
      <c r="N953" s="1">
        <f>[1]Services!J$58</f>
        <v>22.280314289176808</v>
      </c>
      <c r="O953" s="1">
        <f>[1]Services!K$58</f>
        <v>22.280662803433799</v>
      </c>
      <c r="P953" s="1">
        <f>[1]Services!L$58</f>
        <v>22.280557409059327</v>
      </c>
      <c r="Q953" s="1">
        <f>[1]Services!M$58</f>
        <v>22.278722726120343</v>
      </c>
      <c r="S953" s="3"/>
    </row>
    <row r="954" spans="2:19" x14ac:dyDescent="0.5">
      <c r="B954" s="5" t="str">
        <f>B953</f>
        <v>SPS1</v>
      </c>
      <c r="C954" s="5" t="str">
        <f>C953</f>
        <v>CH</v>
      </c>
      <c r="D954" s="2" t="s">
        <v>689</v>
      </c>
      <c r="E954" s="2" t="s">
        <v>240</v>
      </c>
      <c r="F954" s="1" t="s">
        <v>292</v>
      </c>
      <c r="G954" s="1" t="s">
        <v>292</v>
      </c>
      <c r="H954" s="1" t="s">
        <v>292</v>
      </c>
      <c r="I954" s="1" t="s">
        <v>292</v>
      </c>
      <c r="J954" s="1" t="s">
        <v>292</v>
      </c>
      <c r="K954" s="1" t="s">
        <v>292</v>
      </c>
      <c r="L954" s="1" t="s">
        <v>292</v>
      </c>
      <c r="M954" s="1" t="s">
        <v>292</v>
      </c>
      <c r="N954" s="1" t="s">
        <v>292</v>
      </c>
      <c r="O954" s="1" t="s">
        <v>292</v>
      </c>
      <c r="P954" s="1" t="s">
        <v>292</v>
      </c>
      <c r="Q954" s="1" t="s">
        <v>292</v>
      </c>
      <c r="S954" s="3"/>
    </row>
    <row r="955" spans="2:19" x14ac:dyDescent="0.5">
      <c r="B955" s="5" t="str">
        <f t="shared" ref="B955:B971" si="1139">B954</f>
        <v>SPS1</v>
      </c>
      <c r="C955" s="5" t="str">
        <f t="shared" ref="C955:C971" si="1140">C954</f>
        <v>CH</v>
      </c>
      <c r="D955" t="s">
        <v>761</v>
      </c>
      <c r="E955" t="s">
        <v>240</v>
      </c>
      <c r="F955" s="4">
        <f t="shared" ref="F955:K957" si="1141">IFERROR(F928/F884,"-")</f>
        <v>0.91249999999999898</v>
      </c>
      <c r="G955" s="4">
        <f t="shared" si="1141"/>
        <v>0.9149999999999997</v>
      </c>
      <c r="H955" s="4">
        <f t="shared" si="1141"/>
        <v>0.91874999999999951</v>
      </c>
      <c r="I955" s="4">
        <f t="shared" si="1141"/>
        <v>0.92500000000000127</v>
      </c>
      <c r="J955" s="4">
        <f t="shared" si="1141"/>
        <v>0.93125000000000036</v>
      </c>
      <c r="K955" s="4">
        <f t="shared" si="1141"/>
        <v>0.93750000000000011</v>
      </c>
      <c r="L955" s="4">
        <f t="shared" ref="L955:O955" si="1142">IFERROR(L928/L884,"-")</f>
        <v>0.94374999999999909</v>
      </c>
      <c r="M955" s="4">
        <f t="shared" si="1142"/>
        <v>0.94999999999999962</v>
      </c>
      <c r="N955" s="4">
        <f t="shared" si="1142"/>
        <v>0.94999999999999973</v>
      </c>
      <c r="O955" s="4">
        <f t="shared" si="1142"/>
        <v>0.95000000000000029</v>
      </c>
      <c r="P955" s="4">
        <f t="shared" ref="P955:Q957" si="1143">IFERROR(P928/P884,"-")</f>
        <v>0.9500000000000014</v>
      </c>
      <c r="Q955" s="4">
        <f t="shared" si="1143"/>
        <v>0.94999999999999951</v>
      </c>
      <c r="S955" s="3"/>
    </row>
    <row r="956" spans="2:19" x14ac:dyDescent="0.5">
      <c r="B956" s="5" t="str">
        <f t="shared" si="1139"/>
        <v>SPS1</v>
      </c>
      <c r="C956" s="5" t="str">
        <f t="shared" si="1140"/>
        <v>CH</v>
      </c>
      <c r="D956" t="s">
        <v>730</v>
      </c>
      <c r="E956" t="s">
        <v>240</v>
      </c>
      <c r="F956" s="4">
        <f t="shared" si="1141"/>
        <v>3.1999999999999984</v>
      </c>
      <c r="G956" s="4">
        <f t="shared" si="1141"/>
        <v>3.2400000000000011</v>
      </c>
      <c r="H956" s="4">
        <f t="shared" si="1141"/>
        <v>3.2999999999999963</v>
      </c>
      <c r="I956" s="4">
        <f t="shared" si="1141"/>
        <v>3.4000000000000008</v>
      </c>
      <c r="J956" s="4">
        <f t="shared" si="1141"/>
        <v>3.4999999999999996</v>
      </c>
      <c r="K956" s="4">
        <f t="shared" si="1141"/>
        <v>3.5999999999999988</v>
      </c>
      <c r="L956" s="4">
        <f t="shared" ref="L956:O956" si="1144">IFERROR(L929/L885,"-")</f>
        <v>3.700000000000002</v>
      </c>
      <c r="M956" s="4">
        <f t="shared" si="1144"/>
        <v>3.7999999999999994</v>
      </c>
      <c r="N956" s="4">
        <f t="shared" si="1144"/>
        <v>3.7999999999999985</v>
      </c>
      <c r="O956" s="4">
        <f t="shared" si="1144"/>
        <v>3.8</v>
      </c>
      <c r="P956" s="4">
        <f t="shared" si="1143"/>
        <v>3.8000000000000003</v>
      </c>
      <c r="Q956" s="4">
        <f t="shared" si="1143"/>
        <v>3.8000000000000038</v>
      </c>
      <c r="S956" s="3"/>
    </row>
    <row r="957" spans="2:19" x14ac:dyDescent="0.5">
      <c r="B957" s="5" t="str">
        <f t="shared" si="1139"/>
        <v>SPS1</v>
      </c>
      <c r="C957" s="5" t="str">
        <f t="shared" si="1140"/>
        <v>CH</v>
      </c>
      <c r="D957" t="s">
        <v>699</v>
      </c>
      <c r="E957" t="s">
        <v>240</v>
      </c>
      <c r="F957" s="4">
        <f t="shared" si="1141"/>
        <v>1</v>
      </c>
      <c r="G957" s="4">
        <f t="shared" si="1141"/>
        <v>0.99999999999999989</v>
      </c>
      <c r="H957" s="4">
        <f t="shared" si="1141"/>
        <v>0.99999999999999989</v>
      </c>
      <c r="I957" s="4">
        <f t="shared" si="1141"/>
        <v>1.0000000000000002</v>
      </c>
      <c r="J957" s="4">
        <f t="shared" si="1141"/>
        <v>1.0000000000000002</v>
      </c>
      <c r="K957" s="4">
        <f t="shared" si="1141"/>
        <v>0.99999999999999989</v>
      </c>
      <c r="L957" s="4">
        <f t="shared" ref="L957:O957" si="1145">IFERROR(L930/L886,"-")</f>
        <v>1.0000000000000002</v>
      </c>
      <c r="M957" s="4">
        <f t="shared" si="1145"/>
        <v>1</v>
      </c>
      <c r="N957" s="4">
        <f t="shared" si="1145"/>
        <v>1.0000000000000002</v>
      </c>
      <c r="O957" s="4">
        <f t="shared" si="1145"/>
        <v>1</v>
      </c>
      <c r="P957" s="4">
        <f t="shared" si="1143"/>
        <v>1</v>
      </c>
      <c r="Q957" s="4">
        <f t="shared" si="1143"/>
        <v>1</v>
      </c>
      <c r="S957" s="3"/>
    </row>
    <row r="958" spans="2:19" x14ac:dyDescent="0.5">
      <c r="B958" s="5" t="str">
        <f t="shared" si="1139"/>
        <v>SPS1</v>
      </c>
      <c r="C958" s="5" t="str">
        <f t="shared" si="1140"/>
        <v>CH</v>
      </c>
      <c r="D958" t="s">
        <v>700</v>
      </c>
      <c r="E958" t="s">
        <v>240</v>
      </c>
      <c r="F958" s="4">
        <f t="shared" ref="F958:K958" si="1146">IFERROR(F932/F888,"-")</f>
        <v>0.82107843137254966</v>
      </c>
      <c r="G958" s="4">
        <f t="shared" si="1146"/>
        <v>0.82270432925645554</v>
      </c>
      <c r="H958" s="4">
        <f t="shared" si="1146"/>
        <v>0.8251431760823138</v>
      </c>
      <c r="I958" s="4">
        <f t="shared" si="1146"/>
        <v>0.82920792079207917</v>
      </c>
      <c r="J958" s="4">
        <f t="shared" si="1146"/>
        <v>0.8333539603960386</v>
      </c>
      <c r="K958" s="4">
        <f t="shared" si="1146"/>
        <v>0.83749999999999947</v>
      </c>
      <c r="L958" s="4">
        <f t="shared" ref="L958:O958" si="1147">IFERROR(L932/L888,"-")</f>
        <v>0.83750000000000002</v>
      </c>
      <c r="M958" s="4">
        <f t="shared" si="1147"/>
        <v>0.83749999999999902</v>
      </c>
      <c r="N958" s="4">
        <f t="shared" si="1147"/>
        <v>0.83749999999999925</v>
      </c>
      <c r="O958" s="4">
        <f t="shared" si="1147"/>
        <v>0.83749999999999791</v>
      </c>
      <c r="P958" s="4">
        <f>IFERROR(P932/P888,"-")</f>
        <v>0.83749999999999947</v>
      </c>
      <c r="Q958" s="4">
        <f>IFERROR(Q932/Q888,"-")</f>
        <v>0.83749999999999913</v>
      </c>
      <c r="S958" s="3"/>
    </row>
    <row r="959" spans="2:19" x14ac:dyDescent="0.5">
      <c r="B959" s="5" t="str">
        <f t="shared" si="1139"/>
        <v>SPS1</v>
      </c>
      <c r="C959" s="5" t="str">
        <f t="shared" si="1140"/>
        <v>CH</v>
      </c>
      <c r="D959" t="s">
        <v>701</v>
      </c>
      <c r="E959" t="s">
        <v>240</v>
      </c>
      <c r="F959" s="4">
        <f t="shared" ref="F959:K961" si="1148">IFERROR(F934/F895,"-")</f>
        <v>0.94680851063829907</v>
      </c>
      <c r="G959" s="4">
        <f t="shared" si="1148"/>
        <v>0.94680851063829963</v>
      </c>
      <c r="H959" s="4">
        <f t="shared" si="1148"/>
        <v>0.94663932180562804</v>
      </c>
      <c r="I959" s="4">
        <f t="shared" si="1148"/>
        <v>0.95552087673229602</v>
      </c>
      <c r="J959" s="4">
        <f t="shared" si="1148"/>
        <v>0.9514481135430114</v>
      </c>
      <c r="K959" s="4">
        <f t="shared" si="1148"/>
        <v>0.94455077451212677</v>
      </c>
      <c r="L959" s="4">
        <f t="shared" ref="L959:O959" si="1149">IFERROR(L934/L895,"-")</f>
        <v>0.91798639157121831</v>
      </c>
      <c r="M959" s="4">
        <f t="shared" si="1149"/>
        <v>0.88153776755358948</v>
      </c>
      <c r="N959" s="4">
        <f t="shared" si="1149"/>
        <v>0.95683327067796453</v>
      </c>
      <c r="O959" s="4">
        <f t="shared" si="1149"/>
        <v>0.93618188068976482</v>
      </c>
      <c r="P959" s="4">
        <f t="shared" ref="P959:Q961" si="1150">IFERROR(P934/P895,"-")</f>
        <v>0.92521527409619231</v>
      </c>
      <c r="Q959" s="4">
        <f t="shared" si="1150"/>
        <v>0.93176877773500544</v>
      </c>
      <c r="S959" s="3"/>
    </row>
    <row r="960" spans="2:19" x14ac:dyDescent="0.5">
      <c r="B960" s="5" t="str">
        <f t="shared" si="1139"/>
        <v>SPS1</v>
      </c>
      <c r="C960" s="5" t="str">
        <f t="shared" si="1140"/>
        <v>CH</v>
      </c>
      <c r="D960" t="s">
        <v>731</v>
      </c>
      <c r="E960" t="s">
        <v>240</v>
      </c>
      <c r="F960" s="4" t="str">
        <f t="shared" si="1148"/>
        <v>-</v>
      </c>
      <c r="G960" s="4" t="str">
        <f t="shared" si="1148"/>
        <v>-</v>
      </c>
      <c r="H960" s="4">
        <f t="shared" si="1148"/>
        <v>1.9800000000000024</v>
      </c>
      <c r="I960" s="4">
        <f t="shared" si="1148"/>
        <v>2.0399999999999983</v>
      </c>
      <c r="J960" s="4">
        <f t="shared" si="1148"/>
        <v>2.0999999999999996</v>
      </c>
      <c r="K960" s="4">
        <f t="shared" si="1148"/>
        <v>2.1599999999999993</v>
      </c>
      <c r="L960" s="4">
        <f t="shared" ref="L960:O960" si="1151">IFERROR(L935/L896,"-")</f>
        <v>2.2200000000000006</v>
      </c>
      <c r="M960" s="4">
        <f t="shared" si="1151"/>
        <v>2.2799999999999998</v>
      </c>
      <c r="N960" s="4">
        <f t="shared" si="1151"/>
        <v>2.2800000000000011</v>
      </c>
      <c r="O960" s="4">
        <f t="shared" si="1151"/>
        <v>2.2799999999999994</v>
      </c>
      <c r="P960" s="4">
        <f t="shared" si="1150"/>
        <v>2.2800000000000016</v>
      </c>
      <c r="Q960" s="4">
        <f t="shared" si="1150"/>
        <v>2.279999999999998</v>
      </c>
      <c r="S960" s="3"/>
    </row>
    <row r="961" spans="2:19" x14ac:dyDescent="0.5">
      <c r="B961" s="5" t="str">
        <f t="shared" si="1139"/>
        <v>SPS1</v>
      </c>
      <c r="C961" s="5" t="str">
        <f t="shared" si="1140"/>
        <v>CH</v>
      </c>
      <c r="D961" t="s">
        <v>702</v>
      </c>
      <c r="E961" t="s">
        <v>240</v>
      </c>
      <c r="F961" s="4">
        <f t="shared" si="1148"/>
        <v>0.87219999999999986</v>
      </c>
      <c r="G961" s="4">
        <f t="shared" si="1148"/>
        <v>0.87219999999999909</v>
      </c>
      <c r="H961" s="4">
        <f t="shared" si="1148"/>
        <v>0.87219999999999953</v>
      </c>
      <c r="I961" s="4">
        <f t="shared" si="1148"/>
        <v>0.87219999999999986</v>
      </c>
      <c r="J961" s="4">
        <f t="shared" si="1148"/>
        <v>0.87220000000000075</v>
      </c>
      <c r="K961" s="4">
        <f t="shared" si="1148"/>
        <v>0.87219999999999898</v>
      </c>
      <c r="L961" s="4">
        <f t="shared" ref="L961:O961" si="1152">IFERROR(L936/L897,"-")</f>
        <v>0.8722000000000002</v>
      </c>
      <c r="M961" s="4">
        <f t="shared" si="1152"/>
        <v>0.8721999999999992</v>
      </c>
      <c r="N961" s="4">
        <f t="shared" si="1152"/>
        <v>0.87219999999999986</v>
      </c>
      <c r="O961" s="4">
        <f t="shared" si="1152"/>
        <v>0.87219999999999998</v>
      </c>
      <c r="P961" s="4">
        <f t="shared" si="1150"/>
        <v>0.8722000000000002</v>
      </c>
      <c r="Q961" s="4">
        <f t="shared" si="1150"/>
        <v>0.87219999999999909</v>
      </c>
      <c r="S961" s="3"/>
    </row>
    <row r="962" spans="2:19" x14ac:dyDescent="0.5">
      <c r="B962" s="5" t="str">
        <f>B961</f>
        <v>SPS1</v>
      </c>
      <c r="C962" s="5" t="str">
        <f>C961</f>
        <v>CH</v>
      </c>
      <c r="D962" t="s">
        <v>703</v>
      </c>
      <c r="E962" t="s">
        <v>240</v>
      </c>
      <c r="F962" s="4">
        <f t="shared" ref="F962:K967" si="1153">IFERROR(F939/F907,"-")</f>
        <v>0.99</v>
      </c>
      <c r="G962" s="4">
        <f t="shared" si="1153"/>
        <v>0.99</v>
      </c>
      <c r="H962" s="4">
        <f t="shared" si="1153"/>
        <v>0.9900000000000001</v>
      </c>
      <c r="I962" s="4">
        <f t="shared" si="1153"/>
        <v>0.99</v>
      </c>
      <c r="J962" s="4">
        <f t="shared" si="1153"/>
        <v>0.99</v>
      </c>
      <c r="K962" s="4">
        <f t="shared" si="1153"/>
        <v>0.99</v>
      </c>
      <c r="L962" s="4">
        <f t="shared" ref="L962:O962" si="1154">IFERROR(L939/L907,"-")</f>
        <v>0.99</v>
      </c>
      <c r="M962" s="4">
        <f t="shared" si="1154"/>
        <v>0.9900000000000001</v>
      </c>
      <c r="N962" s="4">
        <f t="shared" si="1154"/>
        <v>0.9900000000000001</v>
      </c>
      <c r="O962" s="4">
        <f t="shared" si="1154"/>
        <v>0.99</v>
      </c>
      <c r="P962" s="4">
        <f t="shared" ref="P962:Q967" si="1155">IFERROR(P939/P907,"-")</f>
        <v>0.99</v>
      </c>
      <c r="Q962" s="4">
        <f t="shared" si="1155"/>
        <v>0.9900000000000001</v>
      </c>
      <c r="S962" s="3"/>
    </row>
    <row r="963" spans="2:19" x14ac:dyDescent="0.5">
      <c r="B963" s="5" t="str">
        <f t="shared" si="1139"/>
        <v>SPS1</v>
      </c>
      <c r="C963" s="5" t="str">
        <f t="shared" si="1140"/>
        <v>CH</v>
      </c>
      <c r="D963" t="s">
        <v>704</v>
      </c>
      <c r="E963" t="s">
        <v>240</v>
      </c>
      <c r="F963" s="4">
        <f t="shared" si="1153"/>
        <v>0.99</v>
      </c>
      <c r="G963" s="4">
        <f t="shared" si="1153"/>
        <v>0.99</v>
      </c>
      <c r="H963" s="4">
        <f t="shared" si="1153"/>
        <v>0.9900000000000001</v>
      </c>
      <c r="I963" s="4">
        <f t="shared" si="1153"/>
        <v>0.99</v>
      </c>
      <c r="J963" s="4">
        <f t="shared" si="1153"/>
        <v>0.99</v>
      </c>
      <c r="K963" s="4">
        <f t="shared" si="1153"/>
        <v>0.99</v>
      </c>
      <c r="L963" s="4" t="str">
        <f t="shared" ref="L963:O963" si="1156">IFERROR(L940/L908,"-")</f>
        <v>-</v>
      </c>
      <c r="M963" s="4" t="str">
        <f t="shared" si="1156"/>
        <v>-</v>
      </c>
      <c r="N963" s="4">
        <f t="shared" si="1156"/>
        <v>0.9900000000000001</v>
      </c>
      <c r="O963" s="4">
        <f t="shared" si="1156"/>
        <v>0.9900000000000001</v>
      </c>
      <c r="P963" s="4">
        <f t="shared" si="1155"/>
        <v>0.9900000000000001</v>
      </c>
      <c r="Q963" s="4">
        <f t="shared" si="1155"/>
        <v>0.9900000000000001</v>
      </c>
      <c r="S963" s="3"/>
    </row>
    <row r="964" spans="2:19" x14ac:dyDescent="0.5">
      <c r="B964" s="5" t="str">
        <f t="shared" si="1139"/>
        <v>SPS1</v>
      </c>
      <c r="C964" s="5" t="str">
        <f t="shared" si="1140"/>
        <v>CH</v>
      </c>
      <c r="D964" t="s">
        <v>705</v>
      </c>
      <c r="E964" t="s">
        <v>240</v>
      </c>
      <c r="F964" s="4" t="str">
        <f t="shared" si="1153"/>
        <v>-</v>
      </c>
      <c r="G964" s="4" t="str">
        <f t="shared" si="1153"/>
        <v>-</v>
      </c>
      <c r="H964" s="4" t="str">
        <f t="shared" si="1153"/>
        <v>-</v>
      </c>
      <c r="I964" s="4" t="str">
        <f t="shared" si="1153"/>
        <v>-</v>
      </c>
      <c r="J964" s="4" t="str">
        <f t="shared" si="1153"/>
        <v>-</v>
      </c>
      <c r="K964" s="4" t="str">
        <f t="shared" si="1153"/>
        <v>-</v>
      </c>
      <c r="L964" s="4" t="str">
        <f t="shared" ref="L964:O964" si="1157">IFERROR(L941/L909,"-")</f>
        <v>-</v>
      </c>
      <c r="M964" s="4" t="str">
        <f t="shared" si="1157"/>
        <v>-</v>
      </c>
      <c r="N964" s="4">
        <f t="shared" si="1157"/>
        <v>0.99</v>
      </c>
      <c r="O964" s="4">
        <f t="shared" si="1157"/>
        <v>0.98999999999999988</v>
      </c>
      <c r="P964" s="4">
        <f t="shared" si="1155"/>
        <v>0.99</v>
      </c>
      <c r="Q964" s="4">
        <f t="shared" si="1155"/>
        <v>0.99</v>
      </c>
      <c r="S964" s="3"/>
    </row>
    <row r="965" spans="2:19" x14ac:dyDescent="0.5">
      <c r="B965" s="5" t="str">
        <f t="shared" si="1139"/>
        <v>SPS1</v>
      </c>
      <c r="C965" s="5" t="str">
        <f t="shared" si="1140"/>
        <v>CH</v>
      </c>
      <c r="D965" t="s">
        <v>706</v>
      </c>
      <c r="E965" t="s">
        <v>240</v>
      </c>
      <c r="F965" s="4" t="str">
        <f t="shared" si="1153"/>
        <v>-</v>
      </c>
      <c r="G965" s="4" t="str">
        <f t="shared" si="1153"/>
        <v>-</v>
      </c>
      <c r="H965" s="4" t="str">
        <f t="shared" si="1153"/>
        <v>-</v>
      </c>
      <c r="I965" s="4">
        <f t="shared" si="1153"/>
        <v>0.9900000000000001</v>
      </c>
      <c r="J965" s="4">
        <f t="shared" si="1153"/>
        <v>0.9900000000000001</v>
      </c>
      <c r="K965" s="4">
        <f t="shared" si="1153"/>
        <v>0.9900000000000001</v>
      </c>
      <c r="L965" s="4">
        <f t="shared" ref="L965:O965" si="1158">IFERROR(L942/L910,"-")</f>
        <v>0.98999999999999988</v>
      </c>
      <c r="M965" s="4">
        <f t="shared" si="1158"/>
        <v>0.99</v>
      </c>
      <c r="N965" s="4">
        <f t="shared" si="1158"/>
        <v>0.99</v>
      </c>
      <c r="O965" s="4">
        <f t="shared" si="1158"/>
        <v>0.99</v>
      </c>
      <c r="P965" s="4">
        <f t="shared" si="1155"/>
        <v>0.9900000000000001</v>
      </c>
      <c r="Q965" s="4">
        <f t="shared" si="1155"/>
        <v>0.9900000000000001</v>
      </c>
      <c r="S965" s="3"/>
    </row>
    <row r="966" spans="2:19" x14ac:dyDescent="0.5">
      <c r="B966" s="5" t="str">
        <f t="shared" si="1139"/>
        <v>SPS1</v>
      </c>
      <c r="C966" s="5" t="str">
        <f t="shared" si="1140"/>
        <v>CH</v>
      </c>
      <c r="D966" t="s">
        <v>707</v>
      </c>
      <c r="E966" t="s">
        <v>240</v>
      </c>
      <c r="F966" s="4" t="str">
        <f t="shared" si="1153"/>
        <v>-</v>
      </c>
      <c r="G966" s="4" t="str">
        <f t="shared" si="1153"/>
        <v>-</v>
      </c>
      <c r="H966" s="4" t="str">
        <f t="shared" si="1153"/>
        <v>-</v>
      </c>
      <c r="I966" s="4">
        <f t="shared" si="1153"/>
        <v>0.99000000000000021</v>
      </c>
      <c r="J966" s="4">
        <f t="shared" si="1153"/>
        <v>0.9900000000000001</v>
      </c>
      <c r="K966" s="4">
        <f t="shared" si="1153"/>
        <v>0.99000000000000021</v>
      </c>
      <c r="L966" s="4">
        <f t="shared" ref="L966:O966" si="1159">IFERROR(L943/L911,"-")</f>
        <v>0.9900000000000001</v>
      </c>
      <c r="M966" s="4">
        <f t="shared" si="1159"/>
        <v>0.99000000000000021</v>
      </c>
      <c r="N966" s="4">
        <f t="shared" si="1159"/>
        <v>0.99</v>
      </c>
      <c r="O966" s="4">
        <f t="shared" si="1159"/>
        <v>0.99</v>
      </c>
      <c r="P966" s="4">
        <f t="shared" si="1155"/>
        <v>0.9900000000000001</v>
      </c>
      <c r="Q966" s="4">
        <f t="shared" si="1155"/>
        <v>0.9900000000000001</v>
      </c>
      <c r="S966" s="3"/>
    </row>
    <row r="967" spans="2:19" x14ac:dyDescent="0.5">
      <c r="B967" s="5" t="str">
        <f t="shared" si="1139"/>
        <v>SPS1</v>
      </c>
      <c r="C967" s="5" t="str">
        <f t="shared" si="1140"/>
        <v>CH</v>
      </c>
      <c r="D967" t="s">
        <v>995</v>
      </c>
      <c r="E967" t="s">
        <v>240</v>
      </c>
      <c r="F967" s="4">
        <f t="shared" si="1153"/>
        <v>0.9900000000000011</v>
      </c>
      <c r="G967" s="4">
        <f t="shared" si="1153"/>
        <v>0.99000000000000121</v>
      </c>
      <c r="H967" s="4">
        <f t="shared" si="1153"/>
        <v>0.9900000000000001</v>
      </c>
      <c r="I967" s="4">
        <f t="shared" si="1153"/>
        <v>0.99000000000000099</v>
      </c>
      <c r="J967" s="4">
        <f t="shared" si="1153"/>
        <v>0.98999999999999944</v>
      </c>
      <c r="K967" s="4">
        <f t="shared" si="1153"/>
        <v>0.99000000000000132</v>
      </c>
      <c r="L967" s="4">
        <f t="shared" ref="L967:O967" si="1160">IFERROR(L944/L912,"-")</f>
        <v>0.99000000000000032</v>
      </c>
      <c r="M967" s="4">
        <f t="shared" si="1160"/>
        <v>0.98999999999999955</v>
      </c>
      <c r="N967" s="4">
        <f t="shared" si="1160"/>
        <v>0.99</v>
      </c>
      <c r="O967" s="4">
        <f t="shared" si="1160"/>
        <v>0.9900000000000001</v>
      </c>
      <c r="P967" s="4">
        <f t="shared" si="1155"/>
        <v>0.98999999999999955</v>
      </c>
      <c r="Q967" s="4">
        <f t="shared" si="1155"/>
        <v>0.9900000000000011</v>
      </c>
      <c r="S967" s="3"/>
    </row>
    <row r="968" spans="2:19" x14ac:dyDescent="0.5">
      <c r="B968" s="5" t="str">
        <f t="shared" si="1139"/>
        <v>SPS1</v>
      </c>
      <c r="C968" s="5" t="str">
        <f t="shared" si="1140"/>
        <v>CH</v>
      </c>
      <c r="D968" t="s">
        <v>996</v>
      </c>
      <c r="E968" t="s">
        <v>240</v>
      </c>
      <c r="F968" s="4">
        <f t="shared" ref="F968:K968" si="1161">IFERROR(F946/F913,"-")</f>
        <v>0.72000000000000008</v>
      </c>
      <c r="G968" s="4">
        <f t="shared" si="1161"/>
        <v>0.72000000000000108</v>
      </c>
      <c r="H968" s="4">
        <f t="shared" si="1161"/>
        <v>0.72000000000000031</v>
      </c>
      <c r="I968" s="4">
        <f t="shared" si="1161"/>
        <v>0.71999999999999986</v>
      </c>
      <c r="J968" s="4">
        <f t="shared" si="1161"/>
        <v>0.72000000000000008</v>
      </c>
      <c r="K968" s="4">
        <f t="shared" si="1161"/>
        <v>0.7200000000000002</v>
      </c>
      <c r="L968" s="4">
        <f t="shared" ref="L968:O968" si="1162">IFERROR(L946/L913,"-")</f>
        <v>0.72</v>
      </c>
      <c r="M968" s="4">
        <f t="shared" si="1162"/>
        <v>0.71999999999999964</v>
      </c>
      <c r="N968" s="4">
        <f t="shared" si="1162"/>
        <v>0.71999999999999986</v>
      </c>
      <c r="O968" s="4">
        <f t="shared" si="1162"/>
        <v>0.7200000000000002</v>
      </c>
      <c r="P968" s="4">
        <f>IFERROR(P946/P913,"-")</f>
        <v>0.72000000000000008</v>
      </c>
      <c r="Q968" s="4">
        <f>IFERROR(Q946/Q913,"-")</f>
        <v>0.71999999999999909</v>
      </c>
      <c r="S968" s="3"/>
    </row>
    <row r="969" spans="2:19" x14ac:dyDescent="0.5">
      <c r="B969" s="5" t="str">
        <f t="shared" si="1139"/>
        <v>SPS1</v>
      </c>
      <c r="C969" s="5" t="str">
        <f t="shared" si="1140"/>
        <v>CH</v>
      </c>
      <c r="D969" t="s">
        <v>997</v>
      </c>
      <c r="E969" t="s">
        <v>240</v>
      </c>
      <c r="F969" s="4">
        <f t="shared" ref="F969:K969" si="1163">IFERROR(F948/F916,"-")</f>
        <v>0.8999999999999998</v>
      </c>
      <c r="G969" s="4">
        <f t="shared" si="1163"/>
        <v>0.90000000000000024</v>
      </c>
      <c r="H969" s="4">
        <f t="shared" si="1163"/>
        <v>0.89999999999999947</v>
      </c>
      <c r="I969" s="4">
        <f t="shared" si="1163"/>
        <v>0.8999999999999998</v>
      </c>
      <c r="J969" s="4">
        <f t="shared" si="1163"/>
        <v>0.9</v>
      </c>
      <c r="K969" s="4">
        <f t="shared" si="1163"/>
        <v>0.90000000000000013</v>
      </c>
      <c r="L969" s="4">
        <f t="shared" ref="L969:O969" si="1164">IFERROR(L948/L916,"-")</f>
        <v>0.8999999999999998</v>
      </c>
      <c r="M969" s="4">
        <f t="shared" si="1164"/>
        <v>0.90000000000000036</v>
      </c>
      <c r="N969" s="4">
        <f t="shared" si="1164"/>
        <v>0.89999999999999969</v>
      </c>
      <c r="O969" s="4">
        <f t="shared" si="1164"/>
        <v>0.90000000000000047</v>
      </c>
      <c r="P969" s="4">
        <f>IFERROR(P948/P916,"-")</f>
        <v>0.89999999999999958</v>
      </c>
      <c r="Q969" s="4">
        <f>IFERROR(Q948/Q916,"-")</f>
        <v>0.9</v>
      </c>
      <c r="S969" s="3"/>
    </row>
    <row r="970" spans="2:19" x14ac:dyDescent="0.5">
      <c r="B970" s="5" t="str">
        <f t="shared" si="1139"/>
        <v>SPS1</v>
      </c>
      <c r="C970" s="5" t="str">
        <f t="shared" si="1140"/>
        <v>CH</v>
      </c>
      <c r="D970" t="s">
        <v>998</v>
      </c>
      <c r="E970" t="s">
        <v>240</v>
      </c>
      <c r="F970" s="4">
        <f t="shared" ref="F970:K970" si="1165">IFERROR(F950/F918,"-")</f>
        <v>1</v>
      </c>
      <c r="G970" s="4">
        <f t="shared" si="1165"/>
        <v>1</v>
      </c>
      <c r="H970" s="4">
        <f t="shared" si="1165"/>
        <v>1</v>
      </c>
      <c r="I970" s="4">
        <f t="shared" si="1165"/>
        <v>1</v>
      </c>
      <c r="J970" s="4">
        <f t="shared" si="1165"/>
        <v>1</v>
      </c>
      <c r="K970" s="4">
        <f t="shared" si="1165"/>
        <v>1</v>
      </c>
      <c r="L970" s="4">
        <f t="shared" ref="L970:O970" si="1166">IFERROR(L950/L918,"-")</f>
        <v>1</v>
      </c>
      <c r="M970" s="4">
        <f t="shared" si="1166"/>
        <v>1</v>
      </c>
      <c r="N970" s="4">
        <f t="shared" si="1166"/>
        <v>1</v>
      </c>
      <c r="O970" s="4">
        <f t="shared" si="1166"/>
        <v>1</v>
      </c>
      <c r="P970" s="4">
        <f>IFERROR(P950/P918,"-")</f>
        <v>1</v>
      </c>
      <c r="Q970" s="4">
        <f>IFERROR(Q950/Q918,"-")</f>
        <v>1</v>
      </c>
      <c r="S970" s="3"/>
    </row>
    <row r="971" spans="2:19" x14ac:dyDescent="0.5">
      <c r="B971" s="5" t="str">
        <f t="shared" si="1139"/>
        <v>SPS1</v>
      </c>
      <c r="C971" s="5" t="str">
        <f t="shared" si="1140"/>
        <v>CH</v>
      </c>
      <c r="D971" t="s">
        <v>999</v>
      </c>
      <c r="E971" t="s">
        <v>240</v>
      </c>
      <c r="F971" s="4" t="str">
        <f t="shared" ref="F971:K971" si="1167">IFERROR(F952/F922,"-")</f>
        <v>-</v>
      </c>
      <c r="G971" s="4" t="str">
        <f t="shared" si="1167"/>
        <v>-</v>
      </c>
      <c r="H971" s="4" t="str">
        <f t="shared" si="1167"/>
        <v>-</v>
      </c>
      <c r="I971" s="4">
        <f t="shared" si="1167"/>
        <v>0.63023951844753656</v>
      </c>
      <c r="J971" s="4">
        <f t="shared" si="1167"/>
        <v>0.70903118990604241</v>
      </c>
      <c r="K971" s="4">
        <f t="shared" si="1167"/>
        <v>0.72361310476773666</v>
      </c>
      <c r="L971" s="4">
        <f t="shared" ref="L971:O971" si="1168">IFERROR(L952/L922,"-")</f>
        <v>0.77052601286531053</v>
      </c>
      <c r="M971" s="4">
        <f t="shared" si="1168"/>
        <v>0.90623457142713182</v>
      </c>
      <c r="N971" s="4">
        <f t="shared" si="1168"/>
        <v>0.87235874330563967</v>
      </c>
      <c r="O971" s="4">
        <f t="shared" si="1168"/>
        <v>0.8921702566495725</v>
      </c>
      <c r="P971" s="4">
        <f>IFERROR(P952/P922,"-")</f>
        <v>0.89084027183941805</v>
      </c>
      <c r="Q971" s="4">
        <f>IFERROR(Q952/Q922,"-")</f>
        <v>0.83423038379756076</v>
      </c>
      <c r="S971" s="3"/>
    </row>
    <row r="972" spans="2:19" x14ac:dyDescent="0.5">
      <c r="B972" s="9" t="str">
        <f>B924</f>
        <v>SPS1</v>
      </c>
      <c r="C972" s="9" t="str">
        <f>C924</f>
        <v>CH</v>
      </c>
      <c r="D972" s="2" t="s">
        <v>740</v>
      </c>
      <c r="E972" s="9" t="s">
        <v>8</v>
      </c>
      <c r="F972" s="3">
        <f>[1]Residential!B$26</f>
        <v>217.96818080439996</v>
      </c>
      <c r="G972" s="3">
        <f>[1]Residential!C$26</f>
        <v>219.93616372860413</v>
      </c>
      <c r="H972" s="3">
        <f>[1]Residential!D$26</f>
        <v>219.92038362096778</v>
      </c>
      <c r="I972" s="3">
        <f>[1]Residential!E$26</f>
        <v>217.7333917089353</v>
      </c>
      <c r="J972" s="3">
        <f>[1]Residential!F$26</f>
        <v>203.11334812301303</v>
      </c>
      <c r="K972" s="3">
        <f>[1]Residential!G$26</f>
        <v>192.28841510127114</v>
      </c>
      <c r="L972" s="3">
        <f>[1]Residential!H$26</f>
        <v>189.16417273642804</v>
      </c>
      <c r="M972" s="3">
        <f>[1]Residential!I$26</f>
        <v>189.36425157708064</v>
      </c>
      <c r="N972" s="3">
        <f>[1]Residential!J$26</f>
        <v>184.93373032314585</v>
      </c>
      <c r="O972" s="3">
        <f>[1]Residential!K$26</f>
        <v>181.26721531411238</v>
      </c>
      <c r="P972" s="3">
        <f>[1]Residential!L$26</f>
        <v>182.17808188635519</v>
      </c>
      <c r="Q972" s="3">
        <f>[1]Residential!M$26</f>
        <v>176.10820337281231</v>
      </c>
      <c r="S972" s="3"/>
    </row>
    <row r="973" spans="2:19" x14ac:dyDescent="0.5">
      <c r="B973" s="5" t="str">
        <f>B972</f>
        <v>SPS1</v>
      </c>
      <c r="C973" s="5" t="str">
        <f>C972</f>
        <v>CH</v>
      </c>
      <c r="D973" t="s">
        <v>1000</v>
      </c>
      <c r="E973" t="s">
        <v>8</v>
      </c>
      <c r="F973" s="1">
        <f>[1]Residential!B$15</f>
        <v>69.470151866071248</v>
      </c>
      <c r="G973" s="1">
        <f>[1]Residential!C$15</f>
        <v>70.023291620622601</v>
      </c>
      <c r="H973" s="1">
        <f>[1]Residential!D$15</f>
        <v>68.917293735294635</v>
      </c>
      <c r="I973" s="1">
        <f>[1]Residential!E$15</f>
        <v>69.466390131550526</v>
      </c>
      <c r="J973" s="1">
        <f>[1]Residential!F$15</f>
        <v>69.840891272112913</v>
      </c>
      <c r="K973" s="1">
        <f>[1]Residential!G$15</f>
        <v>72.879255878559064</v>
      </c>
      <c r="L973" s="1">
        <f>[1]Residential!H$15</f>
        <v>71.659684862826182</v>
      </c>
      <c r="M973" s="1">
        <f>[1]Residential!I$15</f>
        <v>75.336474964815324</v>
      </c>
      <c r="N973" s="1">
        <f>[1]Residential!J$15</f>
        <v>75.749930960573636</v>
      </c>
      <c r="O973" s="1">
        <f>[1]Residential!K$15</f>
        <v>76.583109804055624</v>
      </c>
      <c r="P973" s="1">
        <f>[1]Residential!L$15</f>
        <v>74.577288173377369</v>
      </c>
      <c r="Q973" s="1">
        <f>[1]Residential!M$15</f>
        <v>73.969177887085635</v>
      </c>
      <c r="S973" s="3"/>
    </row>
    <row r="974" spans="2:19" x14ac:dyDescent="0.5">
      <c r="B974" s="5" t="str">
        <f>B973</f>
        <v>SPS1</v>
      </c>
      <c r="C974" s="5" t="str">
        <f>C973</f>
        <v>CH</v>
      </c>
      <c r="D974" t="s">
        <v>1001</v>
      </c>
      <c r="E974" t="s">
        <v>8</v>
      </c>
      <c r="F974" s="1">
        <f>SUM(F975:F976)</f>
        <v>15.333269837745405</v>
      </c>
      <c r="G974" s="1">
        <f t="shared" ref="G974:K974" si="1169">SUM(G975:G976)</f>
        <v>15.110573467000338</v>
      </c>
      <c r="H974" s="1">
        <f t="shared" si="1169"/>
        <v>14.961570723741612</v>
      </c>
      <c r="I974" s="1">
        <f t="shared" si="1169"/>
        <v>16.104182616048206</v>
      </c>
      <c r="J974" s="1">
        <f t="shared" si="1169"/>
        <v>17.750813545195317</v>
      </c>
      <c r="K974" s="1">
        <f t="shared" si="1169"/>
        <v>20.457766519852949</v>
      </c>
      <c r="L974" s="1">
        <f t="shared" ref="L974:O974" si="1170">SUM(L975:L976)</f>
        <v>20.285441284290822</v>
      </c>
      <c r="M974" s="1">
        <f t="shared" si="1170"/>
        <v>22.780105253525505</v>
      </c>
      <c r="N974" s="1">
        <f t="shared" si="1170"/>
        <v>22.51357968501965</v>
      </c>
      <c r="O974" s="1">
        <f t="shared" si="1170"/>
        <v>22.331807956283992</v>
      </c>
      <c r="P974" s="1">
        <f>SUM(P975:P976)</f>
        <v>21.403034778781947</v>
      </c>
      <c r="Q974" s="1">
        <f>SUM(Q975:Q976)</f>
        <v>20.990483125395752</v>
      </c>
      <c r="S974" s="3"/>
    </row>
    <row r="975" spans="2:19" x14ac:dyDescent="0.5">
      <c r="B975" s="5" t="str">
        <f>B974</f>
        <v>SPS1</v>
      </c>
      <c r="C975" s="5" t="str">
        <f t="shared" ref="C975" si="1171">C974</f>
        <v>CH</v>
      </c>
      <c r="D975" t="s">
        <v>762</v>
      </c>
      <c r="E975" t="s">
        <v>8</v>
      </c>
      <c r="F975" s="1" cm="1">
        <f t="array" ref="F975">SUMPRODUCT(([1]OUT_FinalEnergyCons!$B$4:$B$10000="Var_Fin")*1,ISNUMBER(SEARCH("R*_ELC",[1]OUT_FinalEnergyCons!$C$4:$C$10000))*1, (ISNUMBER(SEARCH("RH*-SHELCBR",[1]OUT_FinalEnergyCons!$A$4:$A$10000)))*1,[1]OUT_FinalEnergyCons!D$4:D$10000)</f>
        <v>9.3769003489385092</v>
      </c>
      <c r="G975" s="1" cm="1">
        <f t="array" ref="G975">SUMPRODUCT(([1]OUT_FinalEnergyCons!$B$4:$B$10000="Var_Fin")*1,ISNUMBER(SEARCH("R*_ELC",[1]OUT_FinalEnergyCons!$C$4:$C$10000))*1, (ISNUMBER(SEARCH("RH*-SHELCBR",[1]OUT_FinalEnergyCons!$A$4:$A$10000)))*1,[1]OUT_FinalEnergyCons!E$4:E$10000)</f>
        <v>8.1317338107298553</v>
      </c>
      <c r="H975" s="1" cm="1">
        <f t="array" ref="H975">SUMPRODUCT(([1]OUT_FinalEnergyCons!$B$4:$B$10000="Var_Fin")*1,ISNUMBER(SEARCH("R*_ELC",[1]OUT_FinalEnergyCons!$C$4:$C$10000))*1, (ISNUMBER(SEARCH("RH*-SHELCBR",[1]OUT_FinalEnergyCons!$A$4:$A$10000)))*1,[1]OUT_FinalEnergyCons!F$4:F$10000)</f>
        <v>7.3676384571476357</v>
      </c>
      <c r="I975" s="1" cm="1">
        <f t="array" ref="I975">SUMPRODUCT(([1]OUT_FinalEnergyCons!$B$4:$B$10000="Var_Fin")*1,ISNUMBER(SEARCH("R*_ELC",[1]OUT_FinalEnergyCons!$C$4:$C$10000))*1, (ISNUMBER(SEARCH("RH*-SHELCBR",[1]OUT_FinalEnergyCons!$A$4:$A$10000)))*1,[1]OUT_FinalEnergyCons!G$4:G$10000)</f>
        <v>5.5681564415578491</v>
      </c>
      <c r="J975" s="1" cm="1">
        <f t="array" ref="J975">SUMPRODUCT(([1]OUT_FinalEnergyCons!$B$4:$B$10000="Var_Fin")*1,ISNUMBER(SEARCH("R*_ELC",[1]OUT_FinalEnergyCons!$C$4:$C$10000))*1, (ISNUMBER(SEARCH("RH*-SHELCBR",[1]OUT_FinalEnergyCons!$A$4:$A$10000)))*1,[1]OUT_FinalEnergyCons!H$4:H$10000)</f>
        <v>2.9043729587989828</v>
      </c>
      <c r="K975" s="1" cm="1">
        <f t="array" ref="K975">SUMPRODUCT(([1]OUT_FinalEnergyCons!$B$4:$B$10000="Var_Fin")*1,ISNUMBER(SEARCH("R*_ELC",[1]OUT_FinalEnergyCons!$C$4:$C$10000))*1, (ISNUMBER(SEARCH("RH*-SHELCBR",[1]OUT_FinalEnergyCons!$A$4:$A$10000)))*1,[1]OUT_FinalEnergyCons!I$4:I$10000)</f>
        <v>1.801288187460697</v>
      </c>
      <c r="L975" s="1" cm="1">
        <f t="array" ref="L975">SUMPRODUCT(([1]OUT_FinalEnergyCons!$B$4:$B$10000="Var_Fin")*1,ISNUMBER(SEARCH("R*_ELC",[1]OUT_FinalEnergyCons!$C$4:$C$10000))*1, (ISNUMBER(SEARCH("RH*-SHELCBR",[1]OUT_FinalEnergyCons!$A$4:$A$10000)))*1,[1]OUT_FinalEnergyCons!J$4:J$10000)</f>
        <v>1.1910575604562581</v>
      </c>
      <c r="M975" s="1" cm="1">
        <f t="array" ref="M975">SUMPRODUCT(([1]OUT_FinalEnergyCons!$B$4:$B$10000="Var_Fin")*1,ISNUMBER(SEARCH("R*_ELC",[1]OUT_FinalEnergyCons!$C$4:$C$10000))*1, (ISNUMBER(SEARCH("RH*-SHELCBR",[1]OUT_FinalEnergyCons!$A$4:$A$10000)))*1,[1]OUT_FinalEnergyCons!K$4:K$10000)</f>
        <v>2.605040894742503</v>
      </c>
      <c r="N975" s="1" cm="1">
        <f t="array" ref="N975">SUMPRODUCT(([1]OUT_FinalEnergyCons!$B$4:$B$10000="Var_Fin")*1,ISNUMBER(SEARCH("R*_ELC",[1]OUT_FinalEnergyCons!$C$4:$C$10000))*1, (ISNUMBER(SEARCH("RH*-SHELCBR",[1]OUT_FinalEnergyCons!$A$4:$A$10000)))*1,[1]OUT_FinalEnergyCons!L$4:L$10000)</f>
        <v>2.1469201679876013</v>
      </c>
      <c r="O975" s="1" cm="1">
        <f t="array" ref="O975">SUMPRODUCT(([1]OUT_FinalEnergyCons!$B$4:$B$10000="Var_Fin")*1,ISNUMBER(SEARCH("R*_ELC",[1]OUT_FinalEnergyCons!$C$4:$C$10000))*1, (ISNUMBER(SEARCH("RH*-SHELCBR",[1]OUT_FinalEnergyCons!$A$4:$A$10000)))*1,[1]OUT_FinalEnergyCons!M$4:M$10000)</f>
        <v>1.923114351803886</v>
      </c>
      <c r="P975" s="1" cm="1">
        <f t="array" ref="P975">SUMPRODUCT(([1]OUT_FinalEnergyCons!$B$4:$B$10000="Var_Fin")*1,ISNUMBER(SEARCH("R*_ELC",[1]OUT_FinalEnergyCons!$C$4:$C$10000))*1, (ISNUMBER(SEARCH("RH*-SHELCBR",[1]OUT_FinalEnergyCons!$A$4:$A$10000)))*1,[1]OUT_FinalEnergyCons!N$4:N$10000)</f>
        <v>0.99431730778057448</v>
      </c>
      <c r="Q975" s="1" cm="1">
        <f t="array" ref="Q975">SUMPRODUCT(([1]OUT_FinalEnergyCons!$B$4:$B$10000="Var_Fin")*1,ISNUMBER(SEARCH("R*_ELC",[1]OUT_FinalEnergyCons!$C$4:$C$10000))*1, (ISNUMBER(SEARCH("RH*-SHELCBR",[1]OUT_FinalEnergyCons!$A$4:$A$10000)))*1,[1]OUT_FinalEnergyCons!O$4:O$10000)</f>
        <v>0.58145716921927026</v>
      </c>
      <c r="S975" s="3"/>
    </row>
    <row r="976" spans="2:19" x14ac:dyDescent="0.5">
      <c r="B976" s="5" t="str">
        <f t="shared" ref="B976:B980" si="1172">B975</f>
        <v>SPS1</v>
      </c>
      <c r="C976" s="5" t="str">
        <f t="shared" ref="C976:C980" si="1173">C975</f>
        <v>CH</v>
      </c>
      <c r="D976" t="s">
        <v>732</v>
      </c>
      <c r="E976" t="s">
        <v>8</v>
      </c>
      <c r="F976" s="1" cm="1">
        <f t="array" ref="F976">SUMPRODUCT(([1]OUT_FinalEnergyCons!$B$4:$B$10000="Var_Fin")*1,ISNUMBER(SEARCH("R*_ELC",[1]OUT_FinalEnergyCons!$C$4:$C$10000))*1, (ISNUMBER(SEARCH("RH*-SHELCHP",[1]OUT_FinalEnergyCons!$A$4:$A$10000)))*1,[1]OUT_FinalEnergyCons!D$4:D$10000)</f>
        <v>5.9563694888068959</v>
      </c>
      <c r="G976" s="1" cm="1">
        <f t="array" ref="G976">SUMPRODUCT(([1]OUT_FinalEnergyCons!$B$4:$B$10000="Var_Fin")*1,ISNUMBER(SEARCH("R*_ELC",[1]OUT_FinalEnergyCons!$C$4:$C$10000))*1, (ISNUMBER(SEARCH("RH*-SHELCHP",[1]OUT_FinalEnergyCons!$A$4:$A$10000)))*1,[1]OUT_FinalEnergyCons!E$4:E$10000)</f>
        <v>6.9788396562704822</v>
      </c>
      <c r="H976" s="1" cm="1">
        <f t="array" ref="H976">SUMPRODUCT(([1]OUT_FinalEnergyCons!$B$4:$B$10000="Var_Fin")*1,ISNUMBER(SEARCH("R*_ELC",[1]OUT_FinalEnergyCons!$C$4:$C$10000))*1, (ISNUMBER(SEARCH("RH*-SHELCHP",[1]OUT_FinalEnergyCons!$A$4:$A$10000)))*1,[1]OUT_FinalEnergyCons!F$4:F$10000)</f>
        <v>7.5939322665939759</v>
      </c>
      <c r="I976" s="1" cm="1">
        <f t="array" ref="I976">SUMPRODUCT(([1]OUT_FinalEnergyCons!$B$4:$B$10000="Var_Fin")*1,ISNUMBER(SEARCH("R*_ELC",[1]OUT_FinalEnergyCons!$C$4:$C$10000))*1, (ISNUMBER(SEARCH("RH*-SHELCHP",[1]OUT_FinalEnergyCons!$A$4:$A$10000)))*1,[1]OUT_FinalEnergyCons!G$4:G$10000)</f>
        <v>10.536026174490358</v>
      </c>
      <c r="J976" s="1" cm="1">
        <f t="array" ref="J976">SUMPRODUCT(([1]OUT_FinalEnergyCons!$B$4:$B$10000="Var_Fin")*1,ISNUMBER(SEARCH("R*_ELC",[1]OUT_FinalEnergyCons!$C$4:$C$10000))*1, (ISNUMBER(SEARCH("RH*-SHELCHP",[1]OUT_FinalEnergyCons!$A$4:$A$10000)))*1,[1]OUT_FinalEnergyCons!H$4:H$10000)</f>
        <v>14.846440586396335</v>
      </c>
      <c r="K976" s="1" cm="1">
        <f t="array" ref="K976">SUMPRODUCT(([1]OUT_FinalEnergyCons!$B$4:$B$10000="Var_Fin")*1,ISNUMBER(SEARCH("R*_ELC",[1]OUT_FinalEnergyCons!$C$4:$C$10000))*1, (ISNUMBER(SEARCH("RH*-SHELCHP",[1]OUT_FinalEnergyCons!$A$4:$A$10000)))*1,[1]OUT_FinalEnergyCons!I$4:I$10000)</f>
        <v>18.656478332392254</v>
      </c>
      <c r="L976" s="1" cm="1">
        <f t="array" ref="L976">SUMPRODUCT(([1]OUT_FinalEnergyCons!$B$4:$B$10000="Var_Fin")*1,ISNUMBER(SEARCH("R*_ELC",[1]OUT_FinalEnergyCons!$C$4:$C$10000))*1, (ISNUMBER(SEARCH("RH*-SHELCHP",[1]OUT_FinalEnergyCons!$A$4:$A$10000)))*1,[1]OUT_FinalEnergyCons!J$4:J$10000)</f>
        <v>19.094383723834564</v>
      </c>
      <c r="M976" s="1" cm="1">
        <f t="array" ref="M976">SUMPRODUCT(([1]OUT_FinalEnergyCons!$B$4:$B$10000="Var_Fin")*1,ISNUMBER(SEARCH("R*_ELC",[1]OUT_FinalEnergyCons!$C$4:$C$10000))*1, (ISNUMBER(SEARCH("RH*-SHELCHP",[1]OUT_FinalEnergyCons!$A$4:$A$10000)))*1,[1]OUT_FinalEnergyCons!K$4:K$10000)</f>
        <v>20.175064358783004</v>
      </c>
      <c r="N976" s="1" cm="1">
        <f t="array" ref="N976">SUMPRODUCT(([1]OUT_FinalEnergyCons!$B$4:$B$10000="Var_Fin")*1,ISNUMBER(SEARCH("R*_ELC",[1]OUT_FinalEnergyCons!$C$4:$C$10000))*1, (ISNUMBER(SEARCH("RH*-SHELCHP",[1]OUT_FinalEnergyCons!$A$4:$A$10000)))*1,[1]OUT_FinalEnergyCons!L$4:L$10000)</f>
        <v>20.366659517032048</v>
      </c>
      <c r="O976" s="1" cm="1">
        <f t="array" ref="O976">SUMPRODUCT(([1]OUT_FinalEnergyCons!$B$4:$B$10000="Var_Fin")*1,ISNUMBER(SEARCH("R*_ELC",[1]OUT_FinalEnergyCons!$C$4:$C$10000))*1, (ISNUMBER(SEARCH("RH*-SHELCHP",[1]OUT_FinalEnergyCons!$A$4:$A$10000)))*1,[1]OUT_FinalEnergyCons!M$4:M$10000)</f>
        <v>20.408693604480106</v>
      </c>
      <c r="P976" s="1" cm="1">
        <f t="array" ref="P976">SUMPRODUCT(([1]OUT_FinalEnergyCons!$B$4:$B$10000="Var_Fin")*1,ISNUMBER(SEARCH("R*_ELC",[1]OUT_FinalEnergyCons!$C$4:$C$10000))*1, (ISNUMBER(SEARCH("RH*-SHELCHP",[1]OUT_FinalEnergyCons!$A$4:$A$10000)))*1,[1]OUT_FinalEnergyCons!N$4:N$10000)</f>
        <v>20.408717471001374</v>
      </c>
      <c r="Q976" s="1" cm="1">
        <f t="array" ref="Q976">SUMPRODUCT(([1]OUT_FinalEnergyCons!$B$4:$B$10000="Var_Fin")*1,ISNUMBER(SEARCH("R*_ELC",[1]OUT_FinalEnergyCons!$C$4:$C$10000))*1, (ISNUMBER(SEARCH("RH*-SHELCHP",[1]OUT_FinalEnergyCons!$A$4:$A$10000)))*1,[1]OUT_FinalEnergyCons!O$4:O$10000)</f>
        <v>20.409025956176482</v>
      </c>
      <c r="S976" s="3"/>
    </row>
    <row r="977" spans="2:19" x14ac:dyDescent="0.5">
      <c r="B977" s="5" t="str">
        <f t="shared" si="1172"/>
        <v>SPS1</v>
      </c>
      <c r="C977" s="5" t="str">
        <f t="shared" si="1173"/>
        <v>CH</v>
      </c>
      <c r="D977" t="s">
        <v>1002</v>
      </c>
      <c r="E977" t="s">
        <v>8</v>
      </c>
      <c r="F977" s="1">
        <f>SUM(F978:F979)</f>
        <v>9.5599481902840875</v>
      </c>
      <c r="G977" s="1">
        <f t="shared" ref="G977:K977" si="1174">SUM(G978:G979)</f>
        <v>10.085351719012658</v>
      </c>
      <c r="H977" s="1">
        <f t="shared" si="1174"/>
        <v>9.3222040486000708</v>
      </c>
      <c r="I977" s="1">
        <f t="shared" si="1174"/>
        <v>8.5239067943236293</v>
      </c>
      <c r="J977" s="1">
        <f t="shared" si="1174"/>
        <v>7.0599632833963835</v>
      </c>
      <c r="K977" s="1">
        <f t="shared" si="1174"/>
        <v>7.3695946954499707</v>
      </c>
      <c r="L977" s="1">
        <f t="shared" ref="L977:O977" si="1175">SUM(L978:L979)</f>
        <v>6.5007487359840024</v>
      </c>
      <c r="M977" s="1">
        <f t="shared" si="1175"/>
        <v>7.6242534173410235</v>
      </c>
      <c r="N977" s="1">
        <f t="shared" si="1175"/>
        <v>7.7604837947463912</v>
      </c>
      <c r="O977" s="1">
        <f t="shared" si="1175"/>
        <v>8.3917553650747987</v>
      </c>
      <c r="P977" s="1">
        <f>SUM(P978:P979)</f>
        <v>6.9014315807265358</v>
      </c>
      <c r="Q977" s="1">
        <f>SUM(Q978:Q979)</f>
        <v>6.6896895290790539</v>
      </c>
      <c r="S977" s="3"/>
    </row>
    <row r="978" spans="2:19" x14ac:dyDescent="0.5">
      <c r="B978" s="5" t="str">
        <f t="shared" si="1172"/>
        <v>SPS1</v>
      </c>
      <c r="C978" s="5" t="str">
        <f t="shared" si="1173"/>
        <v>CH</v>
      </c>
      <c r="D978" t="s">
        <v>763</v>
      </c>
      <c r="E978" t="s">
        <v>8</v>
      </c>
      <c r="F978" s="1" cm="1">
        <f t="array" ref="F978">SUMPRODUCT(([1]OUT_FinalEnergyCons!$B$4:$B$10000="Var_Fin")*1,ISNUMBER(SEARCH("R*_ELC",[1]OUT_FinalEnergyCons!$C$4:$C$10000))*1, (ISNUMBER(SEARCH("RH*-wHELCBR",[1]OUT_FinalEnergyCons!$A$4:$A$10000)))*1,[1]OUT_FinalEnergyCons!D$4:D$10000)</f>
        <v>8.4110412168794024</v>
      </c>
      <c r="G978" s="1" cm="1">
        <f t="array" ref="G978">SUMPRODUCT(([1]OUT_FinalEnergyCons!$B$4:$B$10000="Var_Fin")*1,ISNUMBER(SEARCH("R*_ELC",[1]OUT_FinalEnergyCons!$C$4:$C$10000))*1, (ISNUMBER(SEARCH("RH*-wHELCBR",[1]OUT_FinalEnergyCons!$A$4:$A$10000)))*1,[1]OUT_FinalEnergyCons!E$4:E$10000)</f>
        <v>8.7989100135926108</v>
      </c>
      <c r="H978" s="1" cm="1">
        <f t="array" ref="H978">SUMPRODUCT(([1]OUT_FinalEnergyCons!$B$4:$B$10000="Var_Fin")*1,ISNUMBER(SEARCH("R*_ELC",[1]OUT_FinalEnergyCons!$C$4:$C$10000))*1, (ISNUMBER(SEARCH("RH*-wHELCBR",[1]OUT_FinalEnergyCons!$A$4:$A$10000)))*1,[1]OUT_FinalEnergyCons!F$4:F$10000)</f>
        <v>7.5299804776496098</v>
      </c>
      <c r="I978" s="1" cm="1">
        <f t="array" ref="I978">SUMPRODUCT(([1]OUT_FinalEnergyCons!$B$4:$B$10000="Var_Fin")*1,ISNUMBER(SEARCH("R*_ELC",[1]OUT_FinalEnergyCons!$C$4:$C$10000))*1, (ISNUMBER(SEARCH("RH*-wHELCBR",[1]OUT_FinalEnergyCons!$A$4:$A$10000)))*1,[1]OUT_FinalEnergyCons!G$4:G$10000)</f>
        <v>5.6614558822992915</v>
      </c>
      <c r="J978" s="1" cm="1">
        <f t="array" ref="J978">SUMPRODUCT(([1]OUT_FinalEnergyCons!$B$4:$B$10000="Var_Fin")*1,ISNUMBER(SEARCH("R*_ELC",[1]OUT_FinalEnergyCons!$C$4:$C$10000))*1, (ISNUMBER(SEARCH("RH*-wHELCBR",[1]OUT_FinalEnergyCons!$A$4:$A$10000)))*1,[1]OUT_FinalEnergyCons!H$4:H$10000)</f>
        <v>2.6193928479704445</v>
      </c>
      <c r="K978" s="1" cm="1">
        <f t="array" ref="K978">SUMPRODUCT(([1]OUT_FinalEnergyCons!$B$4:$B$10000="Var_Fin")*1,ISNUMBER(SEARCH("R*_ELC",[1]OUT_FinalEnergyCons!$C$4:$C$10000))*1, (ISNUMBER(SEARCH("RH*-wHELCBR",[1]OUT_FinalEnergyCons!$A$4:$A$10000)))*1,[1]OUT_FinalEnergyCons!I$4:I$10000)</f>
        <v>1.6144850004440867</v>
      </c>
      <c r="L978" s="1" cm="1">
        <f t="array" ref="L978">SUMPRODUCT(([1]OUT_FinalEnergyCons!$B$4:$B$10000="Var_Fin")*1,ISNUMBER(SEARCH("R*_ELC",[1]OUT_FinalEnergyCons!$C$4:$C$10000))*1, (ISNUMBER(SEARCH("RH*-wHELCBR",[1]OUT_FinalEnergyCons!$A$4:$A$10000)))*1,[1]OUT_FinalEnergyCons!J$4:J$10000)</f>
        <v>1.0609661362987295</v>
      </c>
      <c r="M978" s="1" cm="1">
        <f t="array" ref="M978">SUMPRODUCT(([1]OUT_FinalEnergyCons!$B$4:$B$10000="Var_Fin")*1,ISNUMBER(SEARCH("R*_ELC",[1]OUT_FinalEnergyCons!$C$4:$C$10000))*1, (ISNUMBER(SEARCH("RH*-wHELCBR",[1]OUT_FinalEnergyCons!$A$4:$A$10000)))*1,[1]OUT_FinalEnergyCons!K$4:K$10000)</f>
        <v>2.306439438754452</v>
      </c>
      <c r="N978" s="1" cm="1">
        <f t="array" ref="N978">SUMPRODUCT(([1]OUT_FinalEnergyCons!$B$4:$B$10000="Var_Fin")*1,ISNUMBER(SEARCH("R*_ELC",[1]OUT_FinalEnergyCons!$C$4:$C$10000))*1, (ISNUMBER(SEARCH("RH*-wHELCBR",[1]OUT_FinalEnergyCons!$A$4:$A$10000)))*1,[1]OUT_FinalEnergyCons!L$4:L$10000)</f>
        <v>1.9008260766229494</v>
      </c>
      <c r="O978" s="1" cm="1">
        <f t="array" ref="O978">SUMPRODUCT(([1]OUT_FinalEnergyCons!$B$4:$B$10000="Var_Fin")*1,ISNUMBER(SEARCH("R*_ELC",[1]OUT_FinalEnergyCons!$C$4:$C$10000))*1, (ISNUMBER(SEARCH("RH*-wHELCBR",[1]OUT_FinalEnergyCons!$A$4:$A$10000)))*1,[1]OUT_FinalEnergyCons!M$4:M$10000)</f>
        <v>1.7026687513977692</v>
      </c>
      <c r="P978" s="1" cm="1">
        <f t="array" ref="P978">SUMPRODUCT(([1]OUT_FinalEnergyCons!$B$4:$B$10000="Var_Fin")*1,ISNUMBER(SEARCH("R*_ELC",[1]OUT_FinalEnergyCons!$C$4:$C$10000))*1, (ISNUMBER(SEARCH("RH*-wHELCBR",[1]OUT_FinalEnergyCons!$A$4:$A$10000)))*1,[1]OUT_FinalEnergyCons!N$4:N$10000)</f>
        <v>0.88030768114488689</v>
      </c>
      <c r="Q978" s="1" cm="1">
        <f t="array" ref="Q978">SUMPRODUCT(([1]OUT_FinalEnergyCons!$B$4:$B$10000="Var_Fin")*1,ISNUMBER(SEARCH("R*_ELC",[1]OUT_FinalEnergyCons!$C$4:$C$10000))*1, (ISNUMBER(SEARCH("RH*-wHELCBR",[1]OUT_FinalEnergyCons!$A$4:$A$10000)))*1,[1]OUT_FinalEnergyCons!O$4:O$10000)</f>
        <v>0.51477642301390492</v>
      </c>
      <c r="S978" s="3"/>
    </row>
    <row r="979" spans="2:19" x14ac:dyDescent="0.5">
      <c r="B979" s="5" t="str">
        <f t="shared" si="1172"/>
        <v>SPS1</v>
      </c>
      <c r="C979" s="5" t="str">
        <f t="shared" si="1173"/>
        <v>CH</v>
      </c>
      <c r="D979" t="s">
        <v>733</v>
      </c>
      <c r="E979" t="s">
        <v>8</v>
      </c>
      <c r="F979" s="1" cm="1">
        <f t="array" ref="F979">SUMPRODUCT(([1]OUT_FinalEnergyCons!$B$4:$B$10000="Var_Fin")*1,ISNUMBER(SEARCH("R*_ELC",[1]OUT_FinalEnergyCons!$C$4:$C$10000))*1, (ISNUMBER(SEARCH("RH*-wHELCHP",[1]OUT_FinalEnergyCons!$A$4:$A$10000)))*1,[1]OUT_FinalEnergyCons!D$4:D$10000)</f>
        <v>1.1489069734046848</v>
      </c>
      <c r="G979" s="1" cm="1">
        <f t="array" ref="G979">SUMPRODUCT(([1]OUT_FinalEnergyCons!$B$4:$B$10000="Var_Fin")*1,ISNUMBER(SEARCH("R*_ELC",[1]OUT_FinalEnergyCons!$C$4:$C$10000))*1, (ISNUMBER(SEARCH("RH*-wHELCHP",[1]OUT_FinalEnergyCons!$A$4:$A$10000)))*1,[1]OUT_FinalEnergyCons!E$4:E$10000)</f>
        <v>1.2864417054200481</v>
      </c>
      <c r="H979" s="1" cm="1">
        <f t="array" ref="H979">SUMPRODUCT(([1]OUT_FinalEnergyCons!$B$4:$B$10000="Var_Fin")*1,ISNUMBER(SEARCH("R*_ELC",[1]OUT_FinalEnergyCons!$C$4:$C$10000))*1, (ISNUMBER(SEARCH("RH*-wHELCHP",[1]OUT_FinalEnergyCons!$A$4:$A$10000)))*1,[1]OUT_FinalEnergyCons!F$4:F$10000)</f>
        <v>1.7922235709504606</v>
      </c>
      <c r="I979" s="1" cm="1">
        <f t="array" ref="I979">SUMPRODUCT(([1]OUT_FinalEnergyCons!$B$4:$B$10000="Var_Fin")*1,ISNUMBER(SEARCH("R*_ELC",[1]OUT_FinalEnergyCons!$C$4:$C$10000))*1, (ISNUMBER(SEARCH("RH*-wHELCHP",[1]OUT_FinalEnergyCons!$A$4:$A$10000)))*1,[1]OUT_FinalEnergyCons!G$4:G$10000)</f>
        <v>2.8624509120243378</v>
      </c>
      <c r="J979" s="1" cm="1">
        <f t="array" ref="J979">SUMPRODUCT(([1]OUT_FinalEnergyCons!$B$4:$B$10000="Var_Fin")*1,ISNUMBER(SEARCH("R*_ELC",[1]OUT_FinalEnergyCons!$C$4:$C$10000))*1, (ISNUMBER(SEARCH("RH*-wHELCHP",[1]OUT_FinalEnergyCons!$A$4:$A$10000)))*1,[1]OUT_FinalEnergyCons!H$4:H$10000)</f>
        <v>4.440570435425939</v>
      </c>
      <c r="K979" s="1" cm="1">
        <f t="array" ref="K979">SUMPRODUCT(([1]OUT_FinalEnergyCons!$B$4:$B$10000="Var_Fin")*1,ISNUMBER(SEARCH("R*_ELC",[1]OUT_FinalEnergyCons!$C$4:$C$10000))*1, (ISNUMBER(SEARCH("RH*-wHELCHP",[1]OUT_FinalEnergyCons!$A$4:$A$10000)))*1,[1]OUT_FinalEnergyCons!I$4:I$10000)</f>
        <v>5.755109695005884</v>
      </c>
      <c r="L979" s="1" cm="1">
        <f t="array" ref="L979">SUMPRODUCT(([1]OUT_FinalEnergyCons!$B$4:$B$10000="Var_Fin")*1,ISNUMBER(SEARCH("R*_ELC",[1]OUT_FinalEnergyCons!$C$4:$C$10000))*1, (ISNUMBER(SEARCH("RH*-wHELCHP",[1]OUT_FinalEnergyCons!$A$4:$A$10000)))*1,[1]OUT_FinalEnergyCons!J$4:J$10000)</f>
        <v>5.4397825996852731</v>
      </c>
      <c r="M979" s="1" cm="1">
        <f t="array" ref="M979">SUMPRODUCT(([1]OUT_FinalEnergyCons!$B$4:$B$10000="Var_Fin")*1,ISNUMBER(SEARCH("R*_ELC",[1]OUT_FinalEnergyCons!$C$4:$C$10000))*1, (ISNUMBER(SEARCH("RH*-wHELCHP",[1]OUT_FinalEnergyCons!$A$4:$A$10000)))*1,[1]OUT_FinalEnergyCons!K$4:K$10000)</f>
        <v>5.3178139785865719</v>
      </c>
      <c r="N979" s="1" cm="1">
        <f t="array" ref="N979">SUMPRODUCT(([1]OUT_FinalEnergyCons!$B$4:$B$10000="Var_Fin")*1,ISNUMBER(SEARCH("R*_ELC",[1]OUT_FinalEnergyCons!$C$4:$C$10000))*1, (ISNUMBER(SEARCH("RH*-wHELCHP",[1]OUT_FinalEnergyCons!$A$4:$A$10000)))*1,[1]OUT_FinalEnergyCons!L$4:L$10000)</f>
        <v>5.8596577181234419</v>
      </c>
      <c r="O979" s="1" cm="1">
        <f t="array" ref="O979">SUMPRODUCT(([1]OUT_FinalEnergyCons!$B$4:$B$10000="Var_Fin")*1,ISNUMBER(SEARCH("R*_ELC",[1]OUT_FinalEnergyCons!$C$4:$C$10000))*1, (ISNUMBER(SEARCH("RH*-wHELCHP",[1]OUT_FinalEnergyCons!$A$4:$A$10000)))*1,[1]OUT_FinalEnergyCons!M$4:M$10000)</f>
        <v>6.6890866136770297</v>
      </c>
      <c r="P979" s="1" cm="1">
        <f t="array" ref="P979">SUMPRODUCT(([1]OUT_FinalEnergyCons!$B$4:$B$10000="Var_Fin")*1,ISNUMBER(SEARCH("R*_ELC",[1]OUT_FinalEnergyCons!$C$4:$C$10000))*1, (ISNUMBER(SEARCH("RH*-wHELCHP",[1]OUT_FinalEnergyCons!$A$4:$A$10000)))*1,[1]OUT_FinalEnergyCons!N$4:N$10000)</f>
        <v>6.0211238995816485</v>
      </c>
      <c r="Q979" s="1" cm="1">
        <f t="array" ref="Q979">SUMPRODUCT(([1]OUT_FinalEnergyCons!$B$4:$B$10000="Var_Fin")*1,ISNUMBER(SEARCH("R*_ELC",[1]OUT_FinalEnergyCons!$C$4:$C$10000))*1, (ISNUMBER(SEARCH("RH*-wHELCHP",[1]OUT_FinalEnergyCons!$A$4:$A$10000)))*1,[1]OUT_FinalEnergyCons!O$4:O$10000)</f>
        <v>6.1749131060651488</v>
      </c>
      <c r="S979" s="3"/>
    </row>
    <row r="980" spans="2:19" x14ac:dyDescent="0.5">
      <c r="B980" s="5" t="str">
        <f t="shared" si="1172"/>
        <v>SPS1</v>
      </c>
      <c r="C980" s="5" t="str">
        <f t="shared" si="1173"/>
        <v>CH</v>
      </c>
      <c r="D980" t="s">
        <v>1003</v>
      </c>
      <c r="E980" t="s">
        <v>8</v>
      </c>
      <c r="F980" s="1">
        <f>[1]Residential!B$3-([1]Residential!B$10-[1]Residential!B$244)</f>
        <v>44.576933838041754</v>
      </c>
      <c r="G980" s="1">
        <f>[1]Residential!C$3-([1]Residential!C$10-[1]Residential!C$244)</f>
        <v>44.827366434609601</v>
      </c>
      <c r="H980" s="1">
        <f>[1]Residential!D$3-([1]Residential!D$10-[1]Residential!D$244)</f>
        <v>44.633518962952948</v>
      </c>
      <c r="I980" s="1">
        <f>[1]Residential!E$3-([1]Residential!E$10-[1]Residential!E$244)</f>
        <v>44.838300721178683</v>
      </c>
      <c r="J980" s="1">
        <f>[1]Residential!F$3-([1]Residential!F$10-[1]Residential!F$244)</f>
        <v>45.030114443521214</v>
      </c>
      <c r="K980" s="1">
        <f>[1]Residential!G$3-([1]Residential!G$10-[1]Residential!G$244)</f>
        <v>45.051894663256142</v>
      </c>
      <c r="L980" s="1">
        <f>[1]Residential!H$3-([1]Residential!H$10-[1]Residential!H$244)</f>
        <v>44.873494842551352</v>
      </c>
      <c r="M980" s="1">
        <f>[1]Residential!I$3-([1]Residential!I$10-[1]Residential!I$244)</f>
        <v>44.932116293948795</v>
      </c>
      <c r="N980" s="1">
        <f>[1]Residential!J$3-([1]Residential!J$10-[1]Residential!J$244)</f>
        <v>45.475867480807594</v>
      </c>
      <c r="O980" s="1">
        <f>[1]Residential!K$3-([1]Residential!K$10-[1]Residential!K$244)</f>
        <v>45.859546482696835</v>
      </c>
      <c r="P980" s="1">
        <f>[1]Residential!L$3-([1]Residential!L$10-[1]Residential!L$244)</f>
        <v>46.272821813868887</v>
      </c>
      <c r="Q980" s="1">
        <f>[1]Residential!M$3-([1]Residential!M$10-[1]Residential!M$244)</f>
        <v>46.289005232610833</v>
      </c>
      <c r="S980" s="3"/>
    </row>
    <row r="981" spans="2:19" x14ac:dyDescent="0.5">
      <c r="B981" s="5" t="str">
        <f>B980</f>
        <v>SPS1</v>
      </c>
      <c r="C981" s="5" t="str">
        <f>C980</f>
        <v>CH</v>
      </c>
      <c r="D981" t="s">
        <v>676</v>
      </c>
      <c r="E981" t="s">
        <v>8</v>
      </c>
      <c r="F981" s="1">
        <f>SUM([1]Residential!B$16:B$17)</f>
        <v>60.231918363672435</v>
      </c>
      <c r="G981" s="1">
        <f>SUM([1]Residential!C$16:C$17)</f>
        <v>51.320073161915758</v>
      </c>
      <c r="H981" s="1">
        <f>SUM([1]Residential!D$16:D$17)</f>
        <v>48.105173776670149</v>
      </c>
      <c r="I981" s="1">
        <f>SUM([1]Residential!E$16:E$17)</f>
        <v>39.715796492911117</v>
      </c>
      <c r="J981" s="1">
        <f>SUM([1]Residential!F$16:F$17)</f>
        <v>13.289368936549083</v>
      </c>
      <c r="K981" s="1">
        <f>SUM([1]Residential!G$16:G$17)</f>
        <v>3.6565016506588617E-2</v>
      </c>
      <c r="L981" s="1">
        <f>SUM([1]Residential!H$16:H$17)</f>
        <v>3.4059480472769445E-2</v>
      </c>
      <c r="M981" s="1">
        <f>SUM([1]Residential!I$16:I$17)</f>
        <v>3.3377584372246173E-2</v>
      </c>
      <c r="N981" s="1">
        <f>SUM([1]Residential!J$16:J$17)</f>
        <v>1.2574631488159647E-2</v>
      </c>
      <c r="O981" s="1">
        <f>SUM([1]Residential!K$16:K$17)</f>
        <v>1.2917979823490942E-2</v>
      </c>
      <c r="P981" s="1">
        <f>SUM([1]Residential!L$16:L$17)</f>
        <v>1.3357662427639298E-2</v>
      </c>
      <c r="Q981" s="1">
        <f>SUM([1]Residential!M$16:M$17)</f>
        <v>1.2289498417538661E-2</v>
      </c>
      <c r="S981" s="3"/>
    </row>
    <row r="982" spans="2:19" x14ac:dyDescent="0.5">
      <c r="B982" s="5" t="str">
        <f t="shared" ref="B982:B993" si="1176">B981</f>
        <v>SPS1</v>
      </c>
      <c r="C982" s="5" t="str">
        <f t="shared" ref="C982:C993" si="1177">C981</f>
        <v>CH</v>
      </c>
      <c r="D982" t="s">
        <v>1004</v>
      </c>
      <c r="E982" t="s">
        <v>8</v>
      </c>
      <c r="F982" s="1">
        <f>[1]Residential!B$16</f>
        <v>60.231918363672435</v>
      </c>
      <c r="G982" s="1">
        <f>[1]Residential!C$16</f>
        <v>51.320073161915758</v>
      </c>
      <c r="H982" s="1">
        <f>[1]Residential!D$16</f>
        <v>48.10516636475738</v>
      </c>
      <c r="I982" s="1">
        <f>[1]Residential!E$16</f>
        <v>39.715391958211221</v>
      </c>
      <c r="J982" s="1">
        <f>[1]Residential!F$16</f>
        <v>13.287290747565667</v>
      </c>
      <c r="K982" s="1">
        <f>[1]Residential!G$16</f>
        <v>3.5637275405424003E-2</v>
      </c>
      <c r="L982" s="1">
        <f>[1]Residential!H$16</f>
        <v>3.2685961737041393E-2</v>
      </c>
      <c r="M982" s="1">
        <f>[1]Residential!I$16</f>
        <v>1.5826160358624434E-5</v>
      </c>
      <c r="N982" s="1">
        <f>[1]Residential!J$16</f>
        <v>6.1128995079224506E-5</v>
      </c>
      <c r="O982" s="1">
        <f>[1]Residential!K$16</f>
        <v>8.2189845500010291E-5</v>
      </c>
      <c r="P982" s="1">
        <f>[1]Residential!L$16</f>
        <v>8.3700246814225025E-5</v>
      </c>
      <c r="Q982" s="1">
        <f>[1]Residential!M$16</f>
        <v>1.0428475117068467E-4</v>
      </c>
      <c r="S982" s="3"/>
    </row>
    <row r="983" spans="2:19" x14ac:dyDescent="0.5">
      <c r="B983" s="5" t="str">
        <f t="shared" si="1176"/>
        <v>SPS1</v>
      </c>
      <c r="C983" s="5" t="str">
        <f t="shared" si="1177"/>
        <v>CH</v>
      </c>
      <c r="D983" t="s">
        <v>1005</v>
      </c>
      <c r="E983" t="s">
        <v>8</v>
      </c>
      <c r="F983" s="1">
        <f>[1]Residential!B$17</f>
        <v>0</v>
      </c>
      <c r="G983" s="1">
        <f>[1]Residential!C$17</f>
        <v>0</v>
      </c>
      <c r="H983" s="1">
        <f>[1]Residential!D$17</f>
        <v>7.4119127696311812E-6</v>
      </c>
      <c r="I983" s="1">
        <f>[1]Residential!E$17</f>
        <v>4.0453469989941399E-4</v>
      </c>
      <c r="J983" s="1">
        <f>[1]Residential!F$17</f>
        <v>2.078188983415876E-3</v>
      </c>
      <c r="K983" s="1">
        <f>[1]Residential!G$17</f>
        <v>9.2774110116461742E-4</v>
      </c>
      <c r="L983" s="1">
        <f>[1]Residential!H$17</f>
        <v>1.3735187357280536E-3</v>
      </c>
      <c r="M983" s="1">
        <f>[1]Residential!I$17</f>
        <v>3.3361758211887547E-2</v>
      </c>
      <c r="N983" s="1">
        <f>[1]Residential!J$17</f>
        <v>1.2513502493080423E-2</v>
      </c>
      <c r="O983" s="1">
        <f>[1]Residential!K$17</f>
        <v>1.2835789977990932E-2</v>
      </c>
      <c r="P983" s="1">
        <f>[1]Residential!L$17</f>
        <v>1.3273962180825074E-2</v>
      </c>
      <c r="Q983" s="1">
        <f>[1]Residential!M$17</f>
        <v>1.2185213666367977E-2</v>
      </c>
      <c r="S983" s="3"/>
    </row>
    <row r="984" spans="2:19" x14ac:dyDescent="0.5">
      <c r="B984" s="5" t="str">
        <f t="shared" si="1176"/>
        <v>SPS1</v>
      </c>
      <c r="C984" s="5" t="str">
        <f t="shared" si="1177"/>
        <v>CH</v>
      </c>
      <c r="D984" t="s">
        <v>1006</v>
      </c>
      <c r="E984" t="s">
        <v>8</v>
      </c>
      <c r="F984" s="1">
        <f>SUM(F986,F988)</f>
        <v>50.371470590940923</v>
      </c>
      <c r="G984" s="1">
        <f t="shared" ref="G984:K984" si="1178">SUM(G986,G988)</f>
        <v>43.033924910007421</v>
      </c>
      <c r="H984" s="1">
        <f t="shared" si="1178"/>
        <v>45.634503715041461</v>
      </c>
      <c r="I984" s="1">
        <f t="shared" si="1178"/>
        <v>38.894004738625668</v>
      </c>
      <c r="J984" s="1">
        <f t="shared" si="1178"/>
        <v>13.052983929927709</v>
      </c>
      <c r="K984" s="1">
        <f t="shared" si="1178"/>
        <v>3.4418697996380698E-2</v>
      </c>
      <c r="L984" s="1">
        <f t="shared" ref="L984:O984" si="1179">SUM(L986,L988)</f>
        <v>3.2113364292469491E-2</v>
      </c>
      <c r="M984" s="1">
        <f t="shared" si="1179"/>
        <v>3.2023624353649298E-2</v>
      </c>
      <c r="N984" s="1">
        <f t="shared" si="1179"/>
        <v>1.1285144260840402E-2</v>
      </c>
      <c r="O984" s="1">
        <f t="shared" si="1179"/>
        <v>1.1261455294658541E-2</v>
      </c>
      <c r="P984" s="1">
        <f>SUM(P986,P988)</f>
        <v>1.1250909488557601E-2</v>
      </c>
      <c r="Q984" s="1">
        <f>SUM(Q986,Q988)</f>
        <v>1.0135604922680926E-2</v>
      </c>
      <c r="S984" s="3"/>
    </row>
    <row r="985" spans="2:19" x14ac:dyDescent="0.5">
      <c r="B985" s="5" t="str">
        <f t="shared" si="1176"/>
        <v>SPS1</v>
      </c>
      <c r="C985" s="5" t="str">
        <f t="shared" si="1177"/>
        <v>CH</v>
      </c>
      <c r="D985" t="s">
        <v>708</v>
      </c>
      <c r="E985" t="s">
        <v>8</v>
      </c>
      <c r="F985" s="1" cm="1">
        <f t="array" ref="F985">SUMPRODUCT(([1]OUT_FinalEnergyCons!$B$4:$B$10000="Var_Fin")*1, ([1]OUT_FinalEnergyCons!$C$4:$C$10000="RLFO")*1,(ISNUMBER(SEARCH("RH*-SHLFOBR",[1]OUT_FinalEnergyCons!$A$4:$A$10000)))*1,[1]OUT_FinalEnergyCons!D$4:D$10000)</f>
        <v>50.371470590940923</v>
      </c>
      <c r="G985" s="1" cm="1">
        <f t="array" ref="G985">SUMPRODUCT(([1]OUT_FinalEnergyCons!$B$4:$B$10000="Var_Fin")*1, ([1]OUT_FinalEnergyCons!$C$4:$C$10000="RLFO")*1,(ISNUMBER(SEARCH("RH*-SHLFOBR",[1]OUT_FinalEnergyCons!$A$4:$A$10000)))*1,[1]OUT_FinalEnergyCons!E$4:E$10000)</f>
        <v>43.033924910007421</v>
      </c>
      <c r="H985" s="1" cm="1">
        <f t="array" ref="H985">SUMPRODUCT(([1]OUT_FinalEnergyCons!$B$4:$B$10000="Var_Fin")*1, ([1]OUT_FinalEnergyCons!$C$4:$C$10000="RLFO")*1,(ISNUMBER(SEARCH("RH*-SHLFOBR",[1]OUT_FinalEnergyCons!$A$4:$A$10000)))*1,[1]OUT_FinalEnergyCons!F$4:F$10000)</f>
        <v>45.634503715041461</v>
      </c>
      <c r="I985" s="1" cm="1">
        <f t="array" ref="I985">SUMPRODUCT(([1]OUT_FinalEnergyCons!$B$4:$B$10000="Var_Fin")*1, ([1]OUT_FinalEnergyCons!$C$4:$C$10000="RLFO")*1,(ISNUMBER(SEARCH("RH*-SHLFOBR",[1]OUT_FinalEnergyCons!$A$4:$A$10000)))*1,[1]OUT_FinalEnergyCons!G$4:G$10000)</f>
        <v>38.894004738625668</v>
      </c>
      <c r="J985" s="1" cm="1">
        <f t="array" ref="J985">SUMPRODUCT(([1]OUT_FinalEnergyCons!$B$4:$B$10000="Var_Fin")*1, ([1]OUT_FinalEnergyCons!$C$4:$C$10000="RLFO")*1,(ISNUMBER(SEARCH("RH*-SHLFOBR",[1]OUT_FinalEnergyCons!$A$4:$A$10000)))*1,[1]OUT_FinalEnergyCons!H$4:H$10000)</f>
        <v>13.052983929927709</v>
      </c>
      <c r="K985" s="1" cm="1">
        <f t="array" ref="K985">SUMPRODUCT(([1]OUT_FinalEnergyCons!$B$4:$B$10000="Var_Fin")*1, ([1]OUT_FinalEnergyCons!$C$4:$C$10000="RLFO")*1,(ISNUMBER(SEARCH("RH*-SHLFOBR",[1]OUT_FinalEnergyCons!$A$4:$A$10000)))*1,[1]OUT_FinalEnergyCons!I$4:I$10000)</f>
        <v>3.4418697996380698E-2</v>
      </c>
      <c r="L985" s="1" cm="1">
        <f t="array" ref="L985">SUMPRODUCT(([1]OUT_FinalEnergyCons!$B$4:$B$10000="Var_Fin")*1, ([1]OUT_FinalEnergyCons!$C$4:$C$10000="RLFO")*1,(ISNUMBER(SEARCH("RH*-SHLFOBR",[1]OUT_FinalEnergyCons!$A$4:$A$10000)))*1,[1]OUT_FinalEnergyCons!J$4:J$10000)</f>
        <v>3.2113364292469491E-2</v>
      </c>
      <c r="M985" s="1" cm="1">
        <f t="array" ref="M985">SUMPRODUCT(([1]OUT_FinalEnergyCons!$B$4:$B$10000="Var_Fin")*1, ([1]OUT_FinalEnergyCons!$C$4:$C$10000="RLFO")*1,(ISNUMBER(SEARCH("RH*-SHLFOBR",[1]OUT_FinalEnergyCons!$A$4:$A$10000)))*1,[1]OUT_FinalEnergyCons!K$4:K$10000)</f>
        <v>3.2023624353649298E-2</v>
      </c>
      <c r="N985" s="1" cm="1">
        <f t="array" ref="N985">SUMPRODUCT(([1]OUT_FinalEnergyCons!$B$4:$B$10000="Var_Fin")*1, ([1]OUT_FinalEnergyCons!$C$4:$C$10000="RLFO")*1,(ISNUMBER(SEARCH("RH*-SHLFOBR",[1]OUT_FinalEnergyCons!$A$4:$A$10000)))*1,[1]OUT_FinalEnergyCons!L$4:L$10000)</f>
        <v>1.1285144260840402E-2</v>
      </c>
      <c r="O985" s="1" cm="1">
        <f t="array" ref="O985">SUMPRODUCT(([1]OUT_FinalEnergyCons!$B$4:$B$10000="Var_Fin")*1, ([1]OUT_FinalEnergyCons!$C$4:$C$10000="RLFO")*1,(ISNUMBER(SEARCH("RH*-SHLFOBR",[1]OUT_FinalEnergyCons!$A$4:$A$10000)))*1,[1]OUT_FinalEnergyCons!M$4:M$10000)</f>
        <v>1.1261455294658541E-2</v>
      </c>
      <c r="P985" s="1" cm="1">
        <f t="array" ref="P985">SUMPRODUCT(([1]OUT_FinalEnergyCons!$B$4:$B$10000="Var_Fin")*1, ([1]OUT_FinalEnergyCons!$C$4:$C$10000="RLFO")*1,(ISNUMBER(SEARCH("RH*-SHLFOBR",[1]OUT_FinalEnergyCons!$A$4:$A$10000)))*1,[1]OUT_FinalEnergyCons!N$4:N$10000)</f>
        <v>1.1250909488557601E-2</v>
      </c>
      <c r="Q985" s="1" cm="1">
        <f t="array" ref="Q985">SUMPRODUCT(([1]OUT_FinalEnergyCons!$B$4:$B$10000="Var_Fin")*1, ([1]OUT_FinalEnergyCons!$C$4:$C$10000="RLFO")*1,(ISNUMBER(SEARCH("RH*-SHLFOBR",[1]OUT_FinalEnergyCons!$A$4:$A$10000)))*1,[1]OUT_FinalEnergyCons!O$4:O$10000)</f>
        <v>1.0135604922680926E-2</v>
      </c>
      <c r="S985" s="3"/>
    </row>
    <row r="986" spans="2:19" x14ac:dyDescent="0.5">
      <c r="B986" s="5" t="str">
        <f t="shared" si="1176"/>
        <v>SPS1</v>
      </c>
      <c r="C986" s="5" t="str">
        <f t="shared" si="1177"/>
        <v>CH</v>
      </c>
      <c r="D986" t="s">
        <v>1007</v>
      </c>
      <c r="E986" t="s">
        <v>8</v>
      </c>
      <c r="F986" s="1">
        <f>F987</f>
        <v>50.371470590940923</v>
      </c>
      <c r="G986" s="1">
        <f t="shared" ref="G986:O986" si="1180">G987</f>
        <v>43.033924910007421</v>
      </c>
      <c r="H986" s="1">
        <f t="shared" si="1180"/>
        <v>45.634496683802737</v>
      </c>
      <c r="I986" s="1">
        <f t="shared" si="1180"/>
        <v>38.89360857448132</v>
      </c>
      <c r="J986" s="1">
        <f t="shared" si="1180"/>
        <v>13.050942706786611</v>
      </c>
      <c r="K986" s="1">
        <f t="shared" si="1180"/>
        <v>3.3545414081027868E-2</v>
      </c>
      <c r="L986" s="1">
        <f t="shared" si="1180"/>
        <v>3.0818326702033206E-2</v>
      </c>
      <c r="M986" s="1">
        <f t="shared" si="1180"/>
        <v>1.5184172965693211E-5</v>
      </c>
      <c r="N986" s="1">
        <f t="shared" si="1180"/>
        <v>5.4860417073758247E-5</v>
      </c>
      <c r="O986" s="1">
        <f t="shared" si="1180"/>
        <v>7.1650310917046415E-5</v>
      </c>
      <c r="P986" s="1">
        <f>P987</f>
        <v>7.0499154038226799E-5</v>
      </c>
      <c r="Q986" s="1">
        <f>Q987</f>
        <v>8.6007500177362044E-5</v>
      </c>
      <c r="S986" s="3"/>
    </row>
    <row r="987" spans="2:19" x14ac:dyDescent="0.5">
      <c r="B987" s="5" t="str">
        <f t="shared" si="1176"/>
        <v>SPS1</v>
      </c>
      <c r="C987" s="5" t="str">
        <f t="shared" si="1177"/>
        <v>CH</v>
      </c>
      <c r="D987" t="s">
        <v>709</v>
      </c>
      <c r="E987" t="s">
        <v>8</v>
      </c>
      <c r="F987" s="1">
        <f>F985*IFERROR(F982/F981,0)</f>
        <v>50.371470590940923</v>
      </c>
      <c r="G987" s="1">
        <f t="shared" ref="G987:K987" si="1181">G985*IFERROR(G982/G981,0)</f>
        <v>43.033924910007421</v>
      </c>
      <c r="H987" s="1">
        <f t="shared" si="1181"/>
        <v>45.634496683802737</v>
      </c>
      <c r="I987" s="1">
        <f t="shared" si="1181"/>
        <v>38.89360857448132</v>
      </c>
      <c r="J987" s="1">
        <f t="shared" si="1181"/>
        <v>13.050942706786611</v>
      </c>
      <c r="K987" s="1">
        <f t="shared" si="1181"/>
        <v>3.3545414081027868E-2</v>
      </c>
      <c r="L987" s="1">
        <f t="shared" ref="L987:O987" si="1182">L985*IFERROR(L982/L981,0)</f>
        <v>3.0818326702033206E-2</v>
      </c>
      <c r="M987" s="1">
        <f t="shared" si="1182"/>
        <v>1.5184172965693211E-5</v>
      </c>
      <c r="N987" s="1">
        <f t="shared" si="1182"/>
        <v>5.4860417073758247E-5</v>
      </c>
      <c r="O987" s="1">
        <f t="shared" si="1182"/>
        <v>7.1650310917046415E-5</v>
      </c>
      <c r="P987" s="1">
        <f>P985*IFERROR(P982/P981,0)</f>
        <v>7.0499154038226799E-5</v>
      </c>
      <c r="Q987" s="1">
        <f>Q985*IFERROR(Q982/Q981,0)</f>
        <v>8.6007500177362044E-5</v>
      </c>
      <c r="S987" s="3"/>
    </row>
    <row r="988" spans="2:19" x14ac:dyDescent="0.5">
      <c r="B988" s="5" t="str">
        <f t="shared" si="1176"/>
        <v>SPS1</v>
      </c>
      <c r="C988" s="5" t="str">
        <f t="shared" si="1177"/>
        <v>CH</v>
      </c>
      <c r="D988" t="s">
        <v>1008</v>
      </c>
      <c r="E988" t="s">
        <v>8</v>
      </c>
      <c r="F988" s="1">
        <f>F989</f>
        <v>0</v>
      </c>
      <c r="G988" s="1">
        <f t="shared" ref="G988:O988" si="1183">G989</f>
        <v>0</v>
      </c>
      <c r="H988" s="1">
        <f t="shared" si="1183"/>
        <v>7.0312387236981522E-6</v>
      </c>
      <c r="I988" s="1">
        <f t="shared" si="1183"/>
        <v>3.9616414434817671E-4</v>
      </c>
      <c r="J988" s="1">
        <f t="shared" si="1183"/>
        <v>2.0412231410986692E-3</v>
      </c>
      <c r="K988" s="1">
        <f t="shared" si="1183"/>
        <v>8.7328391535283073E-4</v>
      </c>
      <c r="L988" s="1">
        <f t="shared" si="1183"/>
        <v>1.2950375904362856E-3</v>
      </c>
      <c r="M988" s="1">
        <f t="shared" si="1183"/>
        <v>3.2008440180683606E-2</v>
      </c>
      <c r="N988" s="1">
        <f t="shared" si="1183"/>
        <v>1.1230283843766644E-2</v>
      </c>
      <c r="O988" s="1">
        <f t="shared" si="1183"/>
        <v>1.1189804983741494E-2</v>
      </c>
      <c r="P988" s="1">
        <f>P989</f>
        <v>1.1180410334519374E-2</v>
      </c>
      <c r="Q988" s="1">
        <f>Q989</f>
        <v>1.0049597422503564E-2</v>
      </c>
      <c r="S988" s="3"/>
    </row>
    <row r="989" spans="2:19" x14ac:dyDescent="0.5">
      <c r="B989" s="5" t="str">
        <f t="shared" si="1176"/>
        <v>SPS1</v>
      </c>
      <c r="C989" s="5" t="str">
        <f t="shared" si="1177"/>
        <v>CH</v>
      </c>
      <c r="D989" t="s">
        <v>710</v>
      </c>
      <c r="E989" t="s">
        <v>8</v>
      </c>
      <c r="F989" s="1">
        <f>F985-F987</f>
        <v>0</v>
      </c>
      <c r="G989" s="1">
        <f t="shared" ref="G989:K989" si="1184">G985-G987</f>
        <v>0</v>
      </c>
      <c r="H989" s="1">
        <f t="shared" si="1184"/>
        <v>7.0312387236981522E-6</v>
      </c>
      <c r="I989" s="1">
        <f t="shared" si="1184"/>
        <v>3.9616414434817671E-4</v>
      </c>
      <c r="J989" s="1">
        <f t="shared" si="1184"/>
        <v>2.0412231410986692E-3</v>
      </c>
      <c r="K989" s="1">
        <f t="shared" si="1184"/>
        <v>8.7328391535283073E-4</v>
      </c>
      <c r="L989" s="1">
        <f t="shared" ref="L989:O989" si="1185">L985-L987</f>
        <v>1.2950375904362856E-3</v>
      </c>
      <c r="M989" s="1">
        <f t="shared" si="1185"/>
        <v>3.2008440180683606E-2</v>
      </c>
      <c r="N989" s="1">
        <f t="shared" si="1185"/>
        <v>1.1230283843766644E-2</v>
      </c>
      <c r="O989" s="1">
        <f t="shared" si="1185"/>
        <v>1.1189804983741494E-2</v>
      </c>
      <c r="P989" s="1">
        <f>P985-P987</f>
        <v>1.1180410334519374E-2</v>
      </c>
      <c r="Q989" s="1">
        <f>Q985-Q987</f>
        <v>1.0049597422503564E-2</v>
      </c>
      <c r="S989" s="3"/>
    </row>
    <row r="990" spans="2:19" x14ac:dyDescent="0.5">
      <c r="B990" s="5" t="str">
        <f t="shared" si="1176"/>
        <v>SPS1</v>
      </c>
      <c r="C990" s="5" t="str">
        <f t="shared" si="1177"/>
        <v>CH</v>
      </c>
      <c r="D990" t="s">
        <v>1009</v>
      </c>
      <c r="E990" t="s">
        <v>8</v>
      </c>
      <c r="F990" s="1">
        <f>F991</f>
        <v>9.8604477727315079</v>
      </c>
      <c r="G990" s="1">
        <f t="shared" ref="G990:O990" si="1186">G991</f>
        <v>8.2861482519083385</v>
      </c>
      <c r="H990" s="1">
        <f t="shared" si="1186"/>
        <v>2.4706700616286841</v>
      </c>
      <c r="I990" s="1">
        <f t="shared" si="1186"/>
        <v>0.82179175428544493</v>
      </c>
      <c r="J990" s="1">
        <f t="shared" si="1186"/>
        <v>0.23638500662137454</v>
      </c>
      <c r="K990" s="1">
        <f t="shared" si="1186"/>
        <v>2.1463185102079309E-3</v>
      </c>
      <c r="L990" s="1">
        <f t="shared" si="1186"/>
        <v>1.9461161802999624E-3</v>
      </c>
      <c r="M990" s="1">
        <f t="shared" si="1186"/>
        <v>1.3539600185968749E-3</v>
      </c>
      <c r="N990" s="1">
        <f t="shared" si="1186"/>
        <v>1.2894872273192482E-3</v>
      </c>
      <c r="O990" s="1">
        <f t="shared" si="1186"/>
        <v>1.6565245288323999E-3</v>
      </c>
      <c r="P990" s="1">
        <f>P991</f>
        <v>2.1067529390816978E-3</v>
      </c>
      <c r="Q990" s="1">
        <f>Q991</f>
        <v>2.153893494857736E-3</v>
      </c>
      <c r="S990" s="3"/>
    </row>
    <row r="991" spans="2:19" x14ac:dyDescent="0.5">
      <c r="B991" s="5" t="str">
        <f t="shared" si="1176"/>
        <v>SPS1</v>
      </c>
      <c r="C991" s="5" t="str">
        <f t="shared" si="1177"/>
        <v>CH</v>
      </c>
      <c r="D991" t="s">
        <v>711</v>
      </c>
      <c r="E991" t="s">
        <v>8</v>
      </c>
      <c r="F991" s="1" cm="1">
        <f t="array" ref="F991">SUMPRODUCT(([1]OUT_FinalEnergyCons!$B$4:$B$10000="Var_Fin")*1, ([1]OUT_FinalEnergyCons!$C$4:$C$10000="RLFO")*1,(ISNUMBER(SEARCH("RH*-wHLFOBR",[1]OUT_FinalEnergyCons!$A$4:$A$10000)))*1,[1]OUT_FinalEnergyCons!D$4:D$10000)</f>
        <v>9.8604477727315079</v>
      </c>
      <c r="G991" s="1" cm="1">
        <f t="array" ref="G991">SUMPRODUCT(([1]OUT_FinalEnergyCons!$B$4:$B$10000="Var_Fin")*1, ([1]OUT_FinalEnergyCons!$C$4:$C$10000="RLFO")*1,(ISNUMBER(SEARCH("RH*-wHLFOBR",[1]OUT_FinalEnergyCons!$A$4:$A$10000)))*1,[1]OUT_FinalEnergyCons!E$4:E$10000)</f>
        <v>8.2861482519083385</v>
      </c>
      <c r="H991" s="1" cm="1">
        <f t="array" ref="H991">SUMPRODUCT(([1]OUT_FinalEnergyCons!$B$4:$B$10000="Var_Fin")*1, ([1]OUT_FinalEnergyCons!$C$4:$C$10000="RLFO")*1,(ISNUMBER(SEARCH("RH*-wHLFOBR",[1]OUT_FinalEnergyCons!$A$4:$A$10000)))*1,[1]OUT_FinalEnergyCons!F$4:F$10000)</f>
        <v>2.4706700616286841</v>
      </c>
      <c r="I991" s="1" cm="1">
        <f t="array" ref="I991">SUMPRODUCT(([1]OUT_FinalEnergyCons!$B$4:$B$10000="Var_Fin")*1, ([1]OUT_FinalEnergyCons!$C$4:$C$10000="RLFO")*1,(ISNUMBER(SEARCH("RH*-wHLFOBR",[1]OUT_FinalEnergyCons!$A$4:$A$10000)))*1,[1]OUT_FinalEnergyCons!G$4:G$10000)</f>
        <v>0.82179175428544493</v>
      </c>
      <c r="J991" s="1" cm="1">
        <f t="array" ref="J991">SUMPRODUCT(([1]OUT_FinalEnergyCons!$B$4:$B$10000="Var_Fin")*1, ([1]OUT_FinalEnergyCons!$C$4:$C$10000="RLFO")*1,(ISNUMBER(SEARCH("RH*-wHLFOBR",[1]OUT_FinalEnergyCons!$A$4:$A$10000)))*1,[1]OUT_FinalEnergyCons!H$4:H$10000)</f>
        <v>0.23638500662137454</v>
      </c>
      <c r="K991" s="1" cm="1">
        <f t="array" ref="K991">SUMPRODUCT(([1]OUT_FinalEnergyCons!$B$4:$B$10000="Var_Fin")*1, ([1]OUT_FinalEnergyCons!$C$4:$C$10000="RLFO")*1,(ISNUMBER(SEARCH("RH*-wHLFOBR",[1]OUT_FinalEnergyCons!$A$4:$A$10000)))*1,[1]OUT_FinalEnergyCons!I$4:I$10000)</f>
        <v>2.1463185102079309E-3</v>
      </c>
      <c r="L991" s="1" cm="1">
        <f t="array" ref="L991">SUMPRODUCT(([1]OUT_FinalEnergyCons!$B$4:$B$10000="Var_Fin")*1, ([1]OUT_FinalEnergyCons!$C$4:$C$10000="RLFO")*1,(ISNUMBER(SEARCH("RH*-wHLFOBR",[1]OUT_FinalEnergyCons!$A$4:$A$10000)))*1,[1]OUT_FinalEnergyCons!J$4:J$10000)</f>
        <v>1.9461161802999624E-3</v>
      </c>
      <c r="M991" s="1" cm="1">
        <f t="array" ref="M991">SUMPRODUCT(([1]OUT_FinalEnergyCons!$B$4:$B$10000="Var_Fin")*1, ([1]OUT_FinalEnergyCons!$C$4:$C$10000="RLFO")*1,(ISNUMBER(SEARCH("RH*-wHLFOBR",[1]OUT_FinalEnergyCons!$A$4:$A$10000)))*1,[1]OUT_FinalEnergyCons!K$4:K$10000)</f>
        <v>1.3539600185968749E-3</v>
      </c>
      <c r="N991" s="1" cm="1">
        <f t="array" ref="N991">SUMPRODUCT(([1]OUT_FinalEnergyCons!$B$4:$B$10000="Var_Fin")*1, ([1]OUT_FinalEnergyCons!$C$4:$C$10000="RLFO")*1,(ISNUMBER(SEARCH("RH*-wHLFOBR",[1]OUT_FinalEnergyCons!$A$4:$A$10000)))*1,[1]OUT_FinalEnergyCons!L$4:L$10000)</f>
        <v>1.2894872273192482E-3</v>
      </c>
      <c r="O991" s="1" cm="1">
        <f t="array" ref="O991">SUMPRODUCT(([1]OUT_FinalEnergyCons!$B$4:$B$10000="Var_Fin")*1, ([1]OUT_FinalEnergyCons!$C$4:$C$10000="RLFO")*1,(ISNUMBER(SEARCH("RH*-wHLFOBR",[1]OUT_FinalEnergyCons!$A$4:$A$10000)))*1,[1]OUT_FinalEnergyCons!M$4:M$10000)</f>
        <v>1.6565245288323999E-3</v>
      </c>
      <c r="P991" s="1" cm="1">
        <f t="array" ref="P991">SUMPRODUCT(([1]OUT_FinalEnergyCons!$B$4:$B$10000="Var_Fin")*1, ([1]OUT_FinalEnergyCons!$C$4:$C$10000="RLFO")*1,(ISNUMBER(SEARCH("RH*-wHLFOBR",[1]OUT_FinalEnergyCons!$A$4:$A$10000)))*1,[1]OUT_FinalEnergyCons!N$4:N$10000)</f>
        <v>2.1067529390816978E-3</v>
      </c>
      <c r="Q991" s="1" cm="1">
        <f t="array" ref="Q991">SUMPRODUCT(([1]OUT_FinalEnergyCons!$B$4:$B$10000="Var_Fin")*1, ([1]OUT_FinalEnergyCons!$C$4:$C$10000="RLFO")*1,(ISNUMBER(SEARCH("RH*-wHLFOBR",[1]OUT_FinalEnergyCons!$A$4:$A$10000)))*1,[1]OUT_FinalEnergyCons!O$4:O$10000)</f>
        <v>2.153893494857736E-3</v>
      </c>
      <c r="S991" s="3"/>
    </row>
    <row r="992" spans="2:19" x14ac:dyDescent="0.5">
      <c r="B992" s="5" t="str">
        <f t="shared" si="1176"/>
        <v>SPS1</v>
      </c>
      <c r="C992" s="5" t="str">
        <f t="shared" si="1177"/>
        <v>CH</v>
      </c>
      <c r="D992" t="s">
        <v>712</v>
      </c>
      <c r="E992" t="s">
        <v>8</v>
      </c>
      <c r="F992" s="1">
        <f>IFERROR(F982/F981,0)*F991</f>
        <v>9.8604477727315079</v>
      </c>
      <c r="G992" s="1">
        <f t="shared" ref="G992:K992" si="1187">IFERROR(G982/G981,0)*G991</f>
        <v>8.2861482519083385</v>
      </c>
      <c r="H992" s="1">
        <f t="shared" si="1187"/>
        <v>2.4706696809546416</v>
      </c>
      <c r="I992" s="1">
        <f t="shared" si="1187"/>
        <v>0.82178338372989645</v>
      </c>
      <c r="J992" s="1">
        <f t="shared" si="1187"/>
        <v>0.23634804077905722</v>
      </c>
      <c r="K992" s="1">
        <f t="shared" si="1187"/>
        <v>2.0918613243961453E-3</v>
      </c>
      <c r="L992" s="1">
        <f t="shared" ref="L992:O992" si="1188">IFERROR(L982/L981,0)*L991</f>
        <v>1.8676350350081956E-3</v>
      </c>
      <c r="M992" s="1">
        <f t="shared" si="1188"/>
        <v>6.4198739293122332E-7</v>
      </c>
      <c r="N992" s="1">
        <f t="shared" si="1188"/>
        <v>6.2685780054662723E-6</v>
      </c>
      <c r="O992" s="1">
        <f t="shared" si="1188"/>
        <v>1.0539534582963871E-5</v>
      </c>
      <c r="P992" s="1">
        <f>IFERROR(P982/P981,0)*P991</f>
        <v>1.3201092775998228E-5</v>
      </c>
      <c r="Q992" s="1">
        <f>IFERROR(Q982/Q981,0)*Q991</f>
        <v>1.8277250993322631E-5</v>
      </c>
      <c r="S992" s="3"/>
    </row>
    <row r="993" spans="2:19" x14ac:dyDescent="0.5">
      <c r="B993" s="5" t="str">
        <f t="shared" si="1176"/>
        <v>SPS1</v>
      </c>
      <c r="C993" s="5" t="str">
        <f t="shared" si="1177"/>
        <v>CH</v>
      </c>
      <c r="D993" t="s">
        <v>713</v>
      </c>
      <c r="E993" t="s">
        <v>8</v>
      </c>
      <c r="F993" s="1">
        <f>F991-F992</f>
        <v>0</v>
      </c>
      <c r="G993" s="1">
        <f t="shared" ref="G993:K993" si="1189">G991-G992</f>
        <v>0</v>
      </c>
      <c r="H993" s="1">
        <f t="shared" si="1189"/>
        <v>3.8067404251052039E-7</v>
      </c>
      <c r="I993" s="1">
        <f t="shared" si="1189"/>
        <v>8.3705555484758776E-6</v>
      </c>
      <c r="J993" s="1">
        <f t="shared" si="1189"/>
        <v>3.6965842317326914E-5</v>
      </c>
      <c r="K993" s="1">
        <f t="shared" si="1189"/>
        <v>5.4457185811785606E-5</v>
      </c>
      <c r="L993" s="1">
        <f t="shared" ref="L993:O993" si="1190">L991-L992</f>
        <v>7.8481145291766719E-5</v>
      </c>
      <c r="M993" s="1">
        <f t="shared" si="1190"/>
        <v>1.3533180312039436E-3</v>
      </c>
      <c r="N993" s="1">
        <f t="shared" si="1190"/>
        <v>1.283218649313782E-3</v>
      </c>
      <c r="O993" s="1">
        <f t="shared" si="1190"/>
        <v>1.6459849942494361E-3</v>
      </c>
      <c r="P993" s="1">
        <f>P991-P992</f>
        <v>2.0935518463056995E-3</v>
      </c>
      <c r="Q993" s="1">
        <f>Q991-Q992</f>
        <v>2.1356162438644134E-3</v>
      </c>
      <c r="S993" s="3"/>
    </row>
    <row r="994" spans="2:19" x14ac:dyDescent="0.5">
      <c r="B994" s="5" t="str">
        <f>B993</f>
        <v>SPS1</v>
      </c>
      <c r="C994" s="5" t="str">
        <f>C993</f>
        <v>CH</v>
      </c>
      <c r="D994" t="s">
        <v>677</v>
      </c>
      <c r="E994" t="s">
        <v>8</v>
      </c>
      <c r="F994" s="1">
        <f>SUM(F995:F996)</f>
        <v>47.002005892786045</v>
      </c>
      <c r="G994" s="1">
        <f t="shared" ref="G994:K994" si="1191">SUM(G995:G996)</f>
        <v>48.095668977986556</v>
      </c>
      <c r="H994" s="1">
        <f t="shared" si="1191"/>
        <v>52.289148214725031</v>
      </c>
      <c r="I994" s="1">
        <f t="shared" si="1191"/>
        <v>52.114156392733058</v>
      </c>
      <c r="J994" s="1">
        <f t="shared" si="1191"/>
        <v>46.300995610541719</v>
      </c>
      <c r="K994" s="1">
        <f t="shared" si="1191"/>
        <v>29.65052204785805</v>
      </c>
      <c r="L994" s="1">
        <f t="shared" ref="L994:O994" si="1192">SUM(L995:L996)</f>
        <v>21.167382347822969</v>
      </c>
      <c r="M994" s="1">
        <f t="shared" si="1192"/>
        <v>11.945714780045428</v>
      </c>
      <c r="N994" s="1">
        <f t="shared" si="1192"/>
        <v>9.8853660782370856</v>
      </c>
      <c r="O994" s="1">
        <f t="shared" si="1192"/>
        <v>9.4480144834571433</v>
      </c>
      <c r="P994" s="1">
        <f>SUM(P995:P996)</f>
        <v>9.4924514332447814</v>
      </c>
      <c r="Q994" s="1">
        <f>SUM(Q995:Q996)</f>
        <v>8.6048930847785918</v>
      </c>
      <c r="S994" s="3"/>
    </row>
    <row r="995" spans="2:19" x14ac:dyDescent="0.5">
      <c r="B995" s="5" t="str">
        <f t="shared" ref="B995:B1055" si="1193">B994</f>
        <v>SPS1</v>
      </c>
      <c r="C995" s="5" t="str">
        <f t="shared" ref="C995:C1055" si="1194">C994</f>
        <v>CH</v>
      </c>
      <c r="D995" t="s">
        <v>1010</v>
      </c>
      <c r="E995" t="s">
        <v>8</v>
      </c>
      <c r="F995" s="1">
        <f>[1]Residential!B$18</f>
        <v>46.695466373018654</v>
      </c>
      <c r="G995" s="1">
        <f>[1]Residential!C$18</f>
        <v>48.088155288338037</v>
      </c>
      <c r="H995" s="1">
        <f>[1]Residential!D$18</f>
        <v>52.281688477838124</v>
      </c>
      <c r="I995" s="1">
        <f>[1]Residential!E$18</f>
        <v>52.106711946500454</v>
      </c>
      <c r="J995" s="1">
        <f>[1]Residential!F$18</f>
        <v>46.293555653845424</v>
      </c>
      <c r="K995" s="1">
        <f>[1]Residential!G$18</f>
        <v>29.539605950213364</v>
      </c>
      <c r="L995" s="1">
        <f>[1]Residential!H$18</f>
        <v>19.967328856947763</v>
      </c>
      <c r="M995" s="1">
        <f>[1]Residential!I$18</f>
        <v>9.6114236687240329</v>
      </c>
      <c r="N995" s="1">
        <f>[1]Residential!J$18</f>
        <v>7.6066465517337241</v>
      </c>
      <c r="O995" s="1">
        <f>[1]Residential!K$18</f>
        <v>7.2322681522273289</v>
      </c>
      <c r="P995" s="1">
        <f>[1]Residential!L$18</f>
        <v>7.3060291754858078</v>
      </c>
      <c r="Q995" s="1">
        <f>[1]Residential!M$18</f>
        <v>6.5245323708765621</v>
      </c>
      <c r="S995" s="3"/>
    </row>
    <row r="996" spans="2:19" x14ac:dyDescent="0.5">
      <c r="B996" s="5" t="str">
        <f t="shared" si="1193"/>
        <v>SPS1</v>
      </c>
      <c r="C996" s="5" t="str">
        <f t="shared" si="1194"/>
        <v>CH</v>
      </c>
      <c r="D996" t="s">
        <v>1011</v>
      </c>
      <c r="E996" t="s">
        <v>8</v>
      </c>
      <c r="F996" s="1">
        <f>[1]Residential!B$19</f>
        <v>0.3065395197673923</v>
      </c>
      <c r="G996" s="1">
        <f>[1]Residential!C$19</f>
        <v>7.513689648521984E-3</v>
      </c>
      <c r="H996" s="1">
        <f>[1]Residential!D$19</f>
        <v>7.4597368869090477E-3</v>
      </c>
      <c r="I996" s="1">
        <f>[1]Residential!E$19</f>
        <v>7.4444462326022842E-3</v>
      </c>
      <c r="J996" s="1">
        <f>[1]Residential!F$19</f>
        <v>7.4399566962938422E-3</v>
      </c>
      <c r="K996" s="1">
        <f>[1]Residential!G$19</f>
        <v>0.11091609764468591</v>
      </c>
      <c r="L996" s="1">
        <f>[1]Residential!H$19</f>
        <v>1.2000534908752072</v>
      </c>
      <c r="M996" s="1">
        <f>[1]Residential!I$19</f>
        <v>2.3342911113213942</v>
      </c>
      <c r="N996" s="1">
        <f>[1]Residential!J$19</f>
        <v>2.2787195265033615</v>
      </c>
      <c r="O996" s="1">
        <f>[1]Residential!K$19</f>
        <v>2.2157463312298153</v>
      </c>
      <c r="P996" s="1">
        <f>[1]Residential!L$19</f>
        <v>2.1864222577589745</v>
      </c>
      <c r="Q996" s="1">
        <f>[1]Residential!M$19</f>
        <v>2.0803607139020301</v>
      </c>
      <c r="S996" s="3"/>
    </row>
    <row r="997" spans="2:19" x14ac:dyDescent="0.5">
      <c r="B997" s="5" t="str">
        <f t="shared" si="1193"/>
        <v>SPS1</v>
      </c>
      <c r="C997" s="5" t="str">
        <f t="shared" si="1194"/>
        <v>CH</v>
      </c>
      <c r="D997" t="s">
        <v>1012</v>
      </c>
      <c r="E997" t="s">
        <v>8</v>
      </c>
      <c r="F997" s="1">
        <f>SUM(F998:F999)</f>
        <v>38.494703412319531</v>
      </c>
      <c r="G997" s="1">
        <f t="shared" ref="G997:K997" si="1195">SUM(G998:G999)</f>
        <v>41.247672544120746</v>
      </c>
      <c r="H997" s="1">
        <f t="shared" si="1195"/>
        <v>40.097072891016047</v>
      </c>
      <c r="I997" s="1">
        <f t="shared" si="1195"/>
        <v>40.097614348901828</v>
      </c>
      <c r="J997" s="1">
        <f t="shared" si="1195"/>
        <v>37.233188114903292</v>
      </c>
      <c r="K997" s="1">
        <f t="shared" si="1195"/>
        <v>25.815676633025099</v>
      </c>
      <c r="L997" s="1">
        <f t="shared" ref="L997:O997" si="1196">SUM(L998:L999)</f>
        <v>18.185870524426885</v>
      </c>
      <c r="M997" s="1">
        <f t="shared" si="1196"/>
        <v>10.337358832721007</v>
      </c>
      <c r="N997" s="1">
        <f t="shared" si="1196"/>
        <v>8.6520893417060378</v>
      </c>
      <c r="O997" s="1">
        <f t="shared" si="1196"/>
        <v>8.2665788319015316</v>
      </c>
      <c r="P997" s="1">
        <f>SUM(P998:P999)</f>
        <v>8.2665456089014473</v>
      </c>
      <c r="Q997" s="1">
        <f>SUM(Q998:Q999)</f>
        <v>7.5329147981696529</v>
      </c>
      <c r="S997" s="3"/>
    </row>
    <row r="998" spans="2:19" x14ac:dyDescent="0.5">
      <c r="B998" s="5" t="str">
        <f t="shared" si="1193"/>
        <v>SPS1</v>
      </c>
      <c r="C998" s="5" t="str">
        <f t="shared" si="1194"/>
        <v>CH</v>
      </c>
      <c r="D998" t="s">
        <v>714</v>
      </c>
      <c r="E998" t="s">
        <v>8</v>
      </c>
      <c r="F998" s="1" cm="1">
        <f t="array" ref="F998">SUMPRODUCT(([1]OUT_FinalEnergyCons!$B$4:$B$10000="Var_Fin")*1,([1]OUT_FinalEnergyCons!$C$4:$C$10000="RNGA")*1, (ISNUMBER(SEARCH("RH*-SHNGABR",[1]OUT_FinalEnergyCons!$A$4:$A$10000)))*1,[1]OUT_FinalEnergyCons!D$4:D$10000)</f>
        <v>38.494703412319531</v>
      </c>
      <c r="G998" s="1" cm="1">
        <f t="array" ref="G998">SUMPRODUCT(([1]OUT_FinalEnergyCons!$B$4:$B$10000="Var_Fin")*1,([1]OUT_FinalEnergyCons!$C$4:$C$10000="RNGA")*1, (ISNUMBER(SEARCH("RH*-SHNGABR",[1]OUT_FinalEnergyCons!$A$4:$A$10000)))*1,[1]OUT_FinalEnergyCons!E$4:E$10000)</f>
        <v>41.247672544120746</v>
      </c>
      <c r="H998" s="1" cm="1">
        <f t="array" ref="H998">SUMPRODUCT(([1]OUT_FinalEnergyCons!$B$4:$B$10000="Var_Fin")*1,([1]OUT_FinalEnergyCons!$C$4:$C$10000="RNGA")*1, (ISNUMBER(SEARCH("RH*-SHNGABR",[1]OUT_FinalEnergyCons!$A$4:$A$10000)))*1,[1]OUT_FinalEnergyCons!F$4:F$10000)</f>
        <v>40.078105326098679</v>
      </c>
      <c r="I998" s="1" cm="1">
        <f t="array" ref="I998">SUMPRODUCT(([1]OUT_FinalEnergyCons!$B$4:$B$10000="Var_Fin")*1,([1]OUT_FinalEnergyCons!$C$4:$C$10000="RNGA")*1, (ISNUMBER(SEARCH("RH*-SHNGABR",[1]OUT_FinalEnergyCons!$A$4:$A$10000)))*1,[1]OUT_FinalEnergyCons!G$4:G$10000)</f>
        <v>40.077865931589287</v>
      </c>
      <c r="J998" s="1" cm="1">
        <f t="array" ref="J998">SUMPRODUCT(([1]OUT_FinalEnergyCons!$B$4:$B$10000="Var_Fin")*1,([1]OUT_FinalEnergyCons!$C$4:$C$10000="RNGA")*1, (ISNUMBER(SEARCH("RH*-SHNGABR",[1]OUT_FinalEnergyCons!$A$4:$A$10000)))*1,[1]OUT_FinalEnergyCons!H$4:H$10000)</f>
        <v>35.187592986569413</v>
      </c>
      <c r="K998" s="1" cm="1">
        <f t="array" ref="K998">SUMPRODUCT(([1]OUT_FinalEnergyCons!$B$4:$B$10000="Var_Fin")*1,([1]OUT_FinalEnergyCons!$C$4:$C$10000="RNGA")*1, (ISNUMBER(SEARCH("RH*-SHNGABR",[1]OUT_FinalEnergyCons!$A$4:$A$10000)))*1,[1]OUT_FinalEnergyCons!I$4:I$10000)</f>
        <v>23.837379724842194</v>
      </c>
      <c r="L998" s="1" cm="1">
        <f t="array" ref="L998">SUMPRODUCT(([1]OUT_FinalEnergyCons!$B$4:$B$10000="Var_Fin")*1,([1]OUT_FinalEnergyCons!$C$4:$C$10000="RNGA")*1, (ISNUMBER(SEARCH("RH*-SHNGABR",[1]OUT_FinalEnergyCons!$A$4:$A$10000)))*1,[1]OUT_FinalEnergyCons!J$4:J$10000)</f>
        <v>15.000404776089164</v>
      </c>
      <c r="M998" s="1" cm="1">
        <f t="array" ref="M998">SUMPRODUCT(([1]OUT_FinalEnergyCons!$B$4:$B$10000="Var_Fin")*1,([1]OUT_FinalEnergyCons!$C$4:$C$10000="RNGA")*1, (ISNUMBER(SEARCH("RH*-SHNGABR",[1]OUT_FinalEnergyCons!$A$4:$A$10000)))*1,[1]OUT_FinalEnergyCons!K$4:K$10000)</f>
        <v>9.0762617258172398</v>
      </c>
      <c r="N998" s="1" cm="1">
        <f t="array" ref="N998">SUMPRODUCT(([1]OUT_FinalEnergyCons!$B$4:$B$10000="Var_Fin")*1,([1]OUT_FinalEnergyCons!$C$4:$C$10000="RNGA")*1, (ISNUMBER(SEARCH("RH*-SHNGABR",[1]OUT_FinalEnergyCons!$A$4:$A$10000)))*1,[1]OUT_FinalEnergyCons!L$4:L$10000)</f>
        <v>7.3899749046755758</v>
      </c>
      <c r="O998" s="1" cm="1">
        <f t="array" ref="O998">SUMPRODUCT(([1]OUT_FinalEnergyCons!$B$4:$B$10000="Var_Fin")*1,([1]OUT_FinalEnergyCons!$C$4:$C$10000="RNGA")*1, (ISNUMBER(SEARCH("RH*-SHNGABR",[1]OUT_FinalEnergyCons!$A$4:$A$10000)))*1,[1]OUT_FinalEnergyCons!M$4:M$10000)</f>
        <v>7.0020252815668433</v>
      </c>
      <c r="P998" s="1" cm="1">
        <f t="array" ref="P998">SUMPRODUCT(([1]OUT_FinalEnergyCons!$B$4:$B$10000="Var_Fin")*1,([1]OUT_FinalEnergyCons!$C$4:$C$10000="RNGA")*1, (ISNUMBER(SEARCH("RH*-SHNGABR",[1]OUT_FinalEnergyCons!$A$4:$A$10000)))*1,[1]OUT_FinalEnergyCons!N$4:N$10000)</f>
        <v>7.0020129613596733</v>
      </c>
      <c r="Q998" s="1" cm="1">
        <f t="array" ref="Q998">SUMPRODUCT(([1]OUT_FinalEnergyCons!$B$4:$B$10000="Var_Fin")*1,([1]OUT_FinalEnergyCons!$C$4:$C$10000="RNGA")*1, (ISNUMBER(SEARCH("RH*-SHNGABR",[1]OUT_FinalEnergyCons!$A$4:$A$10000)))*1,[1]OUT_FinalEnergyCons!O$4:O$10000)</f>
        <v>6.2686721566718218</v>
      </c>
      <c r="S998" s="3"/>
    </row>
    <row r="999" spans="2:19" x14ac:dyDescent="0.5">
      <c r="B999" s="5" t="str">
        <f t="shared" si="1193"/>
        <v>SPS1</v>
      </c>
      <c r="C999" s="5" t="str">
        <f t="shared" si="1194"/>
        <v>CH</v>
      </c>
      <c r="D999" t="s">
        <v>715</v>
      </c>
      <c r="E999" t="s">
        <v>8</v>
      </c>
      <c r="F999" s="1" cm="1">
        <f t="array" ref="F999">SUMPRODUCT(([1]OUT_FinalEnergyCons!$B$4:$B$10000="Var_Fin")*1, ([1]OUT_FinalEnergyCons!$C$4:$C$10000="RNGA")*1,ISNUMBER(SEARCH("RH*-SHngahp",[1]OUT_FinalEnergyCons!$A$4:$A$10000))*1,[1]OUT_FinalEnergyCons!D$4:D$10000)</f>
        <v>0</v>
      </c>
      <c r="G999" s="1" cm="1">
        <f t="array" ref="G999">SUMPRODUCT(([1]OUT_FinalEnergyCons!$B$4:$B$10000="Var_Fin")*1, ([1]OUT_FinalEnergyCons!$C$4:$C$10000="RNGA")*1,ISNUMBER(SEARCH("RH*-SHngahp",[1]OUT_FinalEnergyCons!$A$4:$A$10000))*1,[1]OUT_FinalEnergyCons!E$4:E$10000)</f>
        <v>0</v>
      </c>
      <c r="H999" s="1" cm="1">
        <f t="array" ref="H999">SUMPRODUCT(([1]OUT_FinalEnergyCons!$B$4:$B$10000="Var_Fin")*1, ([1]OUT_FinalEnergyCons!$C$4:$C$10000="RNGA")*1,ISNUMBER(SEARCH("RH*-SHngahp",[1]OUT_FinalEnergyCons!$A$4:$A$10000))*1,[1]OUT_FinalEnergyCons!F$4:F$10000)</f>
        <v>1.8967564917367011E-2</v>
      </c>
      <c r="I999" s="1" cm="1">
        <f t="array" ref="I999">SUMPRODUCT(([1]OUT_FinalEnergyCons!$B$4:$B$10000="Var_Fin")*1, ([1]OUT_FinalEnergyCons!$C$4:$C$10000="RNGA")*1,ISNUMBER(SEARCH("RH*-SHngahp",[1]OUT_FinalEnergyCons!$A$4:$A$10000))*1,[1]OUT_FinalEnergyCons!G$4:G$10000)</f>
        <v>1.9748417312538603E-2</v>
      </c>
      <c r="J999" s="1" cm="1">
        <f t="array" ref="J999">SUMPRODUCT(([1]OUT_FinalEnergyCons!$B$4:$B$10000="Var_Fin")*1, ([1]OUT_FinalEnergyCons!$C$4:$C$10000="RNGA")*1,ISNUMBER(SEARCH("RH*-SHngahp",[1]OUT_FinalEnergyCons!$A$4:$A$10000))*1,[1]OUT_FinalEnergyCons!H$4:H$10000)</f>
        <v>2.0455951283338774</v>
      </c>
      <c r="K999" s="1" cm="1">
        <f t="array" ref="K999">SUMPRODUCT(([1]OUT_FinalEnergyCons!$B$4:$B$10000="Var_Fin")*1, ([1]OUT_FinalEnergyCons!$C$4:$C$10000="RNGA")*1,ISNUMBER(SEARCH("RH*-SHngahp",[1]OUT_FinalEnergyCons!$A$4:$A$10000))*1,[1]OUT_FinalEnergyCons!I$4:I$10000)</f>
        <v>1.9782969081829036</v>
      </c>
      <c r="L999" s="1" cm="1">
        <f t="array" ref="L999">SUMPRODUCT(([1]OUT_FinalEnergyCons!$B$4:$B$10000="Var_Fin")*1, ([1]OUT_FinalEnergyCons!$C$4:$C$10000="RNGA")*1,ISNUMBER(SEARCH("RH*-SHngahp",[1]OUT_FinalEnergyCons!$A$4:$A$10000))*1,[1]OUT_FinalEnergyCons!J$4:J$10000)</f>
        <v>3.1854657483377213</v>
      </c>
      <c r="M999" s="1" cm="1">
        <f t="array" ref="M999">SUMPRODUCT(([1]OUT_FinalEnergyCons!$B$4:$B$10000="Var_Fin")*1, ([1]OUT_FinalEnergyCons!$C$4:$C$10000="RNGA")*1,ISNUMBER(SEARCH("RH*-SHngahp",[1]OUT_FinalEnergyCons!$A$4:$A$10000))*1,[1]OUT_FinalEnergyCons!K$4:K$10000)</f>
        <v>1.2610971069037669</v>
      </c>
      <c r="N999" s="1" cm="1">
        <f t="array" ref="N999">SUMPRODUCT(([1]OUT_FinalEnergyCons!$B$4:$B$10000="Var_Fin")*1, ([1]OUT_FinalEnergyCons!$C$4:$C$10000="RNGA")*1,ISNUMBER(SEARCH("RH*-SHngahp",[1]OUT_FinalEnergyCons!$A$4:$A$10000))*1,[1]OUT_FinalEnergyCons!L$4:L$10000)</f>
        <v>1.2621144370304622</v>
      </c>
      <c r="O999" s="1" cm="1">
        <f t="array" ref="O999">SUMPRODUCT(([1]OUT_FinalEnergyCons!$B$4:$B$10000="Var_Fin")*1, ([1]OUT_FinalEnergyCons!$C$4:$C$10000="RNGA")*1,ISNUMBER(SEARCH("RH*-SHngahp",[1]OUT_FinalEnergyCons!$A$4:$A$10000))*1,[1]OUT_FinalEnergyCons!M$4:M$10000)</f>
        <v>1.264553550334689</v>
      </c>
      <c r="P999" s="1" cm="1">
        <f t="array" ref="P999">SUMPRODUCT(([1]OUT_FinalEnergyCons!$B$4:$B$10000="Var_Fin")*1, ([1]OUT_FinalEnergyCons!$C$4:$C$10000="RNGA")*1,ISNUMBER(SEARCH("RH*-SHngahp",[1]OUT_FinalEnergyCons!$A$4:$A$10000))*1,[1]OUT_FinalEnergyCons!N$4:N$10000)</f>
        <v>1.2645326475417744</v>
      </c>
      <c r="Q999" s="1" cm="1">
        <f t="array" ref="Q999">SUMPRODUCT(([1]OUT_FinalEnergyCons!$B$4:$B$10000="Var_Fin")*1, ([1]OUT_FinalEnergyCons!$C$4:$C$10000="RNGA")*1,ISNUMBER(SEARCH("RH*-SHngahp",[1]OUT_FinalEnergyCons!$A$4:$A$10000))*1,[1]OUT_FinalEnergyCons!O$4:O$10000)</f>
        <v>1.2642426414978309</v>
      </c>
      <c r="S999" s="3"/>
    </row>
    <row r="1000" spans="2:19" x14ac:dyDescent="0.5">
      <c r="B1000" s="5" t="str">
        <f t="shared" si="1193"/>
        <v>SPS1</v>
      </c>
      <c r="C1000" s="5" t="str">
        <f t="shared" si="1194"/>
        <v>CH</v>
      </c>
      <c r="D1000" t="s">
        <v>1013</v>
      </c>
      <c r="E1000" t="s">
        <v>8</v>
      </c>
      <c r="F1000" s="1">
        <f>SUM(F1001:F1002)</f>
        <v>38.243647150497061</v>
      </c>
      <c r="G1000" s="1">
        <f t="shared" ref="G1000:K1000" si="1197">SUM(G1001:G1002)</f>
        <v>41.241228674707841</v>
      </c>
      <c r="H1000" s="1">
        <f t="shared" si="1197"/>
        <v>40.091352514534222</v>
      </c>
      <c r="I1000" s="1">
        <f t="shared" si="1197"/>
        <v>40.091886451632867</v>
      </c>
      <c r="J1000" s="1">
        <f t="shared" si="1197"/>
        <v>37.227205234760284</v>
      </c>
      <c r="K1000" s="1">
        <f t="shared" si="1197"/>
        <v>25.71910585071069</v>
      </c>
      <c r="L1000" s="1">
        <f t="shared" ref="L1000:O1000" si="1198">SUM(L1001:L1002)</f>
        <v>17.15484944450164</v>
      </c>
      <c r="M1000" s="1">
        <f t="shared" si="1198"/>
        <v>8.3173537277884257</v>
      </c>
      <c r="N1000" s="1">
        <f t="shared" si="1198"/>
        <v>6.6576578991111299</v>
      </c>
      <c r="O1000" s="1">
        <f t="shared" si="1198"/>
        <v>6.3279025364027142</v>
      </c>
      <c r="P1000" s="1">
        <f>SUM(P1001:P1002)</f>
        <v>6.3624895869994642</v>
      </c>
      <c r="Q1000" s="1">
        <f>SUM(Q1001:Q1002)</f>
        <v>5.7117207574203821</v>
      </c>
      <c r="S1000" s="3"/>
    </row>
    <row r="1001" spans="2:19" x14ac:dyDescent="0.5">
      <c r="B1001" s="5" t="str">
        <f t="shared" si="1193"/>
        <v>SPS1</v>
      </c>
      <c r="C1001" s="5" t="str">
        <f t="shared" si="1194"/>
        <v>CH</v>
      </c>
      <c r="D1001" t="s">
        <v>716</v>
      </c>
      <c r="E1001" t="s">
        <v>8</v>
      </c>
      <c r="F1001" s="1">
        <f>F998-F1004</f>
        <v>38.243647150497061</v>
      </c>
      <c r="G1001" s="1">
        <f t="shared" ref="G1001:K1001" si="1199">G998-G1004</f>
        <v>41.241228674707841</v>
      </c>
      <c r="H1001" s="1">
        <f t="shared" si="1199"/>
        <v>40.072387655590248</v>
      </c>
      <c r="I1001" s="1">
        <f t="shared" si="1199"/>
        <v>40.072140855358626</v>
      </c>
      <c r="J1001" s="1">
        <f t="shared" si="1199"/>
        <v>35.181938806467784</v>
      </c>
      <c r="K1001" s="1">
        <f t="shared" si="1199"/>
        <v>23.74820931722217</v>
      </c>
      <c r="L1001" s="1">
        <f t="shared" ref="L1001:O1001" si="1200">L998-L1004</f>
        <v>14.14997897377269</v>
      </c>
      <c r="M1001" s="1">
        <f t="shared" si="1200"/>
        <v>7.3026853881339804</v>
      </c>
      <c r="N1001" s="1">
        <f t="shared" si="1200"/>
        <v>5.6864790520811956</v>
      </c>
      <c r="O1001" s="1">
        <f t="shared" si="1200"/>
        <v>5.3599118136021833</v>
      </c>
      <c r="P1001" s="1">
        <f>P998-P1004</f>
        <v>5.3892201969725226</v>
      </c>
      <c r="Q1001" s="1">
        <f>Q998-Q1004</f>
        <v>4.7531275526208674</v>
      </c>
      <c r="S1001" s="3"/>
    </row>
    <row r="1002" spans="2:19" x14ac:dyDescent="0.5">
      <c r="B1002" s="5" t="str">
        <f t="shared" si="1193"/>
        <v>SPS1</v>
      </c>
      <c r="C1002" s="5" t="str">
        <f t="shared" si="1194"/>
        <v>CH</v>
      </c>
      <c r="D1002" t="s">
        <v>734</v>
      </c>
      <c r="E1002" t="s">
        <v>8</v>
      </c>
      <c r="F1002" s="1">
        <f>F999-F1005</f>
        <v>0</v>
      </c>
      <c r="G1002" s="1">
        <f t="shared" ref="G1002:K1002" si="1201">G999-G1005</f>
        <v>0</v>
      </c>
      <c r="H1002" s="1">
        <f t="shared" si="1201"/>
        <v>1.8964858943976742E-2</v>
      </c>
      <c r="I1002" s="1">
        <f t="shared" si="1201"/>
        <v>1.9745596274244243E-2</v>
      </c>
      <c r="J1002" s="1">
        <f t="shared" si="1201"/>
        <v>2.0452664282925008</v>
      </c>
      <c r="K1002" s="1">
        <f t="shared" si="1201"/>
        <v>1.9708965334885213</v>
      </c>
      <c r="L1002" s="1">
        <f t="shared" ref="L1002:O1002" si="1202">L999-L1005</f>
        <v>3.0048704707289504</v>
      </c>
      <c r="M1002" s="1">
        <f t="shared" si="1202"/>
        <v>1.0146683396544458</v>
      </c>
      <c r="N1002" s="1">
        <f t="shared" si="1202"/>
        <v>0.97117884702993429</v>
      </c>
      <c r="O1002" s="1">
        <f t="shared" si="1202"/>
        <v>0.96799072280053133</v>
      </c>
      <c r="P1002" s="1">
        <f>P999-P1005</f>
        <v>0.97326939002694146</v>
      </c>
      <c r="Q1002" s="1">
        <f>Q999-Q1005</f>
        <v>0.95859320479951438</v>
      </c>
      <c r="S1002" s="3"/>
    </row>
    <row r="1003" spans="2:19" x14ac:dyDescent="0.5">
      <c r="B1003" s="5" t="str">
        <f t="shared" si="1193"/>
        <v>SPS1</v>
      </c>
      <c r="C1003" s="5" t="str">
        <f t="shared" si="1194"/>
        <v>CH</v>
      </c>
      <c r="D1003" t="s">
        <v>1014</v>
      </c>
      <c r="E1003" t="s">
        <v>8</v>
      </c>
      <c r="F1003" s="1">
        <f>SUM(F1004:F1005)</f>
        <v>0.25105626182247115</v>
      </c>
      <c r="G1003" s="1">
        <f t="shared" ref="G1003:K1003" si="1203">SUM(G1004:G1005)</f>
        <v>6.4438694129036076E-3</v>
      </c>
      <c r="H1003" s="1">
        <f t="shared" si="1203"/>
        <v>5.7203764818253532E-3</v>
      </c>
      <c r="I1003" s="1">
        <f t="shared" si="1203"/>
        <v>5.7278972689586852E-3</v>
      </c>
      <c r="J1003" s="1">
        <f t="shared" si="1203"/>
        <v>5.9828801430087007E-3</v>
      </c>
      <c r="K1003" s="1">
        <f t="shared" si="1203"/>
        <v>9.6570782314407785E-2</v>
      </c>
      <c r="L1003" s="1">
        <f t="shared" ref="L1003:O1003" si="1204">SUM(L1004:L1005)</f>
        <v>1.0310210799252457</v>
      </c>
      <c r="M1003" s="1">
        <f t="shared" si="1204"/>
        <v>2.0200051049325807</v>
      </c>
      <c r="N1003" s="1">
        <f t="shared" si="1204"/>
        <v>1.9944314425949083</v>
      </c>
      <c r="O1003" s="1">
        <f t="shared" si="1204"/>
        <v>1.9386762954988179</v>
      </c>
      <c r="P1003" s="1">
        <f>SUM(P1004:P1005)</f>
        <v>1.9040560219019835</v>
      </c>
      <c r="Q1003" s="1">
        <f>SUM(Q1004:Q1005)</f>
        <v>1.8211940407492713</v>
      </c>
      <c r="S1003" s="3"/>
    </row>
    <row r="1004" spans="2:19" x14ac:dyDescent="0.5">
      <c r="B1004" s="5" t="str">
        <f t="shared" si="1193"/>
        <v>SPS1</v>
      </c>
      <c r="C1004" s="5" t="str">
        <f t="shared" si="1194"/>
        <v>CH</v>
      </c>
      <c r="D1004" t="s">
        <v>717</v>
      </c>
      <c r="E1004" t="s">
        <v>8</v>
      </c>
      <c r="F1004" s="1">
        <f>F998*IFERROR(F$996/F$994,0)</f>
        <v>0.25105626182247115</v>
      </c>
      <c r="G1004" s="1">
        <f t="shared" ref="G1004:K1004" si="1205">G998*IFERROR(G996/G994,0)</f>
        <v>6.4438694129036076E-3</v>
      </c>
      <c r="H1004" s="1">
        <f t="shared" si="1205"/>
        <v>5.7176705084350833E-3</v>
      </c>
      <c r="I1004" s="1">
        <f t="shared" si="1205"/>
        <v>5.7250762306643244E-3</v>
      </c>
      <c r="J1004" s="1">
        <f t="shared" si="1205"/>
        <v>5.654180101632298E-3</v>
      </c>
      <c r="K1004" s="1">
        <f t="shared" si="1205"/>
        <v>8.9170407620025413E-2</v>
      </c>
      <c r="L1004" s="1">
        <f t="shared" ref="L1004:O1004" si="1206">L998*IFERROR(L996/L994,0)</f>
        <v>0.85042580231647469</v>
      </c>
      <c r="M1004" s="1">
        <f t="shared" si="1206"/>
        <v>1.7735763376832598</v>
      </c>
      <c r="N1004" s="1">
        <f t="shared" si="1206"/>
        <v>1.7034958525943804</v>
      </c>
      <c r="O1004" s="1">
        <f t="shared" si="1206"/>
        <v>1.6421134679646603</v>
      </c>
      <c r="P1004" s="1">
        <f>P998*IFERROR(P996/P994,0)</f>
        <v>1.6127927643871505</v>
      </c>
      <c r="Q1004" s="1">
        <f>Q998*IFERROR(Q996/Q994,0)</f>
        <v>1.5155446040509548</v>
      </c>
      <c r="S1004" s="3"/>
    </row>
    <row r="1005" spans="2:19" x14ac:dyDescent="0.5">
      <c r="B1005" s="5" t="str">
        <f t="shared" si="1193"/>
        <v>SPS1</v>
      </c>
      <c r="C1005" s="5" t="str">
        <f t="shared" si="1194"/>
        <v>CH</v>
      </c>
      <c r="D1005" t="s">
        <v>735</v>
      </c>
      <c r="E1005" t="s">
        <v>8</v>
      </c>
      <c r="F1005" s="1">
        <f>F999*IFERROR(F$996/F$994,0)</f>
        <v>0</v>
      </c>
      <c r="G1005" s="1">
        <f t="shared" ref="G1005:K1005" si="1207">G999*IFERROR(G$996/G$994,0)</f>
        <v>0</v>
      </c>
      <c r="H1005" s="1">
        <f t="shared" si="1207"/>
        <v>2.705973390269898E-6</v>
      </c>
      <c r="I1005" s="1">
        <f t="shared" si="1207"/>
        <v>2.821038294360379E-6</v>
      </c>
      <c r="J1005" s="1">
        <f t="shared" si="1207"/>
        <v>3.2870004137640249E-4</v>
      </c>
      <c r="K1005" s="1">
        <f t="shared" si="1207"/>
        <v>7.4003746943823679E-3</v>
      </c>
      <c r="L1005" s="1">
        <f t="shared" ref="L1005:O1005" si="1208">L999*IFERROR(L$996/L$994,0)</f>
        <v>0.18059527760877095</v>
      </c>
      <c r="M1005" s="1">
        <f t="shared" si="1208"/>
        <v>0.24642876724932103</v>
      </c>
      <c r="N1005" s="1">
        <f t="shared" si="1208"/>
        <v>0.29093559000052793</v>
      </c>
      <c r="O1005" s="1">
        <f t="shared" si="1208"/>
        <v>0.29656282753415769</v>
      </c>
      <c r="P1005" s="1">
        <f>P999*IFERROR(P$996/P$994,0)</f>
        <v>0.29126325751483295</v>
      </c>
      <c r="Q1005" s="1">
        <f>Q999*IFERROR(Q$996/Q$994,0)</f>
        <v>0.30564943669831657</v>
      </c>
      <c r="S1005" s="3"/>
    </row>
    <row r="1006" spans="2:19" x14ac:dyDescent="0.5">
      <c r="B1006" s="5" t="str">
        <f t="shared" si="1193"/>
        <v>SPS1</v>
      </c>
      <c r="C1006" s="5" t="str">
        <f t="shared" si="1194"/>
        <v>CH</v>
      </c>
      <c r="D1006" t="s">
        <v>1015</v>
      </c>
      <c r="E1006" t="s">
        <v>8</v>
      </c>
      <c r="F1006" s="1">
        <f>SUM(F1007:F1008)</f>
        <v>8.5073024804665138</v>
      </c>
      <c r="G1006" s="1">
        <f t="shared" ref="G1006:K1006" si="1209">SUM(G1007:G1008)</f>
        <v>6.8479964338658093</v>
      </c>
      <c r="H1006" s="1">
        <f t="shared" si="1209"/>
        <v>12.192075323708986</v>
      </c>
      <c r="I1006" s="1">
        <f t="shared" si="1209"/>
        <v>12.016542043831233</v>
      </c>
      <c r="J1006" s="1">
        <f t="shared" si="1209"/>
        <v>9.0678074956384283</v>
      </c>
      <c r="K1006" s="1">
        <f t="shared" si="1209"/>
        <v>3.8348454148329534</v>
      </c>
      <c r="L1006" s="1">
        <f t="shared" ref="L1006:O1006" si="1210">SUM(L1007:L1008)</f>
        <v>2.9815118233960831</v>
      </c>
      <c r="M1006" s="1">
        <f t="shared" si="1210"/>
        <v>1.6083559473244216</v>
      </c>
      <c r="N1006" s="1">
        <f t="shared" si="1210"/>
        <v>1.2332767365310475</v>
      </c>
      <c r="O1006" s="1">
        <f t="shared" si="1210"/>
        <v>1.181435651555611</v>
      </c>
      <c r="P1006" s="1">
        <f>SUM(P1007:P1008)</f>
        <v>1.2259058243433336</v>
      </c>
      <c r="Q1006" s="1">
        <f>SUM(Q1007:Q1008)</f>
        <v>1.0719782866089391</v>
      </c>
      <c r="S1006" s="3"/>
    </row>
    <row r="1007" spans="2:19" x14ac:dyDescent="0.5">
      <c r="B1007" s="5" t="str">
        <f t="shared" si="1193"/>
        <v>SPS1</v>
      </c>
      <c r="C1007" s="5" t="str">
        <f t="shared" si="1194"/>
        <v>CH</v>
      </c>
      <c r="D1007" t="s">
        <v>719</v>
      </c>
      <c r="E1007" t="s">
        <v>8</v>
      </c>
      <c r="F1007" s="1">
        <f>F994-F998-F999-F1008</f>
        <v>8.5073024804665138</v>
      </c>
      <c r="G1007" s="1">
        <f t="shared" ref="G1007:K1007" si="1211">G994-G998-G999-G1008</f>
        <v>6.8479964338658093</v>
      </c>
      <c r="H1007" s="1">
        <f t="shared" si="1211"/>
        <v>12.187592646307531</v>
      </c>
      <c r="I1007" s="1">
        <f t="shared" si="1211"/>
        <v>12.011183171361441</v>
      </c>
      <c r="J1007" s="1">
        <f t="shared" si="1211"/>
        <v>8.5596109792192561</v>
      </c>
      <c r="K1007" s="1">
        <f t="shared" si="1211"/>
        <v>3.3466506201852018</v>
      </c>
      <c r="L1007" s="1">
        <f t="shared" ref="L1007:O1007" si="1212">L994-L998-L999-L1008</f>
        <v>2.1887590302550195</v>
      </c>
      <c r="M1007" s="1">
        <f t="shared" si="1212"/>
        <v>1.2919283391751191</v>
      </c>
      <c r="N1007" s="1">
        <f t="shared" si="1212"/>
        <v>0.91659586361941825</v>
      </c>
      <c r="O1007" s="1">
        <f t="shared" si="1212"/>
        <v>0.86414199048242368</v>
      </c>
      <c r="P1007" s="1">
        <f>P994-P998-P999-P1008</f>
        <v>0.90861067329810452</v>
      </c>
      <c r="Q1007" s="1">
        <f>Q994-Q998-Q999-Q1008</f>
        <v>0.75474427609471417</v>
      </c>
      <c r="S1007" s="3"/>
    </row>
    <row r="1008" spans="2:19" x14ac:dyDescent="0.5">
      <c r="B1008" s="5" t="str">
        <f t="shared" si="1193"/>
        <v>SPS1</v>
      </c>
      <c r="C1008" s="5" t="str">
        <f t="shared" si="1194"/>
        <v>CH</v>
      </c>
      <c r="D1008" t="s">
        <v>736</v>
      </c>
      <c r="E1008" t="s">
        <v>8</v>
      </c>
      <c r="F1008" s="1" cm="1">
        <f t="array" ref="F1008">SUMPRODUCT(([1]OUT_FinalEnergyCons!$B$4:$B$10000="Var_Fin")*1, ([1]OUT_FinalEnergyCons!$C$4:$C$10000="RNGA")*1,ISNUMBER(SEARCH("RH*-wHngahp",[1]OUT_FinalEnergyCons!$A$4:$A$10000))*1,[1]OUT_FinalEnergyCons!D$4:D$10000)</f>
        <v>0</v>
      </c>
      <c r="G1008" s="1" cm="1">
        <f t="array" ref="G1008">SUMPRODUCT(([1]OUT_FinalEnergyCons!$B$4:$B$10000="Var_Fin")*1, ([1]OUT_FinalEnergyCons!$C$4:$C$10000="RNGA")*1,ISNUMBER(SEARCH("RH*-wHngahp",[1]OUT_FinalEnergyCons!$A$4:$A$10000))*1,[1]OUT_FinalEnergyCons!E$4:E$10000)</f>
        <v>0</v>
      </c>
      <c r="H1008" s="1" cm="1">
        <f t="array" ref="H1008">SUMPRODUCT(([1]OUT_FinalEnergyCons!$B$4:$B$10000="Var_Fin")*1, ([1]OUT_FinalEnergyCons!$C$4:$C$10000="RNGA")*1,ISNUMBER(SEARCH("RH*-wHngahp",[1]OUT_FinalEnergyCons!$A$4:$A$10000))*1,[1]OUT_FinalEnergyCons!F$4:F$10000)</f>
        <v>4.4826774014545519E-3</v>
      </c>
      <c r="I1008" s="1" cm="1">
        <f t="array" ref="I1008">SUMPRODUCT(([1]OUT_FinalEnergyCons!$B$4:$B$10000="Var_Fin")*1, ([1]OUT_FinalEnergyCons!$C$4:$C$10000="RNGA")*1,ISNUMBER(SEARCH("RH*-wHngahp",[1]OUT_FinalEnergyCons!$A$4:$A$10000))*1,[1]OUT_FinalEnergyCons!G$4:G$10000)</f>
        <v>5.3588724697913055E-3</v>
      </c>
      <c r="J1008" s="1" cm="1">
        <f t="array" ref="J1008">SUMPRODUCT(([1]OUT_FinalEnergyCons!$B$4:$B$10000="Var_Fin")*1, ([1]OUT_FinalEnergyCons!$C$4:$C$10000="RNGA")*1,ISNUMBER(SEARCH("RH*-wHngahp",[1]OUT_FinalEnergyCons!$A$4:$A$10000))*1,[1]OUT_FinalEnergyCons!H$4:H$10000)</f>
        <v>0.50819651641917196</v>
      </c>
      <c r="K1008" s="1" cm="1">
        <f t="array" ref="K1008">SUMPRODUCT(([1]OUT_FinalEnergyCons!$B$4:$B$10000="Var_Fin")*1, ([1]OUT_FinalEnergyCons!$C$4:$C$10000="RNGA")*1,ISNUMBER(SEARCH("RH*-wHngahp",[1]OUT_FinalEnergyCons!$A$4:$A$10000))*1,[1]OUT_FinalEnergyCons!I$4:I$10000)</f>
        <v>0.48819479464775151</v>
      </c>
      <c r="L1008" s="1" cm="1">
        <f t="array" ref="L1008">SUMPRODUCT(([1]OUT_FinalEnergyCons!$B$4:$B$10000="Var_Fin")*1, ([1]OUT_FinalEnergyCons!$C$4:$C$10000="RNGA")*1,ISNUMBER(SEARCH("RH*-wHngahp",[1]OUT_FinalEnergyCons!$A$4:$A$10000))*1,[1]OUT_FinalEnergyCons!J$4:J$10000)</f>
        <v>0.79275279314106351</v>
      </c>
      <c r="M1008" s="1" cm="1">
        <f t="array" ref="M1008">SUMPRODUCT(([1]OUT_FinalEnergyCons!$B$4:$B$10000="Var_Fin")*1, ([1]OUT_FinalEnergyCons!$C$4:$C$10000="RNGA")*1,ISNUMBER(SEARCH("RH*-wHngahp",[1]OUT_FinalEnergyCons!$A$4:$A$10000))*1,[1]OUT_FinalEnergyCons!K$4:K$10000)</f>
        <v>0.31642760814930238</v>
      </c>
      <c r="N1008" s="1" cm="1">
        <f t="array" ref="N1008">SUMPRODUCT(([1]OUT_FinalEnergyCons!$B$4:$B$10000="Var_Fin")*1, ([1]OUT_FinalEnergyCons!$C$4:$C$10000="RNGA")*1,ISNUMBER(SEARCH("RH*-wHngahp",[1]OUT_FinalEnergyCons!$A$4:$A$10000))*1,[1]OUT_FinalEnergyCons!L$4:L$10000)</f>
        <v>0.31668087291162922</v>
      </c>
      <c r="O1008" s="1" cm="1">
        <f t="array" ref="O1008">SUMPRODUCT(([1]OUT_FinalEnergyCons!$B$4:$B$10000="Var_Fin")*1, ([1]OUT_FinalEnergyCons!$C$4:$C$10000="RNGA")*1,ISNUMBER(SEARCH("RH*-wHngahp",[1]OUT_FinalEnergyCons!$A$4:$A$10000))*1,[1]OUT_FinalEnergyCons!M$4:M$10000)</f>
        <v>0.31729366107318735</v>
      </c>
      <c r="P1008" s="1" cm="1">
        <f t="array" ref="P1008">SUMPRODUCT(([1]OUT_FinalEnergyCons!$B$4:$B$10000="Var_Fin")*1, ([1]OUT_FinalEnergyCons!$C$4:$C$10000="RNGA")*1,ISNUMBER(SEARCH("RH*-wHngahp",[1]OUT_FinalEnergyCons!$A$4:$A$10000))*1,[1]OUT_FinalEnergyCons!N$4:N$10000)</f>
        <v>0.31729515104522915</v>
      </c>
      <c r="Q1008" s="1" cm="1">
        <f t="array" ref="Q1008">SUMPRODUCT(([1]OUT_FinalEnergyCons!$B$4:$B$10000="Var_Fin")*1, ([1]OUT_FinalEnergyCons!$C$4:$C$10000="RNGA")*1,ISNUMBER(SEARCH("RH*-wHngahp",[1]OUT_FinalEnergyCons!$A$4:$A$10000))*1,[1]OUT_FinalEnergyCons!O$4:O$10000)</f>
        <v>0.31723401051422495</v>
      </c>
      <c r="S1008" s="3"/>
    </row>
    <row r="1009" spans="2:19" x14ac:dyDescent="0.5">
      <c r="B1009" s="5" t="str">
        <f t="shared" si="1193"/>
        <v>SPS1</v>
      </c>
      <c r="C1009" s="5" t="str">
        <f t="shared" si="1194"/>
        <v>CH</v>
      </c>
      <c r="D1009" t="s">
        <v>1016</v>
      </c>
      <c r="E1009" t="s">
        <v>8</v>
      </c>
      <c r="F1009" s="1">
        <f>SUM(F1010:F1011)</f>
        <v>8.4518192225215927</v>
      </c>
      <c r="G1009" s="1">
        <f t="shared" ref="G1009:K1009" si="1213">SUM(G1010:G1011)</f>
        <v>6.8469266136301909</v>
      </c>
      <c r="H1009" s="1">
        <f t="shared" si="1213"/>
        <v>12.190335963303902</v>
      </c>
      <c r="I1009" s="1">
        <f t="shared" si="1213"/>
        <v>12.014825494867589</v>
      </c>
      <c r="J1009" s="1">
        <f t="shared" si="1213"/>
        <v>9.0663504190851416</v>
      </c>
      <c r="K1009" s="1">
        <f t="shared" si="1213"/>
        <v>3.8205000995026754</v>
      </c>
      <c r="L1009" s="1">
        <f t="shared" ref="L1009:O1009" si="1214">SUM(L1010:L1011)</f>
        <v>2.8124794124461214</v>
      </c>
      <c r="M1009" s="1">
        <f t="shared" si="1214"/>
        <v>1.2940699409356082</v>
      </c>
      <c r="N1009" s="1">
        <f t="shared" si="1214"/>
        <v>0.94898865262259446</v>
      </c>
      <c r="O1009" s="1">
        <f t="shared" si="1214"/>
        <v>0.90436561582461361</v>
      </c>
      <c r="P1009" s="1">
        <f>SUM(P1010:P1011)</f>
        <v>0.94353958848634267</v>
      </c>
      <c r="Q1009" s="1">
        <f>SUM(Q1010:Q1011)</f>
        <v>0.81281161345618025</v>
      </c>
      <c r="S1009" s="3"/>
    </row>
    <row r="1010" spans="2:19" x14ac:dyDescent="0.5">
      <c r="B1010" s="5" t="str">
        <f t="shared" si="1193"/>
        <v>SPS1</v>
      </c>
      <c r="C1010" s="5" t="str">
        <f t="shared" si="1194"/>
        <v>CH</v>
      </c>
      <c r="D1010" t="s">
        <v>718</v>
      </c>
      <c r="E1010" t="s">
        <v>8</v>
      </c>
      <c r="F1010" s="1">
        <f>F1007-F1013</f>
        <v>8.4518192225215927</v>
      </c>
      <c r="G1010" s="1">
        <f t="shared" ref="G1010:K1010" si="1215">G1007-G1013</f>
        <v>6.8469266136301909</v>
      </c>
      <c r="H1010" s="1">
        <f t="shared" si="1215"/>
        <v>12.185853925415522</v>
      </c>
      <c r="I1010" s="1">
        <f t="shared" si="1215"/>
        <v>12.009467387906456</v>
      </c>
      <c r="J1010" s="1">
        <f t="shared" si="1215"/>
        <v>8.5582355631146392</v>
      </c>
      <c r="K1010" s="1">
        <f t="shared" si="1215"/>
        <v>3.3341315344715685</v>
      </c>
      <c r="L1010" s="1">
        <f t="shared" ref="L1010:O1010" si="1216">L1007-L1013</f>
        <v>2.0646705684990332</v>
      </c>
      <c r="M1010" s="1">
        <f t="shared" si="1216"/>
        <v>1.0394748950632362</v>
      </c>
      <c r="N1010" s="1">
        <f t="shared" si="1216"/>
        <v>0.70530729061046959</v>
      </c>
      <c r="O1010" s="1">
        <f t="shared" si="1216"/>
        <v>0.66148359612606356</v>
      </c>
      <c r="P1010" s="1">
        <f>P1007-P1013</f>
        <v>0.69932789595580669</v>
      </c>
      <c r="Q1010" s="1">
        <f>Q1007-Q1013</f>
        <v>0.57227363694089006</v>
      </c>
      <c r="S1010" s="3"/>
    </row>
    <row r="1011" spans="2:19" x14ac:dyDescent="0.5">
      <c r="B1011" s="5" t="str">
        <f t="shared" si="1193"/>
        <v>SPS1</v>
      </c>
      <c r="C1011" s="5" t="str">
        <f t="shared" si="1194"/>
        <v>CH</v>
      </c>
      <c r="D1011" t="s">
        <v>737</v>
      </c>
      <c r="E1011" t="s">
        <v>8</v>
      </c>
      <c r="F1011" s="1">
        <f>F1008-F1014</f>
        <v>0</v>
      </c>
      <c r="G1011" s="1">
        <f t="shared" ref="G1011:K1011" si="1217">G1008-G1014</f>
        <v>0</v>
      </c>
      <c r="H1011" s="1">
        <f t="shared" si="1217"/>
        <v>4.4820378883795552E-3</v>
      </c>
      <c r="I1011" s="1">
        <f t="shared" si="1217"/>
        <v>5.3581069611324276E-3</v>
      </c>
      <c r="J1011" s="1">
        <f t="shared" si="1217"/>
        <v>0.50811485597050321</v>
      </c>
      <c r="K1011" s="1">
        <f t="shared" si="1217"/>
        <v>0.4863685650311067</v>
      </c>
      <c r="L1011" s="1">
        <f t="shared" ref="L1011:O1011" si="1218">L1008-L1014</f>
        <v>0.74780884394708824</v>
      </c>
      <c r="M1011" s="1">
        <f t="shared" si="1218"/>
        <v>0.25459504587237208</v>
      </c>
      <c r="N1011" s="1">
        <f t="shared" si="1218"/>
        <v>0.24368136201212487</v>
      </c>
      <c r="O1011" s="1">
        <f t="shared" si="1218"/>
        <v>0.24288201969855011</v>
      </c>
      <c r="P1011" s="1">
        <f>P1008-P1014</f>
        <v>0.24421169253053598</v>
      </c>
      <c r="Q1011" s="1">
        <f>Q1008-Q1014</f>
        <v>0.24053797651529024</v>
      </c>
      <c r="S1011" s="3"/>
    </row>
    <row r="1012" spans="2:19" x14ac:dyDescent="0.5">
      <c r="B1012" s="5" t="str">
        <f t="shared" si="1193"/>
        <v>SPS1</v>
      </c>
      <c r="C1012" s="5" t="str">
        <f t="shared" si="1194"/>
        <v>CH</v>
      </c>
      <c r="D1012" t="s">
        <v>1017</v>
      </c>
      <c r="E1012" t="s">
        <v>8</v>
      </c>
      <c r="F1012" s="1">
        <f t="shared" ref="F1012:K1012" si="1219">SUM(F1013:F1014)</f>
        <v>5.5483257944921115E-2</v>
      </c>
      <c r="G1012" s="1">
        <f t="shared" si="1219"/>
        <v>1.0698202356183759E-3</v>
      </c>
      <c r="H1012" s="1">
        <f t="shared" si="1219"/>
        <v>1.739360405083695E-3</v>
      </c>
      <c r="I1012" s="1">
        <f t="shared" si="1219"/>
        <v>1.716548963643599E-3</v>
      </c>
      <c r="J1012" s="1">
        <f t="shared" si="1219"/>
        <v>1.457076553285142E-3</v>
      </c>
      <c r="K1012" s="1">
        <f t="shared" si="1219"/>
        <v>1.4345315330278134E-2</v>
      </c>
      <c r="L1012" s="1">
        <f t="shared" ref="L1012:O1012" si="1220">SUM(L1013:L1014)</f>
        <v>0.16903241094996152</v>
      </c>
      <c r="M1012" s="1">
        <f t="shared" si="1220"/>
        <v>0.31428600638881315</v>
      </c>
      <c r="N1012" s="1">
        <f t="shared" si="1220"/>
        <v>0.28428808390845295</v>
      </c>
      <c r="O1012" s="1">
        <f t="shared" si="1220"/>
        <v>0.27707003573099737</v>
      </c>
      <c r="P1012" s="1">
        <f>SUM(P1013:P1014)</f>
        <v>0.282366235856991</v>
      </c>
      <c r="Q1012" s="1">
        <f>SUM(Q1013:Q1014)</f>
        <v>0.25916667315275882</v>
      </c>
      <c r="S1012" s="3"/>
    </row>
    <row r="1013" spans="2:19" x14ac:dyDescent="0.5">
      <c r="B1013" s="5" t="str">
        <f t="shared" si="1193"/>
        <v>SPS1</v>
      </c>
      <c r="C1013" s="5" t="str">
        <f t="shared" si="1194"/>
        <v>CH</v>
      </c>
      <c r="D1013" t="s">
        <v>738</v>
      </c>
      <c r="E1013" t="s">
        <v>8</v>
      </c>
      <c r="F1013" s="1">
        <f>F1007*IFERROR(F$996/F$994,0)</f>
        <v>5.5483257944921115E-2</v>
      </c>
      <c r="G1013" s="1">
        <f t="shared" ref="G1013:K1013" si="1221">G1007*IFERROR(G$996/G$994,0)</f>
        <v>1.0698202356183759E-3</v>
      </c>
      <c r="H1013" s="1">
        <f t="shared" si="1221"/>
        <v>1.7387208920086985E-3</v>
      </c>
      <c r="I1013" s="1">
        <f t="shared" si="1221"/>
        <v>1.7157834549847214E-3</v>
      </c>
      <c r="J1013" s="1">
        <f t="shared" si="1221"/>
        <v>1.3754161046164058E-3</v>
      </c>
      <c r="K1013" s="1">
        <f t="shared" si="1221"/>
        <v>1.2519085713633355E-2</v>
      </c>
      <c r="L1013" s="1">
        <f t="shared" ref="L1013:O1013" si="1222">L1007*IFERROR(L$996/L$994,0)</f>
        <v>0.12408846175598627</v>
      </c>
      <c r="M1013" s="1">
        <f t="shared" si="1222"/>
        <v>0.25245344411188286</v>
      </c>
      <c r="N1013" s="1">
        <f t="shared" si="1222"/>
        <v>0.2112885730089486</v>
      </c>
      <c r="O1013" s="1">
        <f t="shared" si="1222"/>
        <v>0.20265839435636016</v>
      </c>
      <c r="P1013" s="1">
        <f>P1007*IFERROR(P$996/P$994,0)</f>
        <v>0.20928277734229783</v>
      </c>
      <c r="Q1013" s="1">
        <f>Q1007*IFERROR(Q$996/Q$994,0)</f>
        <v>0.18247063915382408</v>
      </c>
      <c r="S1013" s="3"/>
    </row>
    <row r="1014" spans="2:19" x14ac:dyDescent="0.5">
      <c r="B1014" s="5" t="str">
        <f t="shared" si="1193"/>
        <v>SPS1</v>
      </c>
      <c r="C1014" s="5" t="str">
        <f t="shared" si="1194"/>
        <v>CH</v>
      </c>
      <c r="D1014" t="s">
        <v>739</v>
      </c>
      <c r="E1014" t="s">
        <v>8</v>
      </c>
      <c r="F1014" s="1">
        <f>F1008*IFERROR(F$996/F$994,0)</f>
        <v>0</v>
      </c>
      <c r="G1014" s="1">
        <f t="shared" ref="G1014:K1014" si="1223">G1008*IFERROR(G$996/G$994,0)</f>
        <v>0</v>
      </c>
      <c r="H1014" s="1">
        <f t="shared" si="1223"/>
        <v>6.3951307499645344E-7</v>
      </c>
      <c r="I1014" s="1">
        <f t="shared" si="1223"/>
        <v>7.655086588775115E-7</v>
      </c>
      <c r="J1014" s="1">
        <f t="shared" si="1223"/>
        <v>8.1660448668736198E-5</v>
      </c>
      <c r="K1014" s="1">
        <f t="shared" si="1223"/>
        <v>1.8262296166447797E-3</v>
      </c>
      <c r="L1014" s="1">
        <f t="shared" ref="L1014:O1014" si="1224">L1008*IFERROR(L$996/L$994,0)</f>
        <v>4.4943949193975263E-2</v>
      </c>
      <c r="M1014" s="1">
        <f t="shared" si="1224"/>
        <v>6.1832562276930299E-2</v>
      </c>
      <c r="N1014" s="1">
        <f t="shared" si="1224"/>
        <v>7.2999510899504363E-2</v>
      </c>
      <c r="O1014" s="1">
        <f t="shared" si="1224"/>
        <v>7.4411641374637225E-2</v>
      </c>
      <c r="P1014" s="1">
        <f>P1008*IFERROR(P$996/P$994,0)</f>
        <v>7.3083458514693167E-2</v>
      </c>
      <c r="Q1014" s="1">
        <f>Q1008*IFERROR(Q$996/Q$994,0)</f>
        <v>7.6696033998934723E-2</v>
      </c>
      <c r="S1014" s="3"/>
    </row>
    <row r="1015" spans="2:19" x14ac:dyDescent="0.5">
      <c r="B1015" s="5" t="str">
        <f t="shared" si="1193"/>
        <v>SPS1</v>
      </c>
      <c r="C1015" s="5" t="str">
        <f t="shared" si="1194"/>
        <v>CH</v>
      </c>
      <c r="D1015" t="s">
        <v>1018</v>
      </c>
      <c r="E1015" t="s">
        <v>8</v>
      </c>
      <c r="F1015" s="1">
        <f>[1]Residential!B$20</f>
        <v>0.10003741888530976</v>
      </c>
      <c r="G1015" s="1">
        <f>[1]Residential!C$20</f>
        <v>0.10003678020470393</v>
      </c>
      <c r="H1015" s="1">
        <f>[1]Residential!D$20</f>
        <v>7.8249794052391505E-3</v>
      </c>
      <c r="I1015" s="1">
        <f>[1]Residential!E$20</f>
        <v>3.7792389049602312E-3</v>
      </c>
      <c r="J1015" s="1">
        <f>[1]Residential!F$20</f>
        <v>1.459905550657267E-3</v>
      </c>
      <c r="K1015" s="1">
        <f>[1]Residential!G$20</f>
        <v>0</v>
      </c>
      <c r="L1015" s="1">
        <f>[1]Residential!H$20</f>
        <v>0</v>
      </c>
      <c r="M1015" s="1">
        <f>[1]Residential!I$20</f>
        <v>0</v>
      </c>
      <c r="N1015" s="1">
        <f>[1]Residential!J$20</f>
        <v>0</v>
      </c>
      <c r="O1015" s="1">
        <f>[1]Residential!K$20</f>
        <v>0</v>
      </c>
      <c r="P1015" s="1">
        <f>[1]Residential!L$20</f>
        <v>0</v>
      </c>
      <c r="Q1015" s="1">
        <f>[1]Residential!M$20</f>
        <v>0</v>
      </c>
      <c r="S1015" s="3"/>
    </row>
    <row r="1016" spans="2:19" x14ac:dyDescent="0.5">
      <c r="B1016" s="5" t="str">
        <f t="shared" si="1193"/>
        <v>SPS1</v>
      </c>
      <c r="C1016" s="5" t="str">
        <f t="shared" si="1194"/>
        <v>CH</v>
      </c>
      <c r="D1016" t="s">
        <v>1019</v>
      </c>
      <c r="E1016" t="s">
        <v>8</v>
      </c>
      <c r="F1016" s="1">
        <f>F1015</f>
        <v>0.10003741888530976</v>
      </c>
      <c r="G1016" s="1">
        <f t="shared" ref="G1016:G1017" si="1225">G1015</f>
        <v>0.10003678020470393</v>
      </c>
      <c r="H1016" s="1">
        <f t="shared" ref="H1016:H1017" si="1226">H1015</f>
        <v>7.8249794052391505E-3</v>
      </c>
      <c r="I1016" s="1">
        <f t="shared" ref="I1016:I1017" si="1227">I1015</f>
        <v>3.7792389049602312E-3</v>
      </c>
      <c r="J1016" s="1">
        <f t="shared" ref="J1016:J1017" si="1228">J1015</f>
        <v>1.459905550657267E-3</v>
      </c>
      <c r="K1016" s="1">
        <f t="shared" ref="K1016:K1017" si="1229">K1015</f>
        <v>0</v>
      </c>
      <c r="L1016" s="1">
        <f t="shared" ref="L1016:O1016" si="1230">L1015</f>
        <v>0</v>
      </c>
      <c r="M1016" s="1">
        <f t="shared" si="1230"/>
        <v>0</v>
      </c>
      <c r="N1016" s="1">
        <f t="shared" si="1230"/>
        <v>0</v>
      </c>
      <c r="O1016" s="1">
        <f t="shared" si="1230"/>
        <v>0</v>
      </c>
      <c r="P1016" s="1">
        <f>P1015</f>
        <v>0</v>
      </c>
      <c r="Q1016" s="1">
        <f>Q1015</f>
        <v>0</v>
      </c>
      <c r="S1016" s="3"/>
    </row>
    <row r="1017" spans="2:19" x14ac:dyDescent="0.5">
      <c r="B1017" s="5" t="str">
        <f t="shared" si="1193"/>
        <v>SPS1</v>
      </c>
      <c r="C1017" s="5" t="str">
        <f t="shared" si="1194"/>
        <v>CH</v>
      </c>
      <c r="D1017" t="s">
        <v>764</v>
      </c>
      <c r="E1017" t="s">
        <v>8</v>
      </c>
      <c r="F1017" s="1">
        <f t="shared" ref="F1017" si="1231">F1016</f>
        <v>0.10003741888530976</v>
      </c>
      <c r="G1017" s="1">
        <f t="shared" si="1225"/>
        <v>0.10003678020470393</v>
      </c>
      <c r="H1017" s="1">
        <f t="shared" si="1226"/>
        <v>7.8249794052391505E-3</v>
      </c>
      <c r="I1017" s="1">
        <f t="shared" si="1227"/>
        <v>3.7792389049602312E-3</v>
      </c>
      <c r="J1017" s="1">
        <f t="shared" si="1228"/>
        <v>1.459905550657267E-3</v>
      </c>
      <c r="K1017" s="1">
        <f t="shared" si="1229"/>
        <v>0</v>
      </c>
      <c r="L1017" s="1">
        <f t="shared" ref="L1017:O1017" si="1232">L1016</f>
        <v>0</v>
      </c>
      <c r="M1017" s="1">
        <f t="shared" si="1232"/>
        <v>0</v>
      </c>
      <c r="N1017" s="1">
        <f t="shared" si="1232"/>
        <v>0</v>
      </c>
      <c r="O1017" s="1">
        <f t="shared" si="1232"/>
        <v>0</v>
      </c>
      <c r="P1017" s="1">
        <f>P1016</f>
        <v>0</v>
      </c>
      <c r="Q1017" s="1">
        <f>Q1016</f>
        <v>0</v>
      </c>
      <c r="S1017" s="3"/>
    </row>
    <row r="1018" spans="2:19" x14ac:dyDescent="0.5">
      <c r="B1018" s="5" t="str">
        <f t="shared" si="1193"/>
        <v>SPS1</v>
      </c>
      <c r="C1018" s="5" t="str">
        <f t="shared" si="1194"/>
        <v>CH</v>
      </c>
      <c r="D1018" t="s">
        <v>1020</v>
      </c>
      <c r="E1018" t="s">
        <v>8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S1018" s="3"/>
    </row>
    <row r="1019" spans="2:19" x14ac:dyDescent="0.5">
      <c r="B1019" s="5" t="str">
        <f t="shared" si="1193"/>
        <v>SPS1</v>
      </c>
      <c r="C1019" s="5" t="str">
        <f t="shared" si="1194"/>
        <v>CH</v>
      </c>
      <c r="D1019" t="s">
        <v>765</v>
      </c>
      <c r="E1019" t="s">
        <v>8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S1019" s="3"/>
    </row>
    <row r="1020" spans="2:19" x14ac:dyDescent="0.5">
      <c r="B1020" s="5" t="str">
        <f t="shared" si="1193"/>
        <v>SPS1</v>
      </c>
      <c r="C1020" s="5" t="str">
        <f t="shared" si="1194"/>
        <v>CH</v>
      </c>
      <c r="D1020" t="s">
        <v>1021</v>
      </c>
      <c r="E1020" t="s">
        <v>8</v>
      </c>
      <c r="F1020" s="1">
        <f>F1021+F1023</f>
        <v>13.723114751751083</v>
      </c>
      <c r="G1020" s="1">
        <f t="shared" ref="G1020:K1020" si="1233">G1021+G1023</f>
        <v>15.890054789657293</v>
      </c>
      <c r="H1020" s="1">
        <f t="shared" si="1233"/>
        <v>13.509782472338987</v>
      </c>
      <c r="I1020" s="1">
        <f t="shared" si="1233"/>
        <v>11.31328677456969</v>
      </c>
      <c r="J1020" s="1">
        <f t="shared" si="1233"/>
        <v>9.0307482799237491</v>
      </c>
      <c r="K1020" s="1">
        <f t="shared" si="1233"/>
        <v>8.020696106000587</v>
      </c>
      <c r="L1020" s="1">
        <f t="shared" ref="L1020:O1020" si="1234">L1021+L1023</f>
        <v>7.993492428598433</v>
      </c>
      <c r="M1020" s="1">
        <f t="shared" si="1234"/>
        <v>9.8370763216304233</v>
      </c>
      <c r="N1020" s="1">
        <f t="shared" si="1234"/>
        <v>6.6450476131931531</v>
      </c>
      <c r="O1020" s="1">
        <f t="shared" si="1234"/>
        <v>6.2558291237370174</v>
      </c>
      <c r="P1020" s="1">
        <f>P1021+P1023</f>
        <v>4.6237295433826509</v>
      </c>
      <c r="Q1020" s="1">
        <f>Q1021+Q1023</f>
        <v>3.5762970829801723</v>
      </c>
      <c r="S1020" s="3"/>
    </row>
    <row r="1021" spans="2:19" x14ac:dyDescent="0.5">
      <c r="B1021" s="5" t="str">
        <f t="shared" si="1193"/>
        <v>SPS1</v>
      </c>
      <c r="C1021" s="5" t="str">
        <f t="shared" si="1194"/>
        <v>CH</v>
      </c>
      <c r="D1021" t="s">
        <v>1022</v>
      </c>
      <c r="E1021" t="s">
        <v>8</v>
      </c>
      <c r="F1021" s="1">
        <f>F1022</f>
        <v>12.682119107992472</v>
      </c>
      <c r="G1021" s="1">
        <f t="shared" ref="G1021:O1021" si="1235">G1022</f>
        <v>14.695517651595866</v>
      </c>
      <c r="H1021" s="1">
        <f t="shared" si="1235"/>
        <v>12.762196908216932</v>
      </c>
      <c r="I1021" s="1">
        <f t="shared" si="1235"/>
        <v>10.687440900131541</v>
      </c>
      <c r="J1021" s="1">
        <f t="shared" si="1235"/>
        <v>8.5312469736140706</v>
      </c>
      <c r="K1021" s="1">
        <f t="shared" si="1235"/>
        <v>7.5771143435859942</v>
      </c>
      <c r="L1021" s="1">
        <f t="shared" si="1235"/>
        <v>7.551413608394661</v>
      </c>
      <c r="M1021" s="1">
        <f t="shared" si="1235"/>
        <v>9.2930559543890574</v>
      </c>
      <c r="N1021" s="1">
        <f t="shared" si="1235"/>
        <v>6.2775367649838696</v>
      </c>
      <c r="O1021" s="1">
        <f t="shared" si="1235"/>
        <v>5.9098341466205921</v>
      </c>
      <c r="P1021" s="1">
        <f>P1022</f>
        <v>4.3679926942006801</v>
      </c>
      <c r="Q1021" s="1">
        <f>Q1022</f>
        <v>3.3784195156605543</v>
      </c>
      <c r="S1021" s="3"/>
    </row>
    <row r="1022" spans="2:19" x14ac:dyDescent="0.5">
      <c r="B1022" s="5" t="str">
        <f t="shared" si="1193"/>
        <v>SPS1</v>
      </c>
      <c r="C1022" s="5" t="str">
        <f t="shared" si="1194"/>
        <v>CH</v>
      </c>
      <c r="D1022" t="s">
        <v>766</v>
      </c>
      <c r="E1022" t="s">
        <v>8</v>
      </c>
      <c r="F1022" s="1">
        <f>[1]Residential!B$22-F1024-F1025</f>
        <v>12.682119107992472</v>
      </c>
      <c r="G1022" s="1">
        <f>[1]Residential!C$22-G1024-G1025</f>
        <v>14.695517651595866</v>
      </c>
      <c r="H1022" s="1">
        <f>[1]Residential!D$22-H1024-H1025</f>
        <v>12.762196908216932</v>
      </c>
      <c r="I1022" s="1">
        <f>[1]Residential!E$22-I1024-I1025</f>
        <v>10.687440900131541</v>
      </c>
      <c r="J1022" s="1">
        <f>[1]Residential!F$22-J1024-J1025</f>
        <v>8.5312469736140706</v>
      </c>
      <c r="K1022" s="1">
        <f>[1]Residential!G$22-K1024-K1025</f>
        <v>7.5771143435859942</v>
      </c>
      <c r="L1022" s="1">
        <f>[1]Residential!H$22-L1024-L1025</f>
        <v>7.551413608394661</v>
      </c>
      <c r="M1022" s="1">
        <f>[1]Residential!I$22-M1024-M1025</f>
        <v>9.2930559543890574</v>
      </c>
      <c r="N1022" s="1">
        <f>[1]Residential!J$22-N1024-N1025</f>
        <v>6.2775367649838696</v>
      </c>
      <c r="O1022" s="1">
        <f>[1]Residential!K$22-O1024-O1025</f>
        <v>5.9098341466205921</v>
      </c>
      <c r="P1022" s="1">
        <f>[1]Residential!L$22-P1024-P1025</f>
        <v>4.3679926942006801</v>
      </c>
      <c r="Q1022" s="1">
        <f>[1]Residential!M$22-Q1024-Q1025</f>
        <v>3.3784195156605543</v>
      </c>
      <c r="S1022" s="3"/>
    </row>
    <row r="1023" spans="2:19" x14ac:dyDescent="0.5">
      <c r="B1023" s="5" t="str">
        <f t="shared" si="1193"/>
        <v>SPS1</v>
      </c>
      <c r="C1023" s="5" t="str">
        <f t="shared" si="1194"/>
        <v>CH</v>
      </c>
      <c r="D1023" t="s">
        <v>1023</v>
      </c>
      <c r="E1023" t="s">
        <v>8</v>
      </c>
      <c r="F1023" s="1">
        <f>F1024</f>
        <v>1.0409956437586123</v>
      </c>
      <c r="G1023" s="1">
        <f t="shared" ref="G1023" si="1236">G1024</f>
        <v>1.194537138061428</v>
      </c>
      <c r="H1023" s="1">
        <f t="shared" ref="H1023" si="1237">H1024</f>
        <v>0.74758556412205568</v>
      </c>
      <c r="I1023" s="1">
        <f t="shared" ref="I1023" si="1238">I1024</f>
        <v>0.62584587443814765</v>
      </c>
      <c r="J1023" s="1">
        <f t="shared" ref="J1023" si="1239">J1024</f>
        <v>0.49950130630967848</v>
      </c>
      <c r="K1023" s="1">
        <f t="shared" ref="K1023:O1023" si="1240">K1024</f>
        <v>0.44358176241459252</v>
      </c>
      <c r="L1023" s="1">
        <f t="shared" si="1240"/>
        <v>0.44207882020377182</v>
      </c>
      <c r="M1023" s="1">
        <f t="shared" si="1240"/>
        <v>0.54402036724136582</v>
      </c>
      <c r="N1023" s="1">
        <f t="shared" si="1240"/>
        <v>0.36751084820928387</v>
      </c>
      <c r="O1023" s="1">
        <f t="shared" si="1240"/>
        <v>0.34599497711642518</v>
      </c>
      <c r="P1023" s="1">
        <f>P1024</f>
        <v>0.25573684918197104</v>
      </c>
      <c r="Q1023" s="1">
        <f>Q1024</f>
        <v>0.19787756731961809</v>
      </c>
      <c r="S1023" s="3"/>
    </row>
    <row r="1024" spans="2:19" x14ac:dyDescent="0.5">
      <c r="B1024" s="5" t="str">
        <f t="shared" si="1193"/>
        <v>SPS1</v>
      </c>
      <c r="C1024" s="5" t="str">
        <f t="shared" si="1194"/>
        <v>CH</v>
      </c>
      <c r="D1024" t="s">
        <v>767</v>
      </c>
      <c r="E1024" t="s">
        <v>8</v>
      </c>
      <c r="F1024" s="1" cm="1">
        <f t="array" ref="F1024">SUMPRODUCT(([1]OUT_FinalEnergyCons!$B$4:$B$10000="Var_Fin")*1, ISNUMBER(SEARCH("WOD",[1]OUT_FinalEnergyCons!$C$4:$C$10000))*1,(ISNUMBER(SEARCH("RH*-wHWODBR",[1]OUT_FinalEnergyCons!$A$4:$A$10000)))*1,[1]OUT_FinalEnergyCons!D$4:D$10000)</f>
        <v>1.0409956437586123</v>
      </c>
      <c r="G1024" s="1" cm="1">
        <f t="array" ref="G1024">SUMPRODUCT(([1]OUT_FinalEnergyCons!$B$4:$B$10000="Var_Fin")*1, ISNUMBER(SEARCH("WOD",[1]OUT_FinalEnergyCons!$C$4:$C$10000))*1,(ISNUMBER(SEARCH("RH*-wHWODBR",[1]OUT_FinalEnergyCons!$A$4:$A$10000)))*1,[1]OUT_FinalEnergyCons!E$4:E$10000)</f>
        <v>1.194537138061428</v>
      </c>
      <c r="H1024" s="1" cm="1">
        <f t="array" ref="H1024">SUMPRODUCT(([1]OUT_FinalEnergyCons!$B$4:$B$10000="Var_Fin")*1, ISNUMBER(SEARCH("WOD",[1]OUT_FinalEnergyCons!$C$4:$C$10000))*1,(ISNUMBER(SEARCH("RH*-wHWODBR",[1]OUT_FinalEnergyCons!$A$4:$A$10000)))*1,[1]OUT_FinalEnergyCons!F$4:F$10000)</f>
        <v>0.74758556412205568</v>
      </c>
      <c r="I1024" s="1" cm="1">
        <f t="array" ref="I1024">SUMPRODUCT(([1]OUT_FinalEnergyCons!$B$4:$B$10000="Var_Fin")*1, ISNUMBER(SEARCH("WOD",[1]OUT_FinalEnergyCons!$C$4:$C$10000))*1,(ISNUMBER(SEARCH("RH*-wHWODBR",[1]OUT_FinalEnergyCons!$A$4:$A$10000)))*1,[1]OUT_FinalEnergyCons!G$4:G$10000)</f>
        <v>0.62584587443814765</v>
      </c>
      <c r="J1024" s="1" cm="1">
        <f t="array" ref="J1024">SUMPRODUCT(([1]OUT_FinalEnergyCons!$B$4:$B$10000="Var_Fin")*1, ISNUMBER(SEARCH("WOD",[1]OUT_FinalEnergyCons!$C$4:$C$10000))*1,(ISNUMBER(SEARCH("RH*-wHWODBR",[1]OUT_FinalEnergyCons!$A$4:$A$10000)))*1,[1]OUT_FinalEnergyCons!H$4:H$10000)</f>
        <v>0.49950130630967848</v>
      </c>
      <c r="K1024" s="1" cm="1">
        <f t="array" ref="K1024">SUMPRODUCT(([1]OUT_FinalEnergyCons!$B$4:$B$10000="Var_Fin")*1, ISNUMBER(SEARCH("WOD",[1]OUT_FinalEnergyCons!$C$4:$C$10000))*1,(ISNUMBER(SEARCH("RH*-wHWODBR",[1]OUT_FinalEnergyCons!$A$4:$A$10000)))*1,[1]OUT_FinalEnergyCons!I$4:I$10000)</f>
        <v>0.44358176241459252</v>
      </c>
      <c r="L1024" s="1" cm="1">
        <f t="array" ref="L1024">SUMPRODUCT(([1]OUT_FinalEnergyCons!$B$4:$B$10000="Var_Fin")*1, ISNUMBER(SEARCH("WOD",[1]OUT_FinalEnergyCons!$C$4:$C$10000))*1,(ISNUMBER(SEARCH("RH*-wHWODBR",[1]OUT_FinalEnergyCons!$A$4:$A$10000)))*1,[1]OUT_FinalEnergyCons!J$4:J$10000)</f>
        <v>0.44207882020377182</v>
      </c>
      <c r="M1024" s="1" cm="1">
        <f t="array" ref="M1024">SUMPRODUCT(([1]OUT_FinalEnergyCons!$B$4:$B$10000="Var_Fin")*1, ISNUMBER(SEARCH("WOD",[1]OUT_FinalEnergyCons!$C$4:$C$10000))*1,(ISNUMBER(SEARCH("RH*-wHWODBR",[1]OUT_FinalEnergyCons!$A$4:$A$10000)))*1,[1]OUT_FinalEnergyCons!K$4:K$10000)</f>
        <v>0.54402036724136582</v>
      </c>
      <c r="N1024" s="1" cm="1">
        <f t="array" ref="N1024">SUMPRODUCT(([1]OUT_FinalEnergyCons!$B$4:$B$10000="Var_Fin")*1, ISNUMBER(SEARCH("WOD",[1]OUT_FinalEnergyCons!$C$4:$C$10000))*1,(ISNUMBER(SEARCH("RH*-wHWODBR",[1]OUT_FinalEnergyCons!$A$4:$A$10000)))*1,[1]OUT_FinalEnergyCons!L$4:L$10000)</f>
        <v>0.36751084820928387</v>
      </c>
      <c r="O1024" s="1" cm="1">
        <f t="array" ref="O1024">SUMPRODUCT(([1]OUT_FinalEnergyCons!$B$4:$B$10000="Var_Fin")*1, ISNUMBER(SEARCH("WOD",[1]OUT_FinalEnergyCons!$C$4:$C$10000))*1,(ISNUMBER(SEARCH("RH*-wHWODBR",[1]OUT_FinalEnergyCons!$A$4:$A$10000)))*1,[1]OUT_FinalEnergyCons!M$4:M$10000)</f>
        <v>0.34599497711642518</v>
      </c>
      <c r="P1024" s="1" cm="1">
        <f t="array" ref="P1024">SUMPRODUCT(([1]OUT_FinalEnergyCons!$B$4:$B$10000="Var_Fin")*1, ISNUMBER(SEARCH("WOD",[1]OUT_FinalEnergyCons!$C$4:$C$10000))*1,(ISNUMBER(SEARCH("RH*-wHWODBR",[1]OUT_FinalEnergyCons!$A$4:$A$10000)))*1,[1]OUT_FinalEnergyCons!N$4:N$10000)</f>
        <v>0.25573684918197104</v>
      </c>
      <c r="Q1024" s="1" cm="1">
        <f t="array" ref="Q1024">SUMPRODUCT(([1]OUT_FinalEnergyCons!$B$4:$B$10000="Var_Fin")*1, ISNUMBER(SEARCH("WOD",[1]OUT_FinalEnergyCons!$C$4:$C$10000))*1,(ISNUMBER(SEARCH("RH*-wHWODBR",[1]OUT_FinalEnergyCons!$A$4:$A$10000)))*1,[1]OUT_FinalEnergyCons!O$4:O$10000)</f>
        <v>0.19787756731961809</v>
      </c>
      <c r="S1024" s="3"/>
    </row>
    <row r="1025" spans="2:19" x14ac:dyDescent="0.5">
      <c r="B1025" s="5" t="str">
        <f t="shared" si="1193"/>
        <v>SPS1</v>
      </c>
      <c r="C1025" s="5" t="str">
        <f t="shared" si="1194"/>
        <v>CH</v>
      </c>
      <c r="D1025" t="s">
        <v>1024</v>
      </c>
      <c r="E1025" t="s">
        <v>8</v>
      </c>
      <c r="F1025" s="1">
        <f>F1026+F1028</f>
        <v>3.2683080692501805</v>
      </c>
      <c r="G1025" s="1">
        <f t="shared" ref="G1025:K1025" si="1241">G1026+G1028</f>
        <v>3.8321176236617789</v>
      </c>
      <c r="H1025" s="1">
        <f t="shared" si="1241"/>
        <v>3.7299589303091709</v>
      </c>
      <c r="I1025" s="1">
        <f t="shared" si="1241"/>
        <v>3.8879910467079251</v>
      </c>
      <c r="J1025" s="1">
        <f t="shared" si="1241"/>
        <v>4.0266377470774817</v>
      </c>
      <c r="K1025" s="1">
        <f t="shared" si="1241"/>
        <v>4.1392456127768336</v>
      </c>
      <c r="L1025" s="1">
        <f t="shared" ref="L1025:O1025" si="1242">L1026+L1028</f>
        <v>4.231110980071211</v>
      </c>
      <c r="M1025" s="1">
        <f t="shared" si="1242"/>
        <v>4.3161071335491421</v>
      </c>
      <c r="N1025" s="1">
        <f t="shared" si="1242"/>
        <v>4.378602272929589</v>
      </c>
      <c r="O1025" s="1">
        <f t="shared" si="1242"/>
        <v>4.4500579858310987</v>
      </c>
      <c r="P1025" s="1">
        <f>P1026+P1028</f>
        <v>4.4500801042683431</v>
      </c>
      <c r="Q1025" s="1">
        <f>Q1026+Q1028</f>
        <v>4.4502108329188168</v>
      </c>
      <c r="S1025" s="3"/>
    </row>
    <row r="1026" spans="2:19" x14ac:dyDescent="0.5">
      <c r="B1026" s="5" t="str">
        <f t="shared" si="1193"/>
        <v>SPS1</v>
      </c>
      <c r="C1026" s="5" t="str">
        <f t="shared" si="1194"/>
        <v>CH</v>
      </c>
      <c r="D1026" t="s">
        <v>1025</v>
      </c>
      <c r="E1026" t="s">
        <v>8</v>
      </c>
      <c r="F1026" s="1">
        <f>F1027</f>
        <v>2.996596685398508</v>
      </c>
      <c r="G1026" s="1">
        <f t="shared" ref="G1026:O1026" si="1243">G1027</f>
        <v>3.5203347297593823</v>
      </c>
      <c r="H1026" s="1">
        <f t="shared" si="1243"/>
        <v>3.5236677089715576</v>
      </c>
      <c r="I1026" s="1">
        <f t="shared" si="1243"/>
        <v>3.6729379518406344</v>
      </c>
      <c r="J1026" s="1">
        <f t="shared" si="1243"/>
        <v>3.803884701174213</v>
      </c>
      <c r="K1026" s="1">
        <f t="shared" si="1243"/>
        <v>3.9103079072255715</v>
      </c>
      <c r="L1026" s="1">
        <f t="shared" si="1243"/>
        <v>3.997094074306256</v>
      </c>
      <c r="M1026" s="1">
        <f t="shared" si="1243"/>
        <v>4.0773919116279229</v>
      </c>
      <c r="N1026" s="1">
        <f t="shared" si="1243"/>
        <v>4.13643710896371</v>
      </c>
      <c r="O1026" s="1">
        <f t="shared" si="1243"/>
        <v>4.2039346771350257</v>
      </c>
      <c r="P1026" s="1">
        <f>P1027</f>
        <v>4.2039588009618827</v>
      </c>
      <c r="Q1026" s="1">
        <f>Q1027</f>
        <v>4.204063050705896</v>
      </c>
      <c r="S1026" s="3"/>
    </row>
    <row r="1027" spans="2:19" x14ac:dyDescent="0.5">
      <c r="B1027" s="5" t="str">
        <f t="shared" si="1193"/>
        <v>SPS1</v>
      </c>
      <c r="C1027" s="5" t="str">
        <f t="shared" si="1194"/>
        <v>CH</v>
      </c>
      <c r="D1027" t="s">
        <v>768</v>
      </c>
      <c r="E1027" t="s">
        <v>8</v>
      </c>
      <c r="F1027" s="1" cm="1">
        <f t="array" ref="F1027">SUMPRODUCT(([1]OUT_FinalEnergyCons!$B$4:$B$10000="Var_Fin")*1, ISNUMBER(SEARCH("RPLT",[1]OUT_FinalEnergyCons!$C$4:$C$10000))*1,(ISNUMBER(SEARCH("RH*-SHPLTBR",[1]OUT_FinalEnergyCons!$A$4:$A$10000)))*1,[1]OUT_FinalEnergyCons!D$4:D$10000)</f>
        <v>2.996596685398508</v>
      </c>
      <c r="G1027" s="1" cm="1">
        <f t="array" ref="G1027">SUMPRODUCT(([1]OUT_FinalEnergyCons!$B$4:$B$10000="Var_Fin")*1, ISNUMBER(SEARCH("RPLT",[1]OUT_FinalEnergyCons!$C$4:$C$10000))*1,(ISNUMBER(SEARCH("RH*-SHPLTBR",[1]OUT_FinalEnergyCons!$A$4:$A$10000)))*1,[1]OUT_FinalEnergyCons!E$4:E$10000)</f>
        <v>3.5203347297593823</v>
      </c>
      <c r="H1027" s="1" cm="1">
        <f t="array" ref="H1027">SUMPRODUCT(([1]OUT_FinalEnergyCons!$B$4:$B$10000="Var_Fin")*1, ISNUMBER(SEARCH("RPLT",[1]OUT_FinalEnergyCons!$C$4:$C$10000))*1,(ISNUMBER(SEARCH("RH*-SHPLTBR",[1]OUT_FinalEnergyCons!$A$4:$A$10000)))*1,[1]OUT_FinalEnergyCons!F$4:F$10000)</f>
        <v>3.5236677089715576</v>
      </c>
      <c r="I1027" s="1" cm="1">
        <f t="array" ref="I1027">SUMPRODUCT(([1]OUT_FinalEnergyCons!$B$4:$B$10000="Var_Fin")*1, ISNUMBER(SEARCH("RPLT",[1]OUT_FinalEnergyCons!$C$4:$C$10000))*1,(ISNUMBER(SEARCH("RH*-SHPLTBR",[1]OUT_FinalEnergyCons!$A$4:$A$10000)))*1,[1]OUT_FinalEnergyCons!G$4:G$10000)</f>
        <v>3.6729379518406344</v>
      </c>
      <c r="J1027" s="1" cm="1">
        <f t="array" ref="J1027">SUMPRODUCT(([1]OUT_FinalEnergyCons!$B$4:$B$10000="Var_Fin")*1, ISNUMBER(SEARCH("RPLT",[1]OUT_FinalEnergyCons!$C$4:$C$10000))*1,(ISNUMBER(SEARCH("RH*-SHPLTBR",[1]OUT_FinalEnergyCons!$A$4:$A$10000)))*1,[1]OUT_FinalEnergyCons!H$4:H$10000)</f>
        <v>3.803884701174213</v>
      </c>
      <c r="K1027" s="1" cm="1">
        <f t="array" ref="K1027">SUMPRODUCT(([1]OUT_FinalEnergyCons!$B$4:$B$10000="Var_Fin")*1, ISNUMBER(SEARCH("RPLT",[1]OUT_FinalEnergyCons!$C$4:$C$10000))*1,(ISNUMBER(SEARCH("RH*-SHPLTBR",[1]OUT_FinalEnergyCons!$A$4:$A$10000)))*1,[1]OUT_FinalEnergyCons!I$4:I$10000)</f>
        <v>3.9103079072255715</v>
      </c>
      <c r="L1027" s="1" cm="1">
        <f t="array" ref="L1027">SUMPRODUCT(([1]OUT_FinalEnergyCons!$B$4:$B$10000="Var_Fin")*1, ISNUMBER(SEARCH("RPLT",[1]OUT_FinalEnergyCons!$C$4:$C$10000))*1,(ISNUMBER(SEARCH("RH*-SHPLTBR",[1]OUT_FinalEnergyCons!$A$4:$A$10000)))*1,[1]OUT_FinalEnergyCons!J$4:J$10000)</f>
        <v>3.997094074306256</v>
      </c>
      <c r="M1027" s="1" cm="1">
        <f t="array" ref="M1027">SUMPRODUCT(([1]OUT_FinalEnergyCons!$B$4:$B$10000="Var_Fin")*1, ISNUMBER(SEARCH("RPLT",[1]OUT_FinalEnergyCons!$C$4:$C$10000))*1,(ISNUMBER(SEARCH("RH*-SHPLTBR",[1]OUT_FinalEnergyCons!$A$4:$A$10000)))*1,[1]OUT_FinalEnergyCons!K$4:K$10000)</f>
        <v>4.0773919116279229</v>
      </c>
      <c r="N1027" s="1" cm="1">
        <f t="array" ref="N1027">SUMPRODUCT(([1]OUT_FinalEnergyCons!$B$4:$B$10000="Var_Fin")*1, ISNUMBER(SEARCH("RPLT",[1]OUT_FinalEnergyCons!$C$4:$C$10000))*1,(ISNUMBER(SEARCH("RH*-SHPLTBR",[1]OUT_FinalEnergyCons!$A$4:$A$10000)))*1,[1]OUT_FinalEnergyCons!L$4:L$10000)</f>
        <v>4.13643710896371</v>
      </c>
      <c r="O1027" s="1" cm="1">
        <f t="array" ref="O1027">SUMPRODUCT(([1]OUT_FinalEnergyCons!$B$4:$B$10000="Var_Fin")*1, ISNUMBER(SEARCH("RPLT",[1]OUT_FinalEnergyCons!$C$4:$C$10000))*1,(ISNUMBER(SEARCH("RH*-SHPLTBR",[1]OUT_FinalEnergyCons!$A$4:$A$10000)))*1,[1]OUT_FinalEnergyCons!M$4:M$10000)</f>
        <v>4.2039346771350257</v>
      </c>
      <c r="P1027" s="1" cm="1">
        <f t="array" ref="P1027">SUMPRODUCT(([1]OUT_FinalEnergyCons!$B$4:$B$10000="Var_Fin")*1, ISNUMBER(SEARCH("RPLT",[1]OUT_FinalEnergyCons!$C$4:$C$10000))*1,(ISNUMBER(SEARCH("RH*-SHPLTBR",[1]OUT_FinalEnergyCons!$A$4:$A$10000)))*1,[1]OUT_FinalEnergyCons!N$4:N$10000)</f>
        <v>4.2039588009618827</v>
      </c>
      <c r="Q1027" s="1" cm="1">
        <f t="array" ref="Q1027">SUMPRODUCT(([1]OUT_FinalEnergyCons!$B$4:$B$10000="Var_Fin")*1, ISNUMBER(SEARCH("RPLT",[1]OUT_FinalEnergyCons!$C$4:$C$10000))*1,(ISNUMBER(SEARCH("RH*-SHPLTBR",[1]OUT_FinalEnergyCons!$A$4:$A$10000)))*1,[1]OUT_FinalEnergyCons!O$4:O$10000)</f>
        <v>4.204063050705896</v>
      </c>
      <c r="S1027" s="3"/>
    </row>
    <row r="1028" spans="2:19" x14ac:dyDescent="0.5">
      <c r="B1028" s="5" t="str">
        <f t="shared" si="1193"/>
        <v>SPS1</v>
      </c>
      <c r="C1028" s="5" t="str">
        <f t="shared" si="1194"/>
        <v>CH</v>
      </c>
      <c r="D1028" t="s">
        <v>1026</v>
      </c>
      <c r="E1028" t="s">
        <v>8</v>
      </c>
      <c r="F1028" s="1">
        <f>F1029</f>
        <v>0.27171138385167265</v>
      </c>
      <c r="G1028" s="1">
        <f t="shared" ref="G1028:O1028" si="1244">G1029</f>
        <v>0.31178289390239661</v>
      </c>
      <c r="H1028" s="1">
        <f t="shared" si="1244"/>
        <v>0.20629122133761352</v>
      </c>
      <c r="I1028" s="1">
        <f t="shared" si="1244"/>
        <v>0.21505309486729071</v>
      </c>
      <c r="J1028" s="1">
        <f t="shared" si="1244"/>
        <v>0.22275304590326914</v>
      </c>
      <c r="K1028" s="1">
        <f t="shared" si="1244"/>
        <v>0.22893770555126228</v>
      </c>
      <c r="L1028" s="1">
        <f t="shared" si="1244"/>
        <v>0.23401690576495479</v>
      </c>
      <c r="M1028" s="1">
        <f t="shared" si="1244"/>
        <v>0.23871522192121902</v>
      </c>
      <c r="N1028" s="1">
        <f t="shared" si="1244"/>
        <v>0.24216516396587925</v>
      </c>
      <c r="O1028" s="1">
        <f t="shared" si="1244"/>
        <v>0.24612330869607271</v>
      </c>
      <c r="P1028" s="1">
        <f>P1029</f>
        <v>0.24612130330645998</v>
      </c>
      <c r="Q1028" s="1">
        <f>Q1029</f>
        <v>0.24614778221292086</v>
      </c>
      <c r="S1028" s="3"/>
    </row>
    <row r="1029" spans="2:19" x14ac:dyDescent="0.5">
      <c r="B1029" s="5" t="str">
        <f t="shared" si="1193"/>
        <v>SPS1</v>
      </c>
      <c r="C1029" s="5" t="str">
        <f t="shared" si="1194"/>
        <v>CH</v>
      </c>
      <c r="D1029" t="s">
        <v>769</v>
      </c>
      <c r="E1029" t="s">
        <v>8</v>
      </c>
      <c r="F1029" s="1" cm="1">
        <f t="array" ref="F1029">SUMPRODUCT(([1]OUT_FinalEnergyCons!$B$4:$B$10000="Var_Fin")*1, ISNUMBER(SEARCH("PLT",[1]OUT_FinalEnergyCons!$C$4:$C$10000))*1,(ISNUMBER(SEARCH("RH*-wHPLTBR",[1]OUT_FinalEnergyCons!$A$4:$A$10000)))*1,[1]OUT_FinalEnergyCons!D$4:D$10000)</f>
        <v>0.27171138385167265</v>
      </c>
      <c r="G1029" s="1" cm="1">
        <f t="array" ref="G1029">SUMPRODUCT(([1]OUT_FinalEnergyCons!$B$4:$B$10000="Var_Fin")*1, ISNUMBER(SEARCH("PLT",[1]OUT_FinalEnergyCons!$C$4:$C$10000))*1,(ISNUMBER(SEARCH("RH*-wHPLTBR",[1]OUT_FinalEnergyCons!$A$4:$A$10000)))*1,[1]OUT_FinalEnergyCons!E$4:E$10000)</f>
        <v>0.31178289390239661</v>
      </c>
      <c r="H1029" s="1" cm="1">
        <f t="array" ref="H1029">SUMPRODUCT(([1]OUT_FinalEnergyCons!$B$4:$B$10000="Var_Fin")*1, ISNUMBER(SEARCH("PLT",[1]OUT_FinalEnergyCons!$C$4:$C$10000))*1,(ISNUMBER(SEARCH("RH*-wHPLTBR",[1]OUT_FinalEnergyCons!$A$4:$A$10000)))*1,[1]OUT_FinalEnergyCons!F$4:F$10000)</f>
        <v>0.20629122133761352</v>
      </c>
      <c r="I1029" s="1" cm="1">
        <f t="array" ref="I1029">SUMPRODUCT(([1]OUT_FinalEnergyCons!$B$4:$B$10000="Var_Fin")*1, ISNUMBER(SEARCH("PLT",[1]OUT_FinalEnergyCons!$C$4:$C$10000))*1,(ISNUMBER(SEARCH("RH*-wHPLTBR",[1]OUT_FinalEnergyCons!$A$4:$A$10000)))*1,[1]OUT_FinalEnergyCons!G$4:G$10000)</f>
        <v>0.21505309486729071</v>
      </c>
      <c r="J1029" s="1" cm="1">
        <f t="array" ref="J1029">SUMPRODUCT(([1]OUT_FinalEnergyCons!$B$4:$B$10000="Var_Fin")*1, ISNUMBER(SEARCH("PLT",[1]OUT_FinalEnergyCons!$C$4:$C$10000))*1,(ISNUMBER(SEARCH("RH*-wHPLTBR",[1]OUT_FinalEnergyCons!$A$4:$A$10000)))*1,[1]OUT_FinalEnergyCons!H$4:H$10000)</f>
        <v>0.22275304590326914</v>
      </c>
      <c r="K1029" s="1" cm="1">
        <f t="array" ref="K1029">SUMPRODUCT(([1]OUT_FinalEnergyCons!$B$4:$B$10000="Var_Fin")*1, ISNUMBER(SEARCH("PLT",[1]OUT_FinalEnergyCons!$C$4:$C$10000))*1,(ISNUMBER(SEARCH("RH*-wHPLTBR",[1]OUT_FinalEnergyCons!$A$4:$A$10000)))*1,[1]OUT_FinalEnergyCons!I$4:I$10000)</f>
        <v>0.22893770555126228</v>
      </c>
      <c r="L1029" s="1" cm="1">
        <f t="array" ref="L1029">SUMPRODUCT(([1]OUT_FinalEnergyCons!$B$4:$B$10000="Var_Fin")*1, ISNUMBER(SEARCH("PLT",[1]OUT_FinalEnergyCons!$C$4:$C$10000))*1,(ISNUMBER(SEARCH("RH*-wHPLTBR",[1]OUT_FinalEnergyCons!$A$4:$A$10000)))*1,[1]OUT_FinalEnergyCons!J$4:J$10000)</f>
        <v>0.23401690576495479</v>
      </c>
      <c r="M1029" s="1" cm="1">
        <f t="array" ref="M1029">SUMPRODUCT(([1]OUT_FinalEnergyCons!$B$4:$B$10000="Var_Fin")*1, ISNUMBER(SEARCH("PLT",[1]OUT_FinalEnergyCons!$C$4:$C$10000))*1,(ISNUMBER(SEARCH("RH*-wHPLTBR",[1]OUT_FinalEnergyCons!$A$4:$A$10000)))*1,[1]OUT_FinalEnergyCons!K$4:K$10000)</f>
        <v>0.23871522192121902</v>
      </c>
      <c r="N1029" s="1" cm="1">
        <f t="array" ref="N1029">SUMPRODUCT(([1]OUT_FinalEnergyCons!$B$4:$B$10000="Var_Fin")*1, ISNUMBER(SEARCH("PLT",[1]OUT_FinalEnergyCons!$C$4:$C$10000))*1,(ISNUMBER(SEARCH("RH*-wHPLTBR",[1]OUT_FinalEnergyCons!$A$4:$A$10000)))*1,[1]OUT_FinalEnergyCons!L$4:L$10000)</f>
        <v>0.24216516396587925</v>
      </c>
      <c r="O1029" s="1" cm="1">
        <f t="array" ref="O1029">SUMPRODUCT(([1]OUT_FinalEnergyCons!$B$4:$B$10000="Var_Fin")*1, ISNUMBER(SEARCH("PLT",[1]OUT_FinalEnergyCons!$C$4:$C$10000))*1,(ISNUMBER(SEARCH("RH*-wHPLTBR",[1]OUT_FinalEnergyCons!$A$4:$A$10000)))*1,[1]OUT_FinalEnergyCons!M$4:M$10000)</f>
        <v>0.24612330869607271</v>
      </c>
      <c r="P1029" s="1" cm="1">
        <f t="array" ref="P1029">SUMPRODUCT(([1]OUT_FinalEnergyCons!$B$4:$B$10000="Var_Fin")*1, ISNUMBER(SEARCH("PLT",[1]OUT_FinalEnergyCons!$C$4:$C$10000))*1,(ISNUMBER(SEARCH("RH*-wHPLTBR",[1]OUT_FinalEnergyCons!$A$4:$A$10000)))*1,[1]OUT_FinalEnergyCons!N$4:N$10000)</f>
        <v>0.24612130330645998</v>
      </c>
      <c r="Q1029" s="1" cm="1">
        <f t="array" ref="Q1029">SUMPRODUCT(([1]OUT_FinalEnergyCons!$B$4:$B$10000="Var_Fin")*1, ISNUMBER(SEARCH("PLT",[1]OUT_FinalEnergyCons!$C$4:$C$10000))*1,(ISNUMBER(SEARCH("RH*-wHPLTBR",[1]OUT_FinalEnergyCons!$A$4:$A$10000)))*1,[1]OUT_FinalEnergyCons!O$4:O$10000)</f>
        <v>0.24614778221292086</v>
      </c>
      <c r="S1029" s="3"/>
    </row>
    <row r="1030" spans="2:19" x14ac:dyDescent="0.5">
      <c r="B1030" s="5" t="str">
        <f t="shared" si="1193"/>
        <v>SPS1</v>
      </c>
      <c r="C1030" s="5" t="str">
        <f t="shared" si="1194"/>
        <v>CH</v>
      </c>
      <c r="D1030" t="s">
        <v>1027</v>
      </c>
      <c r="E1030" t="s">
        <v>8</v>
      </c>
      <c r="F1030" s="1">
        <f>[1]Residential!B$23</f>
        <v>2.5068407795750112</v>
      </c>
      <c r="G1030" s="1">
        <f>[1]Residential!C$23</f>
        <v>2.9281009052800759</v>
      </c>
      <c r="H1030" s="1">
        <f>[1]Residential!D$23</f>
        <v>2.4845675303905139</v>
      </c>
      <c r="I1030" s="1">
        <f>[1]Residential!E$23</f>
        <v>2.5479532732602985</v>
      </c>
      <c r="J1030" s="1">
        <f>[1]Residential!F$23</f>
        <v>2.0185752755913913</v>
      </c>
      <c r="K1030" s="1">
        <f>[1]Residential!G$23</f>
        <v>3.2237828326958571</v>
      </c>
      <c r="L1030" s="1">
        <f>[1]Residential!H$23</f>
        <v>5.3288452490854024</v>
      </c>
      <c r="M1030" s="1">
        <f>[1]Residential!I$23</f>
        <v>6.4563079685662839</v>
      </c>
      <c r="N1030" s="1">
        <f>[1]Residential!J$23</f>
        <v>5.1784894378374089</v>
      </c>
      <c r="O1030" s="1">
        <f>[1]Residential!K$23</f>
        <v>0.12266744050288422</v>
      </c>
      <c r="P1030" s="1">
        <f>[1]Residential!L$23</f>
        <v>5.2438585694586202</v>
      </c>
      <c r="Q1030" s="1">
        <f>[1]Residential!M$23</f>
        <v>2.4723014920169204</v>
      </c>
      <c r="S1030" s="3"/>
    </row>
    <row r="1031" spans="2:19" x14ac:dyDescent="0.5">
      <c r="B1031" s="5" t="str">
        <f t="shared" si="1193"/>
        <v>SPS1</v>
      </c>
      <c r="C1031" s="5" t="str">
        <f t="shared" si="1194"/>
        <v>CH</v>
      </c>
      <c r="D1031" t="s">
        <v>1028</v>
      </c>
      <c r="E1031" t="s">
        <v>8</v>
      </c>
      <c r="F1031" s="1">
        <f>F1032</f>
        <v>0.78535275491516043</v>
      </c>
      <c r="G1031" s="1">
        <f t="shared" ref="G1031:O1031" si="1245">G1032</f>
        <v>0.94133477490202422</v>
      </c>
      <c r="H1031" s="1">
        <f t="shared" si="1245"/>
        <v>0.93622643711973352</v>
      </c>
      <c r="I1031" s="1">
        <f t="shared" si="1245"/>
        <v>0.90167591246369105</v>
      </c>
      <c r="J1031" s="1">
        <f t="shared" si="1245"/>
        <v>0.88819473375219071</v>
      </c>
      <c r="K1031" s="1">
        <f t="shared" si="1245"/>
        <v>1.4184907024503588</v>
      </c>
      <c r="L1031" s="1">
        <f t="shared" si="1245"/>
        <v>2.2538237699320893</v>
      </c>
      <c r="M1031" s="1">
        <f t="shared" si="1245"/>
        <v>2.8408039282509465</v>
      </c>
      <c r="N1031" s="1">
        <f t="shared" si="1245"/>
        <v>2.2785629666386136</v>
      </c>
      <c r="O1031" s="1">
        <f t="shared" si="1245"/>
        <v>5.3999589331241896E-2</v>
      </c>
      <c r="P1031" s="1">
        <f>P1032</f>
        <v>2.3073254864545905</v>
      </c>
      <c r="Q1031" s="1">
        <f>Q1032</f>
        <v>0.91965533006403288</v>
      </c>
      <c r="S1031" s="3"/>
    </row>
    <row r="1032" spans="2:19" x14ac:dyDescent="0.5">
      <c r="B1032" s="5" t="str">
        <f t="shared" si="1193"/>
        <v>SPS1</v>
      </c>
      <c r="C1032" s="5" t="str">
        <f t="shared" si="1194"/>
        <v>CH</v>
      </c>
      <c r="D1032" t="s">
        <v>742</v>
      </c>
      <c r="E1032" t="s">
        <v>8</v>
      </c>
      <c r="F1032" s="1" cm="1">
        <f t="array" ref="F1032">SUMPRODUCT(([1]OUT_FinalEnergyCons!$B$4:$B$10000="Var_Fin")*1, ("SOL"=[1]OUT_FinalEnergyCons!$C$4:$C$10000)*1,(ISNUMBER(SEARCH("RH*-SHSOLBR",[1]OUT_FinalEnergyCons!$A$4:$A$10000)))*1,[1]OUT_FinalEnergyCons!D$4:D$10000)</f>
        <v>0.78535275491516043</v>
      </c>
      <c r="G1032" s="1" cm="1">
        <f t="array" ref="G1032">SUMPRODUCT(([1]OUT_FinalEnergyCons!$B$4:$B$10000="Var_Fin")*1, ("SOL"=[1]OUT_FinalEnergyCons!$C$4:$C$10000)*1,(ISNUMBER(SEARCH("RH*-SHSOLBR",[1]OUT_FinalEnergyCons!$A$4:$A$10000)))*1,[1]OUT_FinalEnergyCons!E$4:E$10000)</f>
        <v>0.94133477490202422</v>
      </c>
      <c r="H1032" s="1" cm="1">
        <f t="array" ref="H1032">SUMPRODUCT(([1]OUT_FinalEnergyCons!$B$4:$B$10000="Var_Fin")*1, ("SOL"=[1]OUT_FinalEnergyCons!$C$4:$C$10000)*1,(ISNUMBER(SEARCH("RH*-SHSOLBR",[1]OUT_FinalEnergyCons!$A$4:$A$10000)))*1,[1]OUT_FinalEnergyCons!F$4:F$10000)</f>
        <v>0.93622643711973352</v>
      </c>
      <c r="I1032" s="1" cm="1">
        <f t="array" ref="I1032">SUMPRODUCT(([1]OUT_FinalEnergyCons!$B$4:$B$10000="Var_Fin")*1, ("SOL"=[1]OUT_FinalEnergyCons!$C$4:$C$10000)*1,(ISNUMBER(SEARCH("RH*-SHSOLBR",[1]OUT_FinalEnergyCons!$A$4:$A$10000)))*1,[1]OUT_FinalEnergyCons!G$4:G$10000)</f>
        <v>0.90167591246369105</v>
      </c>
      <c r="J1032" s="1" cm="1">
        <f t="array" ref="J1032">SUMPRODUCT(([1]OUT_FinalEnergyCons!$B$4:$B$10000="Var_Fin")*1, ("SOL"=[1]OUT_FinalEnergyCons!$C$4:$C$10000)*1,(ISNUMBER(SEARCH("RH*-SHSOLBR",[1]OUT_FinalEnergyCons!$A$4:$A$10000)))*1,[1]OUT_FinalEnergyCons!H$4:H$10000)</f>
        <v>0.88819473375219071</v>
      </c>
      <c r="K1032" s="1" cm="1">
        <f t="array" ref="K1032">SUMPRODUCT(([1]OUT_FinalEnergyCons!$B$4:$B$10000="Var_Fin")*1, ("SOL"=[1]OUT_FinalEnergyCons!$C$4:$C$10000)*1,(ISNUMBER(SEARCH("RH*-SHSOLBR",[1]OUT_FinalEnergyCons!$A$4:$A$10000)))*1,[1]OUT_FinalEnergyCons!I$4:I$10000)</f>
        <v>1.4184907024503588</v>
      </c>
      <c r="L1032" s="1" cm="1">
        <f t="array" ref="L1032">SUMPRODUCT(([1]OUT_FinalEnergyCons!$B$4:$B$10000="Var_Fin")*1, ("SOL"=[1]OUT_FinalEnergyCons!$C$4:$C$10000)*1,(ISNUMBER(SEARCH("RH*-SHSOLBR",[1]OUT_FinalEnergyCons!$A$4:$A$10000)))*1,[1]OUT_FinalEnergyCons!J$4:J$10000)</f>
        <v>2.2538237699320893</v>
      </c>
      <c r="M1032" s="1" cm="1">
        <f t="array" ref="M1032">SUMPRODUCT(([1]OUT_FinalEnergyCons!$B$4:$B$10000="Var_Fin")*1, ("SOL"=[1]OUT_FinalEnergyCons!$C$4:$C$10000)*1,(ISNUMBER(SEARCH("RH*-SHSOLBR",[1]OUT_FinalEnergyCons!$A$4:$A$10000)))*1,[1]OUT_FinalEnergyCons!K$4:K$10000)</f>
        <v>2.8408039282509465</v>
      </c>
      <c r="N1032" s="1" cm="1">
        <f t="array" ref="N1032">SUMPRODUCT(([1]OUT_FinalEnergyCons!$B$4:$B$10000="Var_Fin")*1, ("SOL"=[1]OUT_FinalEnergyCons!$C$4:$C$10000)*1,(ISNUMBER(SEARCH("RH*-SHSOLBR",[1]OUT_FinalEnergyCons!$A$4:$A$10000)))*1,[1]OUT_FinalEnergyCons!L$4:L$10000)</f>
        <v>2.2785629666386136</v>
      </c>
      <c r="O1032" s="1" cm="1">
        <f t="array" ref="O1032">SUMPRODUCT(([1]OUT_FinalEnergyCons!$B$4:$B$10000="Var_Fin")*1, ("SOL"=[1]OUT_FinalEnergyCons!$C$4:$C$10000)*1,(ISNUMBER(SEARCH("RH*-SHSOLBR",[1]OUT_FinalEnergyCons!$A$4:$A$10000)))*1,[1]OUT_FinalEnergyCons!M$4:M$10000)</f>
        <v>5.3999589331241896E-2</v>
      </c>
      <c r="P1032" s="1" cm="1">
        <f t="array" ref="P1032">SUMPRODUCT(([1]OUT_FinalEnergyCons!$B$4:$B$10000="Var_Fin")*1, ("SOL"=[1]OUT_FinalEnergyCons!$C$4:$C$10000)*1,(ISNUMBER(SEARCH("RH*-SHSOLBR",[1]OUT_FinalEnergyCons!$A$4:$A$10000)))*1,[1]OUT_FinalEnergyCons!N$4:N$10000)</f>
        <v>2.3073254864545905</v>
      </c>
      <c r="Q1032" s="1" cm="1">
        <f t="array" ref="Q1032">SUMPRODUCT(([1]OUT_FinalEnergyCons!$B$4:$B$10000="Var_Fin")*1, ("SOL"=[1]OUT_FinalEnergyCons!$C$4:$C$10000)*1,(ISNUMBER(SEARCH("RH*-SHSOLBR",[1]OUT_FinalEnergyCons!$A$4:$A$10000)))*1,[1]OUT_FinalEnergyCons!O$4:O$10000)</f>
        <v>0.91965533006403288</v>
      </c>
      <c r="S1032" s="3"/>
    </row>
    <row r="1033" spans="2:19" x14ac:dyDescent="0.5">
      <c r="B1033" s="5" t="str">
        <f t="shared" si="1193"/>
        <v>SPS1</v>
      </c>
      <c r="C1033" s="5" t="str">
        <f t="shared" si="1194"/>
        <v>CH</v>
      </c>
      <c r="D1033" t="s">
        <v>1029</v>
      </c>
      <c r="E1033" t="s">
        <v>8</v>
      </c>
      <c r="F1033" s="1">
        <f>F1030-F1031</f>
        <v>1.7214880246598507</v>
      </c>
      <c r="G1033" s="1">
        <f t="shared" ref="G1033:K1033" si="1246">G1030-G1031</f>
        <v>1.9867661303780517</v>
      </c>
      <c r="H1033" s="1">
        <f t="shared" si="1246"/>
        <v>1.5483410932707804</v>
      </c>
      <c r="I1033" s="1">
        <f t="shared" si="1246"/>
        <v>1.6462773607966075</v>
      </c>
      <c r="J1033" s="1">
        <f t="shared" si="1246"/>
        <v>1.1303805418392006</v>
      </c>
      <c r="K1033" s="1">
        <f t="shared" si="1246"/>
        <v>1.8052921302454983</v>
      </c>
      <c r="L1033" s="1">
        <f t="shared" ref="L1033:O1033" si="1247">L1030-L1031</f>
        <v>3.075021479153313</v>
      </c>
      <c r="M1033" s="1">
        <f t="shared" si="1247"/>
        <v>3.6155040403153373</v>
      </c>
      <c r="N1033" s="1">
        <f t="shared" si="1247"/>
        <v>2.8999264711987953</v>
      </c>
      <c r="O1033" s="1">
        <f t="shared" si="1247"/>
        <v>6.8667851171642327E-2</v>
      </c>
      <c r="P1033" s="1">
        <f>P1030-P1031</f>
        <v>2.9365330830040297</v>
      </c>
      <c r="Q1033" s="1">
        <f>Q1030-Q1031</f>
        <v>1.5526461619528875</v>
      </c>
      <c r="S1033" s="3"/>
    </row>
    <row r="1034" spans="2:19" x14ac:dyDescent="0.5">
      <c r="B1034" s="5" t="str">
        <f t="shared" si="1193"/>
        <v>SPS1</v>
      </c>
      <c r="C1034" s="5" t="str">
        <f t="shared" si="1194"/>
        <v>CH</v>
      </c>
      <c r="D1034" t="s">
        <v>743</v>
      </c>
      <c r="E1034" t="s">
        <v>8</v>
      </c>
      <c r="F1034" s="1">
        <f>F1033</f>
        <v>1.7214880246598507</v>
      </c>
      <c r="G1034" s="1">
        <f t="shared" ref="G1034:K1034" si="1248">G1033</f>
        <v>1.9867661303780517</v>
      </c>
      <c r="H1034" s="1">
        <f t="shared" si="1248"/>
        <v>1.5483410932707804</v>
      </c>
      <c r="I1034" s="1">
        <f t="shared" si="1248"/>
        <v>1.6462773607966075</v>
      </c>
      <c r="J1034" s="1">
        <f t="shared" si="1248"/>
        <v>1.1303805418392006</v>
      </c>
      <c r="K1034" s="1">
        <f t="shared" si="1248"/>
        <v>1.8052921302454983</v>
      </c>
      <c r="L1034" s="1">
        <f t="shared" ref="L1034:O1034" si="1249">L1033</f>
        <v>3.075021479153313</v>
      </c>
      <c r="M1034" s="1">
        <f t="shared" si="1249"/>
        <v>3.6155040403153373</v>
      </c>
      <c r="N1034" s="1">
        <f t="shared" si="1249"/>
        <v>2.8999264711987953</v>
      </c>
      <c r="O1034" s="1">
        <f t="shared" si="1249"/>
        <v>6.8667851171642327E-2</v>
      </c>
      <c r="P1034" s="1">
        <f>P1033</f>
        <v>2.9365330830040297</v>
      </c>
      <c r="Q1034" s="1">
        <f>Q1033</f>
        <v>1.5526461619528875</v>
      </c>
      <c r="S1034" s="3"/>
    </row>
    <row r="1035" spans="2:19" x14ac:dyDescent="0.5">
      <c r="B1035" s="5" t="str">
        <f t="shared" si="1193"/>
        <v>SPS1</v>
      </c>
      <c r="C1035" s="5" t="str">
        <f t="shared" si="1194"/>
        <v>CH</v>
      </c>
      <c r="D1035" t="s">
        <v>1030</v>
      </c>
      <c r="E1035" t="s">
        <v>8</v>
      </c>
      <c r="F1035" s="1">
        <f>[1]Residential!B$24</f>
        <v>0</v>
      </c>
      <c r="G1035" s="1">
        <f>[1]Residential!C$24</f>
        <v>0</v>
      </c>
      <c r="H1035" s="1">
        <f>[1]Residential!D$24</f>
        <v>0</v>
      </c>
      <c r="I1035" s="1">
        <f>[1]Residential!E$24</f>
        <v>0.18954731517296278</v>
      </c>
      <c r="J1035" s="1">
        <f>[1]Residential!F$24</f>
        <v>0.2815153712277419</v>
      </c>
      <c r="K1035" s="1">
        <f>[1]Residential!G$24</f>
        <v>0.32076359801390997</v>
      </c>
      <c r="L1035" s="1">
        <f>[1]Residential!H$24</f>
        <v>0.10457752301221193</v>
      </c>
      <c r="M1035" s="1">
        <f>[1]Residential!I$24</f>
        <v>8.7029216526197287E-2</v>
      </c>
      <c r="N1035" s="1">
        <f>[1]Residential!J$24</f>
        <v>0.20617443385961332</v>
      </c>
      <c r="O1035" s="1">
        <f>[1]Residential!K$24</f>
        <v>0.19968919962104825</v>
      </c>
      <c r="P1035" s="1">
        <f>[1]Residential!L$24</f>
        <v>0.15522189671509354</v>
      </c>
      <c r="Q1035" s="1">
        <f>[1]Residential!M$24</f>
        <v>0.19769092008203343</v>
      </c>
      <c r="S1035" s="3"/>
    </row>
    <row r="1036" spans="2:19" x14ac:dyDescent="0.5">
      <c r="B1036" s="5" t="str">
        <f t="shared" si="1193"/>
        <v>SPS1</v>
      </c>
      <c r="C1036" s="5" t="str">
        <f t="shared" si="1194"/>
        <v>CH</v>
      </c>
      <c r="D1036" t="s">
        <v>745</v>
      </c>
      <c r="E1036" t="str">
        <f>E1035</f>
        <v>PJ/yr.</v>
      </c>
      <c r="F1036" s="1">
        <f>F1035-F1038-F1040</f>
        <v>0</v>
      </c>
      <c r="G1036" s="1">
        <f t="shared" ref="G1036:K1036" si="1250">G1035-G1038-G1040</f>
        <v>0</v>
      </c>
      <c r="H1036" s="1">
        <f t="shared" si="1250"/>
        <v>0</v>
      </c>
      <c r="I1036" s="1">
        <f t="shared" si="1250"/>
        <v>0.18954731517296278</v>
      </c>
      <c r="J1036" s="1">
        <f t="shared" si="1250"/>
        <v>0.2815153712277419</v>
      </c>
      <c r="K1036" s="1">
        <f t="shared" si="1250"/>
        <v>0.32076359801390997</v>
      </c>
      <c r="L1036" s="1">
        <f t="shared" ref="L1036:O1036" si="1251">L1035-L1038-L1040</f>
        <v>0.10457752301221193</v>
      </c>
      <c r="M1036" s="1">
        <f t="shared" si="1251"/>
        <v>8.7029216526197287E-2</v>
      </c>
      <c r="N1036" s="1">
        <f t="shared" si="1251"/>
        <v>0.20617443385961332</v>
      </c>
      <c r="O1036" s="1">
        <f t="shared" si="1251"/>
        <v>0.19968919962104825</v>
      </c>
      <c r="P1036" s="1">
        <f>P1035-P1038-P1040</f>
        <v>0.15522189671509354</v>
      </c>
      <c r="Q1036" s="1">
        <f>Q1035-Q1038-Q1040</f>
        <v>0.19769092008203343</v>
      </c>
      <c r="S1036" s="3"/>
    </row>
    <row r="1037" spans="2:19" x14ac:dyDescent="0.5">
      <c r="B1037" s="5" t="str">
        <f t="shared" si="1193"/>
        <v>SPS1</v>
      </c>
      <c r="C1037" s="5" t="str">
        <f t="shared" si="1194"/>
        <v>CH</v>
      </c>
      <c r="D1037" t="s">
        <v>744</v>
      </c>
      <c r="E1037" t="str">
        <f>E1036</f>
        <v>PJ/yr.</v>
      </c>
      <c r="F1037" s="1">
        <f>F1038+F1040</f>
        <v>0</v>
      </c>
      <c r="G1037" s="1">
        <f t="shared" ref="G1037:K1037" si="1252">G1038+G1040</f>
        <v>0</v>
      </c>
      <c r="H1037" s="1">
        <f t="shared" si="1252"/>
        <v>0</v>
      </c>
      <c r="I1037" s="1">
        <f t="shared" si="1252"/>
        <v>0</v>
      </c>
      <c r="J1037" s="1">
        <f t="shared" si="1252"/>
        <v>0</v>
      </c>
      <c r="K1037" s="1">
        <f t="shared" si="1252"/>
        <v>0</v>
      </c>
      <c r="L1037" s="1">
        <f t="shared" ref="L1037:O1037" si="1253">L1038+L1040</f>
        <v>0</v>
      </c>
      <c r="M1037" s="1">
        <f t="shared" si="1253"/>
        <v>0</v>
      </c>
      <c r="N1037" s="1">
        <f t="shared" si="1253"/>
        <v>0</v>
      </c>
      <c r="O1037" s="1">
        <f t="shared" si="1253"/>
        <v>0</v>
      </c>
      <c r="P1037" s="1">
        <f>P1038+P1040</f>
        <v>0</v>
      </c>
      <c r="Q1037" s="1">
        <f>Q1038+Q1040</f>
        <v>0</v>
      </c>
      <c r="S1037" s="3"/>
    </row>
    <row r="1038" spans="2:19" x14ac:dyDescent="0.5">
      <c r="B1038" s="5" t="str">
        <f>B1035</f>
        <v>SPS1</v>
      </c>
      <c r="C1038" s="5" t="str">
        <f>C1035</f>
        <v>CH</v>
      </c>
      <c r="D1038" t="s">
        <v>1032</v>
      </c>
      <c r="E1038" t="s">
        <v>8</v>
      </c>
      <c r="F1038" s="1">
        <f>F1039</f>
        <v>0</v>
      </c>
      <c r="G1038" s="1">
        <f t="shared" ref="G1038:O1038" si="1254">G1039</f>
        <v>0</v>
      </c>
      <c r="H1038" s="1">
        <f t="shared" si="1254"/>
        <v>0</v>
      </c>
      <c r="I1038" s="1">
        <f t="shared" si="1254"/>
        <v>0</v>
      </c>
      <c r="J1038" s="1">
        <f t="shared" si="1254"/>
        <v>0</v>
      </c>
      <c r="K1038" s="1">
        <f t="shared" si="1254"/>
        <v>0</v>
      </c>
      <c r="L1038" s="1">
        <f t="shared" si="1254"/>
        <v>0</v>
      </c>
      <c r="M1038" s="1">
        <f t="shared" si="1254"/>
        <v>0</v>
      </c>
      <c r="N1038" s="1">
        <f t="shared" si="1254"/>
        <v>0</v>
      </c>
      <c r="O1038" s="1">
        <f t="shared" si="1254"/>
        <v>0</v>
      </c>
      <c r="P1038" s="1">
        <f>P1039</f>
        <v>0</v>
      </c>
      <c r="Q1038" s="1">
        <f>Q1039</f>
        <v>0</v>
      </c>
      <c r="S1038" s="3"/>
    </row>
    <row r="1039" spans="2:19" x14ac:dyDescent="0.5">
      <c r="B1039" s="5" t="str">
        <f t="shared" si="1193"/>
        <v>SPS1</v>
      </c>
      <c r="C1039" s="5" t="str">
        <f t="shared" si="1194"/>
        <v>CH</v>
      </c>
      <c r="D1039" t="s">
        <v>1031</v>
      </c>
      <c r="E1039" t="s">
        <v>8</v>
      </c>
      <c r="F1039" s="1" cm="1">
        <f t="array" ref="F1039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9" s="1" cm="1">
        <f t="array" ref="J1039">SUMPRODUCT(([1]OUT_FinalEnergyCons!$B$4:$B$10000="Var_Fin")*1, ISNUMBER(SEARCH("RSH2",[1]OUT_FinalEnergyCons!$C$4:$C$10000))*1,(ISNUMBER(SEARCH("RH*-SHH2BR",[1]OUT_FinalEnergyCons!$A$4:$A$10000)))*1,[1]OUT_FinalEnergyCons!H$4:H$10000)</f>
        <v>0</v>
      </c>
      <c r="K1039" s="1" cm="1">
        <f t="array" ref="K1039">SUMPRODUCT(([1]OUT_FinalEnergyCons!$B$4:$B$10000="Var_Fin")*1, ISNUMBER(SEARCH("RSH2",[1]OUT_FinalEnergyCons!$C$4:$C$10000))*1,(ISNUMBER(SEARCH("RH*-SHH2BR",[1]OUT_FinalEnergyCons!$A$4:$A$10000)))*1,[1]OUT_FinalEnergyCons!I$4:I$10000)</f>
        <v>0</v>
      </c>
      <c r="L1039" s="1" cm="1">
        <f t="array" ref="L1039">SUMPRODUCT(([1]OUT_FinalEnergyCons!$B$4:$B$10000="Var_Fin")*1, ISNUMBER(SEARCH("RSH2",[1]OUT_FinalEnergyCons!$C$4:$C$10000))*1,(ISNUMBER(SEARCH("RH*-SHH2BR",[1]OUT_FinalEnergyCons!$A$4:$A$10000)))*1,[1]OUT_FinalEnergyCons!J$4:J$10000)</f>
        <v>0</v>
      </c>
      <c r="M1039" s="1" cm="1">
        <f t="array" ref="M1039">SUMPRODUCT(([1]OUT_FinalEnergyCons!$B$4:$B$10000="Var_Fin")*1, ISNUMBER(SEARCH("RSH2",[1]OUT_FinalEnergyCons!$C$4:$C$10000))*1,(ISNUMBER(SEARCH("RH*-SHH2BR",[1]OUT_FinalEnergyCons!$A$4:$A$10000)))*1,[1]OUT_FinalEnergyCons!K$4:K$10000)</f>
        <v>0</v>
      </c>
      <c r="N1039" s="1" cm="1">
        <f t="array" ref="N1039">SUMPRODUCT(([1]OUT_FinalEnergyCons!$B$4:$B$10000="Var_Fin")*1, ISNUMBER(SEARCH("RSH2",[1]OUT_FinalEnergyCons!$C$4:$C$10000))*1,(ISNUMBER(SEARCH("RH*-SHH2BR",[1]OUT_FinalEnergyCons!$A$4:$A$10000)))*1,[1]OUT_FinalEnergyCons!L$4:L$10000)</f>
        <v>0</v>
      </c>
      <c r="O1039" s="1" cm="1">
        <f t="array" ref="O1039">SUMPRODUCT(([1]OUT_FinalEnergyCons!$B$4:$B$10000="Var_Fin")*1, ISNUMBER(SEARCH("RSH2",[1]OUT_FinalEnergyCons!$C$4:$C$10000))*1,(ISNUMBER(SEARCH("RH*-SHH2BR",[1]OUT_FinalEnergyCons!$A$4:$A$10000)))*1,[1]OUT_FinalEnergyCons!M$4:M$10000)</f>
        <v>0</v>
      </c>
      <c r="P1039" s="1" cm="1">
        <f t="array" ref="P1039">SUMPRODUCT(([1]OUT_FinalEnergyCons!$B$4:$B$10000="Var_Fin")*1, ISNUMBER(SEARCH("RSH2",[1]OUT_FinalEnergyCons!$C$4:$C$10000))*1,(ISNUMBER(SEARCH("RH*-SHH2BR",[1]OUT_FinalEnergyCons!$A$4:$A$10000)))*1,[1]OUT_FinalEnergyCons!N$4:N$10000)</f>
        <v>0</v>
      </c>
      <c r="Q1039" s="1" cm="1">
        <f t="array" ref="Q1039">SUMPRODUCT(([1]OUT_FinalEnergyCons!$B$4:$B$10000="Var_Fin")*1, ISNUMBER(SEARCH("RSH2",[1]OUT_FinalEnergyCons!$C$4:$C$10000))*1,(ISNUMBER(SEARCH("RH*-SHH2BR",[1]OUT_FinalEnergyCons!$A$4:$A$10000)))*1,[1]OUT_FinalEnergyCons!O$4:O$10000)</f>
        <v>0</v>
      </c>
      <c r="S1039" s="3"/>
    </row>
    <row r="1040" spans="2:19" x14ac:dyDescent="0.5">
      <c r="B1040" s="5" t="str">
        <f t="shared" si="1193"/>
        <v>SPS1</v>
      </c>
      <c r="C1040" s="5" t="str">
        <f t="shared" si="1194"/>
        <v>CH</v>
      </c>
      <c r="D1040" t="s">
        <v>1033</v>
      </c>
      <c r="E1040" t="s">
        <v>8</v>
      </c>
      <c r="F1040" s="1">
        <f>F1041</f>
        <v>0</v>
      </c>
      <c r="G1040" s="1">
        <f t="shared" ref="G1040:O1040" si="1255">G1041</f>
        <v>0</v>
      </c>
      <c r="H1040" s="1">
        <f t="shared" si="1255"/>
        <v>0</v>
      </c>
      <c r="I1040" s="1">
        <f t="shared" si="1255"/>
        <v>0</v>
      </c>
      <c r="J1040" s="1">
        <f t="shared" si="1255"/>
        <v>0</v>
      </c>
      <c r="K1040" s="1">
        <f t="shared" si="1255"/>
        <v>0</v>
      </c>
      <c r="L1040" s="1">
        <f t="shared" si="1255"/>
        <v>0</v>
      </c>
      <c r="M1040" s="1">
        <f t="shared" si="1255"/>
        <v>0</v>
      </c>
      <c r="N1040" s="1">
        <f t="shared" si="1255"/>
        <v>0</v>
      </c>
      <c r="O1040" s="1">
        <f t="shared" si="1255"/>
        <v>0</v>
      </c>
      <c r="P1040" s="1">
        <f>P1041</f>
        <v>0</v>
      </c>
      <c r="Q1040" s="1">
        <f>Q1041</f>
        <v>0</v>
      </c>
      <c r="S1040" s="3"/>
    </row>
    <row r="1041" spans="2:19" x14ac:dyDescent="0.5">
      <c r="B1041" s="5" t="str">
        <f t="shared" si="1193"/>
        <v>SPS1</v>
      </c>
      <c r="C1041" s="5" t="str">
        <f t="shared" si="1194"/>
        <v>CH</v>
      </c>
      <c r="D1041" t="s">
        <v>748</v>
      </c>
      <c r="E1041" t="s">
        <v>8</v>
      </c>
      <c r="F1041" s="1" cm="1">
        <f t="array" ref="F1041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41" s="1" cm="1">
        <f t="array" ref="G1041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41" s="1" cm="1">
        <f t="array" ref="H1041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41" s="1" cm="1">
        <f t="array" ref="I1041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41" s="1" cm="1">
        <f t="array" ref="J1041">SUMPRODUCT(([1]OUT_FinalEnergyCons!$B$4:$B$10000="Var_Fin")*1, ISNUMBER(SEARCH("RSH2",[1]OUT_FinalEnergyCons!$C$4:$C$10000))*1,(ISNUMBER(SEARCH("RH*-wHH2BR",[1]OUT_FinalEnergyCons!$A$4:$A$10000)))*1,[1]OUT_FinalEnergyCons!H$4:H$10000)</f>
        <v>0</v>
      </c>
      <c r="K1041" s="1" cm="1">
        <f t="array" ref="K1041">SUMPRODUCT(([1]OUT_FinalEnergyCons!$B$4:$B$10000="Var_Fin")*1, ISNUMBER(SEARCH("RSH2",[1]OUT_FinalEnergyCons!$C$4:$C$10000))*1,(ISNUMBER(SEARCH("RH*-wHH2BR",[1]OUT_FinalEnergyCons!$A$4:$A$10000)))*1,[1]OUT_FinalEnergyCons!I$4:I$10000)</f>
        <v>0</v>
      </c>
      <c r="L1041" s="1" cm="1">
        <f t="array" ref="L1041">SUMPRODUCT(([1]OUT_FinalEnergyCons!$B$4:$B$10000="Var_Fin")*1, ISNUMBER(SEARCH("RSH2",[1]OUT_FinalEnergyCons!$C$4:$C$10000))*1,(ISNUMBER(SEARCH("RH*-wHH2BR",[1]OUT_FinalEnergyCons!$A$4:$A$10000)))*1,[1]OUT_FinalEnergyCons!J$4:J$10000)</f>
        <v>0</v>
      </c>
      <c r="M1041" s="1" cm="1">
        <f t="array" ref="M1041">SUMPRODUCT(([1]OUT_FinalEnergyCons!$B$4:$B$10000="Var_Fin")*1, ISNUMBER(SEARCH("RSH2",[1]OUT_FinalEnergyCons!$C$4:$C$10000))*1,(ISNUMBER(SEARCH("RH*-wHH2BR",[1]OUT_FinalEnergyCons!$A$4:$A$10000)))*1,[1]OUT_FinalEnergyCons!K$4:K$10000)</f>
        <v>0</v>
      </c>
      <c r="N1041" s="1" cm="1">
        <f t="array" ref="N1041">SUMPRODUCT(([1]OUT_FinalEnergyCons!$B$4:$B$10000="Var_Fin")*1, ISNUMBER(SEARCH("RSH2",[1]OUT_FinalEnergyCons!$C$4:$C$10000))*1,(ISNUMBER(SEARCH("RH*-wHH2BR",[1]OUT_FinalEnergyCons!$A$4:$A$10000)))*1,[1]OUT_FinalEnergyCons!L$4:L$10000)</f>
        <v>0</v>
      </c>
      <c r="O1041" s="1" cm="1">
        <f t="array" ref="O1041">SUMPRODUCT(([1]OUT_FinalEnergyCons!$B$4:$B$10000="Var_Fin")*1, ISNUMBER(SEARCH("RSH2",[1]OUT_FinalEnergyCons!$C$4:$C$10000))*1,(ISNUMBER(SEARCH("RH*-wHH2BR",[1]OUT_FinalEnergyCons!$A$4:$A$10000)))*1,[1]OUT_FinalEnergyCons!M$4:M$10000)</f>
        <v>0</v>
      </c>
      <c r="P1041" s="1" cm="1">
        <f t="array" ref="P1041">SUMPRODUCT(([1]OUT_FinalEnergyCons!$B$4:$B$10000="Var_Fin")*1, ISNUMBER(SEARCH("RSH2",[1]OUT_FinalEnergyCons!$C$4:$C$10000))*1,(ISNUMBER(SEARCH("RH*-wHH2BR",[1]OUT_FinalEnergyCons!$A$4:$A$10000)))*1,[1]OUT_FinalEnergyCons!N$4:N$10000)</f>
        <v>0</v>
      </c>
      <c r="Q1041" s="1" cm="1">
        <f t="array" ref="Q1041">SUMPRODUCT(([1]OUT_FinalEnergyCons!$B$4:$B$10000="Var_Fin")*1, ISNUMBER(SEARCH("RSH2",[1]OUT_FinalEnergyCons!$C$4:$C$10000))*1,(ISNUMBER(SEARCH("RH*-wHH2BR",[1]OUT_FinalEnergyCons!$A$4:$A$10000)))*1,[1]OUT_FinalEnergyCons!O$4:O$10000)</f>
        <v>0</v>
      </c>
      <c r="S1041" s="3"/>
    </row>
    <row r="1042" spans="2:19" x14ac:dyDescent="0.5">
      <c r="B1042" s="5" t="str">
        <f t="shared" si="1193"/>
        <v>SPS1</v>
      </c>
      <c r="C1042" s="5" t="str">
        <f t="shared" si="1194"/>
        <v>CH</v>
      </c>
      <c r="D1042" t="s">
        <v>1034</v>
      </c>
      <c r="E1042" t="s">
        <v>8</v>
      </c>
      <c r="F1042" s="1">
        <f>[1]Residential!B$21</f>
        <v>6.4707798860905656</v>
      </c>
      <c r="G1042" s="1">
        <f>[1]Residential!C$21</f>
        <v>9.6721250805528456</v>
      </c>
      <c r="H1042" s="1">
        <f>[1]Residential!D$21</f>
        <v>9.8466185186448616</v>
      </c>
      <c r="I1042" s="1">
        <f>[1]Residential!E$21</f>
        <v>7.1849592019857607</v>
      </c>
      <c r="J1042" s="1">
        <f>[1]Residential!F$21</f>
        <v>8.6619025788459538</v>
      </c>
      <c r="K1042" s="1">
        <f>[1]Residential!G$21</f>
        <v>9.2703147919700761</v>
      </c>
      <c r="L1042" s="1">
        <f>[1]Residential!H$21</f>
        <v>9.2050786181343387</v>
      </c>
      <c r="M1042" s="1">
        <f>[1]Residential!I$21</f>
        <v>9.6049163349440612</v>
      </c>
      <c r="N1042" s="1">
        <f>[1]Residential!J$21</f>
        <v>9.424378866412809</v>
      </c>
      <c r="O1042" s="1">
        <f>[1]Residential!K$21</f>
        <v>8.8576723931921642</v>
      </c>
      <c r="P1042" s="1">
        <f>[1]Residential!L$21</f>
        <v>9.7008760510461602</v>
      </c>
      <c r="Q1042" s="1">
        <f>[1]Residential!M$21</f>
        <v>8.5776383199872228</v>
      </c>
      <c r="S1042" s="3"/>
    </row>
    <row r="1043" spans="2:19" x14ac:dyDescent="0.5">
      <c r="B1043" s="5" t="str">
        <f t="shared" si="1193"/>
        <v>SPS1</v>
      </c>
      <c r="C1043" s="5" t="str">
        <f t="shared" si="1194"/>
        <v>CH</v>
      </c>
      <c r="D1043" t="s">
        <v>1035</v>
      </c>
      <c r="E1043" t="s">
        <v>8</v>
      </c>
      <c r="F1043" s="1">
        <f>SUM(F1044:F1046)</f>
        <v>0.11172816079910151</v>
      </c>
      <c r="G1043" s="1">
        <f t="shared" ref="G1043:K1043" si="1256">SUM(G1044:G1046)</f>
        <v>0.11872835548803617</v>
      </c>
      <c r="H1043" s="1">
        <f t="shared" si="1256"/>
        <v>0.35804739879491027</v>
      </c>
      <c r="I1043" s="1">
        <f t="shared" si="1256"/>
        <v>0.34726098692627194</v>
      </c>
      <c r="J1043" s="1">
        <f t="shared" si="1256"/>
        <v>0.35670300768479946</v>
      </c>
      <c r="K1043" s="1">
        <f t="shared" si="1256"/>
        <v>0.35825296167580917</v>
      </c>
      <c r="L1043" s="1">
        <f t="shared" ref="L1043:O1043" si="1257">SUM(L1044:L1046)</f>
        <v>0.34999836061848566</v>
      </c>
      <c r="M1043" s="1">
        <f t="shared" si="1257"/>
        <v>0.5909918740530814</v>
      </c>
      <c r="N1043" s="1">
        <f t="shared" si="1257"/>
        <v>0.61904173492299031</v>
      </c>
      <c r="O1043" s="1">
        <f t="shared" si="1257"/>
        <v>0.63454174571024535</v>
      </c>
      <c r="P1043" s="1">
        <f>SUM(P1044:P1046)</f>
        <v>0.67124216582308815</v>
      </c>
      <c r="Q1043" s="1">
        <f>SUM(Q1044:Q1046)</f>
        <v>0.73818874987123828</v>
      </c>
      <c r="S1043" s="3"/>
    </row>
    <row r="1044" spans="2:19" x14ac:dyDescent="0.5">
      <c r="B1044" s="5" t="str">
        <f t="shared" si="1193"/>
        <v>SPS1</v>
      </c>
      <c r="C1044" s="5" t="str">
        <f t="shared" si="1194"/>
        <v>CH</v>
      </c>
      <c r="D1044" t="s">
        <v>749</v>
      </c>
      <c r="E1044" t="s">
        <v>8</v>
      </c>
      <c r="F1044" s="1">
        <f t="shared" ref="F1044:K1045" si="1258">SUM(F244,F246)</f>
        <v>0.11172816079910151</v>
      </c>
      <c r="G1044" s="1">
        <f t="shared" si="1258"/>
        <v>0.11872835548803617</v>
      </c>
      <c r="H1044" s="1">
        <f t="shared" si="1258"/>
        <v>0.35804739879491027</v>
      </c>
      <c r="I1044" s="1">
        <f t="shared" si="1258"/>
        <v>0.33155198526985796</v>
      </c>
      <c r="J1044" s="1">
        <f t="shared" si="1258"/>
        <v>0.32117946985619389</v>
      </c>
      <c r="K1044" s="1">
        <f t="shared" si="1258"/>
        <v>0.14634933524140059</v>
      </c>
      <c r="L1044" s="1">
        <f t="shared" ref="L1044:O1044" si="1259">SUM(L244,L246)</f>
        <v>0</v>
      </c>
      <c r="M1044" s="1">
        <f t="shared" si="1259"/>
        <v>0</v>
      </c>
      <c r="N1044" s="1">
        <f t="shared" si="1259"/>
        <v>7.4365178973065243E-2</v>
      </c>
      <c r="O1044" s="1">
        <f t="shared" si="1259"/>
        <v>0.2442985855539456</v>
      </c>
      <c r="P1044" s="1">
        <f>SUM(P244,P246)</f>
        <v>0.35847543008302341</v>
      </c>
      <c r="Q1044" s="1">
        <f>SUM(Q244,Q246)</f>
        <v>0.59634769240064844</v>
      </c>
      <c r="S1044" s="3"/>
    </row>
    <row r="1045" spans="2:19" x14ac:dyDescent="0.5">
      <c r="B1045" s="5" t="str">
        <f t="shared" si="1193"/>
        <v>SPS1</v>
      </c>
      <c r="C1045" s="5" t="str">
        <f t="shared" si="1194"/>
        <v>CH</v>
      </c>
      <c r="D1045" t="s">
        <v>750</v>
      </c>
      <c r="E1045" t="s">
        <v>8</v>
      </c>
      <c r="F1045" s="1">
        <f t="shared" si="1258"/>
        <v>0</v>
      </c>
      <c r="G1045" s="1">
        <f t="shared" si="1258"/>
        <v>0</v>
      </c>
      <c r="H1045" s="1">
        <f t="shared" si="1258"/>
        <v>0</v>
      </c>
      <c r="I1045" s="1">
        <f t="shared" si="1258"/>
        <v>0</v>
      </c>
      <c r="J1045" s="1">
        <f t="shared" si="1258"/>
        <v>0</v>
      </c>
      <c r="K1045" s="1">
        <f t="shared" si="1258"/>
        <v>0</v>
      </c>
      <c r="L1045" s="1">
        <f t="shared" ref="L1045:O1045" si="1260">SUM(L245,L247)</f>
        <v>0</v>
      </c>
      <c r="M1045" s="1">
        <f t="shared" si="1260"/>
        <v>0</v>
      </c>
      <c r="N1045" s="1">
        <f t="shared" si="1260"/>
        <v>0</v>
      </c>
      <c r="O1045" s="1">
        <f t="shared" si="1260"/>
        <v>0</v>
      </c>
      <c r="P1045" s="1">
        <f>SUM(P245,P247)</f>
        <v>0</v>
      </c>
      <c r="Q1045" s="1">
        <f>SUM(Q245,Q247)</f>
        <v>0</v>
      </c>
      <c r="S1045" s="3"/>
    </row>
    <row r="1046" spans="2:19" x14ac:dyDescent="0.5">
      <c r="B1046" s="5" t="str">
        <f t="shared" si="1193"/>
        <v>SPS1</v>
      </c>
      <c r="C1046" s="5" t="str">
        <f t="shared" si="1194"/>
        <v>CH</v>
      </c>
      <c r="D1046" t="s">
        <v>751</v>
      </c>
      <c r="E1046" t="s">
        <v>8</v>
      </c>
      <c r="F1046" s="1">
        <f t="shared" ref="F1046:K1046" si="1261">SUM(F285,F286)</f>
        <v>0</v>
      </c>
      <c r="G1046" s="1">
        <f t="shared" si="1261"/>
        <v>0</v>
      </c>
      <c r="H1046" s="1">
        <f t="shared" si="1261"/>
        <v>0</v>
      </c>
      <c r="I1046" s="1">
        <f t="shared" si="1261"/>
        <v>1.5709001656414E-2</v>
      </c>
      <c r="J1046" s="1">
        <f t="shared" si="1261"/>
        <v>3.5523537828605567E-2</v>
      </c>
      <c r="K1046" s="1">
        <f t="shared" si="1261"/>
        <v>0.21190362643440858</v>
      </c>
      <c r="L1046" s="1">
        <f t="shared" ref="L1046:O1046" si="1262">SUM(L285,L286)</f>
        <v>0.34999836061848566</v>
      </c>
      <c r="M1046" s="1">
        <f t="shared" si="1262"/>
        <v>0.5909918740530814</v>
      </c>
      <c r="N1046" s="1">
        <f t="shared" si="1262"/>
        <v>0.54467655594992503</v>
      </c>
      <c r="O1046" s="1">
        <f t="shared" si="1262"/>
        <v>0.39024316015629973</v>
      </c>
      <c r="P1046" s="1">
        <f>SUM(P285,P286)</f>
        <v>0.31276673574006475</v>
      </c>
      <c r="Q1046" s="1">
        <f>SUM(Q285,Q286)</f>
        <v>0.14184105747058984</v>
      </c>
      <c r="S1046" s="3"/>
    </row>
    <row r="1047" spans="2:19" x14ac:dyDescent="0.5">
      <c r="B1047" s="5" t="str">
        <f t="shared" si="1193"/>
        <v>SPS1</v>
      </c>
      <c r="C1047" s="5" t="str">
        <f t="shared" si="1194"/>
        <v>CH</v>
      </c>
      <c r="D1047" t="s">
        <v>1036</v>
      </c>
      <c r="E1047" t="s">
        <v>8</v>
      </c>
      <c r="F1047" s="1">
        <f>F1042-F1043</f>
        <v>6.3590517252914642</v>
      </c>
      <c r="G1047" s="1">
        <f t="shared" ref="G1047:K1047" si="1263">G1042-G1043</f>
        <v>9.5533967250648093</v>
      </c>
      <c r="H1047" s="1">
        <f t="shared" si="1263"/>
        <v>9.4885711198499507</v>
      </c>
      <c r="I1047" s="1">
        <f t="shared" si="1263"/>
        <v>6.8376982150594889</v>
      </c>
      <c r="J1047" s="1">
        <f t="shared" si="1263"/>
        <v>8.3051995711611539</v>
      </c>
      <c r="K1047" s="1">
        <f t="shared" si="1263"/>
        <v>8.9120618302942667</v>
      </c>
      <c r="L1047" s="1">
        <f t="shared" ref="L1047:O1047" si="1264">L1042-L1043</f>
        <v>8.8550802575158531</v>
      </c>
      <c r="M1047" s="1">
        <f t="shared" si="1264"/>
        <v>9.0139244608909799</v>
      </c>
      <c r="N1047" s="1">
        <f t="shared" si="1264"/>
        <v>8.8053371314898179</v>
      </c>
      <c r="O1047" s="1">
        <f t="shared" si="1264"/>
        <v>8.2231306474819181</v>
      </c>
      <c r="P1047" s="1">
        <f>P1042-P1043</f>
        <v>9.0296338852230722</v>
      </c>
      <c r="Q1047" s="1">
        <f>Q1042-Q1043</f>
        <v>7.8394495701159848</v>
      </c>
      <c r="S1047" s="3"/>
    </row>
    <row r="1048" spans="2:19" x14ac:dyDescent="0.5">
      <c r="B1048" s="5" t="str">
        <f t="shared" si="1193"/>
        <v>SPS1</v>
      </c>
      <c r="C1048" s="5" t="str">
        <f t="shared" si="1194"/>
        <v>CH</v>
      </c>
      <c r="D1048" t="s">
        <v>1037</v>
      </c>
      <c r="E1048" t="s">
        <v>8</v>
      </c>
      <c r="F1048" s="1">
        <f>[1]Residential!B$25</f>
        <v>15.195023776318056</v>
      </c>
      <c r="G1048" s="1">
        <f>[1]Residential!C$25</f>
        <v>18.074694788722525</v>
      </c>
      <c r="H1048" s="1">
        <f>[1]Residential!D$25</f>
        <v>21.03001546318918</v>
      </c>
      <c r="I1048" s="1">
        <f>[1]Residential!E$25</f>
        <v>31.309531841138998</v>
      </c>
      <c r="J1048" s="1">
        <f>[1]Residential!F$25</f>
        <v>49.661253145592326</v>
      </c>
      <c r="K1048" s="1">
        <f>[1]Residential!G$25</f>
        <v>64.747269216890174</v>
      </c>
      <c r="L1048" s="1">
        <f>[1]Residential!H$25</f>
        <v>69.43994124640453</v>
      </c>
      <c r="M1048" s="1">
        <f>[1]Residential!I$25</f>
        <v>71.747247272631526</v>
      </c>
      <c r="N1048" s="1">
        <f>[1]Residential!J$25</f>
        <v>73.45316602861439</v>
      </c>
      <c r="O1048" s="1">
        <f>[1]Residential!K$25</f>
        <v>75.337256903891927</v>
      </c>
      <c r="P1048" s="1">
        <f>[1]Residential!L$25</f>
        <v>73.921218452434516</v>
      </c>
      <c r="Q1048" s="1">
        <f>[1]Residential!M$25</f>
        <v>74.247704254545383</v>
      </c>
      <c r="S1048" s="3"/>
    </row>
    <row r="1049" spans="2:19" x14ac:dyDescent="0.5">
      <c r="B1049" s="5" t="str">
        <f t="shared" si="1193"/>
        <v>SPS1</v>
      </c>
      <c r="C1049" s="5" t="str">
        <f t="shared" si="1194"/>
        <v>CH</v>
      </c>
      <c r="D1049" t="s">
        <v>1038</v>
      </c>
      <c r="E1049" t="s">
        <v>8</v>
      </c>
      <c r="F1049" s="1">
        <f>F1048-F1052</f>
        <v>13.104013084721529</v>
      </c>
      <c r="G1049" s="1">
        <f t="shared" ref="G1049:K1049" si="1265">G1048-G1052</f>
        <v>15.725652234625516</v>
      </c>
      <c r="H1049" s="1">
        <f t="shared" si="1265"/>
        <v>17.738142853636667</v>
      </c>
      <c r="I1049" s="1">
        <f t="shared" si="1265"/>
        <v>26.010192854440419</v>
      </c>
      <c r="J1049" s="1">
        <f t="shared" si="1265"/>
        <v>40.705739245774538</v>
      </c>
      <c r="K1049" s="1">
        <f t="shared" si="1265"/>
        <v>52.786013725442253</v>
      </c>
      <c r="L1049" s="1">
        <f t="shared" ref="L1049:O1049" si="1266">L1048-L1052</f>
        <v>57.541670584609086</v>
      </c>
      <c r="M1049" s="1">
        <f t="shared" si="1266"/>
        <v>60.197556763721799</v>
      </c>
      <c r="N1049" s="1">
        <f t="shared" si="1266"/>
        <v>60.754545945013753</v>
      </c>
      <c r="O1049" s="1">
        <f t="shared" si="1266"/>
        <v>60.879713210440805</v>
      </c>
      <c r="P1049" s="1">
        <f>P1048-P1052</f>
        <v>60.879754413609994</v>
      </c>
      <c r="Q1049" s="1">
        <f>Q1048-Q1052</f>
        <v>60.880260412518865</v>
      </c>
      <c r="S1049" s="3"/>
    </row>
    <row r="1050" spans="2:19" x14ac:dyDescent="0.5">
      <c r="B1050" s="5" t="str">
        <f t="shared" si="1193"/>
        <v>SPS1</v>
      </c>
      <c r="C1050" s="5" t="str">
        <f t="shared" si="1194"/>
        <v>CH</v>
      </c>
      <c r="D1050" t="s">
        <v>752</v>
      </c>
      <c r="E1050" t="s">
        <v>8</v>
      </c>
      <c r="F1050" s="1">
        <f>F1049-F1051</f>
        <v>13.104013084721529</v>
      </c>
      <c r="G1050" s="1">
        <f t="shared" ref="G1050:K1050" si="1267">G1049-G1051</f>
        <v>15.725652234625516</v>
      </c>
      <c r="H1050" s="1">
        <f t="shared" si="1267"/>
        <v>17.719175288719299</v>
      </c>
      <c r="I1050" s="1">
        <f t="shared" si="1267"/>
        <v>25.988864563742876</v>
      </c>
      <c r="J1050" s="1">
        <f t="shared" si="1267"/>
        <v>38.353304848190575</v>
      </c>
      <c r="K1050" s="1">
        <f t="shared" si="1267"/>
        <v>50.372491497459109</v>
      </c>
      <c r="L1050" s="1">
        <f t="shared" ref="L1050:O1050" si="1268">L1049-L1051</f>
        <v>53.464274426736807</v>
      </c>
      <c r="M1050" s="1">
        <f t="shared" si="1268"/>
        <v>58.507686640470752</v>
      </c>
      <c r="N1050" s="1">
        <f t="shared" si="1268"/>
        <v>59.06331259939293</v>
      </c>
      <c r="O1050" s="1">
        <f t="shared" si="1268"/>
        <v>59.18521145299232</v>
      </c>
      <c r="P1050" s="1">
        <f>P1049-P1051</f>
        <v>59.185280665904017</v>
      </c>
      <c r="Q1050" s="1">
        <f>Q1049-Q1051</f>
        <v>59.186175272911768</v>
      </c>
      <c r="S1050" s="3"/>
    </row>
    <row r="1051" spans="2:19" x14ac:dyDescent="0.5">
      <c r="B1051" s="5" t="str">
        <f t="shared" si="1193"/>
        <v>SPS1</v>
      </c>
      <c r="C1051" s="5" t="str">
        <f t="shared" si="1194"/>
        <v>CH</v>
      </c>
      <c r="D1051" t="s">
        <v>753</v>
      </c>
      <c r="E1051" t="s">
        <v>8</v>
      </c>
      <c r="F1051" s="1" cm="1">
        <f t="array" ref="F1051">SUMPRODUCT(([1]OUT_FinalEnergyCons!$B$4:$B$10000="Var_FOut")*1, ISNUMBER(SEARCH("RH*SHANGAH",[1]OUT_FinalEnergyCons!$C$4:$C$10000))*1,ISNUMBER(SEARCH("RH*-SHngahp",[1]OUT_FinalEnergyCons!$A$4:$A$10000))*1,[1]OUT_FinalEnergyCons!D$4:D$10000)-F999</f>
        <v>0</v>
      </c>
      <c r="G1051" s="1" cm="1">
        <f t="array" ref="G1051">SUMPRODUCT(([1]OUT_FinalEnergyCons!$B$4:$B$10000="Var_FOut")*1, ISNUMBER(SEARCH("RH*SHANGAH",[1]OUT_FinalEnergyCons!$C$4:$C$10000))*1,ISNUMBER(SEARCH("RH*-SHngahp",[1]OUT_FinalEnergyCons!$A$4:$A$10000))*1,[1]OUT_FinalEnergyCons!E$4:E$10000)-G999</f>
        <v>0</v>
      </c>
      <c r="H1051" s="1" cm="1">
        <f t="array" ref="H1051">SUMPRODUCT(([1]OUT_FinalEnergyCons!$B$4:$B$10000="Var_FOut")*1, ISNUMBER(SEARCH("RH*SHANGAH",[1]OUT_FinalEnergyCons!$C$4:$C$10000))*1,ISNUMBER(SEARCH("RH*-SHngahp",[1]OUT_FinalEnergyCons!$A$4:$A$10000))*1,[1]OUT_FinalEnergyCons!F$4:F$10000)-H999</f>
        <v>1.8967564917367005E-2</v>
      </c>
      <c r="I1051" s="1" cm="1">
        <f t="array" ref="I1051">SUMPRODUCT(([1]OUT_FinalEnergyCons!$B$4:$B$10000="Var_FOut")*1, ISNUMBER(SEARCH("RH*SHANGAH",[1]OUT_FinalEnergyCons!$C$4:$C$10000))*1,ISNUMBER(SEARCH("RH*-SHngahp",[1]OUT_FinalEnergyCons!$A$4:$A$10000))*1,[1]OUT_FinalEnergyCons!G$4:G$10000)-I999</f>
        <v>2.1328290697541684E-2</v>
      </c>
      <c r="J1051" s="1" cm="1">
        <f t="array" ref="J1051">SUMPRODUCT(([1]OUT_FinalEnergyCons!$B$4:$B$10000="Var_FOut")*1, ISNUMBER(SEARCH("RH*SHANGAH",[1]OUT_FinalEnergyCons!$C$4:$C$10000))*1,ISNUMBER(SEARCH("RH*-SHngahp",[1]OUT_FinalEnergyCons!$A$4:$A$10000))*1,[1]OUT_FinalEnergyCons!H$4:H$10000)-J999</f>
        <v>2.3524343975839592</v>
      </c>
      <c r="K1051" s="1" cm="1">
        <f t="array" ref="K1051">SUMPRODUCT(([1]OUT_FinalEnergyCons!$B$4:$B$10000="Var_FOut")*1, ISNUMBER(SEARCH("RH*SHANGAH",[1]OUT_FinalEnergyCons!$C$4:$C$10000))*1,ISNUMBER(SEARCH("RH*-SHngahp",[1]OUT_FinalEnergyCons!$A$4:$A$10000))*1,[1]OUT_FinalEnergyCons!I$4:I$10000)-K999</f>
        <v>2.4135222279831448</v>
      </c>
      <c r="L1051" s="1" cm="1">
        <f t="array" ref="L1051">SUMPRODUCT(([1]OUT_FinalEnergyCons!$B$4:$B$10000="Var_FOut")*1, ISNUMBER(SEARCH("RH*SHANGAH",[1]OUT_FinalEnergyCons!$C$4:$C$10000))*1,ISNUMBER(SEARCH("RH*-SHngahp",[1]OUT_FinalEnergyCons!$A$4:$A$10000))*1,[1]OUT_FinalEnergyCons!J$4:J$10000)-L999</f>
        <v>4.0773961578722808</v>
      </c>
      <c r="M1051" s="1" cm="1">
        <f t="array" ref="M1051">SUMPRODUCT(([1]OUT_FinalEnergyCons!$B$4:$B$10000="Var_FOut")*1, ISNUMBER(SEARCH("RH*SHANGAH",[1]OUT_FinalEnergyCons!$C$4:$C$10000))*1,ISNUMBER(SEARCH("RH*-SHngahp",[1]OUT_FinalEnergyCons!$A$4:$A$10000))*1,[1]OUT_FinalEnergyCons!K$4:K$10000)-M999</f>
        <v>1.6898701232510487</v>
      </c>
      <c r="N1051" s="1" cm="1">
        <f t="array" ref="N1051">SUMPRODUCT(([1]OUT_FinalEnergyCons!$B$4:$B$10000="Var_FOut")*1, ISNUMBER(SEARCH("RH*SHANGAH",[1]OUT_FinalEnergyCons!$C$4:$C$10000))*1,ISNUMBER(SEARCH("RH*-SHngahp",[1]OUT_FinalEnergyCons!$A$4:$A$10000))*1,[1]OUT_FinalEnergyCons!L$4:L$10000)-N999</f>
        <v>1.6912333456208211</v>
      </c>
      <c r="O1051" s="1" cm="1">
        <f t="array" ref="O1051">SUMPRODUCT(([1]OUT_FinalEnergyCons!$B$4:$B$10000="Var_FOut")*1, ISNUMBER(SEARCH("RH*SHANGAH",[1]OUT_FinalEnergyCons!$C$4:$C$10000))*1,ISNUMBER(SEARCH("RH*-SHngahp",[1]OUT_FinalEnergyCons!$A$4:$A$10000))*1,[1]OUT_FinalEnergyCons!M$4:M$10000)-O999</f>
        <v>1.6945017574484831</v>
      </c>
      <c r="P1051" s="1" cm="1">
        <f t="array" ref="P1051">SUMPRODUCT(([1]OUT_FinalEnergyCons!$B$4:$B$10000="Var_FOut")*1, ISNUMBER(SEARCH("RH*SHANGAH",[1]OUT_FinalEnergyCons!$C$4:$C$10000))*1,ISNUMBER(SEARCH("RH*-SHngahp",[1]OUT_FinalEnergyCons!$A$4:$A$10000))*1,[1]OUT_FinalEnergyCons!N$4:N$10000)-P999</f>
        <v>1.694473747705981</v>
      </c>
      <c r="Q1051" s="1" cm="1">
        <f t="array" ref="Q1051">SUMPRODUCT(([1]OUT_FinalEnergyCons!$B$4:$B$10000="Var_FOut")*1, ISNUMBER(SEARCH("RH*SHANGAH",[1]OUT_FinalEnergyCons!$C$4:$C$10000))*1,ISNUMBER(SEARCH("RH*-SHngahp",[1]OUT_FinalEnergyCons!$A$4:$A$10000))*1,[1]OUT_FinalEnergyCons!O$4:O$10000)-Q999</f>
        <v>1.6940851396070962</v>
      </c>
      <c r="S1051" s="3"/>
    </row>
    <row r="1052" spans="2:19" x14ac:dyDescent="0.5">
      <c r="B1052" s="5" t="str">
        <f t="shared" si="1193"/>
        <v>SPS1</v>
      </c>
      <c r="C1052" s="5" t="str">
        <f t="shared" si="1194"/>
        <v>CH</v>
      </c>
      <c r="D1052" t="s">
        <v>1039</v>
      </c>
      <c r="E1052" t="s">
        <v>8</v>
      </c>
      <c r="F1052" s="1">
        <f>SUM(F1053:F1054)</f>
        <v>2.0910106915965274</v>
      </c>
      <c r="G1052" s="1">
        <f t="shared" ref="G1052:K1052" si="1269">SUM(G1053:G1054)</f>
        <v>2.349042554097009</v>
      </c>
      <c r="H1052" s="1">
        <f t="shared" si="1269"/>
        <v>3.2918726095525135</v>
      </c>
      <c r="I1052" s="1">
        <f t="shared" si="1269"/>
        <v>5.2993389866985785</v>
      </c>
      <c r="J1052" s="1">
        <f t="shared" si="1269"/>
        <v>8.9555138998177917</v>
      </c>
      <c r="K1052" s="1">
        <f t="shared" si="1269"/>
        <v>11.96125549144792</v>
      </c>
      <c r="L1052" s="1">
        <f t="shared" ref="L1052:O1052" si="1270">SUM(L1053:L1054)</f>
        <v>11.898270661795443</v>
      </c>
      <c r="M1052" s="1">
        <f t="shared" si="1270"/>
        <v>11.549690508909727</v>
      </c>
      <c r="N1052" s="1">
        <f t="shared" si="1270"/>
        <v>12.698620083600638</v>
      </c>
      <c r="O1052" s="1">
        <f t="shared" si="1270"/>
        <v>14.45754369345112</v>
      </c>
      <c r="P1052" s="1">
        <f>SUM(P1053:P1054)</f>
        <v>13.041464038824522</v>
      </c>
      <c r="Q1052" s="1">
        <f>SUM(Q1053:Q1054)</f>
        <v>13.367443842026516</v>
      </c>
      <c r="S1052" s="3"/>
    </row>
    <row r="1053" spans="2:19" x14ac:dyDescent="0.5">
      <c r="B1053" s="5" t="str">
        <f t="shared" si="1193"/>
        <v>SPS1</v>
      </c>
      <c r="C1053" s="5" t="str">
        <f t="shared" si="1194"/>
        <v>CH</v>
      </c>
      <c r="D1053" t="s">
        <v>754</v>
      </c>
      <c r="E1053" t="s">
        <v>8</v>
      </c>
      <c r="F1053" s="1" cm="1">
        <f t="array" ref="F1053">SUMPRODUCT(([1]OUT_FinalEnergyCons!$B$4:$B$10000="Var_FOut")*1, ISNUMBER(SEARCH("RHSA-WHAELCH",[1]OUT_FinalEnergyCons!$C$4:$C$10000))*1,(ISNUMBER(SEARCH("RHSA-WHELCHP",[1]OUT_FinalEnergyCons!$A$4:$A$10000)))*1,[1]OUT_FinalEnergyCons!D$4:D$10000)-F979</f>
        <v>2.0910106915965274</v>
      </c>
      <c r="G1053" s="1" cm="1">
        <f t="array" ref="G1053">SUMPRODUCT(([1]OUT_FinalEnergyCons!$B$4:$B$10000="Var_FOut")*1, ISNUMBER(SEARCH("RHSA-WHAELCH",[1]OUT_FinalEnergyCons!$C$4:$C$10000))*1,(ISNUMBER(SEARCH("RHSA-WHELCHP",[1]OUT_FinalEnergyCons!$A$4:$A$10000)))*1,[1]OUT_FinalEnergyCons!E$4:E$10000)-G979</f>
        <v>2.349042554097009</v>
      </c>
      <c r="H1053" s="1" cm="1">
        <f t="array" ref="H1053">SUMPRODUCT(([1]OUT_FinalEnergyCons!$B$4:$B$10000="Var_FOut")*1, ISNUMBER(SEARCH("RHSA-WHAELCH",[1]OUT_FinalEnergyCons!$C$4:$C$10000))*1,(ISNUMBER(SEARCH("RHSA-WHELCHP",[1]OUT_FinalEnergyCons!$A$4:$A$10000)))*1,[1]OUT_FinalEnergyCons!F$4:F$10000)-H979</f>
        <v>3.2887302526940938</v>
      </c>
      <c r="I1053" s="1" cm="1">
        <f t="array" ref="I1053">SUMPRODUCT(([1]OUT_FinalEnergyCons!$B$4:$B$10000="Var_FOut")*1, ISNUMBER(SEARCH("RHSA-WHAELCH",[1]OUT_FinalEnergyCons!$C$4:$C$10000))*1,(ISNUMBER(SEARCH("RHSA-WHELCHP",[1]OUT_FinalEnergyCons!$A$4:$A$10000)))*1,[1]OUT_FinalEnergyCons!G$4:G$10000)-I979</f>
        <v>5.2955341872450266</v>
      </c>
      <c r="J1053" s="1" cm="1">
        <f t="array" ref="J1053">SUMPRODUCT(([1]OUT_FinalEnergyCons!$B$4:$B$10000="Var_FOut")*1, ISNUMBER(SEARCH("RHSA-WHAELCH",[1]OUT_FinalEnergyCons!$C$4:$C$10000))*1,(ISNUMBER(SEARCH("RHSA-WHELCHP",[1]OUT_FinalEnergyCons!$A$4:$A$10000)))*1,[1]OUT_FinalEnergyCons!H$4:H$10000)-J979</f>
        <v>8.5703009403720607</v>
      </c>
      <c r="K1053" s="1" cm="1">
        <f t="array" ref="K1053">SUMPRODUCT(([1]OUT_FinalEnergyCons!$B$4:$B$10000="Var_FOut")*1, ISNUMBER(SEARCH("RHSA-WHAELCH",[1]OUT_FinalEnergyCons!$C$4:$C$10000))*1,(ISNUMBER(SEARCH("RHSA-WHELCHP",[1]OUT_FinalEnergyCons!$A$4:$A$10000)))*1,[1]OUT_FinalEnergyCons!I$4:I$10000)-K979</f>
        <v>11.567770486961834</v>
      </c>
      <c r="L1053" s="1" cm="1">
        <f t="array" ref="L1053">SUMPRODUCT(([1]OUT_FinalEnergyCons!$B$4:$B$10000="Var_FOut")*1, ISNUMBER(SEARCH("RHSA-WHAELCH",[1]OUT_FinalEnergyCons!$C$4:$C$10000))*1,(ISNUMBER(SEARCH("RHSA-WHELCHP",[1]OUT_FinalEnergyCons!$A$4:$A$10000)))*1,[1]OUT_FinalEnergyCons!J$4:J$10000)-L979</f>
        <v>11.233151068350089</v>
      </c>
      <c r="M1053" s="1" cm="1">
        <f t="array" ref="M1053">SUMPRODUCT(([1]OUT_FinalEnergyCons!$B$4:$B$10000="Var_FOut")*1, ISNUMBER(SEARCH("RHSA-WHAELCH",[1]OUT_FinalEnergyCons!$C$4:$C$10000))*1,(ISNUMBER(SEARCH("RHSA-WHELCHP",[1]OUT_FinalEnergyCons!$A$4:$A$10000)))*1,[1]OUT_FinalEnergyCons!K$4:K$10000)-M979</f>
        <v>11.273765634603535</v>
      </c>
      <c r="N1053" s="1" cm="1">
        <f t="array" ref="N1053">SUMPRODUCT(([1]OUT_FinalEnergyCons!$B$4:$B$10000="Var_FOut")*1, ISNUMBER(SEARCH("RHSA-WHAELCH",[1]OUT_FinalEnergyCons!$C$4:$C$10000))*1,(ISNUMBER(SEARCH("RHSA-WHELCHP",[1]OUT_FinalEnergyCons!$A$4:$A$10000)))*1,[1]OUT_FinalEnergyCons!L$4:L$10000)-N979</f>
        <v>12.422474362421697</v>
      </c>
      <c r="O1053" s="1" cm="1">
        <f t="array" ref="O1053">SUMPRODUCT(([1]OUT_FinalEnergyCons!$B$4:$B$10000="Var_FOut")*1, ISNUMBER(SEARCH("RHSA-WHAELCH",[1]OUT_FinalEnergyCons!$C$4:$C$10000))*1,(ISNUMBER(SEARCH("RHSA-WHELCHP",[1]OUT_FinalEnergyCons!$A$4:$A$10000)))*1,[1]OUT_FinalEnergyCons!M$4:M$10000)-O979</f>
        <v>14.1808636209953</v>
      </c>
      <c r="P1053" s="1" cm="1">
        <f t="array" ref="P1053">SUMPRODUCT(([1]OUT_FinalEnergyCons!$B$4:$B$10000="Var_FOut")*1, ISNUMBER(SEARCH("RHSA-WHAELCH",[1]OUT_FinalEnergyCons!$C$4:$C$10000))*1,(ISNUMBER(SEARCH("RHSA-WHELCHP",[1]OUT_FinalEnergyCons!$A$4:$A$10000)))*1,[1]OUT_FinalEnergyCons!N$4:N$10000)-P979</f>
        <v>12.764782667113082</v>
      </c>
      <c r="Q1053" s="1" cm="1">
        <f t="array" ref="Q1053">SUMPRODUCT(([1]OUT_FinalEnergyCons!$B$4:$B$10000="Var_FOut")*1, ISNUMBER(SEARCH("RHSA-WHAELCH",[1]OUT_FinalEnergyCons!$C$4:$C$10000))*1,(ISNUMBER(SEARCH("RHSA-WHELCHP",[1]OUT_FinalEnergyCons!$A$4:$A$10000)))*1,[1]OUT_FinalEnergyCons!O$4:O$10000)-Q979</f>
        <v>13.090815784858112</v>
      </c>
      <c r="S1053" s="3"/>
    </row>
    <row r="1054" spans="2:19" x14ac:dyDescent="0.5">
      <c r="B1054" s="5" t="str">
        <f t="shared" si="1193"/>
        <v>SPS1</v>
      </c>
      <c r="C1054" s="5" t="str">
        <f t="shared" si="1194"/>
        <v>CH</v>
      </c>
      <c r="D1054" t="s">
        <v>755</v>
      </c>
      <c r="E1054" t="s">
        <v>8</v>
      </c>
      <c r="F1054" s="1" cm="1">
        <f t="array" ref="F1054">SUMPRODUCT(([1]OUT_FinalEnergyCons!$B$4:$B$10000="Var_FOut")*1,ISNUMBER(SEARCH("RHSA-WHangah",[1]OUT_FinalEnergyCons!$C$4:$C$10000))*1,(ISNUMBER(SEARCH("RHSA-WHngahp",[1]OUT_FinalEnergyCons!$A$4:$A$10000)))*1,[1]OUT_FinalEnergyCons!D$4:D$10000)-F1008</f>
        <v>0</v>
      </c>
      <c r="G1054" s="1" cm="1">
        <f t="array" ref="G1054">SUMPRODUCT(([1]OUT_FinalEnergyCons!$B$4:$B$10000="Var_FOut")*1,ISNUMBER(SEARCH("RHSA-WHangah",[1]OUT_FinalEnergyCons!$C$4:$C$10000))*1,(ISNUMBER(SEARCH("RHSA-WHngahp",[1]OUT_FinalEnergyCons!$A$4:$A$10000)))*1,[1]OUT_FinalEnergyCons!E$4:E$10000)-G1008</f>
        <v>0</v>
      </c>
      <c r="H1054" s="1" cm="1">
        <f t="array" ref="H1054">SUMPRODUCT(([1]OUT_FinalEnergyCons!$B$4:$B$10000="Var_FOut")*1,ISNUMBER(SEARCH("RHSA-WHangah",[1]OUT_FinalEnergyCons!$C$4:$C$10000))*1,(ISNUMBER(SEARCH("RHSA-WHngahp",[1]OUT_FinalEnergyCons!$A$4:$A$10000)))*1,[1]OUT_FinalEnergyCons!F$4:F$10000)-H1008</f>
        <v>3.1423568584196346E-3</v>
      </c>
      <c r="I1054" s="1" cm="1">
        <f t="array" ref="I1054">SUMPRODUCT(([1]OUT_FinalEnergyCons!$B$4:$B$10000="Var_FOut")*1,ISNUMBER(SEARCH("RHSA-WHangah",[1]OUT_FinalEnergyCons!$C$4:$C$10000))*1,(ISNUMBER(SEARCH("RHSA-WHngahp",[1]OUT_FinalEnergyCons!$A$4:$A$10000)))*1,[1]OUT_FinalEnergyCons!G$4:G$10000)-I1008</f>
        <v>3.8047994535518118E-3</v>
      </c>
      <c r="J1054" s="1" cm="1">
        <f t="array" ref="J1054">SUMPRODUCT(([1]OUT_FinalEnergyCons!$B$4:$B$10000="Var_FOut")*1,ISNUMBER(SEARCH("RHSA-WHangah",[1]OUT_FinalEnergyCons!$C$4:$C$10000))*1,(ISNUMBER(SEARCH("RHSA-WHngahp",[1]OUT_FinalEnergyCons!$A$4:$A$10000)))*1,[1]OUT_FinalEnergyCons!H$4:H$10000)-J1008</f>
        <v>0.38521295944573164</v>
      </c>
      <c r="K1054" s="1" cm="1">
        <f t="array" ref="K1054">SUMPRODUCT(([1]OUT_FinalEnergyCons!$B$4:$B$10000="Var_FOut")*1,ISNUMBER(SEARCH("RHSA-WHangah",[1]OUT_FinalEnergyCons!$C$4:$C$10000))*1,(ISNUMBER(SEARCH("RHSA-WHngahp",[1]OUT_FinalEnergyCons!$A$4:$A$10000)))*1,[1]OUT_FinalEnergyCons!I$4:I$10000)-K1008</f>
        <v>0.39348500448608681</v>
      </c>
      <c r="L1054" s="1" cm="1">
        <f t="array" ref="L1054">SUMPRODUCT(([1]OUT_FinalEnergyCons!$B$4:$B$10000="Var_FOut")*1,ISNUMBER(SEARCH("RHSA-WHangah",[1]OUT_FinalEnergyCons!$C$4:$C$10000))*1,(ISNUMBER(SEARCH("RHSA-WHngahp",[1]OUT_FinalEnergyCons!$A$4:$A$10000)))*1,[1]OUT_FinalEnergyCons!J$4:J$10000)-L1008</f>
        <v>0.66511959344535387</v>
      </c>
      <c r="M1054" s="1" cm="1">
        <f t="array" ref="M1054">SUMPRODUCT(([1]OUT_FinalEnergyCons!$B$4:$B$10000="Var_FOut")*1,ISNUMBER(SEARCH("RHSA-WHangah",[1]OUT_FinalEnergyCons!$C$4:$C$10000))*1,(ISNUMBER(SEARCH("RHSA-WHngahp",[1]OUT_FinalEnergyCons!$A$4:$A$10000)))*1,[1]OUT_FinalEnergyCons!K$4:K$10000)-M1008</f>
        <v>0.27592487430619206</v>
      </c>
      <c r="N1054" s="1" cm="1">
        <f t="array" ref="N1054">SUMPRODUCT(([1]OUT_FinalEnergyCons!$B$4:$B$10000="Var_FOut")*1,ISNUMBER(SEARCH("RHSA-WHangah",[1]OUT_FinalEnergyCons!$C$4:$C$10000))*1,(ISNUMBER(SEARCH("RHSA-WHngahp",[1]OUT_FinalEnergyCons!$A$4:$A$10000)))*1,[1]OUT_FinalEnergyCons!L$4:L$10000)-N1008</f>
        <v>0.27614572117894071</v>
      </c>
      <c r="O1054" s="1" cm="1">
        <f t="array" ref="O1054">SUMPRODUCT(([1]OUT_FinalEnergyCons!$B$4:$B$10000="Var_FOut")*1,ISNUMBER(SEARCH("RHSA-WHangah",[1]OUT_FinalEnergyCons!$C$4:$C$10000))*1,(ISNUMBER(SEARCH("RHSA-WHngahp",[1]OUT_FinalEnergyCons!$A$4:$A$10000)))*1,[1]OUT_FinalEnergyCons!M$4:M$10000)-O1008</f>
        <v>0.27668007245581927</v>
      </c>
      <c r="P1054" s="1" cm="1">
        <f t="array" ref="P1054">SUMPRODUCT(([1]OUT_FinalEnergyCons!$B$4:$B$10000="Var_FOut")*1,ISNUMBER(SEARCH("RHSA-WHangah",[1]OUT_FinalEnergyCons!$C$4:$C$10000))*1,(ISNUMBER(SEARCH("RHSA-WHngahp",[1]OUT_FinalEnergyCons!$A$4:$A$10000)))*1,[1]OUT_FinalEnergyCons!N$4:N$10000)-P1008</f>
        <v>0.27668137171143964</v>
      </c>
      <c r="Q1054" s="1" cm="1">
        <f t="array" ref="Q1054">SUMPRODUCT(([1]OUT_FinalEnergyCons!$B$4:$B$10000="Var_FOut")*1,ISNUMBER(SEARCH("RHSA-WHangah",[1]OUT_FinalEnergyCons!$C$4:$C$10000))*1,(ISNUMBER(SEARCH("RHSA-WHngahp",[1]OUT_FinalEnergyCons!$A$4:$A$10000)))*1,[1]OUT_FinalEnergyCons!O$4:O$10000)-Q1008</f>
        <v>0.27662805716840433</v>
      </c>
      <c r="S1054" s="3"/>
    </row>
    <row r="1055" spans="2:19" x14ac:dyDescent="0.5">
      <c r="B1055" s="5" t="str">
        <f t="shared" si="1193"/>
        <v>SPS1</v>
      </c>
      <c r="C1055" s="5" t="str">
        <f t="shared" si="1194"/>
        <v>CH</v>
      </c>
      <c r="D1055" s="2" t="s">
        <v>756</v>
      </c>
      <c r="E1055" t="s">
        <v>8</v>
      </c>
      <c r="F1055" s="3">
        <f>[1]Residential!B$245</f>
        <v>156.14799797726548</v>
      </c>
      <c r="G1055" s="3">
        <f>[1]Residential!C$245</f>
        <v>162.25074298015576</v>
      </c>
      <c r="H1055" s="3">
        <f>[1]Residential!D$245</f>
        <v>163.84048202776182</v>
      </c>
      <c r="I1055" s="3">
        <f>[1]Residential!E$245</f>
        <v>164.00459104724459</v>
      </c>
      <c r="J1055" s="3">
        <f>[1]Residential!F$245</f>
        <v>164.13506478917662</v>
      </c>
      <c r="K1055" s="3">
        <f>[1]Residential!G$245</f>
        <v>164.1785243646099</v>
      </c>
      <c r="L1055" s="3">
        <f>[1]Residential!H$245</f>
        <v>162.11606565685673</v>
      </c>
      <c r="M1055" s="3">
        <f>[1]Residential!I$245</f>
        <v>161.89302559797099</v>
      </c>
      <c r="N1055" s="3">
        <f>[1]Residential!J$245</f>
        <v>158.08213248327255</v>
      </c>
      <c r="O1055" s="3">
        <f>[1]Residential!K$245</f>
        <v>154.24221654112239</v>
      </c>
      <c r="P1055" s="3">
        <f>[1]Residential!L$245</f>
        <v>154.614473701013</v>
      </c>
      <c r="Q1055" s="3">
        <f>[1]Residential!M$245</f>
        <v>141.98273529403872</v>
      </c>
      <c r="S1055" s="3"/>
    </row>
    <row r="1056" spans="2:19" x14ac:dyDescent="0.5">
      <c r="B1056" s="5" t="str">
        <f>B1055</f>
        <v>SPS1</v>
      </c>
      <c r="C1056" s="5" t="str">
        <f>C1055</f>
        <v>CH</v>
      </c>
      <c r="D1056" t="s">
        <v>770</v>
      </c>
      <c r="E1056" t="s">
        <v>8</v>
      </c>
      <c r="F1056" s="1">
        <f>[1]Residential!B$116</f>
        <v>129.16952522889571</v>
      </c>
      <c r="G1056" s="1">
        <f>[1]Residential!C$116</f>
        <v>136.31968632441755</v>
      </c>
      <c r="H1056" s="1">
        <f>[1]Residential!D$116</f>
        <v>138.27282458860924</v>
      </c>
      <c r="I1056" s="1">
        <f>[1]Residential!E$116</f>
        <v>138.1965487028485</v>
      </c>
      <c r="J1056" s="1">
        <f>[1]Residential!F$116</f>
        <v>138.30407590684331</v>
      </c>
      <c r="K1056" s="1">
        <f>[1]Residential!G$116</f>
        <v>138.28356587676237</v>
      </c>
      <c r="L1056" s="1">
        <f>[1]Residential!H$116</f>
        <v>136.54919523442388</v>
      </c>
      <c r="M1056" s="1">
        <f>[1]Residential!I$116</f>
        <v>136.31820683853871</v>
      </c>
      <c r="N1056" s="1">
        <f>[1]Residential!J$116</f>
        <v>132.17883630903214</v>
      </c>
      <c r="O1056" s="1">
        <f>[1]Residential!K$116</f>
        <v>128.8792661670673</v>
      </c>
      <c r="P1056" s="1">
        <f>[1]Residential!L$116</f>
        <v>129.06725681527354</v>
      </c>
      <c r="Q1056" s="1">
        <f>[1]Residential!M$116</f>
        <v>117.91661276223269</v>
      </c>
      <c r="S1056" s="3"/>
    </row>
    <row r="1057" spans="2:19" x14ac:dyDescent="0.5">
      <c r="B1057" s="5" t="str">
        <f t="shared" ref="B1057:B1107" si="1271">B1056</f>
        <v>SPS1</v>
      </c>
      <c r="C1057" s="5" t="str">
        <f t="shared" ref="C1057:C1107" si="1272">C1056</f>
        <v>CH</v>
      </c>
      <c r="D1057" t="s">
        <v>1115</v>
      </c>
      <c r="E1057" t="s">
        <v>8</v>
      </c>
      <c r="F1057" s="1">
        <f>SUM(F1058:F1059)</f>
        <v>27.968437905020011</v>
      </c>
      <c r="G1057" s="1">
        <f t="shared" ref="G1057:K1057" si="1273">SUM(G1058:G1059)</f>
        <v>30.429639011089364</v>
      </c>
      <c r="H1057" s="1">
        <f t="shared" si="1273"/>
        <v>32.312364089603527</v>
      </c>
      <c r="I1057" s="1">
        <f t="shared" si="1273"/>
        <v>41.81463935771319</v>
      </c>
      <c r="J1057" s="1">
        <f t="shared" si="1273"/>
        <v>55.958899745445947</v>
      </c>
      <c r="K1057" s="1">
        <f t="shared" si="1273"/>
        <v>70.740193607939034</v>
      </c>
      <c r="L1057" s="1">
        <f t="shared" ref="L1057:O1057" si="1274">SUM(L1058:L1059)</f>
        <v>73.69016283300482</v>
      </c>
      <c r="M1057" s="1">
        <f t="shared" si="1274"/>
        <v>81.157539849259123</v>
      </c>
      <c r="N1057" s="1">
        <f t="shared" si="1274"/>
        <v>81.469546276013205</v>
      </c>
      <c r="O1057" s="1">
        <f t="shared" si="1274"/>
        <v>81.420863691686122</v>
      </c>
      <c r="P1057" s="1">
        <f>SUM(P1058:P1059)</f>
        <v>80.538599579296928</v>
      </c>
      <c r="Q1057" s="1">
        <f>SUM(Q1058:Q1059)</f>
        <v>80.147585539846574</v>
      </c>
      <c r="S1057" s="3"/>
    </row>
    <row r="1058" spans="2:19" x14ac:dyDescent="0.5">
      <c r="B1058" s="5" t="str">
        <f t="shared" si="1271"/>
        <v>SPS1</v>
      </c>
      <c r="C1058" s="5" t="str">
        <f t="shared" si="1272"/>
        <v>CH</v>
      </c>
      <c r="D1058" t="s">
        <v>1116</v>
      </c>
      <c r="E1058" t="s">
        <v>8</v>
      </c>
      <c r="F1058" s="1">
        <f>[1]Residential!B$102</f>
        <v>8.9080553314915818</v>
      </c>
      <c r="G1058" s="1">
        <f>[1]Residential!C$102</f>
        <v>7.7251471201933652</v>
      </c>
      <c r="H1058" s="1">
        <f>[1]Residential!D$102</f>
        <v>6.9992565342902502</v>
      </c>
      <c r="I1058" s="1">
        <f>[1]Residential!E$102</f>
        <v>5.2897486194799539</v>
      </c>
      <c r="J1058" s="1">
        <f>[1]Residential!F$102</f>
        <v>2.7591543108590355</v>
      </c>
      <c r="K1058" s="1">
        <f>[1]Residential!G$102</f>
        <v>1.7112237780876627</v>
      </c>
      <c r="L1058" s="1">
        <f>[1]Residential!H$102</f>
        <v>1.1315046824334449</v>
      </c>
      <c r="M1058" s="1">
        <f>[1]Residential!I$102</f>
        <v>2.474788850005377</v>
      </c>
      <c r="N1058" s="1">
        <f>[1]Residential!J$102</f>
        <v>2.0395741595882213</v>
      </c>
      <c r="O1058" s="1">
        <f>[1]Residential!K$102</f>
        <v>1.8269586342136912</v>
      </c>
      <c r="P1058" s="1">
        <f>[1]Residential!L$102</f>
        <v>0.94460144239154542</v>
      </c>
      <c r="Q1058" s="1">
        <f>[1]Residential!M$102</f>
        <v>0.5523843107583073</v>
      </c>
      <c r="S1058" s="3"/>
    </row>
    <row r="1059" spans="2:19" x14ac:dyDescent="0.5">
      <c r="B1059" s="5" t="str">
        <f t="shared" si="1271"/>
        <v>SPS1</v>
      </c>
      <c r="C1059" s="5" t="str">
        <f t="shared" si="1272"/>
        <v>CH</v>
      </c>
      <c r="D1059" t="s">
        <v>1117</v>
      </c>
      <c r="E1059" t="s">
        <v>8</v>
      </c>
      <c r="F1059" s="1">
        <f>[1]Residential!B$104</f>
        <v>19.060382573528429</v>
      </c>
      <c r="G1059" s="1">
        <f>[1]Residential!C$104</f>
        <v>22.704491890895998</v>
      </c>
      <c r="H1059" s="1">
        <f>[1]Residential!D$104</f>
        <v>25.313107555313277</v>
      </c>
      <c r="I1059" s="1">
        <f>[1]Residential!E$104</f>
        <v>36.524890738233239</v>
      </c>
      <c r="J1059" s="1">
        <f>[1]Residential!F$104</f>
        <v>53.199745434586909</v>
      </c>
      <c r="K1059" s="1">
        <f>[1]Residential!G$104</f>
        <v>69.028969829851377</v>
      </c>
      <c r="L1059" s="1">
        <f>[1]Residential!H$104</f>
        <v>72.558658150571375</v>
      </c>
      <c r="M1059" s="1">
        <f>[1]Residential!I$104</f>
        <v>78.682750999253741</v>
      </c>
      <c r="N1059" s="1">
        <f>[1]Residential!J$104</f>
        <v>79.429972116424977</v>
      </c>
      <c r="O1059" s="1">
        <f>[1]Residential!K$104</f>
        <v>79.593905057472426</v>
      </c>
      <c r="P1059" s="1">
        <f>[1]Residential!L$104</f>
        <v>79.593998136905384</v>
      </c>
      <c r="Q1059" s="1">
        <f>[1]Residential!M$104</f>
        <v>79.595201229088261</v>
      </c>
      <c r="S1059" s="3"/>
    </row>
    <row r="1060" spans="2:19" x14ac:dyDescent="0.5">
      <c r="B1060" s="5" t="str">
        <f t="shared" si="1271"/>
        <v>SPS1</v>
      </c>
      <c r="C1060" s="5" t="str">
        <f t="shared" si="1272"/>
        <v>CH</v>
      </c>
      <c r="D1060" t="s">
        <v>1046</v>
      </c>
      <c r="E1060" t="s">
        <v>8</v>
      </c>
      <c r="F1060" s="1">
        <f>F1061</f>
        <v>45.124442404384638</v>
      </c>
      <c r="G1060" s="1">
        <f t="shared" ref="G1060:O1060" si="1275">G1061</f>
        <v>38.551224398548356</v>
      </c>
      <c r="H1060" s="1">
        <f t="shared" si="1275"/>
        <v>40.880909578057981</v>
      </c>
      <c r="I1060" s="1">
        <f t="shared" si="1275"/>
        <v>34.842545911685541</v>
      </c>
      <c r="J1060" s="1">
        <f t="shared" si="1275"/>
        <v>11.693298103893579</v>
      </c>
      <c r="K1060" s="1">
        <f t="shared" si="1275"/>
        <v>3.0833416955091043E-2</v>
      </c>
      <c r="L1060" s="1">
        <f t="shared" si="1275"/>
        <v>2.8768222178670599E-2</v>
      </c>
      <c r="M1060" s="1">
        <f t="shared" si="1275"/>
        <v>2.8687830150144152E-2</v>
      </c>
      <c r="N1060" s="1">
        <f t="shared" si="1275"/>
        <v>1.0109608400336197E-2</v>
      </c>
      <c r="O1060" s="1">
        <f t="shared" si="1275"/>
        <v>1.0088387034798288E-2</v>
      </c>
      <c r="P1060" s="1">
        <f>P1061</f>
        <v>1.0078939750166193E-2</v>
      </c>
      <c r="Q1060" s="1">
        <f>Q1061</f>
        <v>9.0798127432350044E-3</v>
      </c>
      <c r="S1060" s="3"/>
    </row>
    <row r="1061" spans="2:19" x14ac:dyDescent="0.5">
      <c r="B1061" s="5" t="str">
        <f t="shared" si="1271"/>
        <v>SPS1</v>
      </c>
      <c r="C1061" s="5" t="str">
        <f t="shared" si="1272"/>
        <v>CH</v>
      </c>
      <c r="D1061" t="s">
        <v>1047</v>
      </c>
      <c r="E1061" t="s">
        <v>8</v>
      </c>
      <c r="F1061" s="1">
        <f>[1]Residential!B$105</f>
        <v>45.124442404384638</v>
      </c>
      <c r="G1061" s="1">
        <f>[1]Residential!C$105</f>
        <v>38.551224398548356</v>
      </c>
      <c r="H1061" s="1">
        <f>[1]Residential!D$105</f>
        <v>40.880909578057981</v>
      </c>
      <c r="I1061" s="1">
        <f>[1]Residential!E$105</f>
        <v>34.842545911685541</v>
      </c>
      <c r="J1061" s="1">
        <f>[1]Residential!F$105</f>
        <v>11.693298103893579</v>
      </c>
      <c r="K1061" s="1">
        <f>[1]Residential!G$105</f>
        <v>3.0833416955091043E-2</v>
      </c>
      <c r="L1061" s="1">
        <f>[1]Residential!H$105</f>
        <v>2.8768222178670599E-2</v>
      </c>
      <c r="M1061" s="1">
        <f>[1]Residential!I$105</f>
        <v>2.8687830150144152E-2</v>
      </c>
      <c r="N1061" s="1">
        <f>[1]Residential!J$105</f>
        <v>1.0109608400336197E-2</v>
      </c>
      <c r="O1061" s="1">
        <f>[1]Residential!K$105</f>
        <v>1.0088387034798288E-2</v>
      </c>
      <c r="P1061" s="1">
        <f>[1]Residential!L$105</f>
        <v>1.0078939750166193E-2</v>
      </c>
      <c r="Q1061" s="1">
        <f>[1]Residential!M$105</f>
        <v>9.0798127432350044E-3</v>
      </c>
      <c r="S1061" s="3"/>
    </row>
    <row r="1062" spans="2:19" x14ac:dyDescent="0.5">
      <c r="B1062" s="5" t="str">
        <f t="shared" si="1271"/>
        <v>SPS1</v>
      </c>
      <c r="C1062" s="5" t="str">
        <f t="shared" si="1272"/>
        <v>CH</v>
      </c>
      <c r="D1062" t="s">
        <v>1048</v>
      </c>
      <c r="E1062" t="s">
        <v>8</v>
      </c>
      <c r="F1062" s="1">
        <f>SUM(F1063:F1064)</f>
        <v>36.569968241703563</v>
      </c>
      <c r="G1062" s="1">
        <f t="shared" ref="G1062:K1062" si="1276">SUM(G1063:G1064)</f>
        <v>39.185288916914715</v>
      </c>
      <c r="H1062" s="1">
        <f t="shared" si="1276"/>
        <v>38.112135189628489</v>
      </c>
      <c r="I1062" s="1">
        <f t="shared" si="1276"/>
        <v>38.115049343019876</v>
      </c>
      <c r="J1062" s="1">
        <f t="shared" si="1276"/>
        <v>37.826242863158789</v>
      </c>
      <c r="K1062" s="1">
        <f t="shared" si="1276"/>
        <v>27.037329874766119</v>
      </c>
      <c r="L1062" s="1">
        <f t="shared" ref="L1062:O1062" si="1277">SUM(L1063:L1064)</f>
        <v>21.513246443494698</v>
      </c>
      <c r="M1062" s="1">
        <f t="shared" si="1277"/>
        <v>11.573415869681195</v>
      </c>
      <c r="N1062" s="1">
        <f t="shared" si="1277"/>
        <v>9.9738239420930839</v>
      </c>
      <c r="O1062" s="1">
        <f t="shared" si="1277"/>
        <v>9.6109793252716731</v>
      </c>
      <c r="P1062" s="1">
        <f>SUM(P1063:P1064)</f>
        <v>9.6109187085394474</v>
      </c>
      <c r="Q1062" s="1">
        <f>SUM(Q1063:Q1064)</f>
        <v>8.9135663299431567</v>
      </c>
      <c r="S1062" s="3"/>
    </row>
    <row r="1063" spans="2:19" x14ac:dyDescent="0.5">
      <c r="B1063" s="5" t="str">
        <f t="shared" si="1271"/>
        <v>SPS1</v>
      </c>
      <c r="C1063" s="5" t="str">
        <f t="shared" si="1272"/>
        <v>CH</v>
      </c>
      <c r="D1063" t="s">
        <v>1049</v>
      </c>
      <c r="E1063" t="s">
        <v>8</v>
      </c>
      <c r="F1063" s="1">
        <f>[1]Residential!B$106</f>
        <v>36.569968241703563</v>
      </c>
      <c r="G1063" s="1">
        <f>[1]Residential!C$106</f>
        <v>39.185288916914715</v>
      </c>
      <c r="H1063" s="1">
        <f>[1]Residential!D$106</f>
        <v>38.074200059793753</v>
      </c>
      <c r="I1063" s="1">
        <f>[1]Residential!E$106</f>
        <v>38.073972635009795</v>
      </c>
      <c r="J1063" s="1">
        <f>[1]Residential!F$106</f>
        <v>33.428213337240955</v>
      </c>
      <c r="K1063" s="1">
        <f>[1]Residential!G$106</f>
        <v>22.64551073860007</v>
      </c>
      <c r="L1063" s="1">
        <f>[1]Residential!H$106</f>
        <v>14.250384537284695</v>
      </c>
      <c r="M1063" s="1">
        <f>[1]Residential!I$106</f>
        <v>8.6224486395263789</v>
      </c>
      <c r="N1063" s="1">
        <f>[1]Residential!J$106</f>
        <v>7.0204761594418015</v>
      </c>
      <c r="O1063" s="1">
        <f>[1]Residential!K$106</f>
        <v>6.6519240174885015</v>
      </c>
      <c r="P1063" s="1">
        <f>[1]Residential!L$106</f>
        <v>6.6519123132916924</v>
      </c>
      <c r="Q1063" s="1">
        <f>[1]Residential!M$106</f>
        <v>5.9552385488382296</v>
      </c>
      <c r="S1063" s="3"/>
    </row>
    <row r="1064" spans="2:19" x14ac:dyDescent="0.5">
      <c r="B1064" s="5" t="str">
        <f t="shared" si="1271"/>
        <v>SPS1</v>
      </c>
      <c r="C1064" s="5" t="str">
        <f t="shared" si="1272"/>
        <v>CH</v>
      </c>
      <c r="D1064" t="s">
        <v>1050</v>
      </c>
      <c r="E1064" t="s">
        <v>8</v>
      </c>
      <c r="F1064" s="1">
        <f>[1]Residential!B$107</f>
        <v>0</v>
      </c>
      <c r="G1064" s="1">
        <f>[1]Residential!C$107</f>
        <v>0</v>
      </c>
      <c r="H1064" s="1">
        <f>[1]Residential!D$107</f>
        <v>3.7935129834734016E-2</v>
      </c>
      <c r="I1064" s="1">
        <f>[1]Residential!E$107</f>
        <v>4.1076708010080287E-2</v>
      </c>
      <c r="J1064" s="1">
        <f>[1]Residential!F$107</f>
        <v>4.3980295259178366</v>
      </c>
      <c r="K1064" s="1">
        <f>[1]Residential!G$107</f>
        <v>4.3918191361660481</v>
      </c>
      <c r="L1064" s="1">
        <f>[1]Residential!H$107</f>
        <v>7.262861906210003</v>
      </c>
      <c r="M1064" s="1">
        <f>[1]Residential!I$107</f>
        <v>2.950967230154816</v>
      </c>
      <c r="N1064" s="1">
        <f>[1]Residential!J$107</f>
        <v>2.9533477826512828</v>
      </c>
      <c r="O1064" s="1">
        <f>[1]Residential!K$107</f>
        <v>2.9590553077831721</v>
      </c>
      <c r="P1064" s="1">
        <f>[1]Residential!L$107</f>
        <v>2.9590063952477554</v>
      </c>
      <c r="Q1064" s="1">
        <f>[1]Residential!M$107</f>
        <v>2.9583277811049271</v>
      </c>
      <c r="S1064" s="3"/>
    </row>
    <row r="1065" spans="2:19" x14ac:dyDescent="0.5">
      <c r="B1065" s="5" t="str">
        <f t="shared" si="1271"/>
        <v>SPS1</v>
      </c>
      <c r="C1065" s="5" t="str">
        <f t="shared" si="1272"/>
        <v>CH</v>
      </c>
      <c r="D1065" t="s">
        <v>1051</v>
      </c>
      <c r="E1065" t="s">
        <v>8</v>
      </c>
      <c r="F1065" s="1">
        <f>F1066</f>
        <v>7.202694159742308E-2</v>
      </c>
      <c r="G1065" s="1">
        <f t="shared" ref="G1065:O1065" si="1278">G1066</f>
        <v>7.202648174738685E-2</v>
      </c>
      <c r="H1065" s="1">
        <f t="shared" si="1278"/>
        <v>5.633985171772193E-3</v>
      </c>
      <c r="I1065" s="1">
        <f t="shared" si="1278"/>
        <v>2.7210520115713652E-3</v>
      </c>
      <c r="J1065" s="1">
        <f t="shared" si="1278"/>
        <v>1.0511319964732317E-3</v>
      </c>
      <c r="K1065" s="1">
        <f t="shared" si="1278"/>
        <v>0</v>
      </c>
      <c r="L1065" s="1">
        <f t="shared" si="1278"/>
        <v>0</v>
      </c>
      <c r="M1065" s="1">
        <f t="shared" si="1278"/>
        <v>0</v>
      </c>
      <c r="N1065" s="1">
        <f t="shared" si="1278"/>
        <v>0</v>
      </c>
      <c r="O1065" s="1">
        <f t="shared" si="1278"/>
        <v>0</v>
      </c>
      <c r="P1065" s="1">
        <f>P1066</f>
        <v>0</v>
      </c>
      <c r="Q1065" s="1">
        <f>Q1066</f>
        <v>0</v>
      </c>
      <c r="S1065" s="3"/>
    </row>
    <row r="1066" spans="2:19" x14ac:dyDescent="0.5">
      <c r="B1066" s="5" t="str">
        <f t="shared" si="1271"/>
        <v>SPS1</v>
      </c>
      <c r="C1066" s="5" t="str">
        <f t="shared" si="1272"/>
        <v>CH</v>
      </c>
      <c r="D1066" t="s">
        <v>1052</v>
      </c>
      <c r="E1066" t="s">
        <v>8</v>
      </c>
      <c r="F1066" s="1">
        <f>[1]Residential!B$108</f>
        <v>7.202694159742308E-2</v>
      </c>
      <c r="G1066" s="1">
        <f>[1]Residential!C$108</f>
        <v>7.202648174738685E-2</v>
      </c>
      <c r="H1066" s="1">
        <f>[1]Residential!D$108</f>
        <v>5.633985171772193E-3</v>
      </c>
      <c r="I1066" s="1">
        <f>[1]Residential!E$108</f>
        <v>2.7210520115713652E-3</v>
      </c>
      <c r="J1066" s="1">
        <f>[1]Residential!F$108</f>
        <v>1.0511319964732317E-3</v>
      </c>
      <c r="K1066" s="1">
        <f>[1]Residential!G$108</f>
        <v>0</v>
      </c>
      <c r="L1066" s="1">
        <f>[1]Residential!H$108</f>
        <v>0</v>
      </c>
      <c r="M1066" s="1">
        <f>[1]Residential!I$108</f>
        <v>0</v>
      </c>
      <c r="N1066" s="1">
        <f>[1]Residential!J$108</f>
        <v>0</v>
      </c>
      <c r="O1066" s="1">
        <f>[1]Residential!K$108</f>
        <v>0</v>
      </c>
      <c r="P1066" s="1">
        <f>[1]Residential!L$108</f>
        <v>0</v>
      </c>
      <c r="Q1066" s="1">
        <f>[1]Residential!M$108</f>
        <v>0</v>
      </c>
      <c r="S1066" s="3"/>
    </row>
    <row r="1067" spans="2:19" x14ac:dyDescent="0.5">
      <c r="B1067" s="5" t="str">
        <f t="shared" si="1271"/>
        <v>SPS1</v>
      </c>
      <c r="C1067" s="5" t="str">
        <f t="shared" si="1272"/>
        <v>CH</v>
      </c>
      <c r="D1067" t="s">
        <v>1053</v>
      </c>
      <c r="E1067" t="s">
        <v>8</v>
      </c>
      <c r="F1067" s="1">
        <f>SUM([1]Residential!B$109:B$110)</f>
        <v>4.7127010513761745</v>
      </c>
      <c r="G1067" s="1">
        <f>SUM([1]Residential!C$109:C$110)</f>
        <v>7.6987589219732779</v>
      </c>
      <c r="H1067" s="1">
        <f>SUM([1]Residential!D$109:D$110)</f>
        <v>7.9719701845478861</v>
      </c>
      <c r="I1067" s="1">
        <f>SUM([1]Residential!E$109:E$110)</f>
        <v>5.8238574545433055</v>
      </c>
      <c r="J1067" s="1">
        <f>SUM([1]Residential!F$109:F$110)</f>
        <v>7.0291265023051217</v>
      </c>
      <c r="K1067" s="1">
        <f>SUM([1]Residential!G$109:G$110)</f>
        <v>7.531431587503354</v>
      </c>
      <c r="L1067" s="1">
        <f>SUM([1]Residential!H$109:H$110)</f>
        <v>7.4784210014704877</v>
      </c>
      <c r="M1067" s="1">
        <f>SUM([1]Residential!I$109:I$110)</f>
        <v>7.806184317516184</v>
      </c>
      <c r="N1067" s="1">
        <f>SUM([1]Residential!J$109:J$110)</f>
        <v>7.6566153622250148</v>
      </c>
      <c r="O1067" s="1">
        <f>SUM([1]Residential!K$109:K$110)</f>
        <v>7.1963369954082346</v>
      </c>
      <c r="P1067" s="1">
        <f>SUM([1]Residential!L$109:L$110)</f>
        <v>7.8812709470176641</v>
      </c>
      <c r="Q1067" s="1">
        <f>SUM([1]Residential!M$109:M$110)</f>
        <v>6.9687496917755007</v>
      </c>
      <c r="S1067" s="3"/>
    </row>
    <row r="1068" spans="2:19" x14ac:dyDescent="0.5">
      <c r="B1068" s="5" t="str">
        <f t="shared" si="1271"/>
        <v>SPS1</v>
      </c>
      <c r="C1068" s="5" t="str">
        <f t="shared" si="1272"/>
        <v>CH</v>
      </c>
      <c r="D1068" t="s">
        <v>1054</v>
      </c>
      <c r="E1068" t="s">
        <v>8</v>
      </c>
      <c r="F1068" s="1">
        <f>[1]Residential!B$109</f>
        <v>7.777095367656045E-2</v>
      </c>
      <c r="G1068" s="1">
        <f>[1]Residential!C$109</f>
        <v>5.645154808295764E-3</v>
      </c>
      <c r="H1068" s="1">
        <f>[1]Residential!D$109</f>
        <v>0.31817205705720103</v>
      </c>
      <c r="I1068" s="1">
        <f>[1]Residential!E$109</f>
        <v>0.32349188365255255</v>
      </c>
      <c r="J1068" s="1">
        <f>[1]Residential!F$109</f>
        <v>0.33331808931986034</v>
      </c>
      <c r="K1068" s="1">
        <f>[1]Residential!G$109</f>
        <v>0.33745404275664731</v>
      </c>
      <c r="L1068" s="1">
        <f>[1]Residential!H$109</f>
        <v>0.33736766291065368</v>
      </c>
      <c r="M1068" s="1">
        <f>[1]Residential!I$109</f>
        <v>0.57504513834691273</v>
      </c>
      <c r="N1068" s="1">
        <f>[1]Residential!J$109</f>
        <v>0.57741324027607588</v>
      </c>
      <c r="O1068" s="1">
        <f>[1]Residential!K$109</f>
        <v>0.58602623981770607</v>
      </c>
      <c r="P1068" s="1">
        <f>[1]Residential!L$109</f>
        <v>0.60454037716499542</v>
      </c>
      <c r="Q1068" s="1">
        <f>[1]Residential!M$109</f>
        <v>0.61685321951511807</v>
      </c>
      <c r="S1068" s="3"/>
    </row>
    <row r="1069" spans="2:19" x14ac:dyDescent="0.5">
      <c r="B1069" s="5" t="str">
        <f t="shared" si="1271"/>
        <v>SPS1</v>
      </c>
      <c r="C1069" s="5" t="str">
        <f t="shared" si="1272"/>
        <v>CH</v>
      </c>
      <c r="D1069" t="s">
        <v>1055</v>
      </c>
      <c r="E1069" t="s">
        <v>8</v>
      </c>
      <c r="F1069" s="1">
        <f>IFERROR(F$1068/F$1043,0)*F1044</f>
        <v>7.777095367656045E-2</v>
      </c>
      <c r="G1069" s="1">
        <f t="shared" ref="G1069:K1069" si="1279">IFERROR(G$1068/G$1043,0)*G1044</f>
        <v>5.645154808295764E-3</v>
      </c>
      <c r="H1069" s="1">
        <f t="shared" si="1279"/>
        <v>0.31817205705720103</v>
      </c>
      <c r="I1069" s="1">
        <f t="shared" si="1279"/>
        <v>0.3088581219359986</v>
      </c>
      <c r="J1069" s="1">
        <f t="shared" si="1279"/>
        <v>0.3001234217678122</v>
      </c>
      <c r="K1069" s="1">
        <f t="shared" si="1279"/>
        <v>0.13785280267033526</v>
      </c>
      <c r="L1069" s="1">
        <f t="shared" ref="L1069:O1069" si="1280">IFERROR(L$1068/L$1043,0)*L1044</f>
        <v>0</v>
      </c>
      <c r="M1069" s="1">
        <f t="shared" si="1280"/>
        <v>0</v>
      </c>
      <c r="N1069" s="1">
        <f t="shared" si="1280"/>
        <v>6.9364368397374102E-2</v>
      </c>
      <c r="O1069" s="1">
        <f t="shared" si="1280"/>
        <v>0.22562011475654337</v>
      </c>
      <c r="P1069" s="1">
        <f t="shared" ref="P1069:Q1071" si="1281">IFERROR(P$1068/P$1043,0)*P1044</f>
        <v>0.32285348379602768</v>
      </c>
      <c r="Q1069" s="1">
        <f t="shared" si="1281"/>
        <v>0.49832647012287395</v>
      </c>
      <c r="S1069" s="3"/>
    </row>
    <row r="1070" spans="2:19" x14ac:dyDescent="0.5">
      <c r="B1070" s="5" t="str">
        <f t="shared" si="1271"/>
        <v>SPS1</v>
      </c>
      <c r="C1070" s="5" t="str">
        <f t="shared" si="1272"/>
        <v>CH</v>
      </c>
      <c r="D1070" t="s">
        <v>1056</v>
      </c>
      <c r="E1070" t="s">
        <v>8</v>
      </c>
      <c r="F1070" s="1">
        <f t="shared" ref="F1070:K1070" si="1282">IFERROR(F$1068/F$1043,0)*F1045</f>
        <v>0</v>
      </c>
      <c r="G1070" s="1">
        <f t="shared" si="1282"/>
        <v>0</v>
      </c>
      <c r="H1070" s="1">
        <f t="shared" si="1282"/>
        <v>0</v>
      </c>
      <c r="I1070" s="1">
        <f t="shared" si="1282"/>
        <v>0</v>
      </c>
      <c r="J1070" s="1">
        <f t="shared" si="1282"/>
        <v>0</v>
      </c>
      <c r="K1070" s="1">
        <f t="shared" si="1282"/>
        <v>0</v>
      </c>
      <c r="L1070" s="1">
        <f t="shared" ref="L1070:O1070" si="1283">IFERROR(L$1068/L$1043,0)*L1045</f>
        <v>0</v>
      </c>
      <c r="M1070" s="1">
        <f t="shared" si="1283"/>
        <v>0</v>
      </c>
      <c r="N1070" s="1">
        <f t="shared" si="1283"/>
        <v>0</v>
      </c>
      <c r="O1070" s="1">
        <f t="shared" si="1283"/>
        <v>0</v>
      </c>
      <c r="P1070" s="1">
        <f t="shared" si="1281"/>
        <v>0</v>
      </c>
      <c r="Q1070" s="1">
        <f t="shared" si="1281"/>
        <v>0</v>
      </c>
      <c r="S1070" s="3"/>
    </row>
    <row r="1071" spans="2:19" x14ac:dyDescent="0.5">
      <c r="B1071" s="5" t="str">
        <f t="shared" si="1271"/>
        <v>SPS1</v>
      </c>
      <c r="C1071" s="5" t="str">
        <f t="shared" si="1272"/>
        <v>CH</v>
      </c>
      <c r="D1071" t="s">
        <v>1057</v>
      </c>
      <c r="E1071" t="s">
        <v>8</v>
      </c>
      <c r="F1071" s="1">
        <f t="shared" ref="F1071:K1071" si="1284">IFERROR(F$1068/F$1043,0)*F1046</f>
        <v>0</v>
      </c>
      <c r="G1071" s="1">
        <f t="shared" si="1284"/>
        <v>0</v>
      </c>
      <c r="H1071" s="1">
        <f t="shared" si="1284"/>
        <v>0</v>
      </c>
      <c r="I1071" s="1">
        <f t="shared" si="1284"/>
        <v>1.4633761716553987E-2</v>
      </c>
      <c r="J1071" s="1">
        <f t="shared" si="1284"/>
        <v>3.3194667552048134E-2</v>
      </c>
      <c r="K1071" s="1">
        <f t="shared" si="1284"/>
        <v>0.19960124008631203</v>
      </c>
      <c r="L1071" s="1">
        <f t="shared" ref="L1071:O1071" si="1285">IFERROR(L$1068/L$1043,0)*L1046</f>
        <v>0.33736766291065368</v>
      </c>
      <c r="M1071" s="1">
        <f t="shared" si="1285"/>
        <v>0.57504513834691273</v>
      </c>
      <c r="N1071" s="1">
        <f t="shared" si="1285"/>
        <v>0.50804887187870174</v>
      </c>
      <c r="O1071" s="1">
        <f t="shared" si="1285"/>
        <v>0.36040612506116271</v>
      </c>
      <c r="P1071" s="1">
        <f t="shared" si="1281"/>
        <v>0.28168689336896774</v>
      </c>
      <c r="Q1071" s="1">
        <f t="shared" si="1281"/>
        <v>0.1185267493922441</v>
      </c>
      <c r="S1071" s="3"/>
    </row>
    <row r="1072" spans="2:19" x14ac:dyDescent="0.5">
      <c r="B1072" s="5" t="str">
        <f t="shared" si="1271"/>
        <v>SPS1</v>
      </c>
      <c r="C1072" s="5" t="str">
        <f t="shared" si="1272"/>
        <v>CH</v>
      </c>
      <c r="D1072" t="s">
        <v>1058</v>
      </c>
      <c r="E1072" t="s">
        <v>8</v>
      </c>
      <c r="F1072" s="1">
        <f>F1067-F1068</f>
        <v>4.6349300976996144</v>
      </c>
      <c r="G1072" s="1">
        <f t="shared" ref="G1072:K1072" si="1286">G1067-G1068</f>
        <v>7.6931137671649825</v>
      </c>
      <c r="H1072" s="1">
        <f t="shared" si="1286"/>
        <v>7.6537981274906848</v>
      </c>
      <c r="I1072" s="1">
        <f t="shared" si="1286"/>
        <v>5.5003655708907528</v>
      </c>
      <c r="J1072" s="1">
        <f t="shared" si="1286"/>
        <v>6.6958084129852615</v>
      </c>
      <c r="K1072" s="1">
        <f t="shared" si="1286"/>
        <v>7.1939775447467067</v>
      </c>
      <c r="L1072" s="1">
        <f t="shared" ref="L1072:O1072" si="1287">L1067-L1068</f>
        <v>7.1410533385598338</v>
      </c>
      <c r="M1072" s="1">
        <f t="shared" si="1287"/>
        <v>7.2311391791692712</v>
      </c>
      <c r="N1072" s="1">
        <f t="shared" si="1287"/>
        <v>7.0792021219489385</v>
      </c>
      <c r="O1072" s="1">
        <f t="shared" si="1287"/>
        <v>6.6103107555905289</v>
      </c>
      <c r="P1072" s="1">
        <f>P1067-P1068</f>
        <v>7.2767305698526688</v>
      </c>
      <c r="Q1072" s="1">
        <f>Q1067-Q1068</f>
        <v>6.3518964722603828</v>
      </c>
      <c r="S1072" s="3"/>
    </row>
    <row r="1073" spans="2:19" x14ac:dyDescent="0.5">
      <c r="B1073" s="5" t="str">
        <f t="shared" si="1271"/>
        <v>SPS1</v>
      </c>
      <c r="C1073" s="5" t="str">
        <f t="shared" si="1272"/>
        <v>CH</v>
      </c>
      <c r="D1073" t="s">
        <v>1059</v>
      </c>
      <c r="E1073" t="s">
        <v>8</v>
      </c>
      <c r="F1073" s="1">
        <f>F1074</f>
        <v>9.1311257577545835</v>
      </c>
      <c r="G1073" s="1">
        <f t="shared" ref="G1073:O1073" si="1288">G1074</f>
        <v>10.580772709149016</v>
      </c>
      <c r="H1073" s="1">
        <f t="shared" si="1288"/>
        <v>9.1887817739161957</v>
      </c>
      <c r="I1073" s="1">
        <f t="shared" si="1288"/>
        <v>7.6949574480947058</v>
      </c>
      <c r="J1073" s="1">
        <f t="shared" si="1288"/>
        <v>6.1424978210021299</v>
      </c>
      <c r="K1073" s="1">
        <f t="shared" si="1288"/>
        <v>5.4555223273819111</v>
      </c>
      <c r="L1073" s="1">
        <f t="shared" si="1288"/>
        <v>5.4370177980441561</v>
      </c>
      <c r="M1073" s="1">
        <f t="shared" si="1288"/>
        <v>6.6910002871601213</v>
      </c>
      <c r="N1073" s="1">
        <f t="shared" si="1288"/>
        <v>4.5198264707883844</v>
      </c>
      <c r="O1073" s="1">
        <f t="shared" si="1288"/>
        <v>4.2550805855668266</v>
      </c>
      <c r="P1073" s="1">
        <f>P1074</f>
        <v>3.1449547398244864</v>
      </c>
      <c r="Q1073" s="1">
        <f>Q1074</f>
        <v>2.432462051275599</v>
      </c>
      <c r="S1073" s="3"/>
    </row>
    <row r="1074" spans="2:19" x14ac:dyDescent="0.5">
      <c r="B1074" s="5" t="str">
        <f t="shared" si="1271"/>
        <v>SPS1</v>
      </c>
      <c r="C1074" s="5" t="str">
        <f t="shared" si="1272"/>
        <v>CH</v>
      </c>
      <c r="D1074" t="s">
        <v>1060</v>
      </c>
      <c r="E1074" t="s">
        <v>8</v>
      </c>
      <c r="F1074" s="1">
        <f>[1]Residential!B$111</f>
        <v>9.1311257577545835</v>
      </c>
      <c r="G1074" s="1">
        <f>[1]Residential!C$111</f>
        <v>10.580772709149016</v>
      </c>
      <c r="H1074" s="1">
        <f>[1]Residential!D$111</f>
        <v>9.1887817739161957</v>
      </c>
      <c r="I1074" s="1">
        <f>[1]Residential!E$111</f>
        <v>7.6949574480947058</v>
      </c>
      <c r="J1074" s="1">
        <f>[1]Residential!F$111</f>
        <v>6.1424978210021299</v>
      </c>
      <c r="K1074" s="1">
        <f>[1]Residential!G$111</f>
        <v>5.4555223273819111</v>
      </c>
      <c r="L1074" s="1">
        <f>[1]Residential!H$111</f>
        <v>5.4370177980441561</v>
      </c>
      <c r="M1074" s="1">
        <f>[1]Residential!I$111</f>
        <v>6.6910002871601213</v>
      </c>
      <c r="N1074" s="1">
        <f>[1]Residential!J$111</f>
        <v>4.5198264707883844</v>
      </c>
      <c r="O1074" s="1">
        <f>[1]Residential!K$111</f>
        <v>4.2550805855668266</v>
      </c>
      <c r="P1074" s="1">
        <f>[1]Residential!L$111</f>
        <v>3.1449547398244864</v>
      </c>
      <c r="Q1074" s="1">
        <f>[1]Residential!M$111</f>
        <v>2.432462051275599</v>
      </c>
      <c r="S1074" s="3"/>
    </row>
    <row r="1075" spans="2:19" x14ac:dyDescent="0.5">
      <c r="B1075" s="5" t="str">
        <f t="shared" si="1271"/>
        <v>SPS1</v>
      </c>
      <c r="C1075" s="5" t="str">
        <f t="shared" si="1272"/>
        <v>CH</v>
      </c>
      <c r="D1075" t="s">
        <v>1061</v>
      </c>
      <c r="E1075" t="s">
        <v>8</v>
      </c>
      <c r="F1075" s="1">
        <f>F1076</f>
        <v>2.6969370168586586</v>
      </c>
      <c r="G1075" s="1">
        <f t="shared" ref="G1075:O1075" si="1289">G1076</f>
        <v>3.1683012567834452</v>
      </c>
      <c r="H1075" s="1">
        <f t="shared" si="1289"/>
        <v>3.1713009380744017</v>
      </c>
      <c r="I1075" s="1">
        <f t="shared" si="1289"/>
        <v>3.3056441566565709</v>
      </c>
      <c r="J1075" s="1">
        <f t="shared" si="1289"/>
        <v>3.4234962310567907</v>
      </c>
      <c r="K1075" s="1">
        <f t="shared" si="1289"/>
        <v>3.5192771165030132</v>
      </c>
      <c r="L1075" s="1">
        <f t="shared" si="1289"/>
        <v>3.5973846668756315</v>
      </c>
      <c r="M1075" s="1">
        <f t="shared" si="1289"/>
        <v>3.669652720465133</v>
      </c>
      <c r="N1075" s="1">
        <f t="shared" si="1289"/>
        <v>3.7227933980673371</v>
      </c>
      <c r="O1075" s="1">
        <f t="shared" si="1289"/>
        <v>3.7835412094215233</v>
      </c>
      <c r="P1075" s="1">
        <f>P1076</f>
        <v>3.7835629208656933</v>
      </c>
      <c r="Q1075" s="1">
        <f>Q1076</f>
        <v>3.7836567456353039</v>
      </c>
      <c r="S1075" s="3"/>
    </row>
    <row r="1076" spans="2:19" x14ac:dyDescent="0.5">
      <c r="B1076" s="5" t="str">
        <f t="shared" si="1271"/>
        <v>SPS1</v>
      </c>
      <c r="C1076" s="5" t="str">
        <f t="shared" si="1272"/>
        <v>CH</v>
      </c>
      <c r="D1076" t="s">
        <v>1062</v>
      </c>
      <c r="E1076" t="s">
        <v>8</v>
      </c>
      <c r="F1076" s="1">
        <f>[1]Residential!B$112</f>
        <v>2.6969370168586586</v>
      </c>
      <c r="G1076" s="1">
        <f>[1]Residential!C$112</f>
        <v>3.1683012567834452</v>
      </c>
      <c r="H1076" s="1">
        <f>[1]Residential!D$112</f>
        <v>3.1713009380744017</v>
      </c>
      <c r="I1076" s="1">
        <f>[1]Residential!E$112</f>
        <v>3.3056441566565709</v>
      </c>
      <c r="J1076" s="1">
        <f>[1]Residential!F$112</f>
        <v>3.4234962310567907</v>
      </c>
      <c r="K1076" s="1">
        <f>[1]Residential!G$112</f>
        <v>3.5192771165030132</v>
      </c>
      <c r="L1076" s="1">
        <f>[1]Residential!H$112</f>
        <v>3.5973846668756315</v>
      </c>
      <c r="M1076" s="1">
        <f>[1]Residential!I$112</f>
        <v>3.669652720465133</v>
      </c>
      <c r="N1076" s="1">
        <f>[1]Residential!J$112</f>
        <v>3.7227933980673371</v>
      </c>
      <c r="O1076" s="1">
        <f>[1]Residential!K$112</f>
        <v>3.7835412094215233</v>
      </c>
      <c r="P1076" s="1">
        <f>[1]Residential!L$112</f>
        <v>3.7835629208656933</v>
      </c>
      <c r="Q1076" s="1">
        <f>[1]Residential!M$112</f>
        <v>3.7836567456353039</v>
      </c>
      <c r="S1076" s="3"/>
    </row>
    <row r="1077" spans="2:19" x14ac:dyDescent="0.5">
      <c r="B1077" s="5" t="str">
        <f t="shared" si="1271"/>
        <v>SPS1</v>
      </c>
      <c r="C1077" s="5" t="str">
        <f t="shared" si="1272"/>
        <v>CH</v>
      </c>
      <c r="D1077" t="s">
        <v>1063</v>
      </c>
      <c r="E1077" t="s">
        <v>8</v>
      </c>
      <c r="F1077" s="1">
        <f>F1078</f>
        <v>0.78535275491516043</v>
      </c>
      <c r="G1077" s="1">
        <f t="shared" ref="G1077:O1077" si="1290">G1078</f>
        <v>0.94133477490202411</v>
      </c>
      <c r="H1077" s="1">
        <f t="shared" si="1290"/>
        <v>0.93622643711973352</v>
      </c>
      <c r="I1077" s="1">
        <f t="shared" si="1290"/>
        <v>0.90167591246369094</v>
      </c>
      <c r="J1077" s="1">
        <f t="shared" si="1290"/>
        <v>0.88819473375219082</v>
      </c>
      <c r="K1077" s="1">
        <f t="shared" si="1290"/>
        <v>1.4184907024503588</v>
      </c>
      <c r="L1077" s="1">
        <f t="shared" si="1290"/>
        <v>2.2538237699320893</v>
      </c>
      <c r="M1077" s="1">
        <f t="shared" si="1290"/>
        <v>2.8408039282509465</v>
      </c>
      <c r="N1077" s="1">
        <f t="shared" si="1290"/>
        <v>2.278562966638614</v>
      </c>
      <c r="O1077" s="1">
        <f t="shared" si="1290"/>
        <v>5.3999589331241903E-2</v>
      </c>
      <c r="P1077" s="1">
        <f>P1078</f>
        <v>2.3073254864545909</v>
      </c>
      <c r="Q1077" s="1">
        <f>Q1078</f>
        <v>0.91965533006403288</v>
      </c>
      <c r="S1077" s="3"/>
    </row>
    <row r="1078" spans="2:19" x14ac:dyDescent="0.5">
      <c r="B1078" s="5" t="str">
        <f t="shared" si="1271"/>
        <v>SPS1</v>
      </c>
      <c r="C1078" s="5" t="str">
        <f t="shared" si="1272"/>
        <v>CH</v>
      </c>
      <c r="D1078" t="s">
        <v>1064</v>
      </c>
      <c r="E1078" t="s">
        <v>8</v>
      </c>
      <c r="F1078" s="1">
        <f>[1]Residential!B$113</f>
        <v>0.78535275491516043</v>
      </c>
      <c r="G1078" s="1">
        <f>[1]Residential!C$113</f>
        <v>0.94133477490202411</v>
      </c>
      <c r="H1078" s="1">
        <f>[1]Residential!D$113</f>
        <v>0.93622643711973352</v>
      </c>
      <c r="I1078" s="1">
        <f>[1]Residential!E$113</f>
        <v>0.90167591246369094</v>
      </c>
      <c r="J1078" s="1">
        <f>[1]Residential!F$113</f>
        <v>0.88819473375219082</v>
      </c>
      <c r="K1078" s="1">
        <f>[1]Residential!G$113</f>
        <v>1.4184907024503588</v>
      </c>
      <c r="L1078" s="1">
        <f>[1]Residential!H$113</f>
        <v>2.2538237699320893</v>
      </c>
      <c r="M1078" s="1">
        <f>[1]Residential!I$113</f>
        <v>2.8408039282509465</v>
      </c>
      <c r="N1078" s="1">
        <f>[1]Residential!J$113</f>
        <v>2.278562966638614</v>
      </c>
      <c r="O1078" s="1">
        <f>[1]Residential!K$113</f>
        <v>5.3999589331241903E-2</v>
      </c>
      <c r="P1078" s="1">
        <f>[1]Residential!L$113</f>
        <v>2.3073254864545909</v>
      </c>
      <c r="Q1078" s="1">
        <f>[1]Residential!M$113</f>
        <v>0.91965533006403288</v>
      </c>
      <c r="S1078" s="3"/>
    </row>
    <row r="1079" spans="2:19" x14ac:dyDescent="0.5">
      <c r="B1079" s="5" t="str">
        <f t="shared" si="1271"/>
        <v>SPS1</v>
      </c>
      <c r="C1079" s="5" t="str">
        <f t="shared" si="1272"/>
        <v>CH</v>
      </c>
      <c r="D1079" t="s">
        <v>1065</v>
      </c>
      <c r="E1079" t="s">
        <v>8</v>
      </c>
      <c r="F1079" s="1">
        <f>F1080</f>
        <v>0</v>
      </c>
      <c r="G1079" s="1">
        <f t="shared" ref="G1079:O1079" si="1291">G1080</f>
        <v>0</v>
      </c>
      <c r="H1079" s="1">
        <f t="shared" si="1291"/>
        <v>0</v>
      </c>
      <c r="I1079" s="1">
        <f t="shared" si="1291"/>
        <v>0</v>
      </c>
      <c r="J1079" s="1">
        <f t="shared" si="1291"/>
        <v>0</v>
      </c>
      <c r="K1079" s="1">
        <f t="shared" si="1291"/>
        <v>0</v>
      </c>
      <c r="L1079" s="1">
        <f t="shared" si="1291"/>
        <v>0</v>
      </c>
      <c r="M1079" s="1">
        <f t="shared" si="1291"/>
        <v>0</v>
      </c>
      <c r="N1079" s="1">
        <f t="shared" si="1291"/>
        <v>0</v>
      </c>
      <c r="O1079" s="1">
        <f t="shared" si="1291"/>
        <v>0</v>
      </c>
      <c r="P1079" s="1">
        <f>P1080</f>
        <v>0</v>
      </c>
      <c r="Q1079" s="1">
        <f>Q1080</f>
        <v>0</v>
      </c>
      <c r="S1079" s="3"/>
    </row>
    <row r="1080" spans="2:19" x14ac:dyDescent="0.5">
      <c r="B1080" s="5" t="str">
        <f t="shared" si="1271"/>
        <v>SPS1</v>
      </c>
      <c r="C1080" s="5" t="str">
        <f t="shared" si="1272"/>
        <v>CH</v>
      </c>
      <c r="D1080" t="s">
        <v>1066</v>
      </c>
      <c r="E1080" t="s">
        <v>8</v>
      </c>
      <c r="F1080" s="1">
        <f>[1]Residential!B$114</f>
        <v>0</v>
      </c>
      <c r="G1080" s="1">
        <f>[1]Residential!C$114</f>
        <v>0</v>
      </c>
      <c r="H1080" s="1">
        <f>[1]Residential!D$114</f>
        <v>0</v>
      </c>
      <c r="I1080" s="1">
        <f>[1]Residential!E$114</f>
        <v>0</v>
      </c>
      <c r="J1080" s="1">
        <f>[1]Residential!F$114</f>
        <v>0</v>
      </c>
      <c r="K1080" s="1">
        <f>[1]Residential!G$114</f>
        <v>0</v>
      </c>
      <c r="L1080" s="1">
        <f>[1]Residential!H$114</f>
        <v>0</v>
      </c>
      <c r="M1080" s="1">
        <f>[1]Residential!I$114</f>
        <v>0</v>
      </c>
      <c r="N1080" s="1">
        <f>[1]Residential!J$114</f>
        <v>0</v>
      </c>
      <c r="O1080" s="1">
        <f>[1]Residential!K$114</f>
        <v>0</v>
      </c>
      <c r="P1080" s="1">
        <f>[1]Residential!L$114</f>
        <v>0</v>
      </c>
      <c r="Q1080" s="1">
        <f>[1]Residential!M$114</f>
        <v>0</v>
      </c>
      <c r="S1080" s="3"/>
    </row>
    <row r="1081" spans="2:19" x14ac:dyDescent="0.5">
      <c r="B1081" s="5" t="str">
        <f t="shared" si="1271"/>
        <v>SPS1</v>
      </c>
      <c r="C1081" s="5" t="str">
        <f t="shared" si="1272"/>
        <v>CH</v>
      </c>
      <c r="D1081" t="s">
        <v>1067</v>
      </c>
      <c r="E1081" t="s">
        <v>8</v>
      </c>
      <c r="F1081" s="1">
        <f>[1]Residential!B$10-[1]Residential!B$223</f>
        <v>2.1085331552854809</v>
      </c>
      <c r="G1081" s="1">
        <f>[1]Residential!C$10-[1]Residential!C$223</f>
        <v>5.6923398533099565</v>
      </c>
      <c r="H1081" s="1">
        <f>[1]Residential!D$10-[1]Residential!D$223</f>
        <v>5.6935024124892388</v>
      </c>
      <c r="I1081" s="1">
        <f>[1]Residential!E$10-[1]Residential!E$223</f>
        <v>5.6954580666600529</v>
      </c>
      <c r="J1081" s="1">
        <f>[1]Residential!F$10-[1]Residential!F$223</f>
        <v>15.341268774232297</v>
      </c>
      <c r="K1081" s="1">
        <f>[1]Residential!G$10-[1]Residential!G$223</f>
        <v>22.55048724326349</v>
      </c>
      <c r="L1081" s="1">
        <f>[1]Residential!H$10-[1]Residential!H$223</f>
        <v>22.550370499423362</v>
      </c>
      <c r="M1081" s="1">
        <f>[1]Residential!I$10-[1]Residential!I$223</f>
        <v>22.550922036055848</v>
      </c>
      <c r="N1081" s="1">
        <f>[1]Residential!J$10-[1]Residential!J$223</f>
        <v>22.547558284806154</v>
      </c>
      <c r="O1081" s="1">
        <f>[1]Residential!K$10-[1]Residential!K$223</f>
        <v>22.548376383346852</v>
      </c>
      <c r="P1081" s="1">
        <f>[1]Residential!L$10-[1]Residential!L$223</f>
        <v>21.790545493524565</v>
      </c>
      <c r="Q1081" s="1">
        <f>[1]Residential!M$10-[1]Residential!M$223</f>
        <v>14.741857260949303</v>
      </c>
      <c r="S1081" s="3"/>
    </row>
    <row r="1082" spans="2:19" x14ac:dyDescent="0.5">
      <c r="B1082" s="5" t="str">
        <f t="shared" si="1271"/>
        <v>SPS1</v>
      </c>
      <c r="C1082" s="5" t="str">
        <f t="shared" si="1272"/>
        <v>CH</v>
      </c>
      <c r="D1082" t="s">
        <v>1068</v>
      </c>
      <c r="E1082" t="s">
        <v>8</v>
      </c>
      <c r="F1082" s="1">
        <f>[1]Residential!B$224</f>
        <v>26.978472748369811</v>
      </c>
      <c r="G1082" s="1">
        <f>[1]Residential!C$224</f>
        <v>25.931056655738175</v>
      </c>
      <c r="H1082" s="1">
        <f>[1]Residential!D$224</f>
        <v>25.567657439152555</v>
      </c>
      <c r="I1082" s="1">
        <f>[1]Residential!E$224</f>
        <v>25.80804234439611</v>
      </c>
      <c r="J1082" s="1">
        <f>[1]Residential!F$224</f>
        <v>25.830988882333351</v>
      </c>
      <c r="K1082" s="1">
        <f>[1]Residential!G$224</f>
        <v>25.89495848784756</v>
      </c>
      <c r="L1082" s="1">
        <f>[1]Residential!H$224</f>
        <v>25.566870422432817</v>
      </c>
      <c r="M1082" s="1">
        <f>[1]Residential!I$224</f>
        <v>25.574818759432301</v>
      </c>
      <c r="N1082" s="1">
        <f>[1]Residential!J$224</f>
        <v>25.903296174240452</v>
      </c>
      <c r="O1082" s="1">
        <f>[1]Residential!K$224</f>
        <v>25.362950374055139</v>
      </c>
      <c r="P1082" s="1">
        <f>[1]Residential!L$224</f>
        <v>25.547216885739452</v>
      </c>
      <c r="Q1082" s="1">
        <f>[1]Residential!M$224</f>
        <v>24.066122531806002</v>
      </c>
      <c r="S1082" s="3"/>
    </row>
    <row r="1083" spans="2:19" x14ac:dyDescent="0.5">
      <c r="B1083" s="5" t="str">
        <f t="shared" si="1271"/>
        <v>SPS1</v>
      </c>
      <c r="C1083" s="5" t="str">
        <f t="shared" si="1272"/>
        <v>CH</v>
      </c>
      <c r="D1083" t="s">
        <v>1118</v>
      </c>
      <c r="E1083" t="s">
        <v>8</v>
      </c>
      <c r="F1083" s="1">
        <f>SUM(F1084:F1085)</f>
        <v>9.8846402263359359</v>
      </c>
      <c r="G1083" s="1">
        <f t="shared" ref="G1083:K1083" si="1292">SUM(G1084:G1085)</f>
        <v>10.604220990282403</v>
      </c>
      <c r="H1083" s="1">
        <f t="shared" si="1292"/>
        <v>11.067288303375994</v>
      </c>
      <c r="I1083" s="1">
        <f t="shared" si="1292"/>
        <v>12.687149805108803</v>
      </c>
      <c r="J1083" s="1">
        <f t="shared" si="1292"/>
        <v>15.119482618414205</v>
      </c>
      <c r="K1083" s="1">
        <f t="shared" si="1292"/>
        <v>18.630613032327432</v>
      </c>
      <c r="L1083" s="1">
        <f t="shared" ref="L1083:O1083" si="1293">SUM(L1084:L1085)</f>
        <v>17.537621069118835</v>
      </c>
      <c r="M1083" s="1">
        <f t="shared" si="1293"/>
        <v>18.482859952968756</v>
      </c>
      <c r="N1083" s="1">
        <f t="shared" si="1293"/>
        <v>19.840809463375958</v>
      </c>
      <c r="O1083" s="1">
        <f t="shared" si="1293"/>
        <v>22.266138610818501</v>
      </c>
      <c r="P1083" s="1">
        <f>SUM(P1084:P1085)</f>
        <v>19.507758865233541</v>
      </c>
      <c r="Q1083" s="1">
        <f>SUM(Q1084:Q1085)</f>
        <v>19.68784555779466</v>
      </c>
      <c r="S1083" s="3"/>
    </row>
    <row r="1084" spans="2:19" x14ac:dyDescent="0.5">
      <c r="B1084" s="5" t="str">
        <f t="shared" si="1271"/>
        <v>SPS1</v>
      </c>
      <c r="C1084" s="5" t="str">
        <f t="shared" si="1272"/>
        <v>CH</v>
      </c>
      <c r="D1084" t="s">
        <v>1119</v>
      </c>
      <c r="E1084" t="s">
        <v>8</v>
      </c>
      <c r="F1084" s="1">
        <f>[1]Residential!B$231-F1058</f>
        <v>6.6447225613347243</v>
      </c>
      <c r="G1084" s="1">
        <f>[1]Residential!C$231-G1058</f>
        <v>6.9687367307653476</v>
      </c>
      <c r="H1084" s="1">
        <f>[1]Residential!D$231-H1058</f>
        <v>5.9863344797314415</v>
      </c>
      <c r="I1084" s="1">
        <f>[1]Residential!E$231-I1058</f>
        <v>4.5291647058394355</v>
      </c>
      <c r="J1084" s="1">
        <f>[1]Residential!F$231-J1058</f>
        <v>2.1086112426162082</v>
      </c>
      <c r="K1084" s="1">
        <f>[1]Residential!G$231-K1058</f>
        <v>1.3077328503597112</v>
      </c>
      <c r="L1084" s="1">
        <f>[1]Residential!H$231-L1058</f>
        <v>0.86468740108346376</v>
      </c>
      <c r="M1084" s="1">
        <f>[1]Residential!I$231-M1058</f>
        <v>1.8912803397786511</v>
      </c>
      <c r="N1084" s="1">
        <f>[1]Residential!J$231-N1058</f>
        <v>1.5586773828308189</v>
      </c>
      <c r="O1084" s="1">
        <f>[1]Residential!K$231-O1058</f>
        <v>1.3961883761461693</v>
      </c>
      <c r="P1084" s="1">
        <f>[1]Residential!L$231-P1058</f>
        <v>0.72185229853880695</v>
      </c>
      <c r="Q1084" s="1">
        <f>[1]Residential!M$231-Q1058</f>
        <v>0.42211666687140181</v>
      </c>
      <c r="S1084" s="3"/>
    </row>
    <row r="1085" spans="2:19" x14ac:dyDescent="0.5">
      <c r="B1085" s="5" t="str">
        <f t="shared" si="1271"/>
        <v>SPS1</v>
      </c>
      <c r="C1085" s="5" t="str">
        <f t="shared" si="1272"/>
        <v>CH</v>
      </c>
      <c r="D1085" t="s">
        <v>1120</v>
      </c>
      <c r="E1085" t="s">
        <v>8</v>
      </c>
      <c r="F1085" s="1">
        <f>[1]Residential!B$233-F1059</f>
        <v>3.2399176650012116</v>
      </c>
      <c r="G1085" s="1">
        <f>[1]Residential!C$233-G1059</f>
        <v>3.6354842595170567</v>
      </c>
      <c r="H1085" s="1">
        <f>[1]Residential!D$233-H1059</f>
        <v>5.0809538236445526</v>
      </c>
      <c r="I1085" s="1">
        <f>[1]Residential!E$233-I1059</f>
        <v>8.1579850992693679</v>
      </c>
      <c r="J1085" s="1">
        <f>[1]Residential!F$233-J1059</f>
        <v>13.010871375797997</v>
      </c>
      <c r="K1085" s="1">
        <f>[1]Residential!G$233-K1059</f>
        <v>17.322880181967719</v>
      </c>
      <c r="L1085" s="1">
        <f>[1]Residential!H$233-L1059</f>
        <v>16.67293366803537</v>
      </c>
      <c r="M1085" s="1">
        <f>[1]Residential!I$233-M1059</f>
        <v>16.591579613190106</v>
      </c>
      <c r="N1085" s="1">
        <f>[1]Residential!J$233-N1059</f>
        <v>18.282132080545139</v>
      </c>
      <c r="O1085" s="1">
        <f>[1]Residential!K$233-O1059</f>
        <v>20.869950234672331</v>
      </c>
      <c r="P1085" s="1">
        <f>[1]Residential!L$233-P1059</f>
        <v>18.785906566694734</v>
      </c>
      <c r="Q1085" s="1">
        <f>[1]Residential!M$233-Q1059</f>
        <v>19.265728890923256</v>
      </c>
      <c r="S1085" s="3"/>
    </row>
    <row r="1086" spans="2:19" x14ac:dyDescent="0.5">
      <c r="B1086" s="5" t="str">
        <f t="shared" si="1271"/>
        <v>SPS1</v>
      </c>
      <c r="C1086" s="5" t="str">
        <f t="shared" si="1272"/>
        <v>CH</v>
      </c>
      <c r="D1086" t="s">
        <v>1069</v>
      </c>
      <c r="E1086" t="s">
        <v>8</v>
      </c>
      <c r="F1086" s="1">
        <f>F1087</f>
        <v>6.9844838390181536</v>
      </c>
      <c r="G1086" s="1">
        <f t="shared" ref="G1086:O1086" si="1294">G1087</f>
        <v>5.9211434383428241</v>
      </c>
      <c r="H1086" s="1">
        <f t="shared" si="1294"/>
        <v>1.7886621800332634</v>
      </c>
      <c r="I1086" s="1">
        <f t="shared" si="1294"/>
        <v>0.60778348494027767</v>
      </c>
      <c r="J1086" s="1">
        <f t="shared" si="1294"/>
        <v>0.17667316901128771</v>
      </c>
      <c r="K1086" s="1">
        <f t="shared" si="1294"/>
        <v>1.6209176248966131E-3</v>
      </c>
      <c r="L1086" s="1">
        <f t="shared" si="1294"/>
        <v>1.4697231569973691E-3</v>
      </c>
      <c r="M1086" s="1">
        <f t="shared" si="1294"/>
        <v>1.0225218890445135E-3</v>
      </c>
      <c r="N1086" s="1">
        <f t="shared" si="1294"/>
        <v>9.7383149979838983E-4</v>
      </c>
      <c r="O1086" s="1">
        <f t="shared" si="1294"/>
        <v>1.2510211285453026E-3</v>
      </c>
      <c r="P1086" s="1">
        <f>P1087</f>
        <v>1.5910373758689887E-3</v>
      </c>
      <c r="Q1086" s="1">
        <f>Q1087</f>
        <v>1.6266383164290198E-3</v>
      </c>
      <c r="S1086" s="3"/>
    </row>
    <row r="1087" spans="2:19" x14ac:dyDescent="0.5">
      <c r="B1087" s="5" t="str">
        <f t="shared" si="1271"/>
        <v>SPS1</v>
      </c>
      <c r="C1087" s="5" t="str">
        <f t="shared" si="1272"/>
        <v>CH</v>
      </c>
      <c r="D1087" t="s">
        <v>1070</v>
      </c>
      <c r="E1087" t="s">
        <v>8</v>
      </c>
      <c r="F1087" s="1">
        <f>[1]Residential!B$234-F1061</f>
        <v>6.9844838390181536</v>
      </c>
      <c r="G1087" s="1">
        <f>[1]Residential!C$234-G1061</f>
        <v>5.9211434383428241</v>
      </c>
      <c r="H1087" s="1">
        <f>[1]Residential!D$234-H1061</f>
        <v>1.7886621800332634</v>
      </c>
      <c r="I1087" s="1">
        <f>[1]Residential!E$234-I1061</f>
        <v>0.60778348494027767</v>
      </c>
      <c r="J1087" s="1">
        <f>[1]Residential!F$234-J1061</f>
        <v>0.17667316901128771</v>
      </c>
      <c r="K1087" s="1">
        <f>[1]Residential!G$234-K1061</f>
        <v>1.6209176248966131E-3</v>
      </c>
      <c r="L1087" s="1">
        <f>[1]Residential!H$234-L1061</f>
        <v>1.4697231569973691E-3</v>
      </c>
      <c r="M1087" s="1">
        <f>[1]Residential!I$234-M1061</f>
        <v>1.0225218890445135E-3</v>
      </c>
      <c r="N1087" s="1">
        <f>[1]Residential!J$234-N1061</f>
        <v>9.7383149979838983E-4</v>
      </c>
      <c r="O1087" s="1">
        <f>[1]Residential!K$234-O1061</f>
        <v>1.2510211285453026E-3</v>
      </c>
      <c r="P1087" s="1">
        <f>[1]Residential!L$234-P1061</f>
        <v>1.5910373758689887E-3</v>
      </c>
      <c r="Q1087" s="1">
        <f>[1]Residential!M$234-Q1061</f>
        <v>1.6266383164290198E-3</v>
      </c>
      <c r="S1087" s="3"/>
    </row>
    <row r="1088" spans="2:19" x14ac:dyDescent="0.5">
      <c r="B1088" s="5" t="str">
        <f t="shared" si="1271"/>
        <v>SPS1</v>
      </c>
      <c r="C1088" s="5" t="str">
        <f t="shared" si="1272"/>
        <v>CH</v>
      </c>
      <c r="D1088" t="s">
        <v>1071</v>
      </c>
      <c r="E1088" t="s">
        <v>8</v>
      </c>
      <c r="F1088" s="1">
        <f>SUM(F1089:F1090)</f>
        <v>6.3804768603498871</v>
      </c>
      <c r="G1088" s="1">
        <f t="shared" ref="G1088:K1088" si="1295">SUM(G1089:G1090)</f>
        <v>5.1633893111348144</v>
      </c>
      <c r="H1088" s="1">
        <f t="shared" si="1295"/>
        <v>9.2701954454535951</v>
      </c>
      <c r="I1088" s="1">
        <f t="shared" si="1295"/>
        <v>9.4037261465548276</v>
      </c>
      <c r="J1088" s="1">
        <f t="shared" si="1295"/>
        <v>7.7894880292135547</v>
      </c>
      <c r="K1088" s="1">
        <f t="shared" si="1295"/>
        <v>3.7789370315111341</v>
      </c>
      <c r="L1088" s="1">
        <f t="shared" ref="L1088:O1088" si="1296">SUM(L1089:L1090)</f>
        <v>3.2810749464338693</v>
      </c>
      <c r="M1088" s="1">
        <f t="shared" si="1296"/>
        <v>1.6955185270165445</v>
      </c>
      <c r="N1088" s="1">
        <f t="shared" si="1296"/>
        <v>1.4910428320737945</v>
      </c>
      <c r="O1088" s="1">
        <f t="shared" si="1296"/>
        <v>1.4450386856117845</v>
      </c>
      <c r="P1088" s="1">
        <f>SUM(P1089:P1090)</f>
        <v>1.4450425787672287</v>
      </c>
      <c r="Q1088" s="1">
        <f>SUM(Q1089:Q1090)</f>
        <v>1.3558102246240282</v>
      </c>
      <c r="S1088" s="3"/>
    </row>
    <row r="1089" spans="2:19" x14ac:dyDescent="0.5">
      <c r="B1089" s="5" t="str">
        <f t="shared" si="1271"/>
        <v>SPS1</v>
      </c>
      <c r="C1089" s="5" t="str">
        <f t="shared" si="1272"/>
        <v>CH</v>
      </c>
      <c r="D1089" t="s">
        <v>1072</v>
      </c>
      <c r="E1089" t="s">
        <v>8</v>
      </c>
      <c r="F1089" s="1">
        <f>[1]Residential!B$235-F1063</f>
        <v>6.3804768603498871</v>
      </c>
      <c r="G1089" s="1">
        <f>[1]Residential!C$235-G1063</f>
        <v>5.1633893111348144</v>
      </c>
      <c r="H1089" s="1">
        <f>[1]Residential!D$235-H1063</f>
        <v>9.262570411193721</v>
      </c>
      <c r="I1089" s="1">
        <f>[1]Residential!E$235-I1063</f>
        <v>9.3945624746314849</v>
      </c>
      <c r="J1089" s="1">
        <f>[1]Residential!F$235-J1063</f>
        <v>6.8960785533486515</v>
      </c>
      <c r="K1089" s="1">
        <f>[1]Residential!G$235-K1063</f>
        <v>2.8972572323772958</v>
      </c>
      <c r="L1089" s="1">
        <f>[1]Residential!H$235-L1063</f>
        <v>1.8232025598474522</v>
      </c>
      <c r="M1089" s="1">
        <f>[1]Residential!I$235-M1063</f>
        <v>1.1031660445610498</v>
      </c>
      <c r="N1089" s="1">
        <f>[1]Residential!J$235-N1063</f>
        <v>0.89821623798322481</v>
      </c>
      <c r="O1089" s="1">
        <f>[1]Residential!K$235-O1063</f>
        <v>0.85106495208277799</v>
      </c>
      <c r="P1089" s="1">
        <f>[1]Residential!L$235-P1063</f>
        <v>0.85106605601056007</v>
      </c>
      <c r="Q1089" s="1">
        <f>[1]Residential!M$235-Q1063</f>
        <v>0.76194815694139884</v>
      </c>
      <c r="S1089" s="3"/>
    </row>
    <row r="1090" spans="2:19" x14ac:dyDescent="0.5">
      <c r="B1090" s="5" t="str">
        <f t="shared" si="1271"/>
        <v>SPS1</v>
      </c>
      <c r="C1090" s="5" t="str">
        <f t="shared" si="1272"/>
        <v>CH</v>
      </c>
      <c r="D1090" t="s">
        <v>1073</v>
      </c>
      <c r="E1090" t="s">
        <v>8</v>
      </c>
      <c r="F1090" s="1">
        <f>[1]Residential!B$236-F1064</f>
        <v>0</v>
      </c>
      <c r="G1090" s="1">
        <f>[1]Residential!C$236-G1064</f>
        <v>0</v>
      </c>
      <c r="H1090" s="1">
        <f>[1]Residential!D$236-H1064</f>
        <v>7.6250342598741874E-3</v>
      </c>
      <c r="I1090" s="1">
        <f>[1]Residential!E$236-I1064</f>
        <v>9.1636719233431155E-3</v>
      </c>
      <c r="J1090" s="1">
        <f>[1]Residential!F$236-J1064</f>
        <v>0.89340947586490316</v>
      </c>
      <c r="K1090" s="1">
        <f>[1]Residential!G$236-K1064</f>
        <v>0.88167979913383832</v>
      </c>
      <c r="L1090" s="1">
        <f>[1]Residential!H$236-L1064</f>
        <v>1.4578723865864172</v>
      </c>
      <c r="M1090" s="1">
        <f>[1]Residential!I$236-M1064</f>
        <v>0.59235248245549466</v>
      </c>
      <c r="N1090" s="1">
        <f>[1]Residential!J$236-N1064</f>
        <v>0.5928265940905697</v>
      </c>
      <c r="O1090" s="1">
        <f>[1]Residential!K$236-O1064</f>
        <v>0.59397373352900651</v>
      </c>
      <c r="P1090" s="1">
        <f>[1]Residential!L$236-P1064</f>
        <v>0.59397652275666868</v>
      </c>
      <c r="Q1090" s="1">
        <f>[1]Residential!M$236-Q1064</f>
        <v>0.59386206768262939</v>
      </c>
      <c r="S1090" s="3"/>
    </row>
    <row r="1091" spans="2:19" x14ac:dyDescent="0.5">
      <c r="B1091" s="5" t="str">
        <f t="shared" si="1271"/>
        <v>SPS1</v>
      </c>
      <c r="C1091" s="5" t="str">
        <f t="shared" si="1272"/>
        <v>CH</v>
      </c>
      <c r="D1091" t="s">
        <v>1074</v>
      </c>
      <c r="E1091" t="s">
        <v>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S1091" s="3"/>
    </row>
    <row r="1092" spans="2:19" x14ac:dyDescent="0.5">
      <c r="B1092" s="5" t="str">
        <f t="shared" si="1271"/>
        <v>SPS1</v>
      </c>
      <c r="C1092" s="5" t="str">
        <f t="shared" si="1272"/>
        <v>CH</v>
      </c>
      <c r="D1092" t="s">
        <v>1075</v>
      </c>
      <c r="E1092" t="s">
        <v>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S1092" s="3"/>
    </row>
    <row r="1093" spans="2:19" x14ac:dyDescent="0.5">
      <c r="B1093" s="5" t="str">
        <f t="shared" si="1271"/>
        <v>SPS1</v>
      </c>
      <c r="C1093" s="5" t="str">
        <f t="shared" si="1272"/>
        <v>CH</v>
      </c>
      <c r="D1093" t="s">
        <v>1076</v>
      </c>
      <c r="E1093" t="s">
        <v>8</v>
      </c>
      <c r="F1093" s="1">
        <f>SUM(F1094,F1098)</f>
        <v>1.3170663612193791</v>
      </c>
      <c r="G1093" s="1">
        <f t="shared" ref="G1093:K1093" si="1297">SUM(G1094,G1098)</f>
        <v>1.4634039078803629</v>
      </c>
      <c r="H1093" s="1">
        <f t="shared" si="1297"/>
        <v>1.3904456216218826</v>
      </c>
      <c r="I1093" s="1">
        <f t="shared" si="1297"/>
        <v>1.0157744254844696</v>
      </c>
      <c r="J1093" s="1">
        <f t="shared" si="1297"/>
        <v>1.2259932170107177</v>
      </c>
      <c r="K1093" s="1">
        <f t="shared" si="1297"/>
        <v>1.3136184289617663</v>
      </c>
      <c r="L1093" s="1">
        <f t="shared" ref="L1093:O1093" si="1298">SUM(L1094,L1098)</f>
        <v>1.30438322836483</v>
      </c>
      <c r="M1093" s="1">
        <f t="shared" si="1298"/>
        <v>1.3587065199211741</v>
      </c>
      <c r="N1093" s="1">
        <f t="shared" si="1298"/>
        <v>1.3354349245087862</v>
      </c>
      <c r="O1093" s="1">
        <f t="shared" si="1298"/>
        <v>1.2550296488314012</v>
      </c>
      <c r="P1093" s="1">
        <f>SUM(P1094,P1098)</f>
        <v>1.3745970822012632</v>
      </c>
      <c r="Q1093" s="1">
        <f>SUM(Q1094,Q1098)</f>
        <v>1.2154128015751133</v>
      </c>
      <c r="S1093" s="3"/>
    </row>
    <row r="1094" spans="2:19" x14ac:dyDescent="0.5">
      <c r="B1094" s="5" t="str">
        <f t="shared" si="1271"/>
        <v>SPS1</v>
      </c>
      <c r="C1094" s="5" t="str">
        <f t="shared" si="1272"/>
        <v>CH</v>
      </c>
      <c r="D1094" t="s">
        <v>1077</v>
      </c>
      <c r="E1094" t="s">
        <v>8</v>
      </c>
      <c r="F1094" s="1">
        <f>[1]Residential!B$238-F1068</f>
        <v>2.1734777116286103E-2</v>
      </c>
      <c r="G1094" s="1">
        <f>[1]Residential!C$238-G1068</f>
        <v>1.0730484862269485E-3</v>
      </c>
      <c r="H1094" s="1">
        <f>[1]Residential!D$238-H1068</f>
        <v>5.5494555726653461E-2</v>
      </c>
      <c r="I1094" s="1">
        <f>[1]Residential!E$238-I1068</f>
        <v>5.6422188357257486E-2</v>
      </c>
      <c r="J1094" s="1">
        <f>[1]Residential!F$238-J1068</f>
        <v>5.8136059505987048E-2</v>
      </c>
      <c r="K1094" s="1">
        <f>[1]Residential!G$238-K1068</f>
        <v>5.8858112742909696E-2</v>
      </c>
      <c r="L1094" s="1">
        <f>[1]Residential!H$238-L1068</f>
        <v>5.8843534110578632E-2</v>
      </c>
      <c r="M1094" s="1">
        <f>[1]Residential!I$238-M1068</f>
        <v>0.10008956321563356</v>
      </c>
      <c r="N1094" s="1">
        <f>[1]Residential!J$238-N1068</f>
        <v>0.10071000963986954</v>
      </c>
      <c r="O1094" s="1">
        <f>[1]Residential!K$238-O1068</f>
        <v>0.10220203784698945</v>
      </c>
      <c r="P1094" s="1">
        <f>[1]Residential!L$238-P1068</f>
        <v>0.10543977540047778</v>
      </c>
      <c r="Q1094" s="1">
        <f>[1]Residential!M$238-Q1068</f>
        <v>0.10758476525227034</v>
      </c>
      <c r="S1094" s="3"/>
    </row>
    <row r="1095" spans="2:19" x14ac:dyDescent="0.5">
      <c r="B1095" s="5" t="str">
        <f t="shared" si="1271"/>
        <v>SPS1</v>
      </c>
      <c r="C1095" s="5" t="str">
        <f t="shared" si="1272"/>
        <v>CH</v>
      </c>
      <c r="D1095" t="s">
        <v>1078</v>
      </c>
      <c r="E1095" t="s">
        <v>8</v>
      </c>
      <c r="F1095" s="1">
        <f>IFERROR(F$1094/F$1043,0)*F1044</f>
        <v>2.1734777116286103E-2</v>
      </c>
      <c r="G1095" s="1">
        <f t="shared" ref="G1095:K1097" si="1299">IFERROR(G$1094/G$1043,0)*G1044</f>
        <v>1.0730484862269485E-3</v>
      </c>
      <c r="H1095" s="1">
        <f t="shared" si="1299"/>
        <v>5.5494555726653461E-2</v>
      </c>
      <c r="I1095" s="1">
        <f t="shared" si="1299"/>
        <v>5.3869824908060589E-2</v>
      </c>
      <c r="J1095" s="1">
        <f t="shared" si="1299"/>
        <v>5.2346373227558168E-2</v>
      </c>
      <c r="K1095" s="1">
        <f t="shared" si="1299"/>
        <v>2.4044031996818767E-2</v>
      </c>
      <c r="L1095" s="1">
        <f t="shared" ref="L1095:O1095" si="1300">IFERROR(L$1094/L$1043,0)*L1044</f>
        <v>0</v>
      </c>
      <c r="M1095" s="1">
        <f t="shared" si="1300"/>
        <v>0</v>
      </c>
      <c r="N1095" s="1">
        <f t="shared" si="1300"/>
        <v>1.2098243896560071E-2</v>
      </c>
      <c r="O1095" s="1">
        <f t="shared" si="1300"/>
        <v>3.9347786738292145E-2</v>
      </c>
      <c r="P1095" s="1">
        <f t="shared" ref="P1095:Q1097" si="1301">IFERROR(P$1094/P$1043,0)*P1044</f>
        <v>5.6309884508217181E-2</v>
      </c>
      <c r="Q1095" s="1">
        <f t="shared" si="1301"/>
        <v>8.6912631094483495E-2</v>
      </c>
      <c r="S1095" s="3"/>
    </row>
    <row r="1096" spans="2:19" x14ac:dyDescent="0.5">
      <c r="B1096" s="5" t="str">
        <f t="shared" si="1271"/>
        <v>SPS1</v>
      </c>
      <c r="C1096" s="5" t="str">
        <f t="shared" si="1272"/>
        <v>CH</v>
      </c>
      <c r="D1096" t="s">
        <v>1079</v>
      </c>
      <c r="E1096" t="s">
        <v>8</v>
      </c>
      <c r="F1096" s="1">
        <f>IFERROR(F$1094/F$1043,0)*F1045</f>
        <v>0</v>
      </c>
      <c r="G1096" s="1">
        <f t="shared" si="1299"/>
        <v>0</v>
      </c>
      <c r="H1096" s="1">
        <f t="shared" si="1299"/>
        <v>0</v>
      </c>
      <c r="I1096" s="1">
        <f t="shared" si="1299"/>
        <v>0</v>
      </c>
      <c r="J1096" s="1">
        <f t="shared" si="1299"/>
        <v>0</v>
      </c>
      <c r="K1096" s="1">
        <f t="shared" si="1299"/>
        <v>0</v>
      </c>
      <c r="L1096" s="1">
        <f t="shared" ref="L1096:O1096" si="1302">IFERROR(L$1094/L$1043,0)*L1045</f>
        <v>0</v>
      </c>
      <c r="M1096" s="1">
        <f t="shared" si="1302"/>
        <v>0</v>
      </c>
      <c r="N1096" s="1">
        <f t="shared" si="1302"/>
        <v>0</v>
      </c>
      <c r="O1096" s="1">
        <f t="shared" si="1302"/>
        <v>0</v>
      </c>
      <c r="P1096" s="1">
        <f t="shared" si="1301"/>
        <v>0</v>
      </c>
      <c r="Q1096" s="1">
        <f t="shared" si="1301"/>
        <v>0</v>
      </c>
      <c r="S1096" s="3"/>
    </row>
    <row r="1097" spans="2:19" x14ac:dyDescent="0.5">
      <c r="B1097" s="5" t="str">
        <f t="shared" si="1271"/>
        <v>SPS1</v>
      </c>
      <c r="C1097" s="5" t="str">
        <f t="shared" si="1272"/>
        <v>CH</v>
      </c>
      <c r="D1097" t="s">
        <v>1080</v>
      </c>
      <c r="E1097" t="s">
        <v>8</v>
      </c>
      <c r="F1097" s="1">
        <f>IFERROR(F$1094/F$1043,0)*F1046</f>
        <v>0</v>
      </c>
      <c r="G1097" s="1">
        <f t="shared" si="1299"/>
        <v>0</v>
      </c>
      <c r="H1097" s="1">
        <f t="shared" si="1299"/>
        <v>0</v>
      </c>
      <c r="I1097" s="1">
        <f t="shared" si="1299"/>
        <v>2.5523634491969043E-3</v>
      </c>
      <c r="J1097" s="1">
        <f t="shared" si="1299"/>
        <v>5.7896862784288811E-3</v>
      </c>
      <c r="K1097" s="1">
        <f t="shared" si="1299"/>
        <v>3.4814080746090929E-2</v>
      </c>
      <c r="L1097" s="1">
        <f t="shared" ref="L1097:O1097" si="1303">IFERROR(L$1094/L$1043,0)*L1046</f>
        <v>5.8843534110578632E-2</v>
      </c>
      <c r="M1097" s="1">
        <f t="shared" si="1303"/>
        <v>0.10008956321563356</v>
      </c>
      <c r="N1097" s="1">
        <f t="shared" si="1303"/>
        <v>8.8611765743309465E-2</v>
      </c>
      <c r="O1097" s="1">
        <f t="shared" si="1303"/>
        <v>6.2854251108697301E-2</v>
      </c>
      <c r="P1097" s="1">
        <f t="shared" si="1301"/>
        <v>4.9129890892260587E-2</v>
      </c>
      <c r="Q1097" s="1">
        <f t="shared" si="1301"/>
        <v>2.0672134157786844E-2</v>
      </c>
      <c r="S1097" s="3"/>
    </row>
    <row r="1098" spans="2:19" x14ac:dyDescent="0.5">
      <c r="B1098" s="5" t="str">
        <f t="shared" si="1271"/>
        <v>SPS1</v>
      </c>
      <c r="C1098" s="5" t="str">
        <f t="shared" si="1272"/>
        <v>CH</v>
      </c>
      <c r="D1098" t="s">
        <v>1081</v>
      </c>
      <c r="E1098" t="s">
        <v>8</v>
      </c>
      <c r="F1098" s="1">
        <f>[1]Residential!B$239-F1072</f>
        <v>1.295331584103093</v>
      </c>
      <c r="G1098" s="1">
        <f>[1]Residential!C$239-G1072</f>
        <v>1.462330859394136</v>
      </c>
      <c r="H1098" s="1">
        <f>[1]Residential!D$239-H1072</f>
        <v>1.334951065895229</v>
      </c>
      <c r="I1098" s="1">
        <f>[1]Residential!E$239-I1072</f>
        <v>0.95935223712721207</v>
      </c>
      <c r="J1098" s="1">
        <f>[1]Residential!F$239-J1072</f>
        <v>1.1678571575047307</v>
      </c>
      <c r="K1098" s="1">
        <f>[1]Residential!G$239-K1072</f>
        <v>1.2547603162188565</v>
      </c>
      <c r="L1098" s="1">
        <f>[1]Residential!H$239-L1072</f>
        <v>1.2455396942542514</v>
      </c>
      <c r="M1098" s="1">
        <f>[1]Residential!I$239-M1072</f>
        <v>1.2586169567055405</v>
      </c>
      <c r="N1098" s="1">
        <f>[1]Residential!J$239-N1072</f>
        <v>1.2347249148689166</v>
      </c>
      <c r="O1098" s="1">
        <f>[1]Residential!K$239-O1072</f>
        <v>1.1528276109844118</v>
      </c>
      <c r="P1098" s="1">
        <f>[1]Residential!L$239-P1072</f>
        <v>1.2691573068007855</v>
      </c>
      <c r="Q1098" s="1">
        <f>[1]Residential!M$239-Q1072</f>
        <v>1.107828036322843</v>
      </c>
      <c r="S1098" s="3"/>
    </row>
    <row r="1099" spans="2:19" x14ac:dyDescent="0.5">
      <c r="B1099" s="5" t="str">
        <f t="shared" si="1271"/>
        <v>SPS1</v>
      </c>
      <c r="C1099" s="5" t="str">
        <f t="shared" si="1272"/>
        <v>CH</v>
      </c>
      <c r="D1099" t="s">
        <v>1082</v>
      </c>
      <c r="E1099" t="s">
        <v>8</v>
      </c>
      <c r="F1099" s="1">
        <f>F1100</f>
        <v>0.5204978218793066</v>
      </c>
      <c r="G1099" s="1">
        <f t="shared" ref="G1099:O1099" si="1304">G1100</f>
        <v>0.59726856903071379</v>
      </c>
      <c r="H1099" s="1">
        <f t="shared" si="1304"/>
        <v>0.3737927820610274</v>
      </c>
      <c r="I1099" s="1">
        <f t="shared" si="1304"/>
        <v>0.31292293721907338</v>
      </c>
      <c r="J1099" s="1">
        <f t="shared" si="1304"/>
        <v>0.24975065315483924</v>
      </c>
      <c r="K1099" s="1">
        <f t="shared" si="1304"/>
        <v>0.22179088120729595</v>
      </c>
      <c r="L1099" s="1">
        <f t="shared" si="1304"/>
        <v>0.22103941010188599</v>
      </c>
      <c r="M1099" s="1">
        <f t="shared" si="1304"/>
        <v>0.27201018362068297</v>
      </c>
      <c r="N1099" s="1">
        <f t="shared" si="1304"/>
        <v>0.18375542410464174</v>
      </c>
      <c r="O1099" s="1">
        <f t="shared" si="1304"/>
        <v>0.17299748855821306</v>
      </c>
      <c r="P1099" s="1">
        <f>P1100</f>
        <v>0.12786842459098535</v>
      </c>
      <c r="Q1099" s="1">
        <f>Q1100</f>
        <v>9.8938783659809015E-2</v>
      </c>
      <c r="S1099" s="3"/>
    </row>
    <row r="1100" spans="2:19" x14ac:dyDescent="0.5">
      <c r="B1100" s="5" t="str">
        <f t="shared" si="1271"/>
        <v>SPS1</v>
      </c>
      <c r="C1100" s="5" t="str">
        <f t="shared" si="1272"/>
        <v>CH</v>
      </c>
      <c r="D1100" t="s">
        <v>1083</v>
      </c>
      <c r="E1100" t="s">
        <v>8</v>
      </c>
      <c r="F1100" s="1">
        <f>[1]Residential!B$240-F1074</f>
        <v>0.5204978218793066</v>
      </c>
      <c r="G1100" s="1">
        <f>[1]Residential!C$240-G1074</f>
        <v>0.59726856903071379</v>
      </c>
      <c r="H1100" s="1">
        <f>[1]Residential!D$240-H1074</f>
        <v>0.3737927820610274</v>
      </c>
      <c r="I1100" s="1">
        <f>[1]Residential!E$240-I1074</f>
        <v>0.31292293721907338</v>
      </c>
      <c r="J1100" s="1">
        <f>[1]Residential!F$240-J1074</f>
        <v>0.24975065315483924</v>
      </c>
      <c r="K1100" s="1">
        <f>[1]Residential!G$240-K1074</f>
        <v>0.22179088120729595</v>
      </c>
      <c r="L1100" s="1">
        <f>[1]Residential!H$240-L1074</f>
        <v>0.22103941010188599</v>
      </c>
      <c r="M1100" s="1">
        <f>[1]Residential!I$240-M1074</f>
        <v>0.27201018362068297</v>
      </c>
      <c r="N1100" s="1">
        <f>[1]Residential!J$240-N1074</f>
        <v>0.18375542410464174</v>
      </c>
      <c r="O1100" s="1">
        <f>[1]Residential!K$240-O1074</f>
        <v>0.17299748855821306</v>
      </c>
      <c r="P1100" s="1">
        <f>[1]Residential!L$240-P1074</f>
        <v>0.12786842459098535</v>
      </c>
      <c r="Q1100" s="1">
        <f>[1]Residential!M$240-Q1074</f>
        <v>9.8938783659809015E-2</v>
      </c>
      <c r="S1100" s="3"/>
    </row>
    <row r="1101" spans="2:19" x14ac:dyDescent="0.5">
      <c r="B1101" s="5" t="str">
        <f t="shared" si="1271"/>
        <v>SPS1</v>
      </c>
      <c r="C1101" s="5" t="str">
        <f t="shared" si="1272"/>
        <v>CH</v>
      </c>
      <c r="D1101" t="s">
        <v>1084</v>
      </c>
      <c r="E1101" t="s">
        <v>8</v>
      </c>
      <c r="F1101" s="1">
        <f>F1102</f>
        <v>0.16981961490729525</v>
      </c>
      <c r="G1101" s="1">
        <f t="shared" ref="G1101" si="1305">G1102</f>
        <v>0.19486430868899784</v>
      </c>
      <c r="H1101" s="1">
        <f t="shared" ref="H1101" si="1306">H1102</f>
        <v>0.12893201333600857</v>
      </c>
      <c r="I1101" s="1">
        <f t="shared" ref="I1101" si="1307">I1102</f>
        <v>0.13440818429205681</v>
      </c>
      <c r="J1101" s="1">
        <f t="shared" ref="J1101" si="1308">J1102</f>
        <v>0.13922065368954328</v>
      </c>
      <c r="K1101" s="1">
        <f t="shared" ref="K1101:O1101" si="1309">K1102</f>
        <v>0.14308606596953899</v>
      </c>
      <c r="L1101" s="1">
        <f t="shared" si="1309"/>
        <v>0.14626056610309668</v>
      </c>
      <c r="M1101" s="1">
        <f t="shared" si="1309"/>
        <v>0.14919701370076188</v>
      </c>
      <c r="N1101" s="1">
        <f t="shared" si="1309"/>
        <v>0.15135322747867441</v>
      </c>
      <c r="O1101" s="1">
        <f t="shared" si="1309"/>
        <v>0.1538270679350453</v>
      </c>
      <c r="P1101" s="1">
        <f>P1102</f>
        <v>0.15382581456653766</v>
      </c>
      <c r="Q1101" s="1">
        <f>Q1102</f>
        <v>0.15384236388307571</v>
      </c>
      <c r="S1101" s="3"/>
    </row>
    <row r="1102" spans="2:19" x14ac:dyDescent="0.5">
      <c r="B1102" s="5" t="str">
        <f t="shared" si="1271"/>
        <v>SPS1</v>
      </c>
      <c r="C1102" s="5" t="str">
        <f t="shared" si="1272"/>
        <v>CH</v>
      </c>
      <c r="D1102" t="s">
        <v>1085</v>
      </c>
      <c r="E1102" t="s">
        <v>8</v>
      </c>
      <c r="F1102" s="1">
        <f>[1]Residential!B$241-F1076</f>
        <v>0.16981961490729525</v>
      </c>
      <c r="G1102" s="1">
        <f>[1]Residential!C$241-G1076</f>
        <v>0.19486430868899784</v>
      </c>
      <c r="H1102" s="1">
        <f>[1]Residential!D$241-H1076</f>
        <v>0.12893201333600857</v>
      </c>
      <c r="I1102" s="1">
        <f>[1]Residential!E$241-I1076</f>
        <v>0.13440818429205681</v>
      </c>
      <c r="J1102" s="1">
        <f>[1]Residential!F$241-J1076</f>
        <v>0.13922065368954328</v>
      </c>
      <c r="K1102" s="1">
        <f>[1]Residential!G$241-K1076</f>
        <v>0.14308606596953899</v>
      </c>
      <c r="L1102" s="1">
        <f>[1]Residential!H$241-L1076</f>
        <v>0.14626056610309668</v>
      </c>
      <c r="M1102" s="1">
        <f>[1]Residential!I$241-M1076</f>
        <v>0.14919701370076188</v>
      </c>
      <c r="N1102" s="1">
        <f>[1]Residential!J$241-N1076</f>
        <v>0.15135322747867441</v>
      </c>
      <c r="O1102" s="1">
        <f>[1]Residential!K$241-O1076</f>
        <v>0.1538270679350453</v>
      </c>
      <c r="P1102" s="1">
        <f>[1]Residential!L$241-P1076</f>
        <v>0.15382581456653766</v>
      </c>
      <c r="Q1102" s="1">
        <f>[1]Residential!M$241-Q1076</f>
        <v>0.15384236388307571</v>
      </c>
      <c r="S1102" s="3"/>
    </row>
    <row r="1103" spans="2:19" x14ac:dyDescent="0.5">
      <c r="B1103" s="5" t="str">
        <f t="shared" si="1271"/>
        <v>SPS1</v>
      </c>
      <c r="C1103" s="5" t="str">
        <f t="shared" si="1272"/>
        <v>CH</v>
      </c>
      <c r="D1103" t="s">
        <v>1086</v>
      </c>
      <c r="E1103" t="s">
        <v>8</v>
      </c>
      <c r="F1103" s="1">
        <f>F1104</f>
        <v>1.7214880246598507</v>
      </c>
      <c r="G1103" s="1">
        <f t="shared" ref="G1103" si="1310">G1104</f>
        <v>1.9867661303780517</v>
      </c>
      <c r="H1103" s="1">
        <f t="shared" ref="H1103" si="1311">H1104</f>
        <v>1.5483410932707804</v>
      </c>
      <c r="I1103" s="1">
        <f t="shared" ref="I1103" si="1312">I1104</f>
        <v>1.6462773607966077</v>
      </c>
      <c r="J1103" s="1">
        <f t="shared" ref="J1103" si="1313">J1104</f>
        <v>1.1303805418392003</v>
      </c>
      <c r="K1103" s="1">
        <f t="shared" ref="K1103:O1103" si="1314">K1104</f>
        <v>1.8052921302454983</v>
      </c>
      <c r="L1103" s="1">
        <f t="shared" si="1314"/>
        <v>3.075021479153313</v>
      </c>
      <c r="M1103" s="1">
        <f t="shared" si="1314"/>
        <v>3.6155040403153373</v>
      </c>
      <c r="N1103" s="1">
        <f t="shared" si="1314"/>
        <v>2.8999264711987949</v>
      </c>
      <c r="O1103" s="1">
        <f t="shared" si="1314"/>
        <v>6.8667851171642313E-2</v>
      </c>
      <c r="P1103" s="1">
        <f>P1104</f>
        <v>2.9365330830040293</v>
      </c>
      <c r="Q1103" s="1">
        <f>Q1104</f>
        <v>1.5526461619528875</v>
      </c>
      <c r="S1103" s="3"/>
    </row>
    <row r="1104" spans="2:19" x14ac:dyDescent="0.5">
      <c r="B1104" s="5" t="str">
        <f t="shared" si="1271"/>
        <v>SPS1</v>
      </c>
      <c r="C1104" s="5" t="str">
        <f t="shared" si="1272"/>
        <v>CH</v>
      </c>
      <c r="D1104" t="s">
        <v>1087</v>
      </c>
      <c r="E1104" t="s">
        <v>8</v>
      </c>
      <c r="F1104" s="1">
        <f>[1]Residential!B$242-F1078</f>
        <v>1.7214880246598507</v>
      </c>
      <c r="G1104" s="1">
        <f>[1]Residential!C$242-G1078</f>
        <v>1.9867661303780517</v>
      </c>
      <c r="H1104" s="1">
        <f>[1]Residential!D$242-H1078</f>
        <v>1.5483410932707804</v>
      </c>
      <c r="I1104" s="1">
        <f>[1]Residential!E$242-I1078</f>
        <v>1.6462773607966077</v>
      </c>
      <c r="J1104" s="1">
        <f>[1]Residential!F$242-J1078</f>
        <v>1.1303805418392003</v>
      </c>
      <c r="K1104" s="1">
        <f>[1]Residential!G$242-K1078</f>
        <v>1.8052921302454983</v>
      </c>
      <c r="L1104" s="1">
        <f>[1]Residential!H$242-L1078</f>
        <v>3.075021479153313</v>
      </c>
      <c r="M1104" s="1">
        <f>[1]Residential!I$242-M1078</f>
        <v>3.6155040403153373</v>
      </c>
      <c r="N1104" s="1">
        <f>[1]Residential!J$242-N1078</f>
        <v>2.8999264711987949</v>
      </c>
      <c r="O1104" s="1">
        <f>[1]Residential!K$242-O1078</f>
        <v>6.8667851171642313E-2</v>
      </c>
      <c r="P1104" s="1">
        <f>[1]Residential!L$242-P1078</f>
        <v>2.9365330830040293</v>
      </c>
      <c r="Q1104" s="1">
        <f>[1]Residential!M$242-Q1078</f>
        <v>1.5526461619528875</v>
      </c>
      <c r="S1104" s="3"/>
    </row>
    <row r="1105" spans="2:19" x14ac:dyDescent="0.5">
      <c r="B1105" s="5" t="str">
        <f t="shared" si="1271"/>
        <v>SPS1</v>
      </c>
      <c r="C1105" s="5" t="str">
        <f t="shared" si="1272"/>
        <v>CH</v>
      </c>
      <c r="D1105" t="s">
        <v>1088</v>
      </c>
      <c r="E1105" t="s">
        <v>8</v>
      </c>
      <c r="F1105" s="1">
        <f>F1106</f>
        <v>0</v>
      </c>
      <c r="G1105" s="1">
        <f t="shared" ref="G1105" si="1315">G1106</f>
        <v>0</v>
      </c>
      <c r="H1105" s="1">
        <f t="shared" ref="H1105" si="1316">H1106</f>
        <v>0</v>
      </c>
      <c r="I1105" s="1">
        <f t="shared" ref="I1105" si="1317">I1106</f>
        <v>0</v>
      </c>
      <c r="J1105" s="1">
        <f t="shared" ref="J1105" si="1318">J1106</f>
        <v>0</v>
      </c>
      <c r="K1105" s="1">
        <f t="shared" ref="K1105:O1105" si="1319">K1106</f>
        <v>0</v>
      </c>
      <c r="L1105" s="1">
        <f t="shared" si="1319"/>
        <v>0</v>
      </c>
      <c r="M1105" s="1">
        <f t="shared" si="1319"/>
        <v>0</v>
      </c>
      <c r="N1105" s="1">
        <f t="shared" si="1319"/>
        <v>0</v>
      </c>
      <c r="O1105" s="1">
        <f t="shared" si="1319"/>
        <v>0</v>
      </c>
      <c r="P1105" s="1">
        <f>P1106</f>
        <v>0</v>
      </c>
      <c r="Q1105" s="1">
        <f>Q1106</f>
        <v>0</v>
      </c>
      <c r="S1105" s="3"/>
    </row>
    <row r="1106" spans="2:19" x14ac:dyDescent="0.5">
      <c r="B1106" s="5" t="str">
        <f t="shared" si="1271"/>
        <v>SPS1</v>
      </c>
      <c r="C1106" s="5" t="str">
        <f t="shared" si="1272"/>
        <v>CH</v>
      </c>
      <c r="D1106" t="s">
        <v>1089</v>
      </c>
      <c r="E1106" t="s">
        <v>8</v>
      </c>
      <c r="F1106" s="1">
        <f>[1]Residential!B$243-F1080</f>
        <v>0</v>
      </c>
      <c r="G1106" s="1">
        <f>[1]Residential!C$243-G1080</f>
        <v>0</v>
      </c>
      <c r="H1106" s="1">
        <f>[1]Residential!D$243-H1080</f>
        <v>0</v>
      </c>
      <c r="I1106" s="1">
        <f>[1]Residential!E$243-I1080</f>
        <v>0</v>
      </c>
      <c r="J1106" s="1">
        <f>[1]Residential!F$243-J1080</f>
        <v>0</v>
      </c>
      <c r="K1106" s="1">
        <f>[1]Residential!G$243-K1080</f>
        <v>0</v>
      </c>
      <c r="L1106" s="1">
        <f>[1]Residential!H$243-L1080</f>
        <v>0</v>
      </c>
      <c r="M1106" s="1">
        <f>[1]Residential!I$243-M1080</f>
        <v>0</v>
      </c>
      <c r="N1106" s="1">
        <f>[1]Residential!J$243-N1080</f>
        <v>0</v>
      </c>
      <c r="O1106" s="1">
        <f>[1]Residential!K$243-O1080</f>
        <v>0</v>
      </c>
      <c r="P1106" s="1">
        <f>[1]Residential!L$243-P1080</f>
        <v>0</v>
      </c>
      <c r="Q1106" s="1">
        <f>[1]Residential!M$243-Q1080</f>
        <v>0</v>
      </c>
      <c r="S1106" s="3"/>
    </row>
    <row r="1107" spans="2:19" x14ac:dyDescent="0.5">
      <c r="B1107" s="5" t="str">
        <f t="shared" si="1271"/>
        <v>SPS1</v>
      </c>
      <c r="C1107" s="5" t="str">
        <f t="shared" si="1272"/>
        <v>CH</v>
      </c>
      <c r="D1107" t="s">
        <v>1090</v>
      </c>
      <c r="E1107" t="s">
        <v>8</v>
      </c>
      <c r="F1107" s="1">
        <f>[1]Residential!B$244-F1081</f>
        <v>0</v>
      </c>
      <c r="G1107" s="1">
        <f>[1]Residential!C$244-G1081</f>
        <v>0</v>
      </c>
      <c r="H1107" s="1">
        <f>[1]Residential!D$244-H1081</f>
        <v>0</v>
      </c>
      <c r="I1107" s="1">
        <f>[1]Residential!E$244-I1081</f>
        <v>0</v>
      </c>
      <c r="J1107" s="1">
        <f>[1]Residential!F$244-J1081</f>
        <v>0</v>
      </c>
      <c r="K1107" s="1">
        <f>[1]Residential!G$244-K1081</f>
        <v>0</v>
      </c>
      <c r="L1107" s="1">
        <f>[1]Residential!H$244-L1081</f>
        <v>0</v>
      </c>
      <c r="M1107" s="1">
        <f>[1]Residential!I$244-M1081</f>
        <v>0</v>
      </c>
      <c r="N1107" s="1">
        <f>[1]Residential!J$244-N1081</f>
        <v>0</v>
      </c>
      <c r="O1107" s="1">
        <f>[1]Residential!K$244-O1081</f>
        <v>0</v>
      </c>
      <c r="P1107" s="1">
        <f>[1]Residential!L$244-P1081</f>
        <v>0</v>
      </c>
      <c r="Q1107" s="1">
        <f>[1]Residential!M$244-Q1081</f>
        <v>0</v>
      </c>
      <c r="S1107" s="3"/>
    </row>
    <row r="1108" spans="2:19" x14ac:dyDescent="0.5">
      <c r="B1108" s="5" t="str">
        <f t="shared" ref="B1108:B1135" si="1320">B1107</f>
        <v>SPS1</v>
      </c>
      <c r="C1108" s="5" t="str">
        <f t="shared" ref="C1108:C1135" si="1321">C1107</f>
        <v>CH</v>
      </c>
      <c r="D1108" s="2" t="s">
        <v>1091</v>
      </c>
      <c r="E1108" s="2" t="s">
        <v>240</v>
      </c>
      <c r="F1108" t="s">
        <v>292</v>
      </c>
      <c r="G1108" t="s">
        <v>292</v>
      </c>
      <c r="H1108" t="s">
        <v>292</v>
      </c>
      <c r="I1108" t="s">
        <v>292</v>
      </c>
      <c r="J1108" t="s">
        <v>292</v>
      </c>
      <c r="K1108" t="s">
        <v>292</v>
      </c>
      <c r="L1108" t="s">
        <v>292</v>
      </c>
      <c r="M1108" t="s">
        <v>292</v>
      </c>
      <c r="N1108" t="s">
        <v>292</v>
      </c>
      <c r="O1108" t="s">
        <v>292</v>
      </c>
      <c r="P1108" t="s">
        <v>292</v>
      </c>
      <c r="Q1108" t="s">
        <v>292</v>
      </c>
      <c r="S1108" s="3"/>
    </row>
    <row r="1109" spans="2:19" x14ac:dyDescent="0.5">
      <c r="B1109" s="5" t="str">
        <f>B1108</f>
        <v>SPS1</v>
      </c>
      <c r="C1109" s="5" t="str">
        <f>C1108</f>
        <v>CH</v>
      </c>
      <c r="D1109" t="s">
        <v>1121</v>
      </c>
      <c r="E1109" t="s">
        <v>240</v>
      </c>
      <c r="F1109" s="4">
        <f>IFERROR(F1058/F975,"-")</f>
        <v>0.94999999999999984</v>
      </c>
      <c r="G1109" s="4">
        <f t="shared" ref="G1109:K1110" si="1322">IFERROR(G1058/G975,"-")</f>
        <v>0.95000000000000029</v>
      </c>
      <c r="H1109" s="4">
        <f t="shared" si="1322"/>
        <v>0.94999999999999951</v>
      </c>
      <c r="I1109" s="4">
        <f t="shared" si="1322"/>
        <v>0.94999999999999951</v>
      </c>
      <c r="J1109" s="4">
        <f t="shared" si="1322"/>
        <v>0.95000000000000062</v>
      </c>
      <c r="K1109" s="4">
        <f t="shared" si="1322"/>
        <v>0.95000000000000029</v>
      </c>
      <c r="L1109" s="4">
        <f t="shared" ref="L1109:O1109" si="1323">IFERROR(L1058/L975,"-")</f>
        <v>0.94999999999999973</v>
      </c>
      <c r="M1109" s="4">
        <f t="shared" si="1323"/>
        <v>0.94999999999999962</v>
      </c>
      <c r="N1109" s="4">
        <f t="shared" si="1323"/>
        <v>0.95000000000000007</v>
      </c>
      <c r="O1109" s="4">
        <f t="shared" si="1323"/>
        <v>0.94999999999999973</v>
      </c>
      <c r="P1109" s="4">
        <f>IFERROR(P1058/P975,"-")</f>
        <v>0.94999999999999962</v>
      </c>
      <c r="Q1109" s="4">
        <f>IFERROR(Q1058/Q975,"-")</f>
        <v>0.95000000000000095</v>
      </c>
      <c r="S1109" s="3"/>
    </row>
    <row r="1110" spans="2:19" x14ac:dyDescent="0.5">
      <c r="B1110" s="5" t="str">
        <f t="shared" si="1320"/>
        <v>SPS1</v>
      </c>
      <c r="C1110" s="5" t="str">
        <f t="shared" si="1321"/>
        <v>CH</v>
      </c>
      <c r="D1110" t="s">
        <v>1122</v>
      </c>
      <c r="E1110" t="s">
        <v>240</v>
      </c>
      <c r="F1110" s="4">
        <f>IFERROR(F1059/F976,"-")</f>
        <v>3.2000000351466378</v>
      </c>
      <c r="G1110" s="4">
        <f t="shared" si="1322"/>
        <v>3.2533333633043178</v>
      </c>
      <c r="H1110" s="4">
        <f t="shared" si="1322"/>
        <v>3.3333333333333366</v>
      </c>
      <c r="I1110" s="4">
        <f t="shared" si="1322"/>
        <v>3.4666666666666663</v>
      </c>
      <c r="J1110" s="4">
        <f t="shared" si="1322"/>
        <v>3.5833333333333361</v>
      </c>
      <c r="K1110" s="4">
        <f t="shared" si="1322"/>
        <v>3.700000000000002</v>
      </c>
      <c r="L1110" s="4">
        <f t="shared" ref="L1110:O1110" si="1324">IFERROR(L1059/L976,"-")</f>
        <v>3.8000000000000016</v>
      </c>
      <c r="M1110" s="4">
        <f t="shared" si="1324"/>
        <v>3.9000000000000012</v>
      </c>
      <c r="N1110" s="4">
        <f t="shared" si="1324"/>
        <v>3.8999999999999995</v>
      </c>
      <c r="O1110" s="4">
        <f t="shared" si="1324"/>
        <v>3.9000000000000004</v>
      </c>
      <c r="P1110" s="4">
        <f>IFERROR(P1059/P976,"-")</f>
        <v>3.9000000000000012</v>
      </c>
      <c r="Q1110" s="4">
        <f>IFERROR(Q1059/Q976,"-")</f>
        <v>3.899999999999999</v>
      </c>
      <c r="S1110" s="3"/>
    </row>
    <row r="1111" spans="2:19" x14ac:dyDescent="0.5">
      <c r="B1111" s="5" t="str">
        <f t="shared" si="1320"/>
        <v>SPS1</v>
      </c>
      <c r="C1111" s="5" t="str">
        <f t="shared" si="1321"/>
        <v>CH</v>
      </c>
      <c r="D1111" t="s">
        <v>1092</v>
      </c>
      <c r="E1111" t="s">
        <v>240</v>
      </c>
      <c r="F1111" s="4">
        <f>IFERROR(F1061/F985,"-")</f>
        <v>0.89583333333333459</v>
      </c>
      <c r="G1111" s="4">
        <f t="shared" ref="G1111:K1111" si="1325">IFERROR(G1061/G985,"-")</f>
        <v>0.89583333333333426</v>
      </c>
      <c r="H1111" s="4">
        <f t="shared" si="1325"/>
        <v>0.89583333333333348</v>
      </c>
      <c r="I1111" s="4">
        <f t="shared" si="1325"/>
        <v>0.89583333333333448</v>
      </c>
      <c r="J1111" s="4">
        <f t="shared" si="1325"/>
        <v>0.89583333333333381</v>
      </c>
      <c r="K1111" s="4">
        <f t="shared" si="1325"/>
        <v>0.89583333333333337</v>
      </c>
      <c r="L1111" s="4">
        <f t="shared" ref="L1111:O1111" si="1326">IFERROR(L1061/L985,"-")</f>
        <v>0.8958333333333337</v>
      </c>
      <c r="M1111" s="4">
        <f t="shared" si="1326"/>
        <v>0.89583333333333304</v>
      </c>
      <c r="N1111" s="4">
        <f t="shared" si="1326"/>
        <v>0.8958333333333337</v>
      </c>
      <c r="O1111" s="4">
        <f t="shared" si="1326"/>
        <v>0.89583333333333437</v>
      </c>
      <c r="P1111" s="4">
        <f>IFERROR(P1061/P985,"-")</f>
        <v>0.89583333333333415</v>
      </c>
      <c r="Q1111" s="4">
        <f>IFERROR(Q1061/Q985,"-")</f>
        <v>0.89583333333333415</v>
      </c>
      <c r="S1111" s="3"/>
    </row>
    <row r="1112" spans="2:19" x14ac:dyDescent="0.5">
      <c r="B1112" s="5" t="str">
        <f t="shared" si="1320"/>
        <v>SPS1</v>
      </c>
      <c r="C1112" s="5" t="str">
        <f t="shared" si="1321"/>
        <v>CH</v>
      </c>
      <c r="D1112" t="s">
        <v>1093</v>
      </c>
      <c r="E1112" t="s">
        <v>240</v>
      </c>
      <c r="F1112" s="4">
        <f>IFERROR(F1063/F998,"-")</f>
        <v>0.95000000000000018</v>
      </c>
      <c r="G1112" s="4">
        <f t="shared" ref="G1112:K1112" si="1327">IFERROR(G1063/G998,"-")</f>
        <v>0.95000000000000018</v>
      </c>
      <c r="H1112" s="4">
        <f t="shared" si="1327"/>
        <v>0.95000000000000018</v>
      </c>
      <c r="I1112" s="4">
        <f t="shared" si="1327"/>
        <v>0.94999999999999929</v>
      </c>
      <c r="J1112" s="4">
        <f t="shared" si="1327"/>
        <v>0.95000000000000029</v>
      </c>
      <c r="K1112" s="4">
        <f t="shared" si="1327"/>
        <v>0.9499999999999994</v>
      </c>
      <c r="L1112" s="4">
        <f t="shared" ref="L1112:O1112" si="1328">IFERROR(L1063/L998,"-")</f>
        <v>0.94999999999999929</v>
      </c>
      <c r="M1112" s="4">
        <f t="shared" si="1328"/>
        <v>0.95000000000000007</v>
      </c>
      <c r="N1112" s="4">
        <f t="shared" si="1328"/>
        <v>0.95000000000000062</v>
      </c>
      <c r="O1112" s="4">
        <f t="shared" si="1328"/>
        <v>0.95000000000000007</v>
      </c>
      <c r="P1112" s="4">
        <f>IFERROR(P1063/P998,"-")</f>
        <v>0.9500000000000004</v>
      </c>
      <c r="Q1112" s="4">
        <f>IFERROR(Q1063/Q998,"-")</f>
        <v>0.94999999999999984</v>
      </c>
      <c r="S1112" s="3"/>
    </row>
    <row r="1113" spans="2:19" x14ac:dyDescent="0.5">
      <c r="B1113" s="5" t="str">
        <f t="shared" si="1320"/>
        <v>SPS1</v>
      </c>
      <c r="C1113" s="5" t="str">
        <f t="shared" si="1321"/>
        <v>CH</v>
      </c>
      <c r="D1113" t="s">
        <v>1094</v>
      </c>
      <c r="E1113" t="s">
        <v>240</v>
      </c>
      <c r="F1113" s="4" t="str">
        <f>IFERROR(F1064/F999,"-")</f>
        <v>-</v>
      </c>
      <c r="G1113" s="4" t="str">
        <f t="shared" ref="G1113:K1113" si="1329">IFERROR(G1064/G999,"-")</f>
        <v>-</v>
      </c>
      <c r="H1113" s="4">
        <f t="shared" si="1329"/>
        <v>1.9999999999999996</v>
      </c>
      <c r="I1113" s="4">
        <f t="shared" si="1329"/>
        <v>2.0799999999999996</v>
      </c>
      <c r="J1113" s="4">
        <f t="shared" si="1329"/>
        <v>2.15</v>
      </c>
      <c r="K1113" s="4">
        <f t="shared" si="1329"/>
        <v>2.2200000000000011</v>
      </c>
      <c r="L1113" s="4">
        <f t="shared" ref="L1113:O1113" si="1330">IFERROR(L1064/L999,"-")</f>
        <v>2.2799999999999994</v>
      </c>
      <c r="M1113" s="4">
        <f t="shared" si="1330"/>
        <v>2.3400000000000012</v>
      </c>
      <c r="N1113" s="4">
        <f t="shared" si="1330"/>
        <v>2.3400000000000012</v>
      </c>
      <c r="O1113" s="4">
        <f t="shared" si="1330"/>
        <v>2.34</v>
      </c>
      <c r="P1113" s="4">
        <f>IFERROR(P1064/P999,"-")</f>
        <v>2.3400000000000025</v>
      </c>
      <c r="Q1113" s="4">
        <f>IFERROR(Q1064/Q999,"-")</f>
        <v>2.3400000000000021</v>
      </c>
      <c r="S1113" s="3"/>
    </row>
    <row r="1114" spans="2:19" x14ac:dyDescent="0.5">
      <c r="B1114" s="5" t="str">
        <f t="shared" si="1320"/>
        <v>SPS1</v>
      </c>
      <c r="C1114" s="5" t="str">
        <f t="shared" si="1321"/>
        <v>CH</v>
      </c>
      <c r="D1114" t="s">
        <v>1095</v>
      </c>
      <c r="E1114" t="s">
        <v>240</v>
      </c>
      <c r="F1114" s="4">
        <f>IFERROR(F1066/F1017,"-")</f>
        <v>0.72000000000000053</v>
      </c>
      <c r="G1114" s="4">
        <f t="shared" ref="G1114:K1114" si="1331">IFERROR(G1066/G1017,"-")</f>
        <v>0.7200000000000002</v>
      </c>
      <c r="H1114" s="4">
        <f t="shared" si="1331"/>
        <v>0.72000000000000064</v>
      </c>
      <c r="I1114" s="4">
        <f t="shared" si="1331"/>
        <v>0.71999999999999964</v>
      </c>
      <c r="J1114" s="4">
        <f t="shared" si="1331"/>
        <v>0.71999999999999964</v>
      </c>
      <c r="K1114" s="4" t="str">
        <f t="shared" si="1331"/>
        <v>-</v>
      </c>
      <c r="L1114" s="4" t="str">
        <f t="shared" ref="L1114:O1114" si="1332">IFERROR(L1066/L1017,"-")</f>
        <v>-</v>
      </c>
      <c r="M1114" s="4" t="str">
        <f t="shared" si="1332"/>
        <v>-</v>
      </c>
      <c r="N1114" s="4" t="str">
        <f t="shared" si="1332"/>
        <v>-</v>
      </c>
      <c r="O1114" s="4" t="str">
        <f t="shared" si="1332"/>
        <v>-</v>
      </c>
      <c r="P1114" s="4" t="str">
        <f>IFERROR(P1066/P1017,"-")</f>
        <v>-</v>
      </c>
      <c r="Q1114" s="4" t="str">
        <f>IFERROR(Q1066/Q1017,"-")</f>
        <v>-</v>
      </c>
      <c r="S1114" s="3"/>
    </row>
    <row r="1115" spans="2:19" x14ac:dyDescent="0.5">
      <c r="B1115" s="5" t="str">
        <f t="shared" si="1320"/>
        <v>SPS1</v>
      </c>
      <c r="C1115" s="5" t="str">
        <f t="shared" si="1321"/>
        <v>CH</v>
      </c>
      <c r="D1115" t="s">
        <v>1096</v>
      </c>
      <c r="E1115" t="s">
        <v>240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  <c r="L1115" s="4">
        <v>0.99</v>
      </c>
      <c r="M1115" s="4">
        <v>0.99</v>
      </c>
      <c r="N1115" s="4">
        <v>0.99</v>
      </c>
      <c r="O1115" s="4">
        <v>0.99</v>
      </c>
      <c r="P1115" s="4">
        <v>0.99</v>
      </c>
      <c r="Q1115" s="4">
        <v>0.99</v>
      </c>
      <c r="S1115" s="3"/>
    </row>
    <row r="1116" spans="2:19" x14ac:dyDescent="0.5">
      <c r="B1116" s="5" t="str">
        <f t="shared" si="1320"/>
        <v>SPS1</v>
      </c>
      <c r="C1116" s="5" t="str">
        <f t="shared" si="1321"/>
        <v>CH</v>
      </c>
      <c r="D1116" t="s">
        <v>1097</v>
      </c>
      <c r="E1116" t="s">
        <v>240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  <c r="L1116" s="4">
        <v>0.99</v>
      </c>
      <c r="M1116" s="4">
        <v>0.99</v>
      </c>
      <c r="N1116" s="4">
        <v>0.99</v>
      </c>
      <c r="O1116" s="4">
        <v>0.99</v>
      </c>
      <c r="P1116" s="4">
        <v>0.99</v>
      </c>
      <c r="Q1116" s="4">
        <v>0.99</v>
      </c>
      <c r="S1116" s="3"/>
    </row>
    <row r="1117" spans="2:19" x14ac:dyDescent="0.5">
      <c r="B1117" s="5" t="str">
        <f t="shared" si="1320"/>
        <v>SPS1</v>
      </c>
      <c r="C1117" s="5" t="str">
        <f t="shared" si="1321"/>
        <v>CH</v>
      </c>
      <c r="D1117" t="s">
        <v>1098</v>
      </c>
      <c r="E1117" t="s">
        <v>240</v>
      </c>
      <c r="F1117" s="4">
        <v>0.99</v>
      </c>
      <c r="G1117" s="4">
        <v>0.99</v>
      </c>
      <c r="H1117" s="4">
        <v>0.99</v>
      </c>
      <c r="I1117" s="4">
        <v>0.99</v>
      </c>
      <c r="J1117" s="4">
        <v>0.99</v>
      </c>
      <c r="K1117" s="4">
        <v>0.99</v>
      </c>
      <c r="L1117" s="4">
        <v>0.99</v>
      </c>
      <c r="M1117" s="4">
        <v>0.99</v>
      </c>
      <c r="N1117" s="4">
        <v>0.99</v>
      </c>
      <c r="O1117" s="4">
        <v>0.99</v>
      </c>
      <c r="P1117" s="4">
        <v>0.99</v>
      </c>
      <c r="Q1117" s="4">
        <v>0.99</v>
      </c>
      <c r="S1117" s="3"/>
    </row>
    <row r="1118" spans="2:19" x14ac:dyDescent="0.5">
      <c r="B1118" s="5" t="str">
        <f t="shared" si="1320"/>
        <v>SPS1</v>
      </c>
      <c r="C1118" s="5" t="str">
        <f t="shared" si="1321"/>
        <v>CH</v>
      </c>
      <c r="D1118" t="s">
        <v>1099</v>
      </c>
      <c r="E1118" t="s">
        <v>240</v>
      </c>
      <c r="F1118" s="4">
        <v>0.99</v>
      </c>
      <c r="G1118" s="4">
        <v>0.99</v>
      </c>
      <c r="H1118" s="4">
        <v>0.99</v>
      </c>
      <c r="I1118" s="4">
        <v>0.99</v>
      </c>
      <c r="J1118" s="4">
        <v>0.99</v>
      </c>
      <c r="K1118" s="4">
        <v>0.99</v>
      </c>
      <c r="L1118" s="4">
        <v>0.99</v>
      </c>
      <c r="M1118" s="4">
        <v>0.99</v>
      </c>
      <c r="N1118" s="4">
        <v>0.99</v>
      </c>
      <c r="O1118" s="4">
        <v>0.99</v>
      </c>
      <c r="P1118" s="4">
        <v>0.99</v>
      </c>
      <c r="Q1118" s="4">
        <v>0.99</v>
      </c>
      <c r="S1118" s="3"/>
    </row>
    <row r="1119" spans="2:19" x14ac:dyDescent="0.5">
      <c r="B1119" s="5" t="str">
        <f t="shared" si="1320"/>
        <v>SPS1</v>
      </c>
      <c r="C1119" s="5" t="str">
        <f t="shared" si="1321"/>
        <v>CH</v>
      </c>
      <c r="D1119" t="s">
        <v>1100</v>
      </c>
      <c r="E1119" t="s">
        <v>240</v>
      </c>
      <c r="F1119" s="4">
        <f>IFERROR(F1074/F1022,"-")</f>
        <v>0.72000000000000031</v>
      </c>
      <c r="G1119" s="4">
        <f t="shared" ref="G1119:K1119" si="1333">IFERROR(G1074/G1022,"-")</f>
        <v>0.71999999999999953</v>
      </c>
      <c r="H1119" s="4">
        <f t="shared" si="1333"/>
        <v>0.72000000000000031</v>
      </c>
      <c r="I1119" s="4">
        <f t="shared" si="1333"/>
        <v>0.71999999999999964</v>
      </c>
      <c r="J1119" s="4">
        <f t="shared" si="1333"/>
        <v>0.71999999999999986</v>
      </c>
      <c r="K1119" s="4">
        <f t="shared" si="1333"/>
        <v>0.71999999999999942</v>
      </c>
      <c r="L1119" s="4">
        <f t="shared" ref="L1119:O1119" si="1334">IFERROR(L1074/L1022,"-")</f>
        <v>0.72</v>
      </c>
      <c r="M1119" s="4">
        <f t="shared" si="1334"/>
        <v>0.72</v>
      </c>
      <c r="N1119" s="4">
        <f t="shared" si="1334"/>
        <v>0.71999999999999975</v>
      </c>
      <c r="O1119" s="4">
        <f t="shared" si="1334"/>
        <v>0.72000000000000008</v>
      </c>
      <c r="P1119" s="4">
        <f>IFERROR(P1074/P1022,"-")</f>
        <v>0.7199999999999992</v>
      </c>
      <c r="Q1119" s="4">
        <f>IFERROR(Q1074/Q1022,"-")</f>
        <v>0.72</v>
      </c>
      <c r="S1119" s="3"/>
    </row>
    <row r="1120" spans="2:19" x14ac:dyDescent="0.5">
      <c r="B1120" s="5" t="str">
        <f t="shared" si="1320"/>
        <v>SPS1</v>
      </c>
      <c r="C1120" s="5" t="str">
        <f t="shared" si="1321"/>
        <v>CH</v>
      </c>
      <c r="D1120" t="s">
        <v>1101</v>
      </c>
      <c r="E1120" t="s">
        <v>240</v>
      </c>
      <c r="F1120" s="4">
        <f>IFERROR(F1076/F1027,"-")</f>
        <v>0.90000000000000047</v>
      </c>
      <c r="G1120" s="4">
        <f t="shared" ref="G1120:K1120" si="1335">IFERROR(G1076/G1027,"-")</f>
        <v>0.90000000000000036</v>
      </c>
      <c r="H1120" s="4">
        <f t="shared" si="1335"/>
        <v>0.9</v>
      </c>
      <c r="I1120" s="4">
        <f t="shared" si="1335"/>
        <v>0.89999999999999991</v>
      </c>
      <c r="J1120" s="4">
        <f t="shared" si="1335"/>
        <v>0.89999999999999969</v>
      </c>
      <c r="K1120" s="4">
        <f t="shared" si="1335"/>
        <v>0.89999999999999969</v>
      </c>
      <c r="L1120" s="4">
        <f t="shared" ref="L1120:O1120" si="1336">IFERROR(L1076/L1027,"-")</f>
        <v>0.90000000000000024</v>
      </c>
      <c r="M1120" s="4">
        <f t="shared" si="1336"/>
        <v>0.90000000000000058</v>
      </c>
      <c r="N1120" s="4">
        <f t="shared" si="1336"/>
        <v>0.89999999999999958</v>
      </c>
      <c r="O1120" s="4">
        <f t="shared" si="1336"/>
        <v>0.9</v>
      </c>
      <c r="P1120" s="4">
        <f>IFERROR(P1076/P1027,"-")</f>
        <v>0.8999999999999998</v>
      </c>
      <c r="Q1120" s="4">
        <f>IFERROR(Q1076/Q1027,"-")</f>
        <v>0.89999999999999936</v>
      </c>
      <c r="S1120" s="3"/>
    </row>
    <row r="1121" spans="2:19" x14ac:dyDescent="0.5">
      <c r="B1121" s="5" t="str">
        <f t="shared" si="1320"/>
        <v>SPS1</v>
      </c>
      <c r="C1121" s="5" t="str">
        <f t="shared" si="1321"/>
        <v>CH</v>
      </c>
      <c r="D1121" t="s">
        <v>1102</v>
      </c>
      <c r="E1121" t="s">
        <v>240</v>
      </c>
      <c r="F1121" s="4">
        <v>1</v>
      </c>
      <c r="G1121" s="4">
        <v>1</v>
      </c>
      <c r="H1121" s="4">
        <v>1</v>
      </c>
      <c r="I1121" s="4">
        <v>1</v>
      </c>
      <c r="J1121" s="4">
        <v>1</v>
      </c>
      <c r="K1121" s="4">
        <v>1</v>
      </c>
      <c r="L1121" s="4">
        <v>1</v>
      </c>
      <c r="M1121" s="4">
        <v>1</v>
      </c>
      <c r="N1121" s="4">
        <v>1</v>
      </c>
      <c r="O1121" s="4">
        <v>1</v>
      </c>
      <c r="P1121" s="4">
        <v>1</v>
      </c>
      <c r="Q1121" s="4">
        <v>1</v>
      </c>
      <c r="S1121" s="3"/>
    </row>
    <row r="1122" spans="2:19" x14ac:dyDescent="0.5">
      <c r="B1122" s="5" t="str">
        <f t="shared" si="1320"/>
        <v>SPS1</v>
      </c>
      <c r="C1122" s="5" t="str">
        <f t="shared" si="1321"/>
        <v>CH</v>
      </c>
      <c r="D1122" t="s">
        <v>1103</v>
      </c>
      <c r="E1122" t="s">
        <v>240</v>
      </c>
      <c r="F1122" s="4" t="str">
        <f>IFERROR(F1080/F1039,"-")</f>
        <v>-</v>
      </c>
      <c r="G1122" s="4" t="str">
        <f t="shared" ref="G1122:K1122" si="1337">IFERROR(G1080/G1039,"-")</f>
        <v>-</v>
      </c>
      <c r="H1122" s="4" t="str">
        <f t="shared" si="1337"/>
        <v>-</v>
      </c>
      <c r="I1122" s="4" t="str">
        <f t="shared" si="1337"/>
        <v>-</v>
      </c>
      <c r="J1122" s="4" t="str">
        <f t="shared" si="1337"/>
        <v>-</v>
      </c>
      <c r="K1122" s="4" t="str">
        <f t="shared" si="1337"/>
        <v>-</v>
      </c>
      <c r="L1122" s="4" t="str">
        <f t="shared" ref="L1122:O1122" si="1338">IFERROR(L1080/L1039,"-")</f>
        <v>-</v>
      </c>
      <c r="M1122" s="4" t="str">
        <f t="shared" si="1338"/>
        <v>-</v>
      </c>
      <c r="N1122" s="4" t="str">
        <f t="shared" si="1338"/>
        <v>-</v>
      </c>
      <c r="O1122" s="4" t="str">
        <f t="shared" si="1338"/>
        <v>-</v>
      </c>
      <c r="P1122" s="4" t="str">
        <f>IFERROR(P1080/P1039,"-")</f>
        <v>-</v>
      </c>
      <c r="Q1122" s="4" t="str">
        <f>IFERROR(Q1080/Q1039,"-")</f>
        <v>-</v>
      </c>
      <c r="S1122" s="3"/>
    </row>
    <row r="1123" spans="2:19" x14ac:dyDescent="0.5">
      <c r="B1123" s="5" t="str">
        <f t="shared" si="1320"/>
        <v>SPS1</v>
      </c>
      <c r="C1123" s="5" t="str">
        <f t="shared" si="1321"/>
        <v>CH</v>
      </c>
      <c r="D1123" t="s">
        <v>1123</v>
      </c>
      <c r="E1123" t="s">
        <v>240</v>
      </c>
      <c r="F1123" s="4">
        <f>IFERROR(F1084/F978,"-")</f>
        <v>0.78999999999999959</v>
      </c>
      <c r="G1123" s="4">
        <f t="shared" ref="G1123:K1124" si="1339">IFERROR(G1084/G978,"-")</f>
        <v>0.79199999999999993</v>
      </c>
      <c r="H1123" s="4">
        <f t="shared" si="1339"/>
        <v>0.79500000000000026</v>
      </c>
      <c r="I1123" s="4">
        <f t="shared" si="1339"/>
        <v>0.80000000000000038</v>
      </c>
      <c r="J1123" s="4">
        <f t="shared" si="1339"/>
        <v>0.80500000000000016</v>
      </c>
      <c r="K1123" s="4">
        <f t="shared" si="1339"/>
        <v>0.81000000000000061</v>
      </c>
      <c r="L1123" s="4">
        <f t="shared" ref="L1123:O1123" si="1340">IFERROR(L1084/L978,"-")</f>
        <v>0.81499999999999928</v>
      </c>
      <c r="M1123" s="4">
        <f t="shared" si="1340"/>
        <v>0.82000000000000017</v>
      </c>
      <c r="N1123" s="4">
        <f t="shared" si="1340"/>
        <v>0.82000000000000017</v>
      </c>
      <c r="O1123" s="4">
        <f t="shared" si="1340"/>
        <v>0.81999999999999917</v>
      </c>
      <c r="P1123" s="4">
        <f>IFERROR(P1084/P978,"-")</f>
        <v>0.81999999999999962</v>
      </c>
      <c r="Q1123" s="4">
        <f>IFERROR(Q1084/Q978,"-")</f>
        <v>0.81999999999999962</v>
      </c>
      <c r="S1123" s="3"/>
    </row>
    <row r="1124" spans="2:19" x14ac:dyDescent="0.5">
      <c r="B1124" s="5" t="str">
        <f t="shared" si="1320"/>
        <v>SPS1</v>
      </c>
      <c r="C1124" s="5" t="str">
        <f t="shared" si="1321"/>
        <v>CH</v>
      </c>
      <c r="D1124" t="s">
        <v>1124</v>
      </c>
      <c r="E1124" t="s">
        <v>240</v>
      </c>
      <c r="F1124" s="4">
        <f>IFERROR(F1085/F979,"-")</f>
        <v>2.8200000000000003</v>
      </c>
      <c r="G1124" s="4">
        <f t="shared" si="1339"/>
        <v>2.8260000000000005</v>
      </c>
      <c r="H1124" s="4">
        <f t="shared" si="1339"/>
        <v>2.8349999999999982</v>
      </c>
      <c r="I1124" s="4">
        <f t="shared" si="1339"/>
        <v>2.8500000000000019</v>
      </c>
      <c r="J1124" s="4">
        <f t="shared" si="1339"/>
        <v>2.9299999999999993</v>
      </c>
      <c r="K1124" s="4">
        <f t="shared" si="1339"/>
        <v>3.0100000000000016</v>
      </c>
      <c r="L1124" s="4">
        <f t="shared" ref="L1124:O1124" si="1341">IFERROR(L1085/L979,"-")</f>
        <v>3.0650000000000013</v>
      </c>
      <c r="M1124" s="4">
        <f t="shared" si="1341"/>
        <v>3.1200000000000006</v>
      </c>
      <c r="N1124" s="4">
        <f t="shared" si="1341"/>
        <v>3.12</v>
      </c>
      <c r="O1124" s="4">
        <f t="shared" si="1341"/>
        <v>3.1199999999999997</v>
      </c>
      <c r="P1124" s="4">
        <f>IFERROR(P1085/P979,"-")</f>
        <v>3.1199999999999983</v>
      </c>
      <c r="Q1124" s="4">
        <f>IFERROR(Q1085/Q979,"-")</f>
        <v>3.1199999999999988</v>
      </c>
      <c r="S1124" s="3"/>
    </row>
    <row r="1125" spans="2:19" x14ac:dyDescent="0.5">
      <c r="B1125" s="5" t="str">
        <f t="shared" si="1320"/>
        <v>SPS1</v>
      </c>
      <c r="C1125" s="5" t="str">
        <f t="shared" si="1321"/>
        <v>CH</v>
      </c>
      <c r="D1125" t="s">
        <v>1104</v>
      </c>
      <c r="E1125" t="s">
        <v>240</v>
      </c>
      <c r="F1125" s="4">
        <f>IFERROR(F1087/F991,"-")</f>
        <v>0.70833333333333359</v>
      </c>
      <c r="G1125" s="4">
        <f t="shared" ref="G1125:K1125" si="1342">IFERROR(G1087/G991,"-")</f>
        <v>0.71458333333333224</v>
      </c>
      <c r="H1125" s="4">
        <f t="shared" si="1342"/>
        <v>0.72395833333333226</v>
      </c>
      <c r="I1125" s="4">
        <f t="shared" si="1342"/>
        <v>0.73958333333333415</v>
      </c>
      <c r="J1125" s="4">
        <f t="shared" si="1342"/>
        <v>0.74739583333333315</v>
      </c>
      <c r="K1125" s="4">
        <f t="shared" si="1342"/>
        <v>0.7552083333333327</v>
      </c>
      <c r="L1125" s="4">
        <f t="shared" ref="L1125:O1125" si="1343">IFERROR(L1087/L991,"-")</f>
        <v>0.75520833333333426</v>
      </c>
      <c r="M1125" s="4">
        <f t="shared" si="1343"/>
        <v>0.75520833333333237</v>
      </c>
      <c r="N1125" s="4">
        <f t="shared" si="1343"/>
        <v>0.7552083333333327</v>
      </c>
      <c r="O1125" s="4">
        <f t="shared" si="1343"/>
        <v>0.7552083333333337</v>
      </c>
      <c r="P1125" s="4">
        <f>IFERROR(P1087/P991,"-")</f>
        <v>0.75520833333333248</v>
      </c>
      <c r="Q1125" s="4">
        <f>IFERROR(Q1087/Q991,"-")</f>
        <v>0.75520833333333359</v>
      </c>
      <c r="S1125" s="3"/>
    </row>
    <row r="1126" spans="2:19" x14ac:dyDescent="0.5">
      <c r="B1126" s="5" t="str">
        <f t="shared" si="1320"/>
        <v>SPS1</v>
      </c>
      <c r="C1126" s="5" t="str">
        <f t="shared" si="1321"/>
        <v>CH</v>
      </c>
      <c r="D1126" t="s">
        <v>1105</v>
      </c>
      <c r="E1126" t="s">
        <v>240</v>
      </c>
      <c r="F1126" s="4">
        <f>IFERROR(F1089/F1007,"-")</f>
        <v>0.75000000000000022</v>
      </c>
      <c r="G1126" s="4">
        <f t="shared" ref="G1126:K1126" si="1344">IFERROR(G1089/G1007,"-")</f>
        <v>0.75399999999999912</v>
      </c>
      <c r="H1126" s="4">
        <f t="shared" si="1344"/>
        <v>0.75999999999999979</v>
      </c>
      <c r="I1126" s="4">
        <f t="shared" si="1344"/>
        <v>0.7821512952222035</v>
      </c>
      <c r="J1126" s="4">
        <f t="shared" si="1344"/>
        <v>0.80565326743127996</v>
      </c>
      <c r="K1126" s="4">
        <f t="shared" si="1344"/>
        <v>0.86571846338025071</v>
      </c>
      <c r="L1126" s="4">
        <f t="shared" ref="L1126:O1126" si="1345">IFERROR(L1089/L1007,"-")</f>
        <v>0.83298459750273413</v>
      </c>
      <c r="M1126" s="4">
        <f t="shared" si="1345"/>
        <v>0.85389104883743649</v>
      </c>
      <c r="N1126" s="4">
        <f t="shared" si="1345"/>
        <v>0.97994795049192485</v>
      </c>
      <c r="O1126" s="4">
        <f t="shared" si="1345"/>
        <v>0.98486702585492325</v>
      </c>
      <c r="P1126" s="4">
        <f>IFERROR(P1089/P1007,"-")</f>
        <v>0.93666746497851805</v>
      </c>
      <c r="Q1126" s="4">
        <f>IFERROR(Q1089/Q1007,"-")</f>
        <v>1.0095447969263971</v>
      </c>
      <c r="S1126" s="3"/>
    </row>
    <row r="1127" spans="2:19" x14ac:dyDescent="0.5">
      <c r="B1127" s="5" t="str">
        <f t="shared" si="1320"/>
        <v>SPS1</v>
      </c>
      <c r="C1127" s="5" t="str">
        <f t="shared" si="1321"/>
        <v>CH</v>
      </c>
      <c r="D1127" t="s">
        <v>1106</v>
      </c>
      <c r="E1127" t="s">
        <v>240</v>
      </c>
      <c r="F1127" s="4" t="str">
        <f>IFERROR(F1090/F1008,"-")</f>
        <v>-</v>
      </c>
      <c r="G1127" s="4" t="str">
        <f t="shared" ref="G1127:K1127" si="1346">IFERROR(G1090/G1008,"-")</f>
        <v>-</v>
      </c>
      <c r="H1127" s="4">
        <f t="shared" si="1346"/>
        <v>1.7009999999999987</v>
      </c>
      <c r="I1127" s="4">
        <f t="shared" si="1346"/>
        <v>1.7099999999999969</v>
      </c>
      <c r="J1127" s="4">
        <f t="shared" si="1346"/>
        <v>1.7579999999999978</v>
      </c>
      <c r="K1127" s="4">
        <f t="shared" si="1346"/>
        <v>1.8059999999999981</v>
      </c>
      <c r="L1127" s="4">
        <f t="shared" ref="L1127:O1127" si="1347">IFERROR(L1090/L1008,"-")</f>
        <v>1.8390000000000017</v>
      </c>
      <c r="M1127" s="4">
        <f t="shared" si="1347"/>
        <v>1.8720000000000019</v>
      </c>
      <c r="N1127" s="4">
        <f t="shared" si="1347"/>
        <v>1.8719999999999994</v>
      </c>
      <c r="O1127" s="4">
        <f t="shared" si="1347"/>
        <v>1.8719999999999994</v>
      </c>
      <c r="P1127" s="4">
        <f>IFERROR(P1090/P1008,"-")</f>
        <v>1.871999999999999</v>
      </c>
      <c r="Q1127" s="4">
        <f>IFERROR(Q1090/Q1008,"-")</f>
        <v>1.872000000000001</v>
      </c>
      <c r="S1127" s="3"/>
    </row>
    <row r="1128" spans="2:19" x14ac:dyDescent="0.5">
      <c r="B1128" s="5" t="str">
        <f t="shared" si="1320"/>
        <v>SPS1</v>
      </c>
      <c r="C1128" s="5" t="str">
        <f t="shared" si="1321"/>
        <v>CH</v>
      </c>
      <c r="D1128" t="s">
        <v>1107</v>
      </c>
      <c r="E1128" t="s">
        <v>240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  <c r="L1128" s="4">
        <v>0.79</v>
      </c>
      <c r="M1128" s="4">
        <v>0.79</v>
      </c>
      <c r="N1128" s="4">
        <v>0.79</v>
      </c>
      <c r="O1128" s="4">
        <v>0.79</v>
      </c>
      <c r="P1128" s="4">
        <v>0.79</v>
      </c>
      <c r="Q1128" s="4">
        <v>0.79</v>
      </c>
      <c r="S1128" s="3"/>
    </row>
    <row r="1129" spans="2:19" x14ac:dyDescent="0.5">
      <c r="B1129" s="5" t="str">
        <f t="shared" si="1320"/>
        <v>SPS1</v>
      </c>
      <c r="C1129" s="5" t="str">
        <f t="shared" si="1321"/>
        <v>CH</v>
      </c>
      <c r="D1129" t="s">
        <v>1108</v>
      </c>
      <c r="E1129" t="s">
        <v>240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  <c r="L1129" s="4">
        <v>0.79</v>
      </c>
      <c r="M1129" s="4">
        <v>0.79</v>
      </c>
      <c r="N1129" s="4">
        <v>0.79</v>
      </c>
      <c r="O1129" s="4">
        <v>0.79</v>
      </c>
      <c r="P1129" s="4">
        <v>0.79</v>
      </c>
      <c r="Q1129" s="4">
        <v>0.79</v>
      </c>
      <c r="S1129" s="3"/>
    </row>
    <row r="1130" spans="2:19" x14ac:dyDescent="0.5">
      <c r="B1130" s="5" t="str">
        <f t="shared" si="1320"/>
        <v>SPS1</v>
      </c>
      <c r="C1130" s="5" t="str">
        <f t="shared" si="1321"/>
        <v>CH</v>
      </c>
      <c r="D1130" t="s">
        <v>1109</v>
      </c>
      <c r="E1130" t="s">
        <v>240</v>
      </c>
      <c r="F1130" s="4">
        <v>0.77</v>
      </c>
      <c r="G1130" s="4">
        <f>AVERAGE(F1130,H1130)</f>
        <v>0.77500000000000002</v>
      </c>
      <c r="H1130" s="4">
        <v>0.78</v>
      </c>
      <c r="I1130" s="4">
        <v>0.79</v>
      </c>
      <c r="J1130" s="4">
        <v>0.79</v>
      </c>
      <c r="K1130" s="4">
        <v>0.79</v>
      </c>
      <c r="L1130" s="4">
        <v>0.79</v>
      </c>
      <c r="M1130" s="4">
        <v>0.79</v>
      </c>
      <c r="N1130" s="4">
        <v>0.79</v>
      </c>
      <c r="O1130" s="4">
        <v>0.79</v>
      </c>
      <c r="P1130" s="4">
        <v>0.79</v>
      </c>
      <c r="Q1130" s="4">
        <v>0.79</v>
      </c>
      <c r="S1130" s="3"/>
    </row>
    <row r="1131" spans="2:19" x14ac:dyDescent="0.5">
      <c r="B1131" s="5" t="str">
        <f t="shared" si="1320"/>
        <v>SPS1</v>
      </c>
      <c r="C1131" s="5" t="str">
        <f t="shared" si="1321"/>
        <v>CH</v>
      </c>
      <c r="D1131" t="s">
        <v>1110</v>
      </c>
      <c r="E1131" t="s">
        <v>240</v>
      </c>
      <c r="F1131" s="4">
        <v>0.77</v>
      </c>
      <c r="G1131" s="4">
        <f>AVERAGE(F1131,H1131)</f>
        <v>0.77500000000000002</v>
      </c>
      <c r="H1131" s="4">
        <v>0.78</v>
      </c>
      <c r="I1131" s="4">
        <v>0.79</v>
      </c>
      <c r="J1131" s="4">
        <v>0.79</v>
      </c>
      <c r="K1131" s="4">
        <v>0.79</v>
      </c>
      <c r="L1131" s="4">
        <v>0.79</v>
      </c>
      <c r="M1131" s="4">
        <v>0.79</v>
      </c>
      <c r="N1131" s="4">
        <v>0.79</v>
      </c>
      <c r="O1131" s="4">
        <v>0.79</v>
      </c>
      <c r="P1131" s="4">
        <v>0.79</v>
      </c>
      <c r="Q1131" s="4">
        <v>0.79</v>
      </c>
      <c r="S1131" s="3"/>
    </row>
    <row r="1132" spans="2:19" x14ac:dyDescent="0.5">
      <c r="B1132" s="5" t="str">
        <f t="shared" si="1320"/>
        <v>SPS1</v>
      </c>
      <c r="C1132" s="5" t="str">
        <f t="shared" si="1321"/>
        <v>CH</v>
      </c>
      <c r="D1132" t="s">
        <v>1111</v>
      </c>
      <c r="E1132" t="s">
        <v>240</v>
      </c>
      <c r="F1132" s="4">
        <f>IFERROR(F1100/F1024,"-")</f>
        <v>0.50000000000000044</v>
      </c>
      <c r="G1132" s="4">
        <f t="shared" ref="G1132:K1132" si="1348">IFERROR(G1100/G1024,"-")</f>
        <v>0.49999999999999983</v>
      </c>
      <c r="H1132" s="4">
        <f t="shared" si="1348"/>
        <v>0.49999999999999939</v>
      </c>
      <c r="I1132" s="4">
        <f t="shared" si="1348"/>
        <v>0.49999999999999928</v>
      </c>
      <c r="J1132" s="4">
        <f t="shared" si="1348"/>
        <v>0.5</v>
      </c>
      <c r="K1132" s="4">
        <f t="shared" si="1348"/>
        <v>0.49999999999999933</v>
      </c>
      <c r="L1132" s="4">
        <f t="shared" ref="L1132:O1132" si="1349">IFERROR(L1100/L1024,"-")</f>
        <v>0.50000000000000022</v>
      </c>
      <c r="M1132" s="4">
        <f t="shared" si="1349"/>
        <v>0.50000000000000011</v>
      </c>
      <c r="N1132" s="4">
        <f t="shared" si="1349"/>
        <v>0.49999999999999944</v>
      </c>
      <c r="O1132" s="4">
        <f t="shared" si="1349"/>
        <v>0.50000000000000133</v>
      </c>
      <c r="P1132" s="4">
        <f>IFERROR(P1100/P1024,"-")</f>
        <v>0.49999999999999933</v>
      </c>
      <c r="Q1132" s="4">
        <f>IFERROR(Q1100/Q1024,"-")</f>
        <v>0.49999999999999983</v>
      </c>
      <c r="S1132" s="3"/>
    </row>
    <row r="1133" spans="2:19" x14ac:dyDescent="0.5">
      <c r="B1133" s="5" t="str">
        <f t="shared" si="1320"/>
        <v>SPS1</v>
      </c>
      <c r="C1133" s="5" t="str">
        <f t="shared" si="1321"/>
        <v>CH</v>
      </c>
      <c r="D1133" t="s">
        <v>1112</v>
      </c>
      <c r="E1133" t="s">
        <v>240</v>
      </c>
      <c r="F1133" s="4">
        <f>IFERROR(F1102/F1029,"-")</f>
        <v>0.62499999999999944</v>
      </c>
      <c r="G1133" s="4">
        <f t="shared" ref="G1133:K1133" si="1350">IFERROR(G1102/G1029,"-")</f>
        <v>0.62499999999999989</v>
      </c>
      <c r="H1133" s="4">
        <f t="shared" si="1350"/>
        <v>0.62500000000000056</v>
      </c>
      <c r="I1133" s="4">
        <f t="shared" si="1350"/>
        <v>0.62500000000000056</v>
      </c>
      <c r="J1133" s="4">
        <f t="shared" si="1350"/>
        <v>0.62500000000000033</v>
      </c>
      <c r="K1133" s="4">
        <f t="shared" si="1350"/>
        <v>0.62500000000000033</v>
      </c>
      <c r="L1133" s="4">
        <f t="shared" ref="L1133:O1133" si="1351">IFERROR(L1102/L1029,"-")</f>
        <v>0.62499999999999967</v>
      </c>
      <c r="M1133" s="4">
        <f t="shared" si="1351"/>
        <v>0.625</v>
      </c>
      <c r="N1133" s="4">
        <f t="shared" si="1351"/>
        <v>0.62499999999999944</v>
      </c>
      <c r="O1133" s="4">
        <f t="shared" si="1351"/>
        <v>0.62499999999999944</v>
      </c>
      <c r="P1133" s="4">
        <f>IFERROR(P1102/P1029,"-")</f>
        <v>0.62500000000000067</v>
      </c>
      <c r="Q1133" s="4">
        <f>IFERROR(Q1102/Q1029,"-")</f>
        <v>0.62500000000000067</v>
      </c>
      <c r="S1133" s="3"/>
    </row>
    <row r="1134" spans="2:19" x14ac:dyDescent="0.5">
      <c r="B1134" s="5" t="str">
        <f t="shared" si="1320"/>
        <v>SPS1</v>
      </c>
      <c r="C1134" s="5" t="str">
        <f t="shared" si="1321"/>
        <v>CH</v>
      </c>
      <c r="D1134" t="s">
        <v>1113</v>
      </c>
      <c r="E1134" t="s">
        <v>240</v>
      </c>
      <c r="F1134" s="4">
        <v>1</v>
      </c>
      <c r="G1134" s="4">
        <v>1</v>
      </c>
      <c r="H1134" s="4">
        <v>1</v>
      </c>
      <c r="I1134" s="4">
        <v>1</v>
      </c>
      <c r="J1134" s="4">
        <v>1</v>
      </c>
      <c r="K1134" s="4">
        <v>1</v>
      </c>
      <c r="L1134" s="4">
        <v>1</v>
      </c>
      <c r="M1134" s="4">
        <v>1</v>
      </c>
      <c r="N1134" s="4">
        <v>1</v>
      </c>
      <c r="O1134" s="4">
        <v>1</v>
      </c>
      <c r="P1134" s="4">
        <v>1</v>
      </c>
      <c r="Q1134" s="4">
        <v>1</v>
      </c>
      <c r="S1134" s="3"/>
    </row>
    <row r="1135" spans="2:19" x14ac:dyDescent="0.5">
      <c r="B1135" s="5" t="str">
        <f t="shared" si="1320"/>
        <v>SPS1</v>
      </c>
      <c r="C1135" s="5" t="str">
        <f t="shared" si="1321"/>
        <v>CH</v>
      </c>
      <c r="D1135" t="s">
        <v>1114</v>
      </c>
      <c r="E1135" t="s">
        <v>240</v>
      </c>
      <c r="F1135" s="4" t="str">
        <f>IFERROR(F1106/F1041,"-")</f>
        <v>-</v>
      </c>
      <c r="G1135" s="4" t="str">
        <f t="shared" ref="G1135:K1135" si="1352">IFERROR(G1106/G1041,"-")</f>
        <v>-</v>
      </c>
      <c r="H1135" s="4" t="str">
        <f t="shared" si="1352"/>
        <v>-</v>
      </c>
      <c r="I1135" s="4" t="str">
        <f t="shared" si="1352"/>
        <v>-</v>
      </c>
      <c r="J1135" s="4" t="str">
        <f t="shared" si="1352"/>
        <v>-</v>
      </c>
      <c r="K1135" s="4" t="str">
        <f t="shared" si="1352"/>
        <v>-</v>
      </c>
      <c r="L1135" s="4" t="str">
        <f t="shared" ref="L1135:O1135" si="1353">IFERROR(L1106/L1041,"-")</f>
        <v>-</v>
      </c>
      <c r="M1135" s="4" t="str">
        <f t="shared" si="1353"/>
        <v>-</v>
      </c>
      <c r="N1135" s="4" t="str">
        <f t="shared" si="1353"/>
        <v>-</v>
      </c>
      <c r="O1135" s="4" t="str">
        <f t="shared" si="1353"/>
        <v>-</v>
      </c>
      <c r="P1135" s="4" t="str">
        <f>IFERROR(P1106/P1041,"-")</f>
        <v>-</v>
      </c>
      <c r="Q1135" s="4" t="str">
        <f>IFERROR(Q1106/Q1041,"-")</f>
        <v>-</v>
      </c>
      <c r="S1135" s="3"/>
    </row>
    <row r="1136" spans="2:19" x14ac:dyDescent="0.5">
      <c r="B1136" s="9" t="str">
        <f>B1135</f>
        <v>SPS1</v>
      </c>
      <c r="C1136" s="9" t="str">
        <f>C1135</f>
        <v>CH</v>
      </c>
      <c r="D1136" s="2" t="s">
        <v>1236</v>
      </c>
      <c r="E1136" s="2" t="s">
        <v>8</v>
      </c>
      <c r="F1136" s="3">
        <f t="shared" ref="F1136:K1136" si="1354">F1137+F1152+F1157+F1180+F1203</f>
        <v>139.44450089729224</v>
      </c>
      <c r="G1136" s="3">
        <f t="shared" si="1354"/>
        <v>135.58956070458575</v>
      </c>
      <c r="H1136" s="3">
        <f t="shared" si="1354"/>
        <v>120.67466995781106</v>
      </c>
      <c r="I1136" s="3">
        <f t="shared" si="1354"/>
        <v>91.428288805822049</v>
      </c>
      <c r="J1136" s="3">
        <f t="shared" si="1354"/>
        <v>62.539193715782616</v>
      </c>
      <c r="K1136" s="3">
        <f t="shared" si="1354"/>
        <v>54.576101056919477</v>
      </c>
      <c r="L1136" s="3">
        <f t="shared" ref="L1136:O1136" si="1355">L1137+L1152+L1157+L1180+L1203</f>
        <v>55.339897396385176</v>
      </c>
      <c r="M1136" s="3">
        <f t="shared" si="1355"/>
        <v>52.369510870299493</v>
      </c>
      <c r="N1136" s="3">
        <f t="shared" si="1355"/>
        <v>50.373856820658524</v>
      </c>
      <c r="O1136" s="3">
        <f t="shared" si="1355"/>
        <v>49.918803523959497</v>
      </c>
      <c r="P1136" s="3">
        <f>P1137+P1152+P1157+P1180+P1203</f>
        <v>47.935437231952676</v>
      </c>
      <c r="Q1136" s="3">
        <f>Q1137+Q1152+Q1157+Q1180+Q1203</f>
        <v>48.323585005878847</v>
      </c>
      <c r="S1136" s="3"/>
    </row>
    <row r="1137" spans="2:19" x14ac:dyDescent="0.5">
      <c r="B1137" s="5" t="str">
        <f>B1136</f>
        <v>SPS1</v>
      </c>
      <c r="C1137" s="5" t="str">
        <f>C1136</f>
        <v>CH</v>
      </c>
      <c r="D1137" t="s">
        <v>1237</v>
      </c>
      <c r="E1137" t="s">
        <v>8</v>
      </c>
      <c r="F1137" s="1">
        <f>SUM(F1138:F1151)</f>
        <v>0.74036731243531906</v>
      </c>
      <c r="G1137" s="1">
        <f t="shared" ref="G1137:K1137" si="1356">SUM(G1138:G1151)</f>
        <v>1.6525735304170672</v>
      </c>
      <c r="H1137" s="1">
        <f t="shared" si="1356"/>
        <v>4.7316856836634207</v>
      </c>
      <c r="I1137" s="1">
        <f t="shared" si="1356"/>
        <v>16.793469495943558</v>
      </c>
      <c r="J1137" s="1">
        <f t="shared" si="1356"/>
        <v>32.821541959126129</v>
      </c>
      <c r="K1137" s="1">
        <f t="shared" si="1356"/>
        <v>41.42912617759346</v>
      </c>
      <c r="L1137" s="1">
        <f t="shared" ref="L1137:O1137" si="1357">SUM(L1138:L1151)</f>
        <v>46.852114358888279</v>
      </c>
      <c r="M1137" s="1">
        <f t="shared" si="1357"/>
        <v>50.033264572441851</v>
      </c>
      <c r="N1137" s="1">
        <f t="shared" si="1357"/>
        <v>48.186458797338879</v>
      </c>
      <c r="O1137" s="1">
        <f t="shared" si="1357"/>
        <v>47.821917434391374</v>
      </c>
      <c r="P1137" s="1">
        <f>SUM(P1138:P1151)</f>
        <v>46.028254398740501</v>
      </c>
      <c r="Q1137" s="1">
        <f>SUM(Q1138:Q1151)</f>
        <v>46.502526502389529</v>
      </c>
      <c r="S1137" s="3"/>
    </row>
    <row r="1138" spans="2:19" x14ac:dyDescent="0.5">
      <c r="B1138" s="5" t="str">
        <f t="shared" ref="B1138:B1217" si="1358">B1137</f>
        <v>SPS1</v>
      </c>
      <c r="C1138" s="5" t="str">
        <f t="shared" ref="C1138:C1217" si="1359">C1137</f>
        <v>CH</v>
      </c>
      <c r="D1138" t="s">
        <v>1238</v>
      </c>
      <c r="E1138" t="s">
        <v>8</v>
      </c>
      <c r="F1138" s="1" cm="1">
        <f t="array" ref="F1138">SUMPRODUCT(("T_C-BATELCEXT"=[1]OUT_TransportEnergyCons!$A$3:$A$1000)*1,("Var_Fin"=[1]OUT_TransportEnergyCons!$B$3:$B$1000)*1,ISNUMBER(SEARCH("ELC",[1]OUT_TransportEnergyCons!$C$3:$C$1000))*1,[1]OUT_TransportEnergyCons!D$3:D$1000)</f>
        <v>0.46789521850439619</v>
      </c>
      <c r="G1138" s="1" cm="1">
        <f t="array" ref="G1138">SUMPRODUCT(("T_C-BATELCEXT"=[1]OUT_TransportEnergyCons!$A$3:$A$1000)*1,("Var_Fin"=[1]OUT_TransportEnergyCons!$B$3:$B$1000)*1,ISNUMBER(SEARCH("ELC",[1]OUT_TransportEnergyCons!$C$3:$C$1000))*1,[1]OUT_TransportEnergyCons!E$3:E$1000)</f>
        <v>0.3762618507620295</v>
      </c>
      <c r="H1138" s="1" cm="1">
        <f t="array" ref="H1138">SUMPRODUCT(("T_C-BATELCEXT"=[1]OUT_TransportEnergyCons!$A$3:$A$1000)*1,("Var_Fin"=[1]OUT_TransportEnergyCons!$B$3:$B$1000)*1,ISNUMBER(SEARCH("ELC",[1]OUT_TransportEnergyCons!$C$3:$C$1000))*1,[1]OUT_TransportEnergyCons!F$3:F$1000)</f>
        <v>0.25099470206596008</v>
      </c>
      <c r="I1138" s="1" cm="1">
        <f t="array" ref="I1138">SUMPRODUCT(("T_C-BATELCEXT"=[1]OUT_TransportEnergyCons!$A$3:$A$1000)*1,("Var_Fin"=[1]OUT_TransportEnergyCons!$B$3:$B$1000)*1,ISNUMBER(SEARCH("ELC",[1]OUT_TransportEnergyCons!$C$3:$C$1000))*1,[1]OUT_TransportEnergyCons!G$3:G$1000)</f>
        <v>0.11311302936582905</v>
      </c>
      <c r="J1138" s="1" cm="1">
        <f t="array" ref="J1138">SUMPRODUCT(("T_C-BATELCEXT"=[1]OUT_TransportEnergyCons!$A$3:$A$1000)*1,("Var_Fin"=[1]OUT_TransportEnergyCons!$B$3:$B$1000)*1,ISNUMBER(SEARCH("ELC",[1]OUT_TransportEnergyCons!$C$3:$C$1000))*1,[1]OUT_TransportEnergyCons!H$3:H$1000)</f>
        <v>0</v>
      </c>
      <c r="K1138" s="1" cm="1">
        <f t="array" ref="K1138">SUMPRODUCT(("T_C-BATELCEXT"=[1]OUT_TransportEnergyCons!$A$3:$A$1000)*1,("Var_Fin"=[1]OUT_TransportEnergyCons!$B$3:$B$1000)*1,ISNUMBER(SEARCH("ELC",[1]OUT_TransportEnergyCons!$C$3:$C$1000))*1,[1]OUT_TransportEnergyCons!I$3:I$1000)</f>
        <v>0</v>
      </c>
      <c r="L1138" s="1" cm="1">
        <f t="array" ref="L1138">SUMPRODUCT(("T_C-BATELCEXT"=[1]OUT_TransportEnergyCons!$A$3:$A$1000)*1,("Var_Fin"=[1]OUT_TransportEnergyCons!$B$3:$B$1000)*1,ISNUMBER(SEARCH("ELC",[1]OUT_TransportEnergyCons!$C$3:$C$1000))*1,[1]OUT_TransportEnergyCons!J$3:J$1000)</f>
        <v>0</v>
      </c>
      <c r="M1138" s="1" cm="1">
        <f t="array" ref="M1138">SUMPRODUCT(("T_C-BATELCEXT"=[1]OUT_TransportEnergyCons!$A$3:$A$1000)*1,("Var_Fin"=[1]OUT_TransportEnergyCons!$B$3:$B$1000)*1,ISNUMBER(SEARCH("ELC",[1]OUT_TransportEnergyCons!$C$3:$C$1000))*1,[1]OUT_TransportEnergyCons!K$3:K$1000)</f>
        <v>0</v>
      </c>
      <c r="N1138" s="1" cm="1">
        <f t="array" ref="N1138">SUMPRODUCT(("T_C-BATELCEXT"=[1]OUT_TransportEnergyCons!$A$3:$A$1000)*1,("Var_Fin"=[1]OUT_TransportEnergyCons!$B$3:$B$1000)*1,ISNUMBER(SEARCH("ELC",[1]OUT_TransportEnergyCons!$C$3:$C$1000))*1,[1]OUT_TransportEnergyCons!L$3:L$1000)</f>
        <v>0</v>
      </c>
      <c r="O1138" s="1" cm="1">
        <f t="array" ref="O1138">SUMPRODUCT(("T_C-BATELCEXT"=[1]OUT_TransportEnergyCons!$A$3:$A$1000)*1,("Var_Fin"=[1]OUT_TransportEnergyCons!$B$3:$B$1000)*1,ISNUMBER(SEARCH("ELC",[1]OUT_TransportEnergyCons!$C$3:$C$1000))*1,[1]OUT_TransportEnergyCons!M$3:M$1000)</f>
        <v>0</v>
      </c>
      <c r="P1138" s="1" cm="1">
        <f t="array" ref="P1138">SUMPRODUCT(("T_C-BATELCEXT"=[1]OUT_TransportEnergyCons!$A$3:$A$1000)*1,("Var_Fin"=[1]OUT_TransportEnergyCons!$B$3:$B$1000)*1,ISNUMBER(SEARCH("ELC",[1]OUT_TransportEnergyCons!$C$3:$C$1000))*1,[1]OUT_TransportEnergyCons!N$3:N$1000)</f>
        <v>0</v>
      </c>
      <c r="Q1138" s="1" cm="1">
        <f t="array" ref="Q1138">SUMPRODUCT(("T_C-BATELCEXT"=[1]OUT_TransportEnergyCons!$A$3:$A$1000)*1,("Var_Fin"=[1]OUT_TransportEnergyCons!$B$3:$B$1000)*1,ISNUMBER(SEARCH("ELC",[1]OUT_TransportEnergyCons!$C$3:$C$1000))*1,[1]OUT_TransportEnergyCons!O$3:O$1000)</f>
        <v>0</v>
      </c>
      <c r="S1138" s="3"/>
    </row>
    <row r="1139" spans="2:19" x14ac:dyDescent="0.5">
      <c r="B1139" s="5" t="str">
        <f t="shared" si="1358"/>
        <v>SPS1</v>
      </c>
      <c r="C1139" s="5" t="str">
        <f t="shared" si="1359"/>
        <v>CH</v>
      </c>
      <c r="D1139" t="s">
        <v>1239</v>
      </c>
      <c r="E1139" t="s">
        <v>8</v>
      </c>
      <c r="F1139" s="1" cm="1">
        <f t="array" ref="F1139">SUMPRODUCT(("T_C-BAT-ELC-S1"=[1]OUT_TransportEnergyCons!$A$3:$A$1000)*1,("Var_Fin"=[1]OUT_TransportEnergyCons!$B$3:$B$1000)*1,ISNUMBER(SEARCH("ELC",[1]OUT_TransportEnergyCons!$C$3:$C$1000))*1,[1]OUT_TransportEnergyCons!D$3:D$1000)</f>
        <v>7.7773487280441405E-3</v>
      </c>
      <c r="G1139" s="1" cm="1">
        <f t="array" ref="G1139">SUMPRODUCT(("T_C-BAT-ELC-S1"=[1]OUT_TransportEnergyCons!$A$3:$A$1000)*1,("Var_Fin"=[1]OUT_TransportEnergyCons!$B$3:$B$1000)*1,ISNUMBER(SEARCH("ELC",[1]OUT_TransportEnergyCons!$C$3:$C$1000))*1,[1]OUT_TransportEnergyCons!E$3:E$1000)</f>
        <v>1.3986405442610622E-2</v>
      </c>
      <c r="H1139" s="1" cm="1">
        <f t="array" ref="H1139">SUMPRODUCT(("T_C-BAT-ELC-S1"=[1]OUT_TransportEnergyCons!$A$3:$A$1000)*1,("Var_Fin"=[1]OUT_TransportEnergyCons!$B$3:$B$1000)*1,ISNUMBER(SEARCH("ELC",[1]OUT_TransportEnergyCons!$C$3:$C$1000))*1,[1]OUT_TransportEnergyCons!F$3:F$1000)</f>
        <v>5.7264458159514186E-3</v>
      </c>
      <c r="I1139" s="1" cm="1">
        <f t="array" ref="I1139">SUMPRODUCT(("T_C-BAT-ELC-S1"=[1]OUT_TransportEnergyCons!$A$3:$A$1000)*1,("Var_Fin"=[1]OUT_TransportEnergyCons!$B$3:$B$1000)*1,ISNUMBER(SEARCH("ELC",[1]OUT_TransportEnergyCons!$C$3:$C$1000))*1,[1]OUT_TransportEnergyCons!G$3:G$1000)</f>
        <v>0.60873051158589708</v>
      </c>
      <c r="J1139" s="1" cm="1">
        <f t="array" ref="J1139">SUMPRODUCT(("T_C-BAT-ELC-S1"=[1]OUT_TransportEnergyCons!$A$3:$A$1000)*1,("Var_Fin"=[1]OUT_TransportEnergyCons!$B$3:$B$1000)*1,ISNUMBER(SEARCH("ELC",[1]OUT_TransportEnergyCons!$C$3:$C$1000))*1,[1]OUT_TransportEnergyCons!H$3:H$1000)</f>
        <v>1.0726857707163286</v>
      </c>
      <c r="K1139" s="1" cm="1">
        <f t="array" ref="K1139">SUMPRODUCT(("T_C-BAT-ELC-S1"=[1]OUT_TransportEnergyCons!$A$3:$A$1000)*1,("Var_Fin"=[1]OUT_TransportEnergyCons!$B$3:$B$1000)*1,ISNUMBER(SEARCH("ELC",[1]OUT_TransportEnergyCons!$C$3:$C$1000))*1,[1]OUT_TransportEnergyCons!I$3:I$1000)</f>
        <v>1.2145787800038932</v>
      </c>
      <c r="L1139" s="1" cm="1">
        <f t="array" ref="L1139">SUMPRODUCT(("T_C-BAT-ELC-S1"=[1]OUT_TransportEnergyCons!$A$3:$A$1000)*1,("Var_Fin"=[1]OUT_TransportEnergyCons!$B$3:$B$1000)*1,ISNUMBER(SEARCH("ELC",[1]OUT_TransportEnergyCons!$C$3:$C$1000))*1,[1]OUT_TransportEnergyCons!J$3:J$1000)</f>
        <v>1.1916185318006147</v>
      </c>
      <c r="M1139" s="1" cm="1">
        <f t="array" ref="M1139">SUMPRODUCT(("T_C-BAT-ELC-S1"=[1]OUT_TransportEnergyCons!$A$3:$A$1000)*1,("Var_Fin"=[1]OUT_TransportEnergyCons!$B$3:$B$1000)*1,ISNUMBER(SEARCH("ELC",[1]OUT_TransportEnergyCons!$C$3:$C$1000))*1,[1]OUT_TransportEnergyCons!K$3:K$1000)</f>
        <v>1.1492716385207467</v>
      </c>
      <c r="N1139" s="1" cm="1">
        <f t="array" ref="N1139">SUMPRODUCT(("T_C-BAT-ELC-S1"=[1]OUT_TransportEnergyCons!$A$3:$A$1000)*1,("Var_Fin"=[1]OUT_TransportEnergyCons!$B$3:$B$1000)*1,ISNUMBER(SEARCH("ELC",[1]OUT_TransportEnergyCons!$C$3:$C$1000))*1,[1]OUT_TransportEnergyCons!L$3:L$1000)</f>
        <v>1.0876801560827645</v>
      </c>
      <c r="O1139" s="1" cm="1">
        <f t="array" ref="O1139">SUMPRODUCT(("T_C-BAT-ELC-S1"=[1]OUT_TransportEnergyCons!$A$3:$A$1000)*1,("Var_Fin"=[1]OUT_TransportEnergyCons!$B$3:$B$1000)*1,ISNUMBER(SEARCH("ELC",[1]OUT_TransportEnergyCons!$C$3:$C$1000))*1,[1]OUT_TransportEnergyCons!M$3:M$1000)</f>
        <v>1.0384680916807543</v>
      </c>
      <c r="P1139" s="1" cm="1">
        <f t="array" ref="P1139">SUMPRODUCT(("T_C-BAT-ELC-S1"=[1]OUT_TransportEnergyCons!$A$3:$A$1000)*1,("Var_Fin"=[1]OUT_TransportEnergyCons!$B$3:$B$1000)*1,ISNUMBER(SEARCH("ELC",[1]OUT_TransportEnergyCons!$C$3:$C$1000))*1,[1]OUT_TransportEnergyCons!N$3:N$1000)</f>
        <v>1.0040898395818025</v>
      </c>
      <c r="Q1139" s="1" cm="1">
        <f t="array" ref="Q1139">SUMPRODUCT(("T_C-BAT-ELC-S1"=[1]OUT_TransportEnergyCons!$A$3:$A$1000)*1,("Var_Fin"=[1]OUT_TransportEnergyCons!$B$3:$B$1000)*1,ISNUMBER(SEARCH("ELC",[1]OUT_TransportEnergyCons!$C$3:$C$1000))*1,[1]OUT_TransportEnergyCons!O$3:O$1000)</f>
        <v>0.98579729237193792</v>
      </c>
      <c r="S1139" s="3"/>
    </row>
    <row r="1140" spans="2:19" x14ac:dyDescent="0.5">
      <c r="B1140" s="5" t="str">
        <f t="shared" si="1358"/>
        <v>SPS1</v>
      </c>
      <c r="C1140" s="5" t="str">
        <f t="shared" si="1359"/>
        <v>CH</v>
      </c>
      <c r="D1140" t="s">
        <v>1240</v>
      </c>
      <c r="E1140" t="s">
        <v>8</v>
      </c>
      <c r="F1140" s="1" cm="1">
        <f t="array" ref="F1140">SUMPRODUCT(("T_C-BAT-ELC-S2"=[1]OUT_TransportEnergyCons!$A$3:$A$1000)*1,("Var_Fin"=[1]OUT_TransportEnergyCons!$B$3:$B$1000)*1,ISNUMBER(SEARCH("ELC",[1]OUT_TransportEnergyCons!$C$3:$C$1000))*1,[1]OUT_TransportEnergyCons!D$3:D$1000)</f>
        <v>6.6341626056807282E-2</v>
      </c>
      <c r="G1140" s="1" cm="1">
        <f t="array" ref="G1140">SUMPRODUCT(("T_C-BAT-ELC-S2"=[1]OUT_TransportEnergyCons!$A$3:$A$1000)*1,("Var_Fin"=[1]OUT_TransportEnergyCons!$B$3:$B$1000)*1,ISNUMBER(SEARCH("ELC",[1]OUT_TransportEnergyCons!$C$3:$C$1000))*1,[1]OUT_TransportEnergyCons!E$3:E$1000)</f>
        <v>0.11111029552861902</v>
      </c>
      <c r="H1140" s="1" cm="1">
        <f t="array" ref="H1140">SUMPRODUCT(("T_C-BAT-ELC-S2"=[1]OUT_TransportEnergyCons!$A$3:$A$1000)*1,("Var_Fin"=[1]OUT_TransportEnergyCons!$B$3:$B$1000)*1,ISNUMBER(SEARCH("ELC",[1]OUT_TransportEnergyCons!$C$3:$C$1000))*1,[1]OUT_TransportEnergyCons!F$3:F$1000)</f>
        <v>0.11117727686717301</v>
      </c>
      <c r="I1140" s="1" cm="1">
        <f t="array" ref="I1140">SUMPRODUCT(("T_C-BAT-ELC-S2"=[1]OUT_TransportEnergyCons!$A$3:$A$1000)*1,("Var_Fin"=[1]OUT_TransportEnergyCons!$B$3:$B$1000)*1,ISNUMBER(SEARCH("ELC",[1]OUT_TransportEnergyCons!$C$3:$C$1000))*1,[1]OUT_TransportEnergyCons!G$3:G$1000)</f>
        <v>3.2729029256549262</v>
      </c>
      <c r="J1140" s="1" cm="1">
        <f t="array" ref="J1140">SUMPRODUCT(("T_C-BAT-ELC-S2"=[1]OUT_TransportEnergyCons!$A$3:$A$1000)*1,("Var_Fin"=[1]OUT_TransportEnergyCons!$B$3:$B$1000)*1,ISNUMBER(SEARCH("ELC",[1]OUT_TransportEnergyCons!$C$3:$C$1000))*1,[1]OUT_TransportEnergyCons!H$3:H$1000)</f>
        <v>9.5145865469173394</v>
      </c>
      <c r="K1140" s="1" cm="1">
        <f t="array" ref="K1140">SUMPRODUCT(("T_C-BAT-ELC-S2"=[1]OUT_TransportEnergyCons!$A$3:$A$1000)*1,("Var_Fin"=[1]OUT_TransportEnergyCons!$B$3:$B$1000)*1,ISNUMBER(SEARCH("ELC",[1]OUT_TransportEnergyCons!$C$3:$C$1000))*1,[1]OUT_TransportEnergyCons!I$3:I$1000)</f>
        <v>11.128742573679741</v>
      </c>
      <c r="L1140" s="1" cm="1">
        <f t="array" ref="L1140">SUMPRODUCT(("T_C-BAT-ELC-S2"=[1]OUT_TransportEnergyCons!$A$3:$A$1000)*1,("Var_Fin"=[1]OUT_TransportEnergyCons!$B$3:$B$1000)*1,ISNUMBER(SEARCH("ELC",[1]OUT_TransportEnergyCons!$C$3:$C$1000))*1,[1]OUT_TransportEnergyCons!J$3:J$1000)</f>
        <v>11.240526611740755</v>
      </c>
      <c r="M1140" s="1" cm="1">
        <f t="array" ref="M1140">SUMPRODUCT(("T_C-BAT-ELC-S2"=[1]OUT_TransportEnergyCons!$A$3:$A$1000)*1,("Var_Fin"=[1]OUT_TransportEnergyCons!$B$3:$B$1000)*1,ISNUMBER(SEARCH("ELC",[1]OUT_TransportEnergyCons!$C$3:$C$1000))*1,[1]OUT_TransportEnergyCons!K$3:K$1000)</f>
        <v>10.366113256220949</v>
      </c>
      <c r="N1140" s="1" cm="1">
        <f t="array" ref="N1140">SUMPRODUCT(("T_C-BAT-ELC-S2"=[1]OUT_TransportEnergyCons!$A$3:$A$1000)*1,("Var_Fin"=[1]OUT_TransportEnergyCons!$B$3:$B$1000)*1,ISNUMBER(SEARCH("ELC",[1]OUT_TransportEnergyCons!$C$3:$C$1000))*1,[1]OUT_TransportEnergyCons!L$3:L$1000)</f>
        <v>9.9295523384486835</v>
      </c>
      <c r="O1140" s="1" cm="1">
        <f t="array" ref="O1140">SUMPRODUCT(("T_C-BAT-ELC-S2"=[1]OUT_TransportEnergyCons!$A$3:$A$1000)*1,("Var_Fin"=[1]OUT_TransportEnergyCons!$B$3:$B$1000)*1,ISNUMBER(SEARCH("ELC",[1]OUT_TransportEnergyCons!$C$3:$C$1000))*1,[1]OUT_TransportEnergyCons!M$3:M$1000)</f>
        <v>9.4322909989946471</v>
      </c>
      <c r="P1140" s="1" cm="1">
        <f t="array" ref="P1140">SUMPRODUCT(("T_C-BAT-ELC-S2"=[1]OUT_TransportEnergyCons!$A$3:$A$1000)*1,("Var_Fin"=[1]OUT_TransportEnergyCons!$B$3:$B$1000)*1,ISNUMBER(SEARCH("ELC",[1]OUT_TransportEnergyCons!$C$3:$C$1000))*1,[1]OUT_TransportEnergyCons!N$3:N$1000)</f>
        <v>9.0738689252230298</v>
      </c>
      <c r="Q1140" s="1" cm="1">
        <f t="array" ref="Q1140">SUMPRODUCT(("T_C-BAT-ELC-S2"=[1]OUT_TransportEnergyCons!$A$3:$A$1000)*1,("Var_Fin"=[1]OUT_TransportEnergyCons!$B$3:$B$1000)*1,ISNUMBER(SEARCH("ELC",[1]OUT_TransportEnergyCons!$C$3:$C$1000))*1,[1]OUT_TransportEnergyCons!O$3:O$1000)</f>
        <v>8.9210242972079445</v>
      </c>
      <c r="S1140" s="3"/>
    </row>
    <row r="1141" spans="2:19" x14ac:dyDescent="0.5">
      <c r="B1141" s="5" t="str">
        <f t="shared" si="1358"/>
        <v>SPS1</v>
      </c>
      <c r="C1141" s="5" t="str">
        <f t="shared" si="1359"/>
        <v>CH</v>
      </c>
      <c r="D1141" t="s">
        <v>1241</v>
      </c>
      <c r="E1141" t="s">
        <v>8</v>
      </c>
      <c r="F1141" s="1" cm="1">
        <f t="array" ref="F1141">SUMPRODUCT(("T_C-BAT-ELC-S3"=[1]OUT_TransportEnergyCons!$A$3:$A$1000)*1,("Var_Fin"=[1]OUT_TransportEnergyCons!$B$3:$B$1000)*1,ISNUMBER(SEARCH("ELC",[1]OUT_TransportEnergyCons!$C$3:$C$1000))*1,[1]OUT_TransportEnergyCons!D$3:D$1000)</f>
        <v>4.5700549551315174E-2</v>
      </c>
      <c r="G1141" s="1" cm="1">
        <f t="array" ref="G1141">SUMPRODUCT(("T_C-BAT-ELC-S3"=[1]OUT_TransportEnergyCons!$A$3:$A$1000)*1,("Var_Fin"=[1]OUT_TransportEnergyCons!$B$3:$B$1000)*1,ISNUMBER(SEARCH("ELC",[1]OUT_TransportEnergyCons!$C$3:$C$1000))*1,[1]OUT_TransportEnergyCons!E$3:E$1000)</f>
        <v>9.9416602502310769E-2</v>
      </c>
      <c r="H1141" s="1" cm="1">
        <f t="array" ref="H1141">SUMPRODUCT(("T_C-BAT-ELC-S3"=[1]OUT_TransportEnergyCons!$A$3:$A$1000)*1,("Var_Fin"=[1]OUT_TransportEnergyCons!$B$3:$B$1000)*1,ISNUMBER(SEARCH("ELC",[1]OUT_TransportEnergyCons!$C$3:$C$1000))*1,[1]OUT_TransportEnergyCons!F$3:F$1000)</f>
        <v>3.0165126201576307</v>
      </c>
      <c r="I1141" s="1" cm="1">
        <f t="array" ref="I1141">SUMPRODUCT(("T_C-BAT-ELC-S3"=[1]OUT_TransportEnergyCons!$A$3:$A$1000)*1,("Var_Fin"=[1]OUT_TransportEnergyCons!$B$3:$B$1000)*1,ISNUMBER(SEARCH("ELC",[1]OUT_TransportEnergyCons!$C$3:$C$1000))*1,[1]OUT_TransportEnergyCons!G$3:G$1000)</f>
        <v>2.6508596937356486</v>
      </c>
      <c r="J1141" s="1" cm="1">
        <f t="array" ref="J1141">SUMPRODUCT(("T_C-BAT-ELC-S3"=[1]OUT_TransportEnergyCons!$A$3:$A$1000)*1,("Var_Fin"=[1]OUT_TransportEnergyCons!$B$3:$B$1000)*1,ISNUMBER(SEARCH("ELC",[1]OUT_TransportEnergyCons!$C$3:$C$1000))*1,[1]OUT_TransportEnergyCons!H$3:H$1000)</f>
        <v>2.8867540216989647</v>
      </c>
      <c r="K1141" s="1" cm="1">
        <f t="array" ref="K1141">SUMPRODUCT(("T_C-BAT-ELC-S3"=[1]OUT_TransportEnergyCons!$A$3:$A$1000)*1,("Var_Fin"=[1]OUT_TransportEnergyCons!$B$3:$B$1000)*1,ISNUMBER(SEARCH("ELC",[1]OUT_TransportEnergyCons!$C$3:$C$1000))*1,[1]OUT_TransportEnergyCons!I$3:I$1000)</f>
        <v>5.7031761279903224</v>
      </c>
      <c r="L1141" s="1" cm="1">
        <f t="array" ref="L1141">SUMPRODUCT(("T_C-BAT-ELC-S3"=[1]OUT_TransportEnergyCons!$A$3:$A$1000)*1,("Var_Fin"=[1]OUT_TransportEnergyCons!$B$3:$B$1000)*1,ISNUMBER(SEARCH("ELC",[1]OUT_TransportEnergyCons!$C$3:$C$1000))*1,[1]OUT_TransportEnergyCons!J$3:J$1000)</f>
        <v>5.328857353663822</v>
      </c>
      <c r="M1141" s="1" cm="1">
        <f t="array" ref="M1141">SUMPRODUCT(("T_C-BAT-ELC-S3"=[1]OUT_TransportEnergyCons!$A$3:$A$1000)*1,("Var_Fin"=[1]OUT_TransportEnergyCons!$B$3:$B$1000)*1,ISNUMBER(SEARCH("ELC",[1]OUT_TransportEnergyCons!$C$3:$C$1000))*1,[1]OUT_TransportEnergyCons!K$3:K$1000)</f>
        <v>8.9079543178155198</v>
      </c>
      <c r="N1141" s="1" cm="1">
        <f t="array" ref="N1141">SUMPRODUCT(("T_C-BAT-ELC-S3"=[1]OUT_TransportEnergyCons!$A$3:$A$1000)*1,("Var_Fin"=[1]OUT_TransportEnergyCons!$B$3:$B$1000)*1,ISNUMBER(SEARCH("ELC",[1]OUT_TransportEnergyCons!$C$3:$C$1000))*1,[1]OUT_TransportEnergyCons!L$3:L$1000)</f>
        <v>9.062964738226162</v>
      </c>
      <c r="O1141" s="1" cm="1">
        <f t="array" ref="O1141">SUMPRODUCT(("T_C-BAT-ELC-S3"=[1]OUT_TransportEnergyCons!$A$3:$A$1000)*1,("Var_Fin"=[1]OUT_TransportEnergyCons!$B$3:$B$1000)*1,ISNUMBER(SEARCH("ELC",[1]OUT_TransportEnergyCons!$C$3:$C$1000))*1,[1]OUT_TransportEnergyCons!M$3:M$1000)</f>
        <v>9.660405696198815</v>
      </c>
      <c r="P1141" s="1" cm="1">
        <f t="array" ref="P1141">SUMPRODUCT(("T_C-BAT-ELC-S3"=[1]OUT_TransportEnergyCons!$A$3:$A$1000)*1,("Var_Fin"=[1]OUT_TransportEnergyCons!$B$3:$B$1000)*1,ISNUMBER(SEARCH("ELC",[1]OUT_TransportEnergyCons!$C$3:$C$1000))*1,[1]OUT_TransportEnergyCons!N$3:N$1000)</f>
        <v>13.23790108672012</v>
      </c>
      <c r="Q1141" s="1" cm="1">
        <f t="array" ref="Q1141">SUMPRODUCT(("T_C-BAT-ELC-S3"=[1]OUT_TransportEnergyCons!$A$3:$A$1000)*1,("Var_Fin"=[1]OUT_TransportEnergyCons!$B$3:$B$1000)*1,ISNUMBER(SEARCH("ELC",[1]OUT_TransportEnergyCons!$C$3:$C$1000))*1,[1]OUT_TransportEnergyCons!O$3:O$1000)</f>
        <v>10.727292683260762</v>
      </c>
      <c r="S1141" s="3"/>
    </row>
    <row r="1142" spans="2:19" x14ac:dyDescent="0.5">
      <c r="B1142" s="5" t="str">
        <f t="shared" si="1358"/>
        <v>SPS1</v>
      </c>
      <c r="C1142" s="5" t="str">
        <f t="shared" si="1359"/>
        <v>CH</v>
      </c>
      <c r="D1142" t="s">
        <v>1242</v>
      </c>
      <c r="E1142" t="s">
        <v>8</v>
      </c>
      <c r="F1142" s="1" cm="1">
        <f t="array" ref="F1142">SUMPRODUCT(("T_C-BAT-ELC-S4"=[1]OUT_TransportEnergyCons!$A$3:$A$1000)*1,("Var_Fin"=[1]OUT_TransportEnergyCons!$B$3:$B$1000)*1,ISNUMBER(SEARCH("ELC",[1]OUT_TransportEnergyCons!$C$3:$C$1000))*1,[1]OUT_TransportEnergyCons!D$3:D$1000)</f>
        <v>0.14929327446918458</v>
      </c>
      <c r="G1142" s="1" cm="1">
        <f t="array" ref="G1142">SUMPRODUCT(("T_C-BAT-ELC-S4"=[1]OUT_TransportEnergyCons!$A$3:$A$1000)*1,("Var_Fin"=[1]OUT_TransportEnergyCons!$B$3:$B$1000)*1,ISNUMBER(SEARCH("ELC",[1]OUT_TransportEnergyCons!$C$3:$C$1000))*1,[1]OUT_TransportEnergyCons!E$3:E$1000)</f>
        <v>0.97694957085047651</v>
      </c>
      <c r="H1142" s="1" cm="1">
        <f t="array" ref="H1142">SUMPRODUCT(("T_C-BAT-ELC-S4"=[1]OUT_TransportEnergyCons!$A$3:$A$1000)*1,("Var_Fin"=[1]OUT_TransportEnergyCons!$B$3:$B$1000)*1,ISNUMBER(SEARCH("ELC",[1]OUT_TransportEnergyCons!$C$3:$C$1000))*1,[1]OUT_TransportEnergyCons!F$3:F$1000)</f>
        <v>1.0155467364391848</v>
      </c>
      <c r="I1142" s="1" cm="1">
        <f t="array" ref="I1142">SUMPRODUCT(("T_C-BAT-ELC-S4"=[1]OUT_TransportEnergyCons!$A$3:$A$1000)*1,("Var_Fin"=[1]OUT_TransportEnergyCons!$B$3:$B$1000)*1,ISNUMBER(SEARCH("ELC",[1]OUT_TransportEnergyCons!$C$3:$C$1000))*1,[1]OUT_TransportEnergyCons!G$3:G$1000)</f>
        <v>8.6944537278892042</v>
      </c>
      <c r="J1142" s="1" cm="1">
        <f t="array" ref="J1142">SUMPRODUCT(("T_C-BAT-ELC-S4"=[1]OUT_TransportEnergyCons!$A$3:$A$1000)*1,("Var_Fin"=[1]OUT_TransportEnergyCons!$B$3:$B$1000)*1,ISNUMBER(SEARCH("ELC",[1]OUT_TransportEnergyCons!$C$3:$C$1000))*1,[1]OUT_TransportEnergyCons!H$3:H$1000)</f>
        <v>14.595007525959492</v>
      </c>
      <c r="K1142" s="1" cm="1">
        <f t="array" ref="K1142">SUMPRODUCT(("T_C-BAT-ELC-S4"=[1]OUT_TransportEnergyCons!$A$3:$A$1000)*1,("Var_Fin"=[1]OUT_TransportEnergyCons!$B$3:$B$1000)*1,ISNUMBER(SEARCH("ELC",[1]OUT_TransportEnergyCons!$C$3:$C$1000))*1,[1]OUT_TransportEnergyCons!I$3:I$1000)</f>
        <v>16.035989752199537</v>
      </c>
      <c r="L1142" s="1" cm="1">
        <f t="array" ref="L1142">SUMPRODUCT(("T_C-BAT-ELC-S4"=[1]OUT_TransportEnergyCons!$A$3:$A$1000)*1,("Var_Fin"=[1]OUT_TransportEnergyCons!$B$3:$B$1000)*1,ISNUMBER(SEARCH("ELC",[1]OUT_TransportEnergyCons!$C$3:$C$1000))*1,[1]OUT_TransportEnergyCons!J$3:J$1000)</f>
        <v>15.087520024926269</v>
      </c>
      <c r="M1142" s="1" cm="1">
        <f t="array" ref="M1142">SUMPRODUCT(("T_C-BAT-ELC-S4"=[1]OUT_TransportEnergyCons!$A$3:$A$1000)*1,("Var_Fin"=[1]OUT_TransportEnergyCons!$B$3:$B$1000)*1,ISNUMBER(SEARCH("ELC",[1]OUT_TransportEnergyCons!$C$3:$C$1000))*1,[1]OUT_TransportEnergyCons!K$3:K$1000)</f>
        <v>14.678714610332211</v>
      </c>
      <c r="N1142" s="1" cm="1">
        <f t="array" ref="N1142">SUMPRODUCT(("T_C-BAT-ELC-S4"=[1]OUT_TransportEnergyCons!$A$3:$A$1000)*1,("Var_Fin"=[1]OUT_TransportEnergyCons!$B$3:$B$1000)*1,ISNUMBER(SEARCH("ELC",[1]OUT_TransportEnergyCons!$C$3:$C$1000))*1,[1]OUT_TransportEnergyCons!L$3:L$1000)</f>
        <v>13.519998166662734</v>
      </c>
      <c r="O1142" s="1" cm="1">
        <f t="array" ref="O1142">SUMPRODUCT(("T_C-BAT-ELC-S4"=[1]OUT_TransportEnergyCons!$A$3:$A$1000)*1,("Var_Fin"=[1]OUT_TransportEnergyCons!$B$3:$B$1000)*1,ISNUMBER(SEARCH("ELC",[1]OUT_TransportEnergyCons!$C$3:$C$1000))*1,[1]OUT_TransportEnergyCons!M$3:M$1000)</f>
        <v>11.926220915194909</v>
      </c>
      <c r="P1142" s="1" cm="1">
        <f t="array" ref="P1142">SUMPRODUCT(("T_C-BAT-ELC-S4"=[1]OUT_TransportEnergyCons!$A$3:$A$1000)*1,("Var_Fin"=[1]OUT_TransportEnergyCons!$B$3:$B$1000)*1,ISNUMBER(SEARCH("ELC",[1]OUT_TransportEnergyCons!$C$3:$C$1000))*1,[1]OUT_TransportEnergyCons!N$3:N$1000)</f>
        <v>7.4607664176222475</v>
      </c>
      <c r="Q1142" s="1" cm="1">
        <f t="array" ref="Q1142">SUMPRODUCT(("T_C-BAT-ELC-S4"=[1]OUT_TransportEnergyCons!$A$3:$A$1000)*1,("Var_Fin"=[1]OUT_TransportEnergyCons!$B$3:$B$1000)*1,ISNUMBER(SEARCH("ELC",[1]OUT_TransportEnergyCons!$C$3:$C$1000))*1,[1]OUT_TransportEnergyCons!O$3:O$1000)</f>
        <v>9.8445763944796454</v>
      </c>
      <c r="S1142" s="3"/>
    </row>
    <row r="1143" spans="2:19" x14ac:dyDescent="0.5">
      <c r="B1143" s="5" t="str">
        <f t="shared" si="1358"/>
        <v>SPS1</v>
      </c>
      <c r="C1143" s="5" t="str">
        <f t="shared" si="1359"/>
        <v>CH</v>
      </c>
      <c r="D1143" t="s">
        <v>1243</v>
      </c>
      <c r="E1143" t="s">
        <v>8</v>
      </c>
      <c r="F1143" s="1" cm="1">
        <f t="array" ref="F1143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SUMPRODUCT(("T-Plg-elc-gsl_S1"=[1]OUT_TransportEnergyCons!$A$3:$A$1000)*1,("Var_Fin"=[1]OUT_TransportEnergyCons!$B$3:$B$1000)*1,ISNUMBER(SEARCH("ELC",[1]OUT_TransportEnergyCons!$C$3:$C$1000))*1,[1]OUT_TransportEnergyCons!E$3:E$1000)</f>
        <v>1.6227491896303955E-4</v>
      </c>
      <c r="H1143" s="1" cm="1">
        <f t="array" ref="H1143">SUMPRODUCT(("T-Plg-elc-gsl_S1"=[1]OUT_TransportEnergyCons!$A$3:$A$1000)*1,("Var_Fin"=[1]OUT_TransportEnergyCons!$B$3:$B$1000)*1,ISNUMBER(SEARCH("ELC",[1]OUT_TransportEnergyCons!$C$3:$C$1000))*1,[1]OUT_TransportEnergyCons!F$3:F$1000)</f>
        <v>2.5548808378317935E-4</v>
      </c>
      <c r="I1143" s="1" cm="1">
        <f t="array" ref="I1143">SUMPRODUCT(("T-Plg-elc-gsl_S1"=[1]OUT_TransportEnergyCons!$A$3:$A$1000)*1,("Var_Fin"=[1]OUT_TransportEnergyCons!$B$3:$B$1000)*1,ISNUMBER(SEARCH("ELC",[1]OUT_TransportEnergyCons!$C$3:$C$1000))*1,[1]OUT_TransportEnergyCons!G$3:G$1000)</f>
        <v>3.9537033919864609E-4</v>
      </c>
      <c r="J1143" s="1" cm="1">
        <f t="array" ref="J1143">SUMPRODUCT(("T-Plg-elc-gsl_S1"=[1]OUT_TransportEnergyCons!$A$3:$A$1000)*1,("Var_Fin"=[1]OUT_TransportEnergyCons!$B$3:$B$1000)*1,ISNUMBER(SEARCH("ELC",[1]OUT_TransportEnergyCons!$C$3:$C$1000))*1,[1]OUT_TransportEnergyCons!H$3:H$1000)</f>
        <v>5.6238106894625022E-4</v>
      </c>
      <c r="K1143" s="1" cm="1">
        <f t="array" ref="K1143">SUMPRODUCT(("T-Plg-elc-gsl_S1"=[1]OUT_TransportEnergyCons!$A$3:$A$1000)*1,("Var_Fin"=[1]OUT_TransportEnergyCons!$B$3:$B$1000)*1,ISNUMBER(SEARCH("ELC",[1]OUT_TransportEnergyCons!$C$3:$C$1000))*1,[1]OUT_TransportEnergyCons!I$3:I$1000)</f>
        <v>4.9552338232137399E-4</v>
      </c>
      <c r="L1143" s="1" cm="1">
        <f t="array" ref="L1143">SUMPRODUCT(("T-Plg-elc-gsl_S1"=[1]OUT_TransportEnergyCons!$A$3:$A$1000)*1,("Var_Fin"=[1]OUT_TransportEnergyCons!$B$3:$B$1000)*1,ISNUMBER(SEARCH("ELC",[1]OUT_TransportEnergyCons!$C$3:$C$1000))*1,[1]OUT_TransportEnergyCons!J$3:J$1000)</f>
        <v>5.245186316682151E-4</v>
      </c>
      <c r="M1143" s="1" cm="1">
        <f t="array" ref="M1143">SUMPRODUCT(("T-Plg-elc-gsl_S1"=[1]OUT_TransportEnergyCons!$A$3:$A$1000)*1,("Var_Fin"=[1]OUT_TransportEnergyCons!$B$3:$B$1000)*1,ISNUMBER(SEARCH("ELC",[1]OUT_TransportEnergyCons!$C$3:$C$1000))*1,[1]OUT_TransportEnergyCons!K$3:K$1000)</f>
        <v>2.9300625281891869E-4</v>
      </c>
      <c r="N1143" s="1" cm="1">
        <f t="array" ref="N1143">SUMPRODUCT(("T-Plg-elc-gsl_S1"=[1]OUT_TransportEnergyCons!$A$3:$A$1000)*1,("Var_Fin"=[1]OUT_TransportEnergyCons!$B$3:$B$1000)*1,ISNUMBER(SEARCH("ELC",[1]OUT_TransportEnergyCons!$C$3:$C$1000))*1,[1]OUT_TransportEnergyCons!L$3:L$1000)</f>
        <v>1.7359937528365977E-3</v>
      </c>
      <c r="O1143" s="1" cm="1">
        <f t="array" ref="O1143">SUMPRODUCT(("T-Plg-elc-gsl_S1"=[1]OUT_TransportEnergyCons!$A$3:$A$1000)*1,("Var_Fin"=[1]OUT_TransportEnergyCons!$B$3:$B$1000)*1,ISNUMBER(SEARCH("ELC",[1]OUT_TransportEnergyCons!$C$3:$C$1000))*1,[1]OUT_TransportEnergyCons!M$3:M$1000)</f>
        <v>2.8201810623150235E-3</v>
      </c>
      <c r="P1143" s="1" cm="1">
        <f t="array" ref="P1143">SUMPRODUCT(("T-Plg-elc-gsl_S1"=[1]OUT_TransportEnergyCons!$A$3:$A$1000)*1,("Var_Fin"=[1]OUT_TransportEnergyCons!$B$3:$B$1000)*1,ISNUMBER(SEARCH("ELC",[1]OUT_TransportEnergyCons!$C$3:$C$1000))*1,[1]OUT_TransportEnergyCons!N$3:N$1000)</f>
        <v>3.4192952473241487E-3</v>
      </c>
      <c r="Q1143" s="1" cm="1">
        <f t="array" ref="Q1143">SUMPRODUCT(("T-Plg-elc-gsl_S1"=[1]OUT_TransportEnergyCons!$A$3:$A$1000)*1,("Var_Fin"=[1]OUT_TransportEnergyCons!$B$3:$B$1000)*1,ISNUMBER(SEARCH("ELC",[1]OUT_TransportEnergyCons!$C$3:$C$1000))*1,[1]OUT_TransportEnergyCons!O$3:O$1000)</f>
        <v>4.0695558363938594E-3</v>
      </c>
      <c r="S1143" s="3"/>
    </row>
    <row r="1144" spans="2:19" x14ac:dyDescent="0.5">
      <c r="B1144" s="5" t="str">
        <f t="shared" si="1358"/>
        <v>SPS1</v>
      </c>
      <c r="C1144" s="5" t="str">
        <f t="shared" si="1359"/>
        <v>CH</v>
      </c>
      <c r="D1144" t="s">
        <v>1244</v>
      </c>
      <c r="E1144" t="s">
        <v>8</v>
      </c>
      <c r="F1144" s="1" cm="1">
        <f t="array" ref="F1144">SUMPRODUCT(("T-Plg-elc-gsl_S2"=[1]OUT_TransportEnergyCons!$A$3:$A$1000)*1,("Var_Fin"=[1]OUT_TransportEnergyCons!$B$3:$B$1000)*1,ISNUMBER(SEARCH("ELC",[1]OUT_TransportEnergyCons!$C$3:$C$1000))*1,[1]OUT_TransportEnergyCons!D$3:D$1000)</f>
        <v>3.3411147422935045E-3</v>
      </c>
      <c r="G1144" s="1" cm="1">
        <f t="array" ref="G1144">SUMPRODUCT(("T-Plg-elc-gsl_S2"=[1]OUT_TransportEnergyCons!$A$3:$A$1000)*1,("Var_Fin"=[1]OUT_TransportEnergyCons!$B$3:$B$1000)*1,ISNUMBER(SEARCH("ELC",[1]OUT_TransportEnergyCons!$C$3:$C$1000))*1,[1]OUT_TransportEnergyCons!E$3:E$1000)</f>
        <v>2.4122393748907292E-3</v>
      </c>
      <c r="H1144" s="1" cm="1">
        <f t="array" ref="H1144">SUMPRODUCT(("T-Plg-elc-gsl_S2"=[1]OUT_TransportEnergyCons!$A$3:$A$1000)*1,("Var_Fin"=[1]OUT_TransportEnergyCons!$B$3:$B$1000)*1,ISNUMBER(SEARCH("ELC",[1]OUT_TransportEnergyCons!$C$3:$C$1000))*1,[1]OUT_TransportEnergyCons!F$3:F$1000)</f>
        <v>9.5612315928379609E-3</v>
      </c>
      <c r="I1144" s="1" cm="1">
        <f t="array" ref="I1144">SUMPRODUCT(("T-Plg-elc-gsl_S2"=[1]OUT_TransportEnergyCons!$A$3:$A$1000)*1,("Var_Fin"=[1]OUT_TransportEnergyCons!$B$3:$B$1000)*1,ISNUMBER(SEARCH("ELC",[1]OUT_TransportEnergyCons!$C$3:$C$1000))*1,[1]OUT_TransportEnergyCons!G$3:G$1000)</f>
        <v>2.8319989022126329E-2</v>
      </c>
      <c r="J1144" s="1" cm="1">
        <f t="array" ref="J1144">SUMPRODUCT(("T-Plg-elc-gsl_S2"=[1]OUT_TransportEnergyCons!$A$3:$A$1000)*1,("Var_Fin"=[1]OUT_TransportEnergyCons!$B$3:$B$1000)*1,ISNUMBER(SEARCH("ELC",[1]OUT_TransportEnergyCons!$C$3:$C$1000))*1,[1]OUT_TransportEnergyCons!H$3:H$1000)</f>
        <v>1.6860822426987235E-2</v>
      </c>
      <c r="K1144" s="1" cm="1">
        <f t="array" ref="K1144">SUMPRODUCT(("T-Plg-elc-gsl_S2"=[1]OUT_TransportEnergyCons!$A$3:$A$1000)*1,("Var_Fin"=[1]OUT_TransportEnergyCons!$B$3:$B$1000)*1,ISNUMBER(SEARCH("ELC",[1]OUT_TransportEnergyCons!$C$3:$C$1000))*1,[1]OUT_TransportEnergyCons!I$3:I$1000)</f>
        <v>1.1802336276480642E-2</v>
      </c>
      <c r="L1144" s="1" cm="1">
        <f t="array" ref="L1144">SUMPRODUCT(("T-Plg-elc-gsl_S2"=[1]OUT_TransportEnergyCons!$A$3:$A$1000)*1,("Var_Fin"=[1]OUT_TransportEnergyCons!$B$3:$B$1000)*1,ISNUMBER(SEARCH("ELC",[1]OUT_TransportEnergyCons!$C$3:$C$1000))*1,[1]OUT_TransportEnergyCons!J$3:J$1000)</f>
        <v>2.1205177944106494E-3</v>
      </c>
      <c r="M1144" s="1" cm="1">
        <f t="array" ref="M1144">SUMPRODUCT(("T-Plg-elc-gsl_S2"=[1]OUT_TransportEnergyCons!$A$3:$A$1000)*1,("Var_Fin"=[1]OUT_TransportEnergyCons!$B$3:$B$1000)*1,ISNUMBER(SEARCH("ELC",[1]OUT_TransportEnergyCons!$C$3:$C$1000))*1,[1]OUT_TransportEnergyCons!K$3:K$1000)</f>
        <v>1.8116514104379836E-3</v>
      </c>
      <c r="N1144" s="1" cm="1">
        <f t="array" ref="N1144">SUMPRODUCT(("T-Plg-elc-gsl_S2"=[1]OUT_TransportEnergyCons!$A$3:$A$1000)*1,("Var_Fin"=[1]OUT_TransportEnergyCons!$B$3:$B$1000)*1,ISNUMBER(SEARCH("ELC",[1]OUT_TransportEnergyCons!$C$3:$C$1000))*1,[1]OUT_TransportEnergyCons!L$3:L$1000)</f>
        <v>7.374202215335612E-3</v>
      </c>
      <c r="O1144" s="1" cm="1">
        <f t="array" ref="O1144">SUMPRODUCT(("T-Plg-elc-gsl_S2"=[1]OUT_TransportEnergyCons!$A$3:$A$1000)*1,("Var_Fin"=[1]OUT_TransportEnergyCons!$B$3:$B$1000)*1,ISNUMBER(SEARCH("ELC",[1]OUT_TransportEnergyCons!$C$3:$C$1000))*1,[1]OUT_TransportEnergyCons!M$3:M$1000)</f>
        <v>7.1085270894801341E-3</v>
      </c>
      <c r="P1144" s="1" cm="1">
        <f t="array" ref="P1144">SUMPRODUCT(("T-Plg-elc-gsl_S2"=[1]OUT_TransportEnergyCons!$A$3:$A$1000)*1,("Var_Fin"=[1]OUT_TransportEnergyCons!$B$3:$B$1000)*1,ISNUMBER(SEARCH("ELC",[1]OUT_TransportEnergyCons!$C$3:$C$1000))*1,[1]OUT_TransportEnergyCons!N$3:N$1000)</f>
        <v>5.8847697392680493E-3</v>
      </c>
      <c r="Q1144" s="1" cm="1">
        <f t="array" ref="Q1144">SUMPRODUCT(("T-Plg-elc-gsl_S2"=[1]OUT_TransportEnergyCons!$A$3:$A$1000)*1,("Var_Fin"=[1]OUT_TransportEnergyCons!$B$3:$B$1000)*1,ISNUMBER(SEARCH("ELC",[1]OUT_TransportEnergyCons!$C$3:$C$1000))*1,[1]OUT_TransportEnergyCons!O$3:O$1000)</f>
        <v>3.0118364227664182E-3</v>
      </c>
      <c r="S1144" s="3"/>
    </row>
    <row r="1145" spans="2:19" x14ac:dyDescent="0.5">
      <c r="B1145" s="5" t="str">
        <f t="shared" si="1358"/>
        <v>SPS1</v>
      </c>
      <c r="C1145" s="5" t="str">
        <f t="shared" si="1359"/>
        <v>CH</v>
      </c>
      <c r="D1145" t="s">
        <v>1245</v>
      </c>
      <c r="E1145" t="s">
        <v>8</v>
      </c>
      <c r="F1145" s="1" cm="1">
        <f t="array" ref="F1145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SUMPRODUCT(("T-Plg-elc-gsl_S3"=[1]OUT_TransportEnergyCons!$A$3:$A$1000)*1,("Var_Fin"=[1]OUT_TransportEnergyCons!$B$3:$B$1000)*1,ISNUMBER(SEARCH("ELC",[1]OUT_TransportEnergyCons!$C$3:$C$1000))*1,[1]OUT_TransportEnergyCons!E$3:E$1000)</f>
        <v>1.9669107407294446E-2</v>
      </c>
      <c r="H1145" s="1" cm="1">
        <f t="array" ref="H1145">SUMPRODUCT(("T-Plg-elc-gsl_S3"=[1]OUT_TransportEnergyCons!$A$3:$A$1000)*1,("Var_Fin"=[1]OUT_TransportEnergyCons!$B$3:$B$1000)*1,ISNUMBER(SEARCH("ELC",[1]OUT_TransportEnergyCons!$C$3:$C$1000))*1,[1]OUT_TransportEnergyCons!F$3:F$1000)</f>
        <v>0.16223989366770111</v>
      </c>
      <c r="I1145" s="1" cm="1">
        <f t="array" ref="I1145">SUMPRODUCT(("T-Plg-elc-gsl_S3"=[1]OUT_TransportEnergyCons!$A$3:$A$1000)*1,("Var_Fin"=[1]OUT_TransportEnergyCons!$B$3:$B$1000)*1,ISNUMBER(SEARCH("ELC",[1]OUT_TransportEnergyCons!$C$3:$C$1000))*1,[1]OUT_TransportEnergyCons!G$3:G$1000)</f>
        <v>0.62654513879455231</v>
      </c>
      <c r="J1145" s="1" cm="1">
        <f t="array" ref="J1145">SUMPRODUCT(("T-Plg-elc-gsl_S3"=[1]OUT_TransportEnergyCons!$A$3:$A$1000)*1,("Var_Fin"=[1]OUT_TransportEnergyCons!$B$3:$B$1000)*1,ISNUMBER(SEARCH("ELC",[1]OUT_TransportEnergyCons!$C$3:$C$1000))*1,[1]OUT_TransportEnergyCons!H$3:H$1000)</f>
        <v>1.8212391614184211</v>
      </c>
      <c r="K1145" s="1" cm="1">
        <f t="array" ref="K1145">SUMPRODUCT(("T-Plg-elc-gsl_S3"=[1]OUT_TransportEnergyCons!$A$3:$A$1000)*1,("Var_Fin"=[1]OUT_TransportEnergyCons!$B$3:$B$1000)*1,ISNUMBER(SEARCH("ELC",[1]OUT_TransportEnergyCons!$C$3:$C$1000))*1,[1]OUT_TransportEnergyCons!I$3:I$1000)</f>
        <v>1.725175919623718</v>
      </c>
      <c r="L1145" s="1" cm="1">
        <f t="array" ref="L1145">SUMPRODUCT(("T-Plg-elc-gsl_S3"=[1]OUT_TransportEnergyCons!$A$3:$A$1000)*1,("Var_Fin"=[1]OUT_TransportEnergyCons!$B$3:$B$1000)*1,ISNUMBER(SEARCH("ELC",[1]OUT_TransportEnergyCons!$C$3:$C$1000))*1,[1]OUT_TransportEnergyCons!J$3:J$1000)</f>
        <v>2.3488112546806894</v>
      </c>
      <c r="M1145" s="1" cm="1">
        <f t="array" ref="M1145">SUMPRODUCT(("T-Plg-elc-gsl_S3"=[1]OUT_TransportEnergyCons!$A$3:$A$1000)*1,("Var_Fin"=[1]OUT_TransportEnergyCons!$B$3:$B$1000)*1,ISNUMBER(SEARCH("ELC",[1]OUT_TransportEnergyCons!$C$3:$C$1000))*1,[1]OUT_TransportEnergyCons!K$3:K$1000)</f>
        <v>0.98301314437891041</v>
      </c>
      <c r="N1145" s="1" cm="1">
        <f t="array" ref="N1145">SUMPRODUCT(("T-Plg-elc-gsl_S3"=[1]OUT_TransportEnergyCons!$A$3:$A$1000)*1,("Var_Fin"=[1]OUT_TransportEnergyCons!$B$3:$B$1000)*1,ISNUMBER(SEARCH("ELC",[1]OUT_TransportEnergyCons!$C$3:$C$1000))*1,[1]OUT_TransportEnergyCons!L$3:L$1000)</f>
        <v>0.61572988352636226</v>
      </c>
      <c r="O1145" s="1" cm="1">
        <f t="array" ref="O1145">SUMPRODUCT(("T-Plg-elc-gsl_S3"=[1]OUT_TransportEnergyCons!$A$3:$A$1000)*1,("Var_Fin"=[1]OUT_TransportEnergyCons!$B$3:$B$1000)*1,ISNUMBER(SEARCH("ELC",[1]OUT_TransportEnergyCons!$C$3:$C$1000))*1,[1]OUT_TransportEnergyCons!M$3:M$1000)</f>
        <v>1.8743160556427677E-2</v>
      </c>
      <c r="P1145" s="1" cm="1">
        <f t="array" ref="P1145">SUMPRODUCT(("T-Plg-elc-gsl_S3"=[1]OUT_TransportEnergyCons!$A$3:$A$1000)*1,("Var_Fin"=[1]OUT_TransportEnergyCons!$B$3:$B$1000)*1,ISNUMBER(SEARCH("ELC",[1]OUT_TransportEnergyCons!$C$3:$C$1000))*1,[1]OUT_TransportEnergyCons!N$3:N$1000)</f>
        <v>1.6234217774374865E-2</v>
      </c>
      <c r="Q1145" s="1" cm="1">
        <f t="array" ref="Q1145">SUMPRODUCT(("T-Plg-elc-gsl_S3"=[1]OUT_TransportEnergyCons!$A$3:$A$1000)*1,("Var_Fin"=[1]OUT_TransportEnergyCons!$B$3:$B$1000)*1,ISNUMBER(SEARCH("ELC",[1]OUT_TransportEnergyCons!$C$3:$C$1000))*1,[1]OUT_TransportEnergyCons!O$3:O$1000)</f>
        <v>7.9498402221684847E-3</v>
      </c>
      <c r="S1145" s="3"/>
    </row>
    <row r="1146" spans="2:19" x14ac:dyDescent="0.5">
      <c r="B1146" s="5" t="str">
        <f t="shared" si="1358"/>
        <v>SPS1</v>
      </c>
      <c r="C1146" s="5" t="str">
        <f t="shared" si="1359"/>
        <v>CH</v>
      </c>
      <c r="D1146" t="s">
        <v>1246</v>
      </c>
      <c r="E1146" t="s">
        <v>8</v>
      </c>
      <c r="F1146" s="1" cm="1">
        <f t="array" ref="F1146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6" s="1" cm="1">
        <f t="array" ref="G1146">SUMPRODUCT(("T-Plg-elc-gsl_S4"=[1]OUT_TransportEnergyCons!$A$3:$A$1000)*1,("Var_Fin"=[1]OUT_TransportEnergyCons!$B$3:$B$1000)*1,ISNUMBER(SEARCH("ELC",[1]OUT_TransportEnergyCons!$C$3:$C$1000))*1,[1]OUT_TransportEnergyCons!E$3:E$1000)</f>
        <v>1.4944530314207627E-3</v>
      </c>
      <c r="H1146" s="1" cm="1">
        <f t="array" ref="H1146">SUMPRODUCT(("T-Plg-elc-gsl_S4"=[1]OUT_TransportEnergyCons!$A$3:$A$1000)*1,("Var_Fin"=[1]OUT_TransportEnergyCons!$B$3:$B$1000)*1,ISNUMBER(SEARCH("ELC",[1]OUT_TransportEnergyCons!$C$3:$C$1000))*1,[1]OUT_TransportEnergyCons!F$3:F$1000)</f>
        <v>2.1707686480007631E-2</v>
      </c>
      <c r="I1146" s="1" cm="1">
        <f t="array" ref="I1146">SUMPRODUCT(("T-Plg-elc-gsl_S4"=[1]OUT_TransportEnergyCons!$A$3:$A$1000)*1,("Var_Fin"=[1]OUT_TransportEnergyCons!$B$3:$B$1000)*1,ISNUMBER(SEARCH("ELC",[1]OUT_TransportEnergyCons!$C$3:$C$1000))*1,[1]OUT_TransportEnergyCons!G$3:G$1000)</f>
        <v>3.7881198259619039E-2</v>
      </c>
      <c r="J1146" s="1" cm="1">
        <f t="array" ref="J1146">SUMPRODUCT(("T-Plg-elc-gsl_S4"=[1]OUT_TransportEnergyCons!$A$3:$A$1000)*1,("Var_Fin"=[1]OUT_TransportEnergyCons!$B$3:$B$1000)*1,ISNUMBER(SEARCH("ELC",[1]OUT_TransportEnergyCons!$C$3:$C$1000))*1,[1]OUT_TransportEnergyCons!H$3:H$1000)</f>
        <v>1.6974391476217182E-2</v>
      </c>
      <c r="K1146" s="1" cm="1">
        <f t="array" ref="K1146">SUMPRODUCT(("T-Plg-elc-gsl_S4"=[1]OUT_TransportEnergyCons!$A$3:$A$1000)*1,("Var_Fin"=[1]OUT_TransportEnergyCons!$B$3:$B$1000)*1,ISNUMBER(SEARCH("ELC",[1]OUT_TransportEnergyCons!$C$3:$C$1000))*1,[1]OUT_TransportEnergyCons!I$3:I$1000)</f>
        <v>7.3951210630364313E-3</v>
      </c>
      <c r="L1146" s="1" cm="1">
        <f t="array" ref="L1146">SUMPRODUCT(("T-Plg-elc-gsl_S4"=[1]OUT_TransportEnergyCons!$A$3:$A$1000)*1,("Var_Fin"=[1]OUT_TransportEnergyCons!$B$3:$B$1000)*1,ISNUMBER(SEARCH("ELC",[1]OUT_TransportEnergyCons!$C$3:$C$1000))*1,[1]OUT_TransportEnergyCons!J$3:J$1000)</f>
        <v>3.8516064848741825E-3</v>
      </c>
      <c r="M1146" s="1" cm="1">
        <f t="array" ref="M1146">SUMPRODUCT(("T-Plg-elc-gsl_S4"=[1]OUT_TransportEnergyCons!$A$3:$A$1000)*1,("Var_Fin"=[1]OUT_TransportEnergyCons!$B$3:$B$1000)*1,ISNUMBER(SEARCH("ELC",[1]OUT_TransportEnergyCons!$C$3:$C$1000))*1,[1]OUT_TransportEnergyCons!K$3:K$1000)</f>
        <v>2.9939609469724969E-3</v>
      </c>
      <c r="N1146" s="1" cm="1">
        <f t="array" ref="N1146">SUMPRODUCT(("T-Plg-elc-gsl_S4"=[1]OUT_TransportEnergyCons!$A$3:$A$1000)*1,("Var_Fin"=[1]OUT_TransportEnergyCons!$B$3:$B$1000)*1,ISNUMBER(SEARCH("ELC",[1]OUT_TransportEnergyCons!$C$3:$C$1000))*1,[1]OUT_TransportEnergyCons!L$3:L$1000)</f>
        <v>0.306641584941585</v>
      </c>
      <c r="O1146" s="1" cm="1">
        <f t="array" ref="O1146">SUMPRODUCT(("T-Plg-elc-gsl_S4"=[1]OUT_TransportEnergyCons!$A$3:$A$1000)*1,("Var_Fin"=[1]OUT_TransportEnergyCons!$B$3:$B$1000)*1,ISNUMBER(SEARCH("ELC",[1]OUT_TransportEnergyCons!$C$3:$C$1000))*1,[1]OUT_TransportEnergyCons!M$3:M$1000)</f>
        <v>0.80886620111854945</v>
      </c>
      <c r="P1146" s="1" cm="1">
        <f t="array" ref="P1146">SUMPRODUCT(("T-Plg-elc-gsl_S4"=[1]OUT_TransportEnergyCons!$A$3:$A$1000)*1,("Var_Fin"=[1]OUT_TransportEnergyCons!$B$3:$B$1000)*1,ISNUMBER(SEARCH("ELC",[1]OUT_TransportEnergyCons!$C$3:$C$1000))*1,[1]OUT_TransportEnergyCons!N$3:N$1000)</f>
        <v>0.77613137772919361</v>
      </c>
      <c r="Q1146" s="1" cm="1">
        <f t="array" ref="Q1146">SUMPRODUCT(("T-Plg-elc-gsl_S4"=[1]OUT_TransportEnergyCons!$A$3:$A$1000)*1,("Var_Fin"=[1]OUT_TransportEnergyCons!$B$3:$B$1000)*1,ISNUMBER(SEARCH("ELC",[1]OUT_TransportEnergyCons!$C$3:$C$1000))*1,[1]OUT_TransportEnergyCons!O$3:O$1000)</f>
        <v>0.73099197232180213</v>
      </c>
      <c r="S1146" s="3"/>
    </row>
    <row r="1147" spans="2:19" x14ac:dyDescent="0.5">
      <c r="B1147" s="5" t="str">
        <f t="shared" ref="B1147:B1151" si="1360">B1146</f>
        <v>SPS1</v>
      </c>
      <c r="C1147" s="5" t="str">
        <f t="shared" ref="C1147:C1151" si="1361">C1146</f>
        <v>CH</v>
      </c>
      <c r="D1147" t="s">
        <v>1247</v>
      </c>
      <c r="E1147" t="s">
        <v>8</v>
      </c>
      <c r="F1147" s="1" cm="1">
        <f t="array" ref="F1147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SUMPRODUCT(("T-Plg-elc-dsl_S1"=[1]OUT_TransportEnergyCons!$A$3:$A$1000)*1,("Var_Fin"=[1]OUT_TransportEnergyCons!$B$3:$B$1000)*1,ISNUMBER(SEARCH("ELC",[1]OUT_TransportEnergyCons!$C$3:$C$1000))*1,[1]OUT_TransportEnergyCons!E$3:E$1000)</f>
        <v>1.6688482802527694E-4</v>
      </c>
      <c r="H1147" s="1" cm="1">
        <f t="array" ref="H1147">SUMPRODUCT(("T-Plg-elc-dsl_S1"=[1]OUT_TransportEnergyCons!$A$3:$A$1000)*1,("Var_Fin"=[1]OUT_TransportEnergyCons!$B$3:$B$1000)*1,ISNUMBER(SEARCH("ELC",[1]OUT_TransportEnergyCons!$C$3:$C$1000))*1,[1]OUT_TransportEnergyCons!F$3:F$1000)</f>
        <v>2.5200191751724801E-4</v>
      </c>
      <c r="I1147" s="1" cm="1">
        <f t="array" ref="I1147">SUMPRODUCT(("T-Plg-elc-dsl_S1"=[1]OUT_TransportEnergyCons!$A$3:$A$1000)*1,("Var_Fin"=[1]OUT_TransportEnergyCons!$B$3:$B$1000)*1,ISNUMBER(SEARCH("ELC",[1]OUT_TransportEnergyCons!$C$3:$C$1000))*1,[1]OUT_TransportEnergyCons!G$3:G$1000)</f>
        <v>5.1793973561968857E-4</v>
      </c>
      <c r="J1147" s="1" cm="1">
        <f t="array" ref="J1147">SUMPRODUCT(("T-Plg-elc-dsl_S1"=[1]OUT_TransportEnergyCons!$A$3:$A$1000)*1,("Var_Fin"=[1]OUT_TransportEnergyCons!$B$3:$B$1000)*1,ISNUMBER(SEARCH("ELC",[1]OUT_TransportEnergyCons!$C$3:$C$1000))*1,[1]OUT_TransportEnergyCons!H$3:H$1000)</f>
        <v>6.696527066832246E-4</v>
      </c>
      <c r="K1147" s="1" cm="1">
        <f t="array" ref="K1147">SUMPRODUCT(("T-Plg-elc-dsl_S1"=[1]OUT_TransportEnergyCons!$A$3:$A$1000)*1,("Var_Fin"=[1]OUT_TransportEnergyCons!$B$3:$B$1000)*1,ISNUMBER(SEARCH("ELC",[1]OUT_TransportEnergyCons!$C$3:$C$1000))*1,[1]OUT_TransportEnergyCons!I$3:I$1000)</f>
        <v>5.7889386135599817E-4</v>
      </c>
      <c r="L1147" s="1" cm="1">
        <f t="array" ref="L1147">SUMPRODUCT(("T-Plg-elc-dsl_S1"=[1]OUT_TransportEnergyCons!$A$3:$A$1000)*1,("Var_Fin"=[1]OUT_TransportEnergyCons!$B$3:$B$1000)*1,ISNUMBER(SEARCH("ELC",[1]OUT_TransportEnergyCons!$C$3:$C$1000))*1,[1]OUT_TransportEnergyCons!J$3:J$1000)</f>
        <v>3.1070352446571706E-3</v>
      </c>
      <c r="M1147" s="1" cm="1">
        <f t="array" ref="M1147">SUMPRODUCT(("T-Plg-elc-dsl_S1"=[1]OUT_TransportEnergyCons!$A$3:$A$1000)*1,("Var_Fin"=[1]OUT_TransportEnergyCons!$B$3:$B$1000)*1,ISNUMBER(SEARCH("ELC",[1]OUT_TransportEnergyCons!$C$3:$C$1000))*1,[1]OUT_TransportEnergyCons!K$3:K$1000)</f>
        <v>2.963857365717781E-3</v>
      </c>
      <c r="N1147" s="1" cm="1">
        <f t="array" ref="N1147">SUMPRODUCT(("T-Plg-elc-dsl_S1"=[1]OUT_TransportEnergyCons!$A$3:$A$1000)*1,("Var_Fin"=[1]OUT_TransportEnergyCons!$B$3:$B$1000)*1,ISNUMBER(SEARCH("ELC",[1]OUT_TransportEnergyCons!$C$3:$C$1000))*1,[1]OUT_TransportEnergyCons!L$3:L$1000)</f>
        <v>7.0977072826216032E-3</v>
      </c>
      <c r="O1147" s="1" cm="1">
        <f t="array" ref="O1147">SUMPRODUCT(("T-Plg-elc-dsl_S1"=[1]OUT_TransportEnergyCons!$A$3:$A$1000)*1,("Var_Fin"=[1]OUT_TransportEnergyCons!$B$3:$B$1000)*1,ISNUMBER(SEARCH("ELC",[1]OUT_TransportEnergyCons!$C$3:$C$1000))*1,[1]OUT_TransportEnergyCons!M$3:M$1000)</f>
        <v>3.7871235199934793E-4</v>
      </c>
      <c r="P1147" s="1" cm="1">
        <f t="array" ref="P1147">SUMPRODUCT(("T-Plg-elc-dsl_S1"=[1]OUT_TransportEnergyCons!$A$3:$A$1000)*1,("Var_Fin"=[1]OUT_TransportEnergyCons!$B$3:$B$1000)*1,ISNUMBER(SEARCH("ELC",[1]OUT_TransportEnergyCons!$C$3:$C$1000))*1,[1]OUT_TransportEnergyCons!N$3:N$1000)</f>
        <v>1.8753620089042482E-4</v>
      </c>
      <c r="Q1147" s="1" cm="1">
        <f t="array" ref="Q1147">SUMPRODUCT(("T-Plg-elc-dsl_S1"=[1]OUT_TransportEnergyCons!$A$3:$A$1000)*1,("Var_Fin"=[1]OUT_TransportEnergyCons!$B$3:$B$1000)*1,ISNUMBER(SEARCH("ELC",[1]OUT_TransportEnergyCons!$C$3:$C$1000))*1,[1]OUT_TransportEnergyCons!O$3:O$1000)</f>
        <v>1.4616974751546324E-4</v>
      </c>
      <c r="S1147" s="3"/>
    </row>
    <row r="1148" spans="2:19" x14ac:dyDescent="0.5">
      <c r="B1148" s="5" t="str">
        <f t="shared" si="1360"/>
        <v>SPS1</v>
      </c>
      <c r="C1148" s="5" t="str">
        <f t="shared" si="1361"/>
        <v>CH</v>
      </c>
      <c r="D1148" t="s">
        <v>1248</v>
      </c>
      <c r="E1148" t="s">
        <v>8</v>
      </c>
      <c r="F1148" s="1" cm="1">
        <f t="array" ref="F1148">SUMPRODUCT(("T-Plg-elc-dsl_S2"=[1]OUT_TransportEnergyCons!$A$3:$A$1000)*1,("Var_Fin"=[1]OUT_TransportEnergyCons!$B$3:$B$1000)*1,ISNUMBER(SEARCH("ELC",[1]OUT_TransportEnergyCons!$C$3:$C$1000))*1,[1]OUT_TransportEnergyCons!D$3:D$1000)</f>
        <v>1.8180383278110437E-5</v>
      </c>
      <c r="G1148" s="1" cm="1">
        <f t="array" ref="G1148">SUMPRODUCT(("T-Plg-elc-dsl_S2"=[1]OUT_TransportEnergyCons!$A$3:$A$1000)*1,("Var_Fin"=[1]OUT_TransportEnergyCons!$B$3:$B$1000)*1,ISNUMBER(SEARCH("ELC",[1]OUT_TransportEnergyCons!$C$3:$C$1000))*1,[1]OUT_TransportEnergyCons!E$3:E$1000)</f>
        <v>1.4875327629461439E-4</v>
      </c>
      <c r="H1148" s="1" cm="1">
        <f t="array" ref="H1148">SUMPRODUCT(("T-Plg-elc-dsl_S2"=[1]OUT_TransportEnergyCons!$A$3:$A$1000)*1,("Var_Fin"=[1]OUT_TransportEnergyCons!$B$3:$B$1000)*1,ISNUMBER(SEARCH("ELC",[1]OUT_TransportEnergyCons!$C$3:$C$1000))*1,[1]OUT_TransportEnergyCons!F$3:F$1000)</f>
        <v>3.0674980862306308E-4</v>
      </c>
      <c r="I1148" s="1" cm="1">
        <f t="array" ref="I1148">SUMPRODUCT(("T-Plg-elc-dsl_S2"=[1]OUT_TransportEnergyCons!$A$3:$A$1000)*1,("Var_Fin"=[1]OUT_TransportEnergyCons!$B$3:$B$1000)*1,ISNUMBER(SEARCH("ELC",[1]OUT_TransportEnergyCons!$C$3:$C$1000))*1,[1]OUT_TransportEnergyCons!G$3:G$1000)</f>
        <v>7.2708964795922121E-2</v>
      </c>
      <c r="J1148" s="1" cm="1">
        <f t="array" ref="J1148">SUMPRODUCT(("T-Plg-elc-dsl_S2"=[1]OUT_TransportEnergyCons!$A$3:$A$1000)*1,("Var_Fin"=[1]OUT_TransportEnergyCons!$B$3:$B$1000)*1,ISNUMBER(SEARCH("ELC",[1]OUT_TransportEnergyCons!$C$3:$C$1000))*1,[1]OUT_TransportEnergyCons!H$3:H$1000)</f>
        <v>0.19640491184522008</v>
      </c>
      <c r="K1148" s="1" cm="1">
        <f t="array" ref="K1148">SUMPRODUCT(("T-Plg-elc-dsl_S2"=[1]OUT_TransportEnergyCons!$A$3:$A$1000)*1,("Var_Fin"=[1]OUT_TransportEnergyCons!$B$3:$B$1000)*1,ISNUMBER(SEARCH("ELC",[1]OUT_TransportEnergyCons!$C$3:$C$1000))*1,[1]OUT_TransportEnergyCons!I$3:I$1000)</f>
        <v>0.14483231471746005</v>
      </c>
      <c r="L1148" s="1" cm="1">
        <f t="array" ref="L1148">SUMPRODUCT(("T-Plg-elc-dsl_S2"=[1]OUT_TransportEnergyCons!$A$3:$A$1000)*1,("Var_Fin"=[1]OUT_TransportEnergyCons!$B$3:$B$1000)*1,ISNUMBER(SEARCH("ELC",[1]OUT_TransportEnergyCons!$C$3:$C$1000))*1,[1]OUT_TransportEnergyCons!J$3:J$1000)</f>
        <v>1.7216912471837237E-2</v>
      </c>
      <c r="M1148" s="1" cm="1">
        <f t="array" ref="M1148">SUMPRODUCT(("T-Plg-elc-dsl_S2"=[1]OUT_TransportEnergyCons!$A$3:$A$1000)*1,("Var_Fin"=[1]OUT_TransportEnergyCons!$B$3:$B$1000)*1,ISNUMBER(SEARCH("ELC",[1]OUT_TransportEnergyCons!$C$3:$C$1000))*1,[1]OUT_TransportEnergyCons!K$3:K$1000)</f>
        <v>1.6747549189478655E-2</v>
      </c>
      <c r="N1148" s="1" cm="1">
        <f t="array" ref="N1148">SUMPRODUCT(("T-Plg-elc-dsl_S2"=[1]OUT_TransportEnergyCons!$A$3:$A$1000)*1,("Var_Fin"=[1]OUT_TransportEnergyCons!$B$3:$B$1000)*1,ISNUMBER(SEARCH("ELC",[1]OUT_TransportEnergyCons!$C$3:$C$1000))*1,[1]OUT_TransportEnergyCons!L$3:L$1000)</f>
        <v>1.1108812981014024E-2</v>
      </c>
      <c r="O1148" s="1" cm="1">
        <f t="array" ref="O1148">SUMPRODUCT(("T-Plg-elc-dsl_S2"=[1]OUT_TransportEnergyCons!$A$3:$A$1000)*1,("Var_Fin"=[1]OUT_TransportEnergyCons!$B$3:$B$1000)*1,ISNUMBER(SEARCH("ELC",[1]OUT_TransportEnergyCons!$C$3:$C$1000))*1,[1]OUT_TransportEnergyCons!M$3:M$1000)</f>
        <v>6.6198694819223148E-4</v>
      </c>
      <c r="P1148" s="1" cm="1">
        <f t="array" ref="P1148">SUMPRODUCT(("T-Plg-elc-dsl_S2"=[1]OUT_TransportEnergyCons!$A$3:$A$1000)*1,("Var_Fin"=[1]OUT_TransportEnergyCons!$B$3:$B$1000)*1,ISNUMBER(SEARCH("ELC",[1]OUT_TransportEnergyCons!$C$3:$C$1000))*1,[1]OUT_TransportEnergyCons!N$3:N$1000)</f>
        <v>5.7173672442861919E-4</v>
      </c>
      <c r="Q1148" s="1" cm="1">
        <f t="array" ref="Q1148">SUMPRODUCT(("T-Plg-elc-dsl_S2"=[1]OUT_TransportEnergyCons!$A$3:$A$1000)*1,("Var_Fin"=[1]OUT_TransportEnergyCons!$B$3:$B$1000)*1,ISNUMBER(SEARCH("ELC",[1]OUT_TransportEnergyCons!$C$3:$C$1000))*1,[1]OUT_TransportEnergyCons!O$3:O$1000)</f>
        <v>3.2157617200484387E-4</v>
      </c>
      <c r="S1148" s="3"/>
    </row>
    <row r="1149" spans="2:19" x14ac:dyDescent="0.5">
      <c r="B1149" s="5" t="str">
        <f t="shared" si="1360"/>
        <v>SPS1</v>
      </c>
      <c r="C1149" s="5" t="str">
        <f t="shared" si="1361"/>
        <v>CH</v>
      </c>
      <c r="D1149" t="s">
        <v>1249</v>
      </c>
      <c r="E1149" t="s">
        <v>8</v>
      </c>
      <c r="F1149" s="1" cm="1">
        <f t="array" ref="F1149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9" s="1" cm="1">
        <f t="array" ref="G1149">SUMPRODUCT(("T-Plg-elc-dsl_S3"=[1]OUT_TransportEnergyCons!$A$3:$A$1000)*1,("Var_Fin"=[1]OUT_TransportEnergyCons!$B$3:$B$1000)*1,ISNUMBER(SEARCH("ELC",[1]OUT_TransportEnergyCons!$C$3:$C$1000))*1,[1]OUT_TransportEnergyCons!E$3:E$1000)</f>
        <v>4.9564723189110628E-2</v>
      </c>
      <c r="H1149" s="1" cm="1">
        <f t="array" ref="H1149">SUMPRODUCT(("T-Plg-elc-dsl_S3"=[1]OUT_TransportEnergyCons!$A$3:$A$1000)*1,("Var_Fin"=[1]OUT_TransportEnergyCons!$B$3:$B$1000)*1,ISNUMBER(SEARCH("ELC",[1]OUT_TransportEnergyCons!$C$3:$C$1000))*1,[1]OUT_TransportEnergyCons!F$3:F$1000)</f>
        <v>0.13392735656878849</v>
      </c>
      <c r="I1149" s="1" cm="1">
        <f t="array" ref="I1149">SUMPRODUCT(("T-Plg-elc-dsl_S3"=[1]OUT_TransportEnergyCons!$A$3:$A$1000)*1,("Var_Fin"=[1]OUT_TransportEnergyCons!$B$3:$B$1000)*1,ISNUMBER(SEARCH("ELC",[1]OUT_TransportEnergyCons!$C$3:$C$1000))*1,[1]OUT_TransportEnergyCons!G$3:G$1000)</f>
        <v>0.15889983651521822</v>
      </c>
      <c r="J1149" s="1" cm="1">
        <f t="array" ref="J1149">SUMPRODUCT(("T-Plg-elc-dsl_S3"=[1]OUT_TransportEnergyCons!$A$3:$A$1000)*1,("Var_Fin"=[1]OUT_TransportEnergyCons!$B$3:$B$1000)*1,ISNUMBER(SEARCH("ELC",[1]OUT_TransportEnergyCons!$C$3:$C$1000))*1,[1]OUT_TransportEnergyCons!H$3:H$1000)</f>
        <v>0.95952195483889025</v>
      </c>
      <c r="K1149" s="1" cm="1">
        <f t="array" ref="K1149">SUMPRODUCT(("T-Plg-elc-dsl_S3"=[1]OUT_TransportEnergyCons!$A$3:$A$1000)*1,("Var_Fin"=[1]OUT_TransportEnergyCons!$B$3:$B$1000)*1,ISNUMBER(SEARCH("ELC",[1]OUT_TransportEnergyCons!$C$3:$C$1000))*1,[1]OUT_TransportEnergyCons!I$3:I$1000)</f>
        <v>0.9353441314493357</v>
      </c>
      <c r="L1149" s="1" cm="1">
        <f t="array" ref="L1149">SUMPRODUCT(("T-Plg-elc-dsl_S3"=[1]OUT_TransportEnergyCons!$A$3:$A$1000)*1,("Var_Fin"=[1]OUT_TransportEnergyCons!$B$3:$B$1000)*1,ISNUMBER(SEARCH("ELC",[1]OUT_TransportEnergyCons!$C$3:$C$1000))*1,[1]OUT_TransportEnergyCons!J$3:J$1000)</f>
        <v>1.1130271425687492</v>
      </c>
      <c r="M1149" s="1" cm="1">
        <f t="array" ref="M1149">SUMPRODUCT(("T-Plg-elc-dsl_S3"=[1]OUT_TransportEnergyCons!$A$3:$A$1000)*1,("Var_Fin"=[1]OUT_TransportEnergyCons!$B$3:$B$1000)*1,ISNUMBER(SEARCH("ELC",[1]OUT_TransportEnergyCons!$C$3:$C$1000))*1,[1]OUT_TransportEnergyCons!K$3:K$1000)</f>
        <v>0.16833090867388059</v>
      </c>
      <c r="N1149" s="1" cm="1">
        <f t="array" ref="N1149">SUMPRODUCT(("T-Plg-elc-dsl_S3"=[1]OUT_TransportEnergyCons!$A$3:$A$1000)*1,("Var_Fin"=[1]OUT_TransportEnergyCons!$B$3:$B$1000)*1,ISNUMBER(SEARCH("ELC",[1]OUT_TransportEnergyCons!$C$3:$C$1000))*1,[1]OUT_TransportEnergyCons!L$3:L$1000)</f>
        <v>0.11140881648049659</v>
      </c>
      <c r="O1149" s="1" cm="1">
        <f t="array" ref="O1149">SUMPRODUCT(("T-Plg-elc-dsl_S3"=[1]OUT_TransportEnergyCons!$A$3:$A$1000)*1,("Var_Fin"=[1]OUT_TransportEnergyCons!$B$3:$B$1000)*1,ISNUMBER(SEARCH("ELC",[1]OUT_TransportEnergyCons!$C$3:$C$1000))*1,[1]OUT_TransportEnergyCons!M$3:M$1000)</f>
        <v>1.1856017020375274E-3</v>
      </c>
      <c r="P1149" s="1" cm="1">
        <f t="array" ref="P1149">SUMPRODUCT(("T-Plg-elc-dsl_S3"=[1]OUT_TransportEnergyCons!$A$3:$A$1000)*1,("Var_Fin"=[1]OUT_TransportEnergyCons!$B$3:$B$1000)*1,ISNUMBER(SEARCH("ELC",[1]OUT_TransportEnergyCons!$C$3:$C$1000))*1,[1]OUT_TransportEnergyCons!N$3:N$1000)</f>
        <v>9.9233808603740956E-4</v>
      </c>
      <c r="Q1149" s="1" cm="1">
        <f t="array" ref="Q1149">SUMPRODUCT(("T-Plg-elc-dsl_S3"=[1]OUT_TransportEnergyCons!$A$3:$A$1000)*1,("Var_Fin"=[1]OUT_TransportEnergyCons!$B$3:$B$1000)*1,ISNUMBER(SEARCH("ELC",[1]OUT_TransportEnergyCons!$C$3:$C$1000))*1,[1]OUT_TransportEnergyCons!O$3:O$1000)</f>
        <v>4.9880943559153779E-4</v>
      </c>
      <c r="S1149" s="3"/>
    </row>
    <row r="1150" spans="2:19" x14ac:dyDescent="0.5">
      <c r="B1150" s="5" t="str">
        <f t="shared" si="1360"/>
        <v>SPS1</v>
      </c>
      <c r="C1150" s="5" t="str">
        <f t="shared" si="1361"/>
        <v>CH</v>
      </c>
      <c r="D1150" t="s">
        <v>1250</v>
      </c>
      <c r="E1150" t="s">
        <v>8</v>
      </c>
      <c r="F1150" s="1" cm="1">
        <f t="array" ref="F1150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50" s="1" cm="1">
        <f t="array" ref="G1150">SUMPRODUCT(("T-Plg-elc-dsl_S4"=[1]OUT_TransportEnergyCons!$A$3:$A$1000)*1,("Var_Fin"=[1]OUT_TransportEnergyCons!$B$3:$B$1000)*1,ISNUMBER(SEARCH("ELC",[1]OUT_TransportEnergyCons!$C$3:$C$1000))*1,[1]OUT_TransportEnergyCons!E$3:E$1000)</f>
        <v>1.230369305021309E-3</v>
      </c>
      <c r="H1150" s="1" cm="1">
        <f t="array" ref="H1150">SUMPRODUCT(("T-Plg-elc-dsl_S4"=[1]OUT_TransportEnergyCons!$A$3:$A$1000)*1,("Var_Fin"=[1]OUT_TransportEnergyCons!$B$3:$B$1000)*1,ISNUMBER(SEARCH("ELC",[1]OUT_TransportEnergyCons!$C$3:$C$1000))*1,[1]OUT_TransportEnergyCons!F$3:F$1000)</f>
        <v>3.4774941982612098E-3</v>
      </c>
      <c r="I1150" s="1" cm="1">
        <f t="array" ref="I1150">SUMPRODUCT(("T-Plg-elc-dsl_S4"=[1]OUT_TransportEnergyCons!$A$3:$A$1000)*1,("Var_Fin"=[1]OUT_TransportEnergyCons!$B$3:$B$1000)*1,ISNUMBER(SEARCH("ELC",[1]OUT_TransportEnergyCons!$C$3:$C$1000))*1,[1]OUT_TransportEnergyCons!G$3:G$1000)</f>
        <v>0.34863881387018625</v>
      </c>
      <c r="J1150" s="1" cm="1">
        <f t="array" ref="J1150">SUMPRODUCT(("T-Plg-elc-dsl_S4"=[1]OUT_TransportEnergyCons!$A$3:$A$1000)*1,("Var_Fin"=[1]OUT_TransportEnergyCons!$B$3:$B$1000)*1,ISNUMBER(SEARCH("ELC",[1]OUT_TransportEnergyCons!$C$3:$C$1000))*1,[1]OUT_TransportEnergyCons!H$3:H$1000)</f>
        <v>0.32776439081890868</v>
      </c>
      <c r="K1150" s="1" cm="1">
        <f t="array" ref="K1150">SUMPRODUCT(("T-Plg-elc-dsl_S4"=[1]OUT_TransportEnergyCons!$A$3:$A$1000)*1,("Var_Fin"=[1]OUT_TransportEnergyCons!$B$3:$B$1000)*1,ISNUMBER(SEARCH("ELC",[1]OUT_TransportEnergyCons!$C$3:$C$1000))*1,[1]OUT_TransportEnergyCons!I$3:I$1000)</f>
        <v>0.16710892762713092</v>
      </c>
      <c r="L1150" s="1" cm="1">
        <f t="array" ref="L1150">SUMPRODUCT(("T-Plg-elc-dsl_S4"=[1]OUT_TransportEnergyCons!$A$3:$A$1000)*1,("Var_Fin"=[1]OUT_TransportEnergyCons!$B$3:$B$1000)*1,ISNUMBER(SEARCH("ELC",[1]OUT_TransportEnergyCons!$C$3:$C$1000))*1,[1]OUT_TransportEnergyCons!J$3:J$1000)</f>
        <v>0.50898976779249605</v>
      </c>
      <c r="M1150" s="1" cm="1">
        <f t="array" ref="M1150">SUMPRODUCT(("T-Plg-elc-dsl_S4"=[1]OUT_TransportEnergyCons!$A$3:$A$1000)*1,("Var_Fin"=[1]OUT_TransportEnergyCons!$B$3:$B$1000)*1,ISNUMBER(SEARCH("ELC",[1]OUT_TransportEnergyCons!$C$3:$C$1000))*1,[1]OUT_TransportEnergyCons!K$3:K$1000)</f>
        <v>0.50149317874286026</v>
      </c>
      <c r="N1150" s="1" cm="1">
        <f t="array" ref="N1150">SUMPRODUCT(("T-Plg-elc-dsl_S4"=[1]OUT_TransportEnergyCons!$A$3:$A$1000)*1,("Var_Fin"=[1]OUT_TransportEnergyCons!$B$3:$B$1000)*1,ISNUMBER(SEARCH("ELC",[1]OUT_TransportEnergyCons!$C$3:$C$1000))*1,[1]OUT_TransportEnergyCons!L$3:L$1000)</f>
        <v>0.51860035193804366</v>
      </c>
      <c r="O1150" s="1" cm="1">
        <f t="array" ref="O1150">SUMPRODUCT(("T-Plg-elc-dsl_S4"=[1]OUT_TransportEnergyCons!$A$3:$A$1000)*1,("Var_Fin"=[1]OUT_TransportEnergyCons!$B$3:$B$1000)*1,ISNUMBER(SEARCH("ELC",[1]OUT_TransportEnergyCons!$C$3:$C$1000))*1,[1]OUT_TransportEnergyCons!M$3:M$1000)</f>
        <v>0.5844115704876266</v>
      </c>
      <c r="P1150" s="1" cm="1">
        <f t="array" ref="P1150">SUMPRODUCT(("T-Plg-elc-dsl_S4"=[1]OUT_TransportEnergyCons!$A$3:$A$1000)*1,("Var_Fin"=[1]OUT_TransportEnergyCons!$B$3:$B$1000)*1,ISNUMBER(SEARCH("ELC",[1]OUT_TransportEnergyCons!$C$3:$C$1000))*1,[1]OUT_TransportEnergyCons!N$3:N$1000)</f>
        <v>0.55996497742168438</v>
      </c>
      <c r="Q1150" s="1" cm="1">
        <f t="array" ref="Q1150">SUMPRODUCT(("T-Plg-elc-dsl_S4"=[1]OUT_TransportEnergyCons!$A$3:$A$1000)*1,("Var_Fin"=[1]OUT_TransportEnergyCons!$B$3:$B$1000)*1,ISNUMBER(SEARCH("ELC",[1]OUT_TransportEnergyCons!$C$3:$C$1000))*1,[1]OUT_TransportEnergyCons!O$3:O$1000)</f>
        <v>0.52199638513374513</v>
      </c>
      <c r="S1150" s="3"/>
    </row>
    <row r="1151" spans="2:19" x14ac:dyDescent="0.5">
      <c r="B1151" s="5" t="str">
        <f t="shared" si="1360"/>
        <v>SPS1</v>
      </c>
      <c r="C1151" s="5" t="str">
        <f t="shared" si="1361"/>
        <v>CH</v>
      </c>
      <c r="D1151" t="s">
        <v>1251</v>
      </c>
      <c r="E1151" t="s">
        <v>8</v>
      </c>
      <c r="F1151" s="1">
        <f>[1]Transport!B$32</f>
        <v>0</v>
      </c>
      <c r="G1151" s="1">
        <f>[1]Transport!C$32</f>
        <v>0</v>
      </c>
      <c r="H1151" s="1">
        <f>[1]Transport!D$32</f>
        <v>0</v>
      </c>
      <c r="I1151" s="1">
        <f>[1]Transport!E$32</f>
        <v>0.17950235637961198</v>
      </c>
      <c r="J1151" s="1">
        <f>[1]Transport!F$32</f>
        <v>1.4125104272337294</v>
      </c>
      <c r="K1151" s="1">
        <f>[1]Transport!G$32</f>
        <v>4.3539057757191282</v>
      </c>
      <c r="L1151" s="1">
        <f>[1]Transport!H$32</f>
        <v>10.005943081087432</v>
      </c>
      <c r="M1151" s="1">
        <f>[1]Transport!I$32</f>
        <v>13.253563492591342</v>
      </c>
      <c r="N1151" s="1">
        <f>[1]Transport!J$32</f>
        <v>13.006566044800236</v>
      </c>
      <c r="O1151" s="1">
        <f>[1]Transport!K$32</f>
        <v>14.340355791005619</v>
      </c>
      <c r="P1151" s="1">
        <f>[1]Transport!L$32</f>
        <v>13.888241880670098</v>
      </c>
      <c r="Q1151" s="1">
        <f>[1]Transport!M$32</f>
        <v>14.754849689777245</v>
      </c>
      <c r="S1151" s="3"/>
    </row>
    <row r="1152" spans="2:19" x14ac:dyDescent="0.5">
      <c r="B1152" s="5" t="str">
        <f>B1146</f>
        <v>SPS1</v>
      </c>
      <c r="C1152" s="5" t="str">
        <f>C1146</f>
        <v>CH</v>
      </c>
      <c r="D1152" t="s">
        <v>1252</v>
      </c>
      <c r="E1152" t="s">
        <v>8</v>
      </c>
      <c r="F1152" s="1">
        <f>SUM(F1153:F1156)</f>
        <v>1.0999842984689811E-3</v>
      </c>
      <c r="G1152" s="1">
        <f t="shared" ref="G1152:K1152" si="1362">SUM(G1153:G1156)</f>
        <v>2.5551589483458941E-3</v>
      </c>
      <c r="H1152" s="1">
        <f t="shared" si="1362"/>
        <v>2.8014227360412727E-3</v>
      </c>
      <c r="I1152" s="1">
        <f t="shared" si="1362"/>
        <v>9.3504334022782528E-4</v>
      </c>
      <c r="J1152" s="1">
        <f t="shared" si="1362"/>
        <v>8.7785211986692404E-4</v>
      </c>
      <c r="K1152" s="1">
        <f t="shared" si="1362"/>
        <v>7.6417221370523561E-4</v>
      </c>
      <c r="L1152" s="1">
        <f t="shared" ref="L1152:O1152" si="1363">SUM(L1153:L1156)</f>
        <v>6.1145358667959518E-4</v>
      </c>
      <c r="M1152" s="1">
        <f t="shared" si="1363"/>
        <v>5.7428416208356911E-4</v>
      </c>
      <c r="N1152" s="1">
        <f t="shared" si="1363"/>
        <v>6.5059528344046361E-4</v>
      </c>
      <c r="O1152" s="1">
        <f t="shared" si="1363"/>
        <v>5.1019610258410265E-4</v>
      </c>
      <c r="P1152" s="1">
        <f>SUM(P1153:P1156)</f>
        <v>5.9105706501333941E-4</v>
      </c>
      <c r="Q1152" s="1">
        <f>SUM(Q1153:Q1156)</f>
        <v>5.0266845647684022E-4</v>
      </c>
      <c r="S1152" s="3"/>
    </row>
    <row r="1153" spans="2:19" x14ac:dyDescent="0.5">
      <c r="B1153" s="5" t="str">
        <f t="shared" si="1358"/>
        <v>SPS1</v>
      </c>
      <c r="C1153" s="5" t="str">
        <f t="shared" si="1359"/>
        <v>CH</v>
      </c>
      <c r="D1153" t="s">
        <v>1253</v>
      </c>
      <c r="E1153" t="s">
        <v>8</v>
      </c>
      <c r="F1153" s="1" cm="1">
        <f t="array" ref="F1153">SUMPRODUCT(("T_C-FC-H2O-S1"=[1]OUT_TransportEnergyCons!$A$3:$A$1000)*1,("Var_Fin"=[1]OUT_TransportEnergyCons!$B$3:$B$1000)*1,ISNUMBER(SEARCH("H2",[1]OUT_TransportEnergyCons!$C$3:$C$1000))*1,[1]OUT_TransportEnergyCons!D$3:D$1000)</f>
        <v>0</v>
      </c>
      <c r="G1153" s="1" cm="1">
        <f t="array" ref="G1153">SUMPRODUCT(("T_C-FC-H2O-S1"=[1]OUT_TransportEnergyCons!$A$3:$A$1000)*1,("Var_Fin"=[1]OUT_TransportEnergyCons!$B$3:$B$1000)*1,ISNUMBER(SEARCH("H2",[1]OUT_TransportEnergyCons!$C$3:$C$1000))*1,[1]OUT_TransportEnergyCons!E$3:E$1000)</f>
        <v>1.1514285478508584E-4</v>
      </c>
      <c r="H1153" s="1" cm="1">
        <f t="array" ref="H1153">SUMPRODUCT(("T_C-FC-H2O-S1"=[1]OUT_TransportEnergyCons!$A$3:$A$1000)*1,("Var_Fin"=[1]OUT_TransportEnergyCons!$B$3:$B$1000)*1,ISNUMBER(SEARCH("H2",[1]OUT_TransportEnergyCons!$C$3:$C$1000))*1,[1]OUT_TransportEnergyCons!F$3:F$1000)</f>
        <v>1.6981624754094923E-4</v>
      </c>
      <c r="I1153" s="1" cm="1">
        <f t="array" ref="I1153">SUMPRODUCT(("T_C-FC-H2O-S1"=[1]OUT_TransportEnergyCons!$A$3:$A$1000)*1,("Var_Fin"=[1]OUT_TransportEnergyCons!$B$3:$B$1000)*1,ISNUMBER(SEARCH("H2",[1]OUT_TransportEnergyCons!$C$3:$C$1000))*1,[1]OUT_TransportEnergyCons!G$3:G$1000)</f>
        <v>8.027801328062651E-5</v>
      </c>
      <c r="J1153" s="1" cm="1">
        <f t="array" ref="J1153">SUMPRODUCT(("T_C-FC-H2O-S1"=[1]OUT_TransportEnergyCons!$A$3:$A$1000)*1,("Var_Fin"=[1]OUT_TransportEnergyCons!$B$3:$B$1000)*1,ISNUMBER(SEARCH("H2",[1]OUT_TransportEnergyCons!$C$3:$C$1000))*1,[1]OUT_TransportEnergyCons!H$3:H$1000)</f>
        <v>1.1862776946187172E-4</v>
      </c>
      <c r="K1153" s="1" cm="1">
        <f t="array" ref="K1153">SUMPRODUCT(("T_C-FC-H2O-S1"=[1]OUT_TransportEnergyCons!$A$3:$A$1000)*1,("Var_Fin"=[1]OUT_TransportEnergyCons!$B$3:$B$1000)*1,ISNUMBER(SEARCH("H2",[1]OUT_TransportEnergyCons!$C$3:$C$1000))*1,[1]OUT_TransportEnergyCons!I$3:I$1000)</f>
        <v>1.2052802160045937E-4</v>
      </c>
      <c r="L1153" s="1" cm="1">
        <f t="array" ref="L1153">SUMPRODUCT(("T_C-FC-H2O-S1"=[1]OUT_TransportEnergyCons!$A$3:$A$1000)*1,("Var_Fin"=[1]OUT_TransportEnergyCons!$B$3:$B$1000)*1,ISNUMBER(SEARCH("H2",[1]OUT_TransportEnergyCons!$C$3:$C$1000))*1,[1]OUT_TransportEnergyCons!J$3:J$1000)</f>
        <v>8.5467956283201795E-5</v>
      </c>
      <c r="M1153" s="1" cm="1">
        <f t="array" ref="M1153">SUMPRODUCT(("T_C-FC-H2O-S1"=[1]OUT_TransportEnergyCons!$A$3:$A$1000)*1,("Var_Fin"=[1]OUT_TransportEnergyCons!$B$3:$B$1000)*1,ISNUMBER(SEARCH("H2",[1]OUT_TransportEnergyCons!$C$3:$C$1000))*1,[1]OUT_TransportEnergyCons!K$3:K$1000)</f>
        <v>8.0457607685679194E-5</v>
      </c>
      <c r="N1153" s="1" cm="1">
        <f t="array" ref="N1153">SUMPRODUCT(("T_C-FC-H2O-S1"=[1]OUT_TransportEnergyCons!$A$3:$A$1000)*1,("Var_Fin"=[1]OUT_TransportEnergyCons!$B$3:$B$1000)*1,ISNUMBER(SEARCH("H2",[1]OUT_TransportEnergyCons!$C$3:$C$1000))*1,[1]OUT_TransportEnergyCons!L$3:L$1000)</f>
        <v>9.7336368130093511E-5</v>
      </c>
      <c r="O1153" s="1" cm="1">
        <f t="array" ref="O1153">SUMPRODUCT(("T_C-FC-H2O-S1"=[1]OUT_TransportEnergyCons!$A$3:$A$1000)*1,("Var_Fin"=[1]OUT_TransportEnergyCons!$B$3:$B$1000)*1,ISNUMBER(SEARCH("H2",[1]OUT_TransportEnergyCons!$C$3:$C$1000))*1,[1]OUT_TransportEnergyCons!M$3:M$1000)</f>
        <v>7.0029408652635687E-5</v>
      </c>
      <c r="P1153" s="1" cm="1">
        <f t="array" ref="P1153">SUMPRODUCT(("T_C-FC-H2O-S1"=[1]OUT_TransportEnergyCons!$A$3:$A$1000)*1,("Var_Fin"=[1]OUT_TransportEnergyCons!$B$3:$B$1000)*1,ISNUMBER(SEARCH("H2",[1]OUT_TransportEnergyCons!$C$3:$C$1000))*1,[1]OUT_TransportEnergyCons!N$3:N$1000)</f>
        <v>8.8673865060693999E-5</v>
      </c>
      <c r="Q1153" s="1" cm="1">
        <f t="array" ref="Q1153">SUMPRODUCT(("T_C-FC-H2O-S1"=[1]OUT_TransportEnergyCons!$A$3:$A$1000)*1,("Var_Fin"=[1]OUT_TransportEnergyCons!$B$3:$B$1000)*1,ISNUMBER(SEARCH("H2",[1]OUT_TransportEnergyCons!$C$3:$C$1000))*1,[1]OUT_TransportEnergyCons!O$3:O$1000)</f>
        <v>7.0724465790228622E-5</v>
      </c>
      <c r="S1153" s="3"/>
    </row>
    <row r="1154" spans="2:19" x14ac:dyDescent="0.5">
      <c r="B1154" s="5" t="str">
        <f t="shared" si="1358"/>
        <v>SPS1</v>
      </c>
      <c r="C1154" s="5" t="str">
        <f t="shared" si="1359"/>
        <v>CH</v>
      </c>
      <c r="D1154" t="s">
        <v>1254</v>
      </c>
      <c r="E1154" t="s">
        <v>8</v>
      </c>
      <c r="F1154" s="1" cm="1">
        <f t="array" ref="F1154">SUMPRODUCT(("T_C-FC-H2O-S2"=[1]OUT_TransportEnergyCons!$A$3:$A$1000)*1,("Var_Fin"=[1]OUT_TransportEnergyCons!$B$3:$B$1000)*1,ISNUMBER(SEARCH("H2",[1]OUT_TransportEnergyCons!$C$3:$C$1000))*1,[1]OUT_TransportEnergyCons!D$3:D$1000)</f>
        <v>1.560194750243669E-4</v>
      </c>
      <c r="G1154" s="1" cm="1">
        <f t="array" ref="G1154">SUMPRODUCT(("T_C-FC-H2O-S2"=[1]OUT_TransportEnergyCons!$A$3:$A$1000)*1,("Var_Fin"=[1]OUT_TransportEnergyCons!$B$3:$B$1000)*1,ISNUMBER(SEARCH("H2",[1]OUT_TransportEnergyCons!$C$3:$C$1000))*1,[1]OUT_TransportEnergyCons!E$3:E$1000)</f>
        <v>2.4635208177979282E-4</v>
      </c>
      <c r="H1154" s="1" cm="1">
        <f t="array" ref="H1154">SUMPRODUCT(("T_C-FC-H2O-S2"=[1]OUT_TransportEnergyCons!$A$3:$A$1000)*1,("Var_Fin"=[1]OUT_TransportEnergyCons!$B$3:$B$1000)*1,ISNUMBER(SEARCH("H2",[1]OUT_TransportEnergyCons!$C$3:$C$1000))*1,[1]OUT_TransportEnergyCons!F$3:F$1000)</f>
        <v>3.1704977824189131E-4</v>
      </c>
      <c r="I1154" s="1" cm="1">
        <f t="array" ref="I1154">SUMPRODUCT(("T_C-FC-H2O-S2"=[1]OUT_TransportEnergyCons!$A$3:$A$1000)*1,("Var_Fin"=[1]OUT_TransportEnergyCons!$B$3:$B$1000)*1,ISNUMBER(SEARCH("H2",[1]OUT_TransportEnergyCons!$C$3:$C$1000))*1,[1]OUT_TransportEnergyCons!G$3:G$1000)</f>
        <v>2.4309764801580457E-4</v>
      </c>
      <c r="J1154" s="1" cm="1">
        <f t="array" ref="J1154">SUMPRODUCT(("T_C-FC-H2O-S2"=[1]OUT_TransportEnergyCons!$A$3:$A$1000)*1,("Var_Fin"=[1]OUT_TransportEnergyCons!$B$3:$B$1000)*1,ISNUMBER(SEARCH("H2",[1]OUT_TransportEnergyCons!$C$3:$C$1000))*1,[1]OUT_TransportEnergyCons!H$3:H$1000)</f>
        <v>2.0895287616808233E-4</v>
      </c>
      <c r="K1154" s="1" cm="1">
        <f t="array" ref="K1154">SUMPRODUCT(("T_C-FC-H2O-S2"=[1]OUT_TransportEnergyCons!$A$3:$A$1000)*1,("Var_Fin"=[1]OUT_TransportEnergyCons!$B$3:$B$1000)*1,ISNUMBER(SEARCH("H2",[1]OUT_TransportEnergyCons!$C$3:$C$1000))*1,[1]OUT_TransportEnergyCons!I$3:I$1000)</f>
        <v>1.9939259326814062E-4</v>
      </c>
      <c r="L1154" s="1" cm="1">
        <f t="array" ref="L1154">SUMPRODUCT(("T_C-FC-H2O-S2"=[1]OUT_TransportEnergyCons!$A$3:$A$1000)*1,("Var_Fin"=[1]OUT_TransportEnergyCons!$B$3:$B$1000)*1,ISNUMBER(SEARCH("H2",[1]OUT_TransportEnergyCons!$C$3:$C$1000))*1,[1]OUT_TransportEnergyCons!J$3:J$1000)</f>
        <v>1.6102078848889771E-4</v>
      </c>
      <c r="M1154" s="1" cm="1">
        <f t="array" ref="M1154">SUMPRODUCT(("T_C-FC-H2O-S2"=[1]OUT_TransportEnergyCons!$A$3:$A$1000)*1,("Var_Fin"=[1]OUT_TransportEnergyCons!$B$3:$B$1000)*1,ISNUMBER(SEARCH("H2",[1]OUT_TransportEnergyCons!$C$3:$C$1000))*1,[1]OUT_TransportEnergyCons!K$3:K$1000)</f>
        <v>1.4841703621721664E-4</v>
      </c>
      <c r="N1154" s="1" cm="1">
        <f t="array" ref="N1154">SUMPRODUCT(("T_C-FC-H2O-S2"=[1]OUT_TransportEnergyCons!$A$3:$A$1000)*1,("Var_Fin"=[1]OUT_TransportEnergyCons!$B$3:$B$1000)*1,ISNUMBER(SEARCH("H2",[1]OUT_TransportEnergyCons!$C$3:$C$1000))*1,[1]OUT_TransportEnergyCons!L$3:L$1000)</f>
        <v>1.6714816368904999E-4</v>
      </c>
      <c r="O1154" s="1" cm="1">
        <f t="array" ref="O1154">SUMPRODUCT(("T_C-FC-H2O-S2"=[1]OUT_TransportEnergyCons!$A$3:$A$1000)*1,("Var_Fin"=[1]OUT_TransportEnergyCons!$B$3:$B$1000)*1,ISNUMBER(SEARCH("H2",[1]OUT_TransportEnergyCons!$C$3:$C$1000))*1,[1]OUT_TransportEnergyCons!M$3:M$1000)</f>
        <v>1.3165273224145555E-4</v>
      </c>
      <c r="P1154" s="1" cm="1">
        <f t="array" ref="P1154">SUMPRODUCT(("T_C-FC-H2O-S2"=[1]OUT_TransportEnergyCons!$A$3:$A$1000)*1,("Var_Fin"=[1]OUT_TransportEnergyCons!$B$3:$B$1000)*1,ISNUMBER(SEARCH("H2",[1]OUT_TransportEnergyCons!$C$3:$C$1000))*1,[1]OUT_TransportEnergyCons!N$3:N$1000)</f>
        <v>1.5189426887624545E-4</v>
      </c>
      <c r="Q1154" s="1" cm="1">
        <f t="array" ref="Q1154">SUMPRODUCT(("T_C-FC-H2O-S2"=[1]OUT_TransportEnergyCons!$A$3:$A$1000)*1,("Var_Fin"=[1]OUT_TransportEnergyCons!$B$3:$B$1000)*1,ISNUMBER(SEARCH("H2",[1]OUT_TransportEnergyCons!$C$3:$C$1000))*1,[1]OUT_TransportEnergyCons!O$3:O$1000)</f>
        <v>1.3143042779133191E-4</v>
      </c>
      <c r="S1154" s="3"/>
    </row>
    <row r="1155" spans="2:19" x14ac:dyDescent="0.5">
      <c r="B1155" s="5" t="str">
        <f t="shared" si="1358"/>
        <v>SPS1</v>
      </c>
      <c r="C1155" s="5" t="str">
        <f t="shared" si="1359"/>
        <v>CH</v>
      </c>
      <c r="D1155" t="s">
        <v>1255</v>
      </c>
      <c r="E1155" t="s">
        <v>8</v>
      </c>
      <c r="F1155" s="1" cm="1">
        <f t="array" ref="F1155">SUMPRODUCT(("T_C-FC-H2O-S3"=[1]OUT_TransportEnergyCons!$A$3:$A$1000)*1,("Var_Fin"=[1]OUT_TransportEnergyCons!$B$3:$B$1000)*1,ISNUMBER(SEARCH("H2",[1]OUT_TransportEnergyCons!$C$3:$C$1000))*1,[1]OUT_TransportEnergyCons!D$3:D$1000)</f>
        <v>9.439648234446143E-4</v>
      </c>
      <c r="G1155" s="1" cm="1">
        <f t="array" ref="G1155">SUMPRODUCT(("T_C-FC-H2O-S3"=[1]OUT_TransportEnergyCons!$A$3:$A$1000)*1,("Var_Fin"=[1]OUT_TransportEnergyCons!$B$3:$B$1000)*1,ISNUMBER(SEARCH("H2",[1]OUT_TransportEnergyCons!$C$3:$C$1000))*1,[1]OUT_TransportEnergyCons!E$3:E$1000)</f>
        <v>2.0906677843657165E-3</v>
      </c>
      <c r="H1155" s="1" cm="1">
        <f t="array" ref="H1155">SUMPRODUCT(("T_C-FC-H2O-S3"=[1]OUT_TransportEnergyCons!$A$3:$A$1000)*1,("Var_Fin"=[1]OUT_TransportEnergyCons!$B$3:$B$1000)*1,ISNUMBER(SEARCH("H2",[1]OUT_TransportEnergyCons!$C$3:$C$1000))*1,[1]OUT_TransportEnergyCons!F$3:F$1000)</f>
        <v>2.1366547690081579E-3</v>
      </c>
      <c r="I1155" s="1" cm="1">
        <f t="array" ref="I1155">SUMPRODUCT(("T_C-FC-H2O-S3"=[1]OUT_TransportEnergyCons!$A$3:$A$1000)*1,("Var_Fin"=[1]OUT_TransportEnergyCons!$B$3:$B$1000)*1,ISNUMBER(SEARCH("H2",[1]OUT_TransportEnergyCons!$C$3:$C$1000))*1,[1]OUT_TransportEnergyCons!G$3:G$1000)</f>
        <v>4.2717077780342745E-4</v>
      </c>
      <c r="J1155" s="1" cm="1">
        <f t="array" ref="J1155">SUMPRODUCT(("T_C-FC-H2O-S3"=[1]OUT_TransportEnergyCons!$A$3:$A$1000)*1,("Var_Fin"=[1]OUT_TransportEnergyCons!$B$3:$B$1000)*1,ISNUMBER(SEARCH("H2",[1]OUT_TransportEnergyCons!$C$3:$C$1000))*1,[1]OUT_TransportEnergyCons!H$3:H$1000)</f>
        <v>3.2421379763321204E-4</v>
      </c>
      <c r="K1155" s="1" cm="1">
        <f t="array" ref="K1155">SUMPRODUCT(("T_C-FC-H2O-S3"=[1]OUT_TransportEnergyCons!$A$3:$A$1000)*1,("Var_Fin"=[1]OUT_TransportEnergyCons!$B$3:$B$1000)*1,ISNUMBER(SEARCH("H2",[1]OUT_TransportEnergyCons!$C$3:$C$1000))*1,[1]OUT_TransportEnergyCons!I$3:I$1000)</f>
        <v>2.2831441972460373E-4</v>
      </c>
      <c r="L1155" s="1" cm="1">
        <f t="array" ref="L1155">SUMPRODUCT(("T_C-FC-H2O-S3"=[1]OUT_TransportEnergyCons!$A$3:$A$1000)*1,("Var_Fin"=[1]OUT_TransportEnergyCons!$B$3:$B$1000)*1,ISNUMBER(SEARCH("H2",[1]OUT_TransportEnergyCons!$C$3:$C$1000))*1,[1]OUT_TransportEnergyCons!J$3:J$1000)</f>
        <v>1.881140555436809E-4</v>
      </c>
      <c r="M1155" s="1" cm="1">
        <f t="array" ref="M1155">SUMPRODUCT(("T_C-FC-H2O-S3"=[1]OUT_TransportEnergyCons!$A$3:$A$1000)*1,("Var_Fin"=[1]OUT_TransportEnergyCons!$B$3:$B$1000)*1,ISNUMBER(SEARCH("H2",[1]OUT_TransportEnergyCons!$C$3:$C$1000))*1,[1]OUT_TransportEnergyCons!K$3:K$1000)</f>
        <v>1.7938917945078056E-4</v>
      </c>
      <c r="N1155" s="1" cm="1">
        <f t="array" ref="N1155">SUMPRODUCT(("T_C-FC-H2O-S3"=[1]OUT_TransportEnergyCons!$A$3:$A$1000)*1,("Var_Fin"=[1]OUT_TransportEnergyCons!$B$3:$B$1000)*1,ISNUMBER(SEARCH("H2",[1]OUT_TransportEnergyCons!$C$3:$C$1000))*1,[1]OUT_TransportEnergyCons!L$3:L$1000)</f>
        <v>1.9948013318387613E-4</v>
      </c>
      <c r="O1155" s="1" cm="1">
        <f t="array" ref="O1155">SUMPRODUCT(("T_C-FC-H2O-S3"=[1]OUT_TransportEnergyCons!$A$3:$A$1000)*1,("Var_Fin"=[1]OUT_TransportEnergyCons!$B$3:$B$1000)*1,ISNUMBER(SEARCH("H2",[1]OUT_TransportEnergyCons!$C$3:$C$1000))*1,[1]OUT_TransportEnergyCons!M$3:M$1000)</f>
        <v>1.6030801240360002E-4</v>
      </c>
      <c r="P1155" s="1" cm="1">
        <f t="array" ref="P1155">SUMPRODUCT(("T_C-FC-H2O-S3"=[1]OUT_TransportEnergyCons!$A$3:$A$1000)*1,("Var_Fin"=[1]OUT_TransportEnergyCons!$B$3:$B$1000)*1,ISNUMBER(SEARCH("H2",[1]OUT_TransportEnergyCons!$C$3:$C$1000))*1,[1]OUT_TransportEnergyCons!N$3:N$1000)</f>
        <v>1.7997287052806516E-4</v>
      </c>
      <c r="Q1155" s="1" cm="1">
        <f t="array" ref="Q1155">SUMPRODUCT(("T_C-FC-H2O-S3"=[1]OUT_TransportEnergyCons!$A$3:$A$1000)*1,("Var_Fin"=[1]OUT_TransportEnergyCons!$B$3:$B$1000)*1,ISNUMBER(SEARCH("H2",[1]OUT_TransportEnergyCons!$C$3:$C$1000))*1,[1]OUT_TransportEnergyCons!O$3:O$1000)</f>
        <v>1.5459911008367774E-4</v>
      </c>
      <c r="S1155" s="3"/>
    </row>
    <row r="1156" spans="2:19" x14ac:dyDescent="0.5">
      <c r="B1156" s="5" t="str">
        <f t="shared" si="1358"/>
        <v>SPS1</v>
      </c>
      <c r="C1156" s="5" t="str">
        <f t="shared" si="1359"/>
        <v>CH</v>
      </c>
      <c r="D1156" t="s">
        <v>1256</v>
      </c>
      <c r="E1156" t="s">
        <v>8</v>
      </c>
      <c r="F1156" s="1" cm="1">
        <f t="array" ref="F1156">SUMPRODUCT(("T_C-FC-H2O-S4"=[1]OUT_TransportEnergyCons!$A$3:$A$1000)*1,("Var_Fin"=[1]OUT_TransportEnergyCons!$B$3:$B$1000)*1,ISNUMBER(SEARCH("H2",[1]OUT_TransportEnergyCons!$C$3:$C$1000))*1,[1]OUT_TransportEnergyCons!D$3:D$1000)</f>
        <v>0</v>
      </c>
      <c r="G1156" s="1" cm="1">
        <f t="array" ref="G1156">SUMPRODUCT(("T_C-FC-H2O-S4"=[1]OUT_TransportEnergyCons!$A$3:$A$1000)*1,("Var_Fin"=[1]OUT_TransportEnergyCons!$B$3:$B$1000)*1,ISNUMBER(SEARCH("H2",[1]OUT_TransportEnergyCons!$C$3:$C$1000))*1,[1]OUT_TransportEnergyCons!E$3:E$1000)</f>
        <v>1.0299622741529879E-4</v>
      </c>
      <c r="H1156" s="1" cm="1">
        <f t="array" ref="H1156">SUMPRODUCT(("T_C-FC-H2O-S4"=[1]OUT_TransportEnergyCons!$A$3:$A$1000)*1,("Var_Fin"=[1]OUT_TransportEnergyCons!$B$3:$B$1000)*1,ISNUMBER(SEARCH("H2",[1]OUT_TransportEnergyCons!$C$3:$C$1000))*1,[1]OUT_TransportEnergyCons!F$3:F$1000)</f>
        <v>1.7790194125027426E-4</v>
      </c>
      <c r="I1156" s="1" cm="1">
        <f t="array" ref="I1156">SUMPRODUCT(("T_C-FC-H2O-S4"=[1]OUT_TransportEnergyCons!$A$3:$A$1000)*1,("Var_Fin"=[1]OUT_TransportEnergyCons!$B$3:$B$1000)*1,ISNUMBER(SEARCH("H2",[1]OUT_TransportEnergyCons!$C$3:$C$1000))*1,[1]OUT_TransportEnergyCons!G$3:G$1000)</f>
        <v>1.8449690112796679E-4</v>
      </c>
      <c r="J1156" s="1" cm="1">
        <f t="array" ref="J1156">SUMPRODUCT(("T_C-FC-H2O-S4"=[1]OUT_TransportEnergyCons!$A$3:$A$1000)*1,("Var_Fin"=[1]OUT_TransportEnergyCons!$B$3:$B$1000)*1,ISNUMBER(SEARCH("H2",[1]OUT_TransportEnergyCons!$C$3:$C$1000))*1,[1]OUT_TransportEnergyCons!H$3:H$1000)</f>
        <v>2.2605767660375796E-4</v>
      </c>
      <c r="K1156" s="1" cm="1">
        <f t="array" ref="K1156">SUMPRODUCT(("T_C-FC-H2O-S4"=[1]OUT_TransportEnergyCons!$A$3:$A$1000)*1,("Var_Fin"=[1]OUT_TransportEnergyCons!$B$3:$B$1000)*1,ISNUMBER(SEARCH("H2",[1]OUT_TransportEnergyCons!$C$3:$C$1000))*1,[1]OUT_TransportEnergyCons!I$3:I$1000)</f>
        <v>2.1593717911203193E-4</v>
      </c>
      <c r="L1156" s="1" cm="1">
        <f t="array" ref="L1156">SUMPRODUCT(("T_C-FC-H2O-S4"=[1]OUT_TransportEnergyCons!$A$3:$A$1000)*1,("Var_Fin"=[1]OUT_TransportEnergyCons!$B$3:$B$1000)*1,ISNUMBER(SEARCH("H2",[1]OUT_TransportEnergyCons!$C$3:$C$1000))*1,[1]OUT_TransportEnergyCons!J$3:J$1000)</f>
        <v>1.7685078636381471E-4</v>
      </c>
      <c r="M1156" s="1" cm="1">
        <f t="array" ref="M1156">SUMPRODUCT(("T_C-FC-H2O-S4"=[1]OUT_TransportEnergyCons!$A$3:$A$1000)*1,("Var_Fin"=[1]OUT_TransportEnergyCons!$B$3:$B$1000)*1,ISNUMBER(SEARCH("H2",[1]OUT_TransportEnergyCons!$C$3:$C$1000))*1,[1]OUT_TransportEnergyCons!K$3:K$1000)</f>
        <v>1.6602033872989265E-4</v>
      </c>
      <c r="N1156" s="1" cm="1">
        <f t="array" ref="N1156">SUMPRODUCT(("T_C-FC-H2O-S4"=[1]OUT_TransportEnergyCons!$A$3:$A$1000)*1,("Var_Fin"=[1]OUT_TransportEnergyCons!$B$3:$B$1000)*1,ISNUMBER(SEARCH("H2",[1]OUT_TransportEnergyCons!$C$3:$C$1000))*1,[1]OUT_TransportEnergyCons!L$3:L$1000)</f>
        <v>1.8663061843744396E-4</v>
      </c>
      <c r="O1156" s="1" cm="1">
        <f t="array" ref="O1156">SUMPRODUCT(("T_C-FC-H2O-S4"=[1]OUT_TransportEnergyCons!$A$3:$A$1000)*1,("Var_Fin"=[1]OUT_TransportEnergyCons!$B$3:$B$1000)*1,ISNUMBER(SEARCH("H2",[1]OUT_TransportEnergyCons!$C$3:$C$1000))*1,[1]OUT_TransportEnergyCons!M$3:M$1000)</f>
        <v>1.4820594928641144E-4</v>
      </c>
      <c r="P1156" s="1" cm="1">
        <f t="array" ref="P1156">SUMPRODUCT(("T_C-FC-H2O-S4"=[1]OUT_TransportEnergyCons!$A$3:$A$1000)*1,("Var_Fin"=[1]OUT_TransportEnergyCons!$B$3:$B$1000)*1,ISNUMBER(SEARCH("H2",[1]OUT_TransportEnergyCons!$C$3:$C$1000))*1,[1]OUT_TransportEnergyCons!N$3:N$1000)</f>
        <v>1.7051606054833477E-4</v>
      </c>
      <c r="Q1156" s="1" cm="1">
        <f t="array" ref="Q1156">SUMPRODUCT(("T_C-FC-H2O-S4"=[1]OUT_TransportEnergyCons!$A$3:$A$1000)*1,("Var_Fin"=[1]OUT_TransportEnergyCons!$B$3:$B$1000)*1,ISNUMBER(SEARCH("H2",[1]OUT_TransportEnergyCons!$C$3:$C$1000))*1,[1]OUT_TransportEnergyCons!O$3:O$1000)</f>
        <v>1.4591445281160199E-4</v>
      </c>
      <c r="S1156" s="3"/>
    </row>
    <row r="1157" spans="2:19" x14ac:dyDescent="0.5">
      <c r="B1157" s="5" t="str">
        <f t="shared" si="1358"/>
        <v>SPS1</v>
      </c>
      <c r="C1157" s="5" t="str">
        <f t="shared" si="1359"/>
        <v>CH</v>
      </c>
      <c r="D1157" t="s">
        <v>1257</v>
      </c>
      <c r="E1157" t="s">
        <v>8</v>
      </c>
      <c r="F1157" s="1">
        <f>SUM(F1162:F1179)</f>
        <v>77.49869783431771</v>
      </c>
      <c r="G1157" s="1">
        <f t="shared" ref="G1157:K1157" si="1364">SUM(G1162:G1179)</f>
        <v>74.951463586616697</v>
      </c>
      <c r="H1157" s="1">
        <f t="shared" si="1364"/>
        <v>68.746676250852147</v>
      </c>
      <c r="I1157" s="1">
        <f t="shared" si="1364"/>
        <v>45.213475037464619</v>
      </c>
      <c r="J1157" s="1">
        <f t="shared" si="1364"/>
        <v>19.694456486027086</v>
      </c>
      <c r="K1157" s="1">
        <f t="shared" si="1364"/>
        <v>7.9678978256944832</v>
      </c>
      <c r="L1157" s="1">
        <f t="shared" ref="L1157:O1157" si="1365">SUM(L1162:L1179)</f>
        <v>4.9448216009554233</v>
      </c>
      <c r="M1157" s="1">
        <f t="shared" si="1365"/>
        <v>1.3183800596977586</v>
      </c>
      <c r="N1157" s="1">
        <f t="shared" si="1365"/>
        <v>1.2556575166709527</v>
      </c>
      <c r="O1157" s="1">
        <f t="shared" si="1365"/>
        <v>1.2387708696844102</v>
      </c>
      <c r="P1157" s="1">
        <f>SUM(P1162:P1179)</f>
        <v>1.1264470235988175</v>
      </c>
      <c r="Q1157" s="1">
        <f>SUM(Q1162:Q1179)</f>
        <v>1.0759944560739241</v>
      </c>
      <c r="S1157" s="3"/>
    </row>
    <row r="1158" spans="2:19" x14ac:dyDescent="0.5">
      <c r="B1158" s="5" t="str">
        <f>B1157</f>
        <v>SPS1</v>
      </c>
      <c r="C1158" s="5" t="str">
        <f t="shared" si="1359"/>
        <v>CH</v>
      </c>
      <c r="D1158" t="s">
        <v>1258</v>
      </c>
      <c r="E1158" t="str">
        <f>E1157</f>
        <v>PJ/yr.</v>
      </c>
      <c r="F1158" s="1">
        <f t="shared" ref="F1158:J1158" si="1366">IF(F1157-F1159&lt;0,0,F1157-F1159)</f>
        <v>73.256240800002729</v>
      </c>
      <c r="G1158" s="1">
        <f t="shared" si="1366"/>
        <v>70.848458003416852</v>
      </c>
      <c r="H1158" s="1">
        <f t="shared" si="1366"/>
        <v>64.983453896065456</v>
      </c>
      <c r="I1158" s="1">
        <f t="shared" si="1366"/>
        <v>42.737844583034452</v>
      </c>
      <c r="J1158" s="1">
        <f t="shared" si="1366"/>
        <v>18.340758688292564</v>
      </c>
      <c r="K1158" s="1">
        <f>IF(K1157-K1159&lt;0,0,K1157-K1159)</f>
        <v>5.5551943555628807</v>
      </c>
      <c r="L1158" s="1">
        <f t="shared" ref="L1158:O1158" si="1367">IF(L1157-L1159&lt;0,0,L1157-L1159)</f>
        <v>3.6964761915334168</v>
      </c>
      <c r="M1158" s="1">
        <f t="shared" si="1367"/>
        <v>0</v>
      </c>
      <c r="N1158" s="1">
        <f t="shared" si="1367"/>
        <v>0</v>
      </c>
      <c r="O1158" s="1">
        <f t="shared" si="1367"/>
        <v>0</v>
      </c>
      <c r="P1158" s="1">
        <f>IF(P1157-P1159&lt;0,0,P1157-P1159)</f>
        <v>0</v>
      </c>
      <c r="Q1158" s="1">
        <f>IF(Q1157-Q1159&lt;0,0,Q1157-Q1159)</f>
        <v>0</v>
      </c>
      <c r="S1158" s="3"/>
    </row>
    <row r="1159" spans="2:19" x14ac:dyDescent="0.5">
      <c r="B1159" s="5" t="str">
        <f t="shared" ref="B1159:B1161" si="1368">B1158</f>
        <v>SPS1</v>
      </c>
      <c r="C1159" s="5" t="str">
        <f t="shared" si="1359"/>
        <v>CH</v>
      </c>
      <c r="D1159" t="s">
        <v>1259</v>
      </c>
      <c r="E1159" t="str">
        <f>E1158</f>
        <v>PJ/yr.</v>
      </c>
      <c r="F1159" s="1">
        <f>SUM(F1160:F1161)</f>
        <v>4.2424570343149828</v>
      </c>
      <c r="G1159" s="1">
        <f t="shared" ref="G1159" si="1369">SUM(G1160:G1161)</f>
        <v>4.1030055831998382</v>
      </c>
      <c r="H1159" s="1">
        <f t="shared" ref="H1159" si="1370">SUM(H1160:H1161)</f>
        <v>3.7632223547866914</v>
      </c>
      <c r="I1159" s="1">
        <f t="shared" ref="I1159" si="1371">SUM(I1160:I1161)</f>
        <v>2.4756304544301693</v>
      </c>
      <c r="J1159" s="1">
        <f t="shared" ref="J1159" si="1372">SUM(J1160:J1161)</f>
        <v>1.3536977977345228</v>
      </c>
      <c r="K1159" s="1">
        <f t="shared" ref="K1159" si="1373">SUM(K1160:K1161)</f>
        <v>2.4127034701316021</v>
      </c>
      <c r="L1159" s="1">
        <f t="shared" ref="L1159:O1159" si="1374">SUM(L1160:L1161)</f>
        <v>1.2483454094220066</v>
      </c>
      <c r="M1159" s="1">
        <f t="shared" si="1374"/>
        <v>1.3216104414976084</v>
      </c>
      <c r="N1159" s="1">
        <f t="shared" si="1374"/>
        <v>1.2588007049896268</v>
      </c>
      <c r="O1159" s="1">
        <f t="shared" si="1374"/>
        <v>1.2415100642549335</v>
      </c>
      <c r="P1159" s="1">
        <f>SUM(P1160:P1161)</f>
        <v>1.1298667934974695</v>
      </c>
      <c r="Q1159" s="1">
        <f>SUM(Q1160:Q1161)</f>
        <v>1.0789321877244666</v>
      </c>
      <c r="S1159" s="3"/>
    </row>
    <row r="1160" spans="2:19" x14ac:dyDescent="0.5">
      <c r="B1160" s="5" t="str">
        <f t="shared" si="1368"/>
        <v>SPS1</v>
      </c>
      <c r="C1160" s="5" t="str">
        <f t="shared" si="1359"/>
        <v>CH</v>
      </c>
      <c r="D1160" t="s">
        <v>1260</v>
      </c>
      <c r="E1160" t="str">
        <f>E1159</f>
        <v>PJ/yr.</v>
      </c>
      <c r="F1160" s="1">
        <f>[1]Transport!B$25/SUM([1]Transport!B$21,[1]Transport!B$25)*F1157*(F$35+F$600)/(F$35+F$600+F$39)</f>
        <v>4.2424570343149828</v>
      </c>
      <c r="G1160" s="1">
        <f>[1]Transport!C$25/SUM([1]Transport!C$21,[1]Transport!C$25)*G1157*(G$35+G$600)/(G$35+G$600+G$39)</f>
        <v>4.1030055831998382</v>
      </c>
      <c r="H1160" s="1">
        <f>[1]Transport!D$25/SUM([1]Transport!D$21,[1]Transport!D$25)*H1157*(H$35+H$600)/(H$35+H$600+H$39)</f>
        <v>3.7632223547866914</v>
      </c>
      <c r="I1160" s="1">
        <f>[1]Transport!E$25/SUM([1]Transport!E$21,[1]Transport!E$25)*I1157*(I$35+I$600)/(I$35+I$600+I$39)</f>
        <v>2.4756304544301693</v>
      </c>
      <c r="J1160" s="1">
        <f>[1]Transport!F$25/SUM([1]Transport!F$21,[1]Transport!F$25)*J1157*(J$35+J$600)/(J$35+J$600+J$39)</f>
        <v>1.3536977977345228</v>
      </c>
      <c r="K1160" s="1">
        <f>[1]Transport!G$25/SUM([1]Transport!G$21,[1]Transport!G$25)*K1157*(K$35+K$600)/(K$35+K$600+K$39)</f>
        <v>0.43962325293092858</v>
      </c>
      <c r="L1160" s="1">
        <f>[1]Transport!H$25/SUM([1]Transport!H$21,[1]Transport!H$25)*L1157*(L$35+L$600)/(L$35+L$600+L$39)</f>
        <v>0.27988662598639241</v>
      </c>
      <c r="M1160" s="1">
        <f>[1]Transport!I$25/SUM([1]Transport!I$21,[1]Transport!I$25)*M1157*(M$35+M$600)/(M$35+M$600+M$39)</f>
        <v>1.1017983307892678</v>
      </c>
      <c r="N1160" s="1">
        <f>[1]Transport!J$25/SUM([1]Transport!J$21,[1]Transport!J$25)*N1157*(N$35+N$600)/(N$35+N$600+N$39)</f>
        <v>1.0542462894458822</v>
      </c>
      <c r="O1160" s="1">
        <f>[1]Transport!K$25/SUM([1]Transport!K$21,[1]Transport!K$25)*O1157*(O$35+O$600)/(O$35+O$600+O$39)</f>
        <v>1.051370712945412</v>
      </c>
      <c r="P1160" s="1">
        <f>[1]Transport!L$25/SUM([1]Transport!L$21,[1]Transport!L$25)*P1157*(P$35+P$600)/(P$35+P$600+P$39)</f>
        <v>0.89935441095735702</v>
      </c>
      <c r="Q1160" s="1">
        <f>[1]Transport!M$25/SUM([1]Transport!M$21,[1]Transport!M$25)*Q1157*(Q$35+Q$600)/(Q$35+Q$600+Q$39)</f>
        <v>0.89239609716136725</v>
      </c>
      <c r="S1160" s="3"/>
    </row>
    <row r="1161" spans="2:19" x14ac:dyDescent="0.5">
      <c r="B1161" s="5" t="str">
        <f t="shared" si="1368"/>
        <v>SPS1</v>
      </c>
      <c r="C1161" s="5" t="str">
        <f t="shared" si="1359"/>
        <v>CH</v>
      </c>
      <c r="D1161" t="s">
        <v>1261</v>
      </c>
      <c r="E1161" t="str">
        <f>E1160</f>
        <v>PJ/yr.</v>
      </c>
      <c r="F1161" s="1">
        <f>(F$39+F$719)/([1]Transport!B$21+[1]Transport!B$25)*F1157</f>
        <v>0</v>
      </c>
      <c r="G1161" s="1">
        <f>(G$39+G$719)/([1]Transport!C$21+[1]Transport!C$25)*G1157</f>
        <v>0</v>
      </c>
      <c r="H1161" s="1">
        <f>(H$39+H$719)/([1]Transport!D$21+[1]Transport!D$25)*H1157</f>
        <v>0</v>
      </c>
      <c r="I1161" s="1">
        <f>(I$39+I$719)/([1]Transport!E$21+[1]Transport!E$25)*I1157</f>
        <v>0</v>
      </c>
      <c r="J1161" s="1">
        <f>(J$39+J$719)/([1]Transport!F$21+[1]Transport!F$25)*J1157</f>
        <v>0</v>
      </c>
      <c r="K1161" s="1">
        <f>(K$39+K$719)/([1]Transport!G$21+[1]Transport!G$25)*K1157</f>
        <v>1.9730802172006734</v>
      </c>
      <c r="L1161" s="1">
        <f>(L$39+L$719)/([1]Transport!H$21+[1]Transport!H$25)*L1157</f>
        <v>0.9684587834356142</v>
      </c>
      <c r="M1161" s="1">
        <f>(M$39+M$719)/([1]Transport!I$21+[1]Transport!I$25)*M1157</f>
        <v>0.21981211070834059</v>
      </c>
      <c r="N1161" s="1">
        <f>(N$39+N$719)/([1]Transport!J$21+[1]Transport!J$25)*N1157</f>
        <v>0.20455441554374468</v>
      </c>
      <c r="O1161" s="1">
        <f>(O$39+O$719)/([1]Transport!K$21+[1]Transport!K$25)*O1157</f>
        <v>0.19013935130952153</v>
      </c>
      <c r="P1161" s="1">
        <f>(P$39+P$719)/([1]Transport!L$21+[1]Transport!L$25)*P1157</f>
        <v>0.23051238254011253</v>
      </c>
      <c r="Q1161" s="1">
        <f>(Q$39+Q$719)/([1]Transport!M$21+[1]Transport!M$25)*Q1157</f>
        <v>0.18653609056309936</v>
      </c>
      <c r="S1161" s="3"/>
    </row>
    <row r="1162" spans="2:19" x14ac:dyDescent="0.5">
      <c r="B1162" s="5" t="str">
        <f>B1157</f>
        <v>SPS1</v>
      </c>
      <c r="C1162" s="5" t="str">
        <f>C1157</f>
        <v>CH</v>
      </c>
      <c r="D1162" t="s">
        <v>1262</v>
      </c>
      <c r="E1162" t="s">
        <v>8</v>
      </c>
      <c r="F1162" s="1" cm="1">
        <f t="array" ref="F1162">SUMPRODUCT(("T_C-HYBGSLEXT"=[1]OUT_TransportEnergyCons!$A$3:$A$1000)*1,("Var_Fin"=[1]OUT_TransportEnergyCons!$B$3:$B$1000)*1,ISNUMBER(SEARCH("GSL",[1]OUT_TransportEnergyCons!$C$3:$C$1000))*1,[1]OUT_TransportEnergyCons!D$3:D$1000)</f>
        <v>1.2541360189531099</v>
      </c>
      <c r="G1162" s="1" cm="1">
        <f t="array" ref="G1162">SUMPRODUCT(("T_C-HYBGSLEXT"=[1]OUT_TransportEnergyCons!$A$3:$A$1000)*1,("Var_Fin"=[1]OUT_TransportEnergyCons!$B$3:$B$1000)*1,ISNUMBER(SEARCH("GSL",[1]OUT_TransportEnergyCons!$C$3:$C$1000))*1,[1]OUT_TransportEnergyCons!E$3:E$1000)</f>
        <v>1.2429321354449769</v>
      </c>
      <c r="H1162" s="1" cm="1">
        <f t="array" ref="H1162">SUMPRODUCT(("T_C-HYBGSLEXT"=[1]OUT_TransportEnergyCons!$A$3:$A$1000)*1,("Var_Fin"=[1]OUT_TransportEnergyCons!$B$3:$B$1000)*1,ISNUMBER(SEARCH("GSL",[1]OUT_TransportEnergyCons!$C$3:$C$1000))*1,[1]OUT_TransportEnergyCons!F$3:F$1000)</f>
        <v>0.9252161777975455</v>
      </c>
      <c r="I1162" s="1" cm="1">
        <f t="array" ref="I1162">SUMPRODUCT(("T_C-HYBGSLEXT"=[1]OUT_TransportEnergyCons!$A$3:$A$1000)*1,("Var_Fin"=[1]OUT_TransportEnergyCons!$B$3:$B$1000)*1,ISNUMBER(SEARCH("GSL",[1]OUT_TransportEnergyCons!$C$3:$C$1000))*1,[1]OUT_TransportEnergyCons!G$3:G$1000)</f>
        <v>0.4389925967467409</v>
      </c>
      <c r="J1162" s="1" cm="1">
        <f t="array" ref="J1162">SUMPRODUCT(("T_C-HYBGSLEXT"=[1]OUT_TransportEnergyCons!$A$3:$A$1000)*1,("Var_Fin"=[1]OUT_TransportEnergyCons!$B$3:$B$1000)*1,ISNUMBER(SEARCH("GSL",[1]OUT_TransportEnergyCons!$C$3:$C$1000))*1,[1]OUT_TransportEnergyCons!H$3:H$1000)</f>
        <v>0</v>
      </c>
      <c r="K1162" s="1" cm="1">
        <f t="array" ref="K1162">SUMPRODUCT(("T_C-HYBGSLEXT"=[1]OUT_TransportEnergyCons!$A$3:$A$1000)*1,("Var_Fin"=[1]OUT_TransportEnergyCons!$B$3:$B$1000)*1,ISNUMBER(SEARCH("GSL",[1]OUT_TransportEnergyCons!$C$3:$C$1000))*1,[1]OUT_TransportEnergyCons!I$3:I$1000)</f>
        <v>0</v>
      </c>
      <c r="L1162" s="1" cm="1">
        <f t="array" ref="L1162">SUMPRODUCT(("T_C-HYBGSLEXT"=[1]OUT_TransportEnergyCons!$A$3:$A$1000)*1,("Var_Fin"=[1]OUT_TransportEnergyCons!$B$3:$B$1000)*1,ISNUMBER(SEARCH("GSL",[1]OUT_TransportEnergyCons!$C$3:$C$1000))*1,[1]OUT_TransportEnergyCons!J$3:J$1000)</f>
        <v>0</v>
      </c>
      <c r="M1162" s="1" cm="1">
        <f t="array" ref="M1162">SUMPRODUCT(("T_C-HYBGSLEXT"=[1]OUT_TransportEnergyCons!$A$3:$A$1000)*1,("Var_Fin"=[1]OUT_TransportEnergyCons!$B$3:$B$1000)*1,ISNUMBER(SEARCH("GSL",[1]OUT_TransportEnergyCons!$C$3:$C$1000))*1,[1]OUT_TransportEnergyCons!K$3:K$1000)</f>
        <v>0</v>
      </c>
      <c r="N1162" s="1" cm="1">
        <f t="array" ref="N1162">SUMPRODUCT(("T_C-HYBGSLEXT"=[1]OUT_TransportEnergyCons!$A$3:$A$1000)*1,("Var_Fin"=[1]OUT_TransportEnergyCons!$B$3:$B$1000)*1,ISNUMBER(SEARCH("GSL",[1]OUT_TransportEnergyCons!$C$3:$C$1000))*1,[1]OUT_TransportEnergyCons!L$3:L$1000)</f>
        <v>0</v>
      </c>
      <c r="O1162" s="1" cm="1">
        <f t="array" ref="O1162">SUMPRODUCT(("T_C-HYBGSLEXT"=[1]OUT_TransportEnergyCons!$A$3:$A$1000)*1,("Var_Fin"=[1]OUT_TransportEnergyCons!$B$3:$B$1000)*1,ISNUMBER(SEARCH("GSL",[1]OUT_TransportEnergyCons!$C$3:$C$1000))*1,[1]OUT_TransportEnergyCons!M$3:M$1000)</f>
        <v>0</v>
      </c>
      <c r="P1162" s="1" cm="1">
        <f t="array" ref="P1162">SUMPRODUCT(("T_C-HYBGSLEXT"=[1]OUT_TransportEnergyCons!$A$3:$A$1000)*1,("Var_Fin"=[1]OUT_TransportEnergyCons!$B$3:$B$1000)*1,ISNUMBER(SEARCH("GSL",[1]OUT_TransportEnergyCons!$C$3:$C$1000))*1,[1]OUT_TransportEnergyCons!N$3:N$1000)</f>
        <v>0</v>
      </c>
      <c r="Q1162" s="1" cm="1">
        <f t="array" ref="Q1162">SUMPRODUCT(("T_C-HYBGSLEXT"=[1]OUT_TransportEnergyCons!$A$3:$A$1000)*1,("Var_Fin"=[1]OUT_TransportEnergyCons!$B$3:$B$1000)*1,ISNUMBER(SEARCH("GSL",[1]OUT_TransportEnergyCons!$C$3:$C$1000))*1,[1]OUT_TransportEnergyCons!O$3:O$1000)</f>
        <v>0</v>
      </c>
      <c r="S1162" s="3"/>
    </row>
    <row r="1163" spans="2:19" x14ac:dyDescent="0.5">
      <c r="B1163" s="5" t="str">
        <f t="shared" si="1358"/>
        <v>SPS1</v>
      </c>
      <c r="C1163" s="5" t="str">
        <f t="shared" si="1359"/>
        <v>CH</v>
      </c>
      <c r="D1163" t="s">
        <v>1263</v>
      </c>
      <c r="E1163" t="s">
        <v>8</v>
      </c>
      <c r="F1163" s="1" cm="1">
        <f t="array" ref="F1163">SUMPRODUCT(("T_C-HY-GSL-S1"=[1]OUT_TransportEnergyCons!$A$3:$A$1000)*1,("Var_Fin"=[1]OUT_TransportEnergyCons!$B$3:$B$1000)*1,ISNUMBER(SEARCH("GSL",[1]OUT_TransportEnergyCons!$C$3:$C$1000))*1,[1]OUT_TransportEnergyCons!D$3:D$1000)</f>
        <v>4.4403459716236278E-2</v>
      </c>
      <c r="G1163" s="1" cm="1">
        <f t="array" ref="G1163">SUMPRODUCT(("T_C-HY-GSL-S1"=[1]OUT_TransportEnergyCons!$A$3:$A$1000)*1,("Var_Fin"=[1]OUT_TransportEnergyCons!$B$3:$B$1000)*1,ISNUMBER(SEARCH("GSL",[1]OUT_TransportEnergyCons!$C$3:$C$1000))*1,[1]OUT_TransportEnergyCons!E$3:E$1000)</f>
        <v>5.3545197034370592E-2</v>
      </c>
      <c r="H1163" s="1" cm="1">
        <f t="array" ref="H1163">SUMPRODUCT(("T_C-HY-GSL-S1"=[1]OUT_TransportEnergyCons!$A$3:$A$1000)*1,("Var_Fin"=[1]OUT_TransportEnergyCons!$B$3:$B$1000)*1,ISNUMBER(SEARCH("GSL",[1]OUT_TransportEnergyCons!$C$3:$C$1000))*1,[1]OUT_TransportEnergyCons!F$3:F$1000)</f>
        <v>3.6210405460454675E-2</v>
      </c>
      <c r="I1163" s="1" cm="1">
        <f t="array" ref="I1163">SUMPRODUCT(("T_C-HY-GSL-S1"=[1]OUT_TransportEnergyCons!$A$3:$A$1000)*1,("Var_Fin"=[1]OUT_TransportEnergyCons!$B$3:$B$1000)*1,ISNUMBER(SEARCH("GSL",[1]OUT_TransportEnergyCons!$C$3:$C$1000))*1,[1]OUT_TransportEnergyCons!G$3:G$1000)</f>
        <v>2.2972611462340215E-2</v>
      </c>
      <c r="J1163" s="1" cm="1">
        <f t="array" ref="J1163">SUMPRODUCT(("T_C-HY-GSL-S1"=[1]OUT_TransportEnergyCons!$A$3:$A$1000)*1,("Var_Fin"=[1]OUT_TransportEnergyCons!$B$3:$B$1000)*1,ISNUMBER(SEARCH("GSL",[1]OUT_TransportEnergyCons!$C$3:$C$1000))*1,[1]OUT_TransportEnergyCons!H$3:H$1000)</f>
        <v>2.9766161984597027E-3</v>
      </c>
      <c r="K1163" s="1" cm="1">
        <f t="array" ref="K1163">SUMPRODUCT(("T_C-HY-GSL-S1"=[1]OUT_TransportEnergyCons!$A$3:$A$1000)*1,("Var_Fin"=[1]OUT_TransportEnergyCons!$B$3:$B$1000)*1,ISNUMBER(SEARCH("GSL",[1]OUT_TransportEnergyCons!$C$3:$C$1000))*1,[1]OUT_TransportEnergyCons!I$3:I$1000)</f>
        <v>6.7290959945426668E-4</v>
      </c>
      <c r="L1163" s="1" cm="1">
        <f t="array" ref="L1163">SUMPRODUCT(("T_C-HY-GSL-S1"=[1]OUT_TransportEnergyCons!$A$3:$A$1000)*1,("Var_Fin"=[1]OUT_TransportEnergyCons!$B$3:$B$1000)*1,ISNUMBER(SEARCH("GSL",[1]OUT_TransportEnergyCons!$C$3:$C$1000))*1,[1]OUT_TransportEnergyCons!J$3:J$1000)</f>
        <v>0</v>
      </c>
      <c r="M1163" s="1" cm="1">
        <f t="array" ref="M1163">SUMPRODUCT(("T_C-HY-GSL-S1"=[1]OUT_TransportEnergyCons!$A$3:$A$1000)*1,("Var_Fin"=[1]OUT_TransportEnergyCons!$B$3:$B$1000)*1,ISNUMBER(SEARCH("GSL",[1]OUT_TransportEnergyCons!$C$3:$C$1000))*1,[1]OUT_TransportEnergyCons!K$3:K$1000)</f>
        <v>0</v>
      </c>
      <c r="N1163" s="1" cm="1">
        <f t="array" ref="N1163">SUMPRODUCT(("T_C-HY-GSL-S1"=[1]OUT_TransportEnergyCons!$A$3:$A$1000)*1,("Var_Fin"=[1]OUT_TransportEnergyCons!$B$3:$B$1000)*1,ISNUMBER(SEARCH("GSL",[1]OUT_TransportEnergyCons!$C$3:$C$1000))*1,[1]OUT_TransportEnergyCons!L$3:L$1000)</f>
        <v>0</v>
      </c>
      <c r="O1163" s="1" cm="1">
        <f t="array" ref="O1163">SUMPRODUCT(("T_C-HY-GSL-S1"=[1]OUT_TransportEnergyCons!$A$3:$A$1000)*1,("Var_Fin"=[1]OUT_TransportEnergyCons!$B$3:$B$1000)*1,ISNUMBER(SEARCH("GSL",[1]OUT_TransportEnergyCons!$C$3:$C$1000))*1,[1]OUT_TransportEnergyCons!M$3:M$1000)</f>
        <v>0</v>
      </c>
      <c r="P1163" s="1" cm="1">
        <f t="array" ref="P1163">SUMPRODUCT(("T_C-HY-GSL-S1"=[1]OUT_TransportEnergyCons!$A$3:$A$1000)*1,("Var_Fin"=[1]OUT_TransportEnergyCons!$B$3:$B$1000)*1,ISNUMBER(SEARCH("GSL",[1]OUT_TransportEnergyCons!$C$3:$C$1000))*1,[1]OUT_TransportEnergyCons!N$3:N$1000)</f>
        <v>0</v>
      </c>
      <c r="Q1163" s="1" cm="1">
        <f t="array" ref="Q1163">SUMPRODUCT(("T_C-HY-GSL-S1"=[1]OUT_TransportEnergyCons!$A$3:$A$1000)*1,("Var_Fin"=[1]OUT_TransportEnergyCons!$B$3:$B$1000)*1,ISNUMBER(SEARCH("GSL",[1]OUT_TransportEnergyCons!$C$3:$C$1000))*1,[1]OUT_TransportEnergyCons!O$3:O$1000)</f>
        <v>0</v>
      </c>
      <c r="S1163" s="3"/>
    </row>
    <row r="1164" spans="2:19" x14ac:dyDescent="0.5">
      <c r="B1164" s="5" t="str">
        <f t="shared" si="1358"/>
        <v>SPS1</v>
      </c>
      <c r="C1164" s="5" t="str">
        <f t="shared" si="1359"/>
        <v>CH</v>
      </c>
      <c r="D1164" t="s">
        <v>1264</v>
      </c>
      <c r="E1164" t="s">
        <v>8</v>
      </c>
      <c r="F1164" s="1" cm="1">
        <f t="array" ref="F1164">SUMPRODUCT(("T_C-HY-GSL-S2"=[1]OUT_TransportEnergyCons!$A$3:$A$1000)*1,("Var_Fin"=[1]OUT_TransportEnergyCons!$B$3:$B$1000)*1,ISNUMBER(SEARCH("GSL",[1]OUT_TransportEnergyCons!$C$3:$C$1000))*1,[1]OUT_TransportEnergyCons!D$3:D$1000)</f>
        <v>0.13938461928548965</v>
      </c>
      <c r="G1164" s="1" cm="1">
        <f t="array" ref="G1164">SUMPRODUCT(("T_C-HY-GSL-S2"=[1]OUT_TransportEnergyCons!$A$3:$A$1000)*1,("Var_Fin"=[1]OUT_TransportEnergyCons!$B$3:$B$1000)*1,ISNUMBER(SEARCH("GSL",[1]OUT_TransportEnergyCons!$C$3:$C$1000))*1,[1]OUT_TransportEnergyCons!E$3:E$1000)</f>
        <v>0.33196892827047109</v>
      </c>
      <c r="H1164" s="1" cm="1">
        <f t="array" ref="H1164">SUMPRODUCT(("T_C-HY-GSL-S2"=[1]OUT_TransportEnergyCons!$A$3:$A$1000)*1,("Var_Fin"=[1]OUT_TransportEnergyCons!$B$3:$B$1000)*1,ISNUMBER(SEARCH("GSL",[1]OUT_TransportEnergyCons!$C$3:$C$1000))*1,[1]OUT_TransportEnergyCons!F$3:F$1000)</f>
        <v>0.96540474984241786</v>
      </c>
      <c r="I1164" s="1" cm="1">
        <f t="array" ref="I1164">SUMPRODUCT(("T_C-HY-GSL-S2"=[1]OUT_TransportEnergyCons!$A$3:$A$1000)*1,("Var_Fin"=[1]OUT_TransportEnergyCons!$B$3:$B$1000)*1,ISNUMBER(SEARCH("GSL",[1]OUT_TransportEnergyCons!$C$3:$C$1000))*1,[1]OUT_TransportEnergyCons!G$3:G$1000)</f>
        <v>0.81937019068924943</v>
      </c>
      <c r="J1164" s="1" cm="1">
        <f t="array" ref="J1164">SUMPRODUCT(("T_C-HY-GSL-S2"=[1]OUT_TransportEnergyCons!$A$3:$A$1000)*1,("Var_Fin"=[1]OUT_TransportEnergyCons!$B$3:$B$1000)*1,ISNUMBER(SEARCH("GSL",[1]OUT_TransportEnergyCons!$C$3:$C$1000))*1,[1]OUT_TransportEnergyCons!H$3:H$1000)</f>
        <v>0.35016934974043851</v>
      </c>
      <c r="K1164" s="1" cm="1">
        <f t="array" ref="K1164">SUMPRODUCT(("T_C-HY-GSL-S2"=[1]OUT_TransportEnergyCons!$A$3:$A$1000)*1,("Var_Fin"=[1]OUT_TransportEnergyCons!$B$3:$B$1000)*1,ISNUMBER(SEARCH("GSL",[1]OUT_TransportEnergyCons!$C$3:$C$1000))*1,[1]OUT_TransportEnergyCons!I$3:I$1000)</f>
        <v>4.7879475228192594E-2</v>
      </c>
      <c r="L1164" s="1" cm="1">
        <f t="array" ref="L1164">SUMPRODUCT(("T_C-HY-GSL-S2"=[1]OUT_TransportEnergyCons!$A$3:$A$1000)*1,("Var_Fin"=[1]OUT_TransportEnergyCons!$B$3:$B$1000)*1,ISNUMBER(SEARCH("GSL",[1]OUT_TransportEnergyCons!$C$3:$C$1000))*1,[1]OUT_TransportEnergyCons!J$3:J$1000)</f>
        <v>0</v>
      </c>
      <c r="M1164" s="1" cm="1">
        <f t="array" ref="M1164">SUMPRODUCT(("T_C-HY-GSL-S2"=[1]OUT_TransportEnergyCons!$A$3:$A$1000)*1,("Var_Fin"=[1]OUT_TransportEnergyCons!$B$3:$B$1000)*1,ISNUMBER(SEARCH("GSL",[1]OUT_TransportEnergyCons!$C$3:$C$1000))*1,[1]OUT_TransportEnergyCons!K$3:K$1000)</f>
        <v>0</v>
      </c>
      <c r="N1164" s="1" cm="1">
        <f t="array" ref="N1164">SUMPRODUCT(("T_C-HY-GSL-S2"=[1]OUT_TransportEnergyCons!$A$3:$A$1000)*1,("Var_Fin"=[1]OUT_TransportEnergyCons!$B$3:$B$1000)*1,ISNUMBER(SEARCH("GSL",[1]OUT_TransportEnergyCons!$C$3:$C$1000))*1,[1]OUT_TransportEnergyCons!L$3:L$1000)</f>
        <v>0</v>
      </c>
      <c r="O1164" s="1" cm="1">
        <f t="array" ref="O1164">SUMPRODUCT(("T_C-HY-GSL-S2"=[1]OUT_TransportEnergyCons!$A$3:$A$1000)*1,("Var_Fin"=[1]OUT_TransportEnergyCons!$B$3:$B$1000)*1,ISNUMBER(SEARCH("GSL",[1]OUT_TransportEnergyCons!$C$3:$C$1000))*1,[1]OUT_TransportEnergyCons!M$3:M$1000)</f>
        <v>0</v>
      </c>
      <c r="P1164" s="1" cm="1">
        <f t="array" ref="P1164">SUMPRODUCT(("T_C-HY-GSL-S2"=[1]OUT_TransportEnergyCons!$A$3:$A$1000)*1,("Var_Fin"=[1]OUT_TransportEnergyCons!$B$3:$B$1000)*1,ISNUMBER(SEARCH("GSL",[1]OUT_TransportEnergyCons!$C$3:$C$1000))*1,[1]OUT_TransportEnergyCons!N$3:N$1000)</f>
        <v>0</v>
      </c>
      <c r="Q1164" s="1" cm="1">
        <f t="array" ref="Q1164">SUMPRODUCT(("T_C-HY-GSL-S2"=[1]OUT_TransportEnergyCons!$A$3:$A$1000)*1,("Var_Fin"=[1]OUT_TransportEnergyCons!$B$3:$B$1000)*1,ISNUMBER(SEARCH("GSL",[1]OUT_TransportEnergyCons!$C$3:$C$1000))*1,[1]OUT_TransportEnergyCons!O$3:O$1000)</f>
        <v>0</v>
      </c>
      <c r="S1164" s="3"/>
    </row>
    <row r="1165" spans="2:19" x14ac:dyDescent="0.5">
      <c r="B1165" s="5" t="str">
        <f t="shared" si="1358"/>
        <v>SPS1</v>
      </c>
      <c r="C1165" s="5" t="str">
        <f t="shared" si="1359"/>
        <v>CH</v>
      </c>
      <c r="D1165" t="s">
        <v>1265</v>
      </c>
      <c r="E1165" t="s">
        <v>8</v>
      </c>
      <c r="F1165" s="1" cm="1">
        <f t="array" ref="F1165">SUMPRODUCT(("T_C-HY-GSL-S3"=[1]OUT_TransportEnergyCons!$A$3:$A$1000)*1,("Var_Fin"=[1]OUT_TransportEnergyCons!$B$3:$B$1000)*1,ISNUMBER(SEARCH("GSL",[1]OUT_TransportEnergyCons!$C$3:$C$1000))*1,[1]OUT_TransportEnergyCons!D$3:D$1000)</f>
        <v>0.10177241874005825</v>
      </c>
      <c r="G1165" s="1" cm="1">
        <f t="array" ref="G1165">SUMPRODUCT(("T_C-HY-GSL-S3"=[1]OUT_TransportEnergyCons!$A$3:$A$1000)*1,("Var_Fin"=[1]OUT_TransportEnergyCons!$B$3:$B$1000)*1,ISNUMBER(SEARCH("GSL",[1]OUT_TransportEnergyCons!$C$3:$C$1000))*1,[1]OUT_TransportEnergyCons!E$3:E$1000)</f>
        <v>1.1391589977786161</v>
      </c>
      <c r="H1165" s="1" cm="1">
        <f t="array" ref="H1165">SUMPRODUCT(("T_C-HY-GSL-S3"=[1]OUT_TransportEnergyCons!$A$3:$A$1000)*1,("Var_Fin"=[1]OUT_TransportEnergyCons!$B$3:$B$1000)*1,ISNUMBER(SEARCH("GSL",[1]OUT_TransportEnergyCons!$C$3:$C$1000))*1,[1]OUT_TransportEnergyCons!F$3:F$1000)</f>
        <v>1.0838667917817906</v>
      </c>
      <c r="I1165" s="1" cm="1">
        <f t="array" ref="I1165">SUMPRODUCT(("T_C-HY-GSL-S3"=[1]OUT_TransportEnergyCons!$A$3:$A$1000)*1,("Var_Fin"=[1]OUT_TransportEnergyCons!$B$3:$B$1000)*1,ISNUMBER(SEARCH("GSL",[1]OUT_TransportEnergyCons!$C$3:$C$1000))*1,[1]OUT_TransportEnergyCons!G$3:G$1000)</f>
        <v>0.86714433196923602</v>
      </c>
      <c r="J1165" s="1" cm="1">
        <f t="array" ref="J1165">SUMPRODUCT(("T_C-HY-GSL-S3"=[1]OUT_TransportEnergyCons!$A$3:$A$1000)*1,("Var_Fin"=[1]OUT_TransportEnergyCons!$B$3:$B$1000)*1,ISNUMBER(SEARCH("GSL",[1]OUT_TransportEnergyCons!$C$3:$C$1000))*1,[1]OUT_TransportEnergyCons!H$3:H$1000)</f>
        <v>0.27702253175091845</v>
      </c>
      <c r="K1165" s="1" cm="1">
        <f t="array" ref="K1165">SUMPRODUCT(("T_C-HY-GSL-S3"=[1]OUT_TransportEnergyCons!$A$3:$A$1000)*1,("Var_Fin"=[1]OUT_TransportEnergyCons!$B$3:$B$1000)*1,ISNUMBER(SEARCH("GSL",[1]OUT_TransportEnergyCons!$C$3:$C$1000))*1,[1]OUT_TransportEnergyCons!I$3:I$1000)</f>
        <v>9.0250550105560701E-4</v>
      </c>
      <c r="L1165" s="1" cm="1">
        <f t="array" ref="L1165">SUMPRODUCT(("T_C-HY-GSL-S3"=[1]OUT_TransportEnergyCons!$A$3:$A$1000)*1,("Var_Fin"=[1]OUT_TransportEnergyCons!$B$3:$B$1000)*1,ISNUMBER(SEARCH("GSL",[1]OUT_TransportEnergyCons!$C$3:$C$1000))*1,[1]OUT_TransportEnergyCons!J$3:J$1000)</f>
        <v>0</v>
      </c>
      <c r="M1165" s="1" cm="1">
        <f t="array" ref="M1165">SUMPRODUCT(("T_C-HY-GSL-S3"=[1]OUT_TransportEnergyCons!$A$3:$A$1000)*1,("Var_Fin"=[1]OUT_TransportEnergyCons!$B$3:$B$1000)*1,ISNUMBER(SEARCH("GSL",[1]OUT_TransportEnergyCons!$C$3:$C$1000))*1,[1]OUT_TransportEnergyCons!K$3:K$1000)</f>
        <v>0</v>
      </c>
      <c r="N1165" s="1" cm="1">
        <f t="array" ref="N1165">SUMPRODUCT(("T_C-HY-GSL-S3"=[1]OUT_TransportEnergyCons!$A$3:$A$1000)*1,("Var_Fin"=[1]OUT_TransportEnergyCons!$B$3:$B$1000)*1,ISNUMBER(SEARCH("GSL",[1]OUT_TransportEnergyCons!$C$3:$C$1000))*1,[1]OUT_TransportEnergyCons!L$3:L$1000)</f>
        <v>0</v>
      </c>
      <c r="O1165" s="1" cm="1">
        <f t="array" ref="O1165">SUMPRODUCT(("T_C-HY-GSL-S3"=[1]OUT_TransportEnergyCons!$A$3:$A$1000)*1,("Var_Fin"=[1]OUT_TransportEnergyCons!$B$3:$B$1000)*1,ISNUMBER(SEARCH("GSL",[1]OUT_TransportEnergyCons!$C$3:$C$1000))*1,[1]OUT_TransportEnergyCons!M$3:M$1000)</f>
        <v>0</v>
      </c>
      <c r="P1165" s="1" cm="1">
        <f t="array" ref="P1165">SUMPRODUCT(("T_C-HY-GSL-S3"=[1]OUT_TransportEnergyCons!$A$3:$A$1000)*1,("Var_Fin"=[1]OUT_TransportEnergyCons!$B$3:$B$1000)*1,ISNUMBER(SEARCH("GSL",[1]OUT_TransportEnergyCons!$C$3:$C$1000))*1,[1]OUT_TransportEnergyCons!N$3:N$1000)</f>
        <v>0</v>
      </c>
      <c r="Q1165" s="1" cm="1">
        <f t="array" ref="Q1165">SUMPRODUCT(("T_C-HY-GSL-S3"=[1]OUT_TransportEnergyCons!$A$3:$A$1000)*1,("Var_Fin"=[1]OUT_TransportEnergyCons!$B$3:$B$1000)*1,ISNUMBER(SEARCH("GSL",[1]OUT_TransportEnergyCons!$C$3:$C$1000))*1,[1]OUT_TransportEnergyCons!O$3:O$1000)</f>
        <v>0</v>
      </c>
      <c r="S1165" s="3"/>
    </row>
    <row r="1166" spans="2:19" x14ac:dyDescent="0.5">
      <c r="B1166" s="5" t="str">
        <f t="shared" si="1358"/>
        <v>SPS1</v>
      </c>
      <c r="C1166" s="5" t="str">
        <f t="shared" si="1359"/>
        <v>CH</v>
      </c>
      <c r="D1166" t="s">
        <v>1266</v>
      </c>
      <c r="E1166" t="s">
        <v>8</v>
      </c>
      <c r="F1166" s="1" cm="1">
        <f t="array" ref="F1166">SUMPRODUCT(("T_C-HY-GSL-S4"=[1]OUT_TransportEnergyCons!$A$3:$A$1000)*1,("Var_Fin"=[1]OUT_TransportEnergyCons!$B$3:$B$1000)*1,ISNUMBER(SEARCH("GSL",[1]OUT_TransportEnergyCons!$C$3:$C$1000))*1,[1]OUT_TransportEnergyCons!D$3:D$1000)</f>
        <v>9.0384688997641682E-2</v>
      </c>
      <c r="G1166" s="1" cm="1">
        <f t="array" ref="G1166">SUMPRODUCT(("T_C-HY-GSL-S4"=[1]OUT_TransportEnergyCons!$A$3:$A$1000)*1,("Var_Fin"=[1]OUT_TransportEnergyCons!$B$3:$B$1000)*1,ISNUMBER(SEARCH("GSL",[1]OUT_TransportEnergyCons!$C$3:$C$1000))*1,[1]OUT_TransportEnergyCons!E$3:E$1000)</f>
        <v>0.13584110400093954</v>
      </c>
      <c r="H1166" s="1" cm="1">
        <f t="array" ref="H1166">SUMPRODUCT(("T_C-HY-GSL-S4"=[1]OUT_TransportEnergyCons!$A$3:$A$1000)*1,("Var_Fin"=[1]OUT_TransportEnergyCons!$B$3:$B$1000)*1,ISNUMBER(SEARCH("GSL",[1]OUT_TransportEnergyCons!$C$3:$C$1000))*1,[1]OUT_TransportEnergyCons!F$3:F$1000)</f>
        <v>0.12522600230150568</v>
      </c>
      <c r="I1166" s="1" cm="1">
        <f t="array" ref="I1166">SUMPRODUCT(("T_C-HY-GSL-S4"=[1]OUT_TransportEnergyCons!$A$3:$A$1000)*1,("Var_Fin"=[1]OUT_TransportEnergyCons!$B$3:$B$1000)*1,ISNUMBER(SEARCH("GSL",[1]OUT_TransportEnergyCons!$C$3:$C$1000))*1,[1]OUT_TransportEnergyCons!G$3:G$1000)</f>
        <v>0.10555982293141773</v>
      </c>
      <c r="J1166" s="1" cm="1">
        <f t="array" ref="J1166">SUMPRODUCT(("T_C-HY-GSL-S4"=[1]OUT_TransportEnergyCons!$A$3:$A$1000)*1,("Var_Fin"=[1]OUT_TransportEnergyCons!$B$3:$B$1000)*1,ISNUMBER(SEARCH("GSL",[1]OUT_TransportEnergyCons!$C$3:$C$1000))*1,[1]OUT_TransportEnergyCons!H$3:H$1000)</f>
        <v>1.685974787341251E-2</v>
      </c>
      <c r="K1166" s="1" cm="1">
        <f t="array" ref="K1166">SUMPRODUCT(("T_C-HY-GSL-S4"=[1]OUT_TransportEnergyCons!$A$3:$A$1000)*1,("Var_Fin"=[1]OUT_TransportEnergyCons!$B$3:$B$1000)*1,ISNUMBER(SEARCH("GSL",[1]OUT_TransportEnergyCons!$C$3:$C$1000))*1,[1]OUT_TransportEnergyCons!I$3:I$1000)</f>
        <v>5.1574638663734755E-4</v>
      </c>
      <c r="L1166" s="1" cm="1">
        <f t="array" ref="L1166">SUMPRODUCT(("T_C-HY-GSL-S4"=[1]OUT_TransportEnergyCons!$A$3:$A$1000)*1,("Var_Fin"=[1]OUT_TransportEnergyCons!$B$3:$B$1000)*1,ISNUMBER(SEARCH("GSL",[1]OUT_TransportEnergyCons!$C$3:$C$1000))*1,[1]OUT_TransportEnergyCons!J$3:J$1000)</f>
        <v>0</v>
      </c>
      <c r="M1166" s="1" cm="1">
        <f t="array" ref="M1166">SUMPRODUCT(("T_C-HY-GSL-S4"=[1]OUT_TransportEnergyCons!$A$3:$A$1000)*1,("Var_Fin"=[1]OUT_TransportEnergyCons!$B$3:$B$1000)*1,ISNUMBER(SEARCH("GSL",[1]OUT_TransportEnergyCons!$C$3:$C$1000))*1,[1]OUT_TransportEnergyCons!K$3:K$1000)</f>
        <v>0</v>
      </c>
      <c r="N1166" s="1" cm="1">
        <f t="array" ref="N1166">SUMPRODUCT(("T_C-HY-GSL-S4"=[1]OUT_TransportEnergyCons!$A$3:$A$1000)*1,("Var_Fin"=[1]OUT_TransportEnergyCons!$B$3:$B$1000)*1,ISNUMBER(SEARCH("GSL",[1]OUT_TransportEnergyCons!$C$3:$C$1000))*1,[1]OUT_TransportEnergyCons!L$3:L$1000)</f>
        <v>0</v>
      </c>
      <c r="O1166" s="1" cm="1">
        <f t="array" ref="O1166">SUMPRODUCT(("T_C-HY-GSL-S4"=[1]OUT_TransportEnergyCons!$A$3:$A$1000)*1,("Var_Fin"=[1]OUT_TransportEnergyCons!$B$3:$B$1000)*1,ISNUMBER(SEARCH("GSL",[1]OUT_TransportEnergyCons!$C$3:$C$1000))*1,[1]OUT_TransportEnergyCons!M$3:M$1000)</f>
        <v>0</v>
      </c>
      <c r="P1166" s="1" cm="1">
        <f t="array" ref="P1166">SUMPRODUCT(("T_C-HY-GSL-S4"=[1]OUT_TransportEnergyCons!$A$3:$A$1000)*1,("Var_Fin"=[1]OUT_TransportEnergyCons!$B$3:$B$1000)*1,ISNUMBER(SEARCH("GSL",[1]OUT_TransportEnergyCons!$C$3:$C$1000))*1,[1]OUT_TransportEnergyCons!N$3:N$1000)</f>
        <v>0</v>
      </c>
      <c r="Q1166" s="1" cm="1">
        <f t="array" ref="Q1166">SUMPRODUCT(("T_C-HY-GSL-S4"=[1]OUT_TransportEnergyCons!$A$3:$A$1000)*1,("Var_Fin"=[1]OUT_TransportEnergyCons!$B$3:$B$1000)*1,ISNUMBER(SEARCH("GSL",[1]OUT_TransportEnergyCons!$C$3:$C$1000))*1,[1]OUT_TransportEnergyCons!O$3:O$1000)</f>
        <v>0</v>
      </c>
      <c r="S1166" s="3"/>
    </row>
    <row r="1167" spans="2:19" x14ac:dyDescent="0.5">
      <c r="B1167" s="5" t="str">
        <f t="shared" si="1358"/>
        <v>SPS1</v>
      </c>
      <c r="C1167" s="5" t="str">
        <f t="shared" si="1359"/>
        <v>CH</v>
      </c>
      <c r="D1167" t="s">
        <v>1267</v>
      </c>
      <c r="E1167" t="s">
        <v>8</v>
      </c>
      <c r="F1167" s="1" cm="1">
        <f t="array" ref="F1167">SUMPRODUCT(("T_C-ICEGSLEXT"=[1]OUT_TransportEnergyCons!$A$3:$A$1000)*1,("Var_Fin"=[1]OUT_TransportEnergyCons!$B$3:$B$1000)*1,ISNUMBER(SEARCH("GSL",[1]OUT_TransportEnergyCons!$C$3:$C$1000))*1,[1]OUT_TransportEnergyCons!D$3:D$1000)</f>
        <v>63.987752825905154</v>
      </c>
      <c r="G1167" s="1" cm="1">
        <f t="array" ref="G1167">SUMPRODUCT(("T_C-ICEGSLEXT"=[1]OUT_TransportEnergyCons!$A$3:$A$1000)*1,("Var_Fin"=[1]OUT_TransportEnergyCons!$B$3:$B$1000)*1,ISNUMBER(SEARCH("GSL",[1]OUT_TransportEnergyCons!$C$3:$C$1000))*1,[1]OUT_TransportEnergyCons!E$3:E$1000)</f>
        <v>54.059899915639143</v>
      </c>
      <c r="H1167" s="1" cm="1">
        <f t="array" ref="H1167">SUMPRODUCT(("T_C-ICEGSLEXT"=[1]OUT_TransportEnergyCons!$A$3:$A$1000)*1,("Var_Fin"=[1]OUT_TransportEnergyCons!$B$3:$B$1000)*1,ISNUMBER(SEARCH("GSL",[1]OUT_TransportEnergyCons!$C$3:$C$1000))*1,[1]OUT_TransportEnergyCons!F$3:F$1000)</f>
        <v>33.795028985312328</v>
      </c>
      <c r="I1167" s="1" cm="1">
        <f t="array" ref="I1167">SUMPRODUCT(("T_C-ICEGSLEXT"=[1]OUT_TransportEnergyCons!$A$3:$A$1000)*1,("Var_Fin"=[1]OUT_TransportEnergyCons!$B$3:$B$1000)*1,ISNUMBER(SEARCH("GSL",[1]OUT_TransportEnergyCons!$C$3:$C$1000))*1,[1]OUT_TransportEnergyCons!G$3:G$1000)</f>
        <v>14.359077383294913</v>
      </c>
      <c r="J1167" s="1" cm="1">
        <f t="array" ref="J1167">SUMPRODUCT(("T_C-ICEGSLEXT"=[1]OUT_TransportEnergyCons!$A$3:$A$1000)*1,("Var_Fin"=[1]OUT_TransportEnergyCons!$B$3:$B$1000)*1,ISNUMBER(SEARCH("GSL",[1]OUT_TransportEnergyCons!$C$3:$C$1000))*1,[1]OUT_TransportEnergyCons!H$3:H$1000)</f>
        <v>0</v>
      </c>
      <c r="K1167" s="1" cm="1">
        <f t="array" ref="K1167">SUMPRODUCT(("T_C-ICEGSLEXT"=[1]OUT_TransportEnergyCons!$A$3:$A$1000)*1,("Var_Fin"=[1]OUT_TransportEnergyCons!$B$3:$B$1000)*1,ISNUMBER(SEARCH("GSL",[1]OUT_TransportEnergyCons!$C$3:$C$1000))*1,[1]OUT_TransportEnergyCons!I$3:I$1000)</f>
        <v>0</v>
      </c>
      <c r="L1167" s="1" cm="1">
        <f t="array" ref="L1167">SUMPRODUCT(("T_C-ICEGSLEXT"=[1]OUT_TransportEnergyCons!$A$3:$A$1000)*1,("Var_Fin"=[1]OUT_TransportEnergyCons!$B$3:$B$1000)*1,ISNUMBER(SEARCH("GSL",[1]OUT_TransportEnergyCons!$C$3:$C$1000))*1,[1]OUT_TransportEnergyCons!J$3:J$1000)</f>
        <v>0</v>
      </c>
      <c r="M1167" s="1" cm="1">
        <f t="array" ref="M1167">SUMPRODUCT(("T_C-ICEGSLEXT"=[1]OUT_TransportEnergyCons!$A$3:$A$1000)*1,("Var_Fin"=[1]OUT_TransportEnergyCons!$B$3:$B$1000)*1,ISNUMBER(SEARCH("GSL",[1]OUT_TransportEnergyCons!$C$3:$C$1000))*1,[1]OUT_TransportEnergyCons!K$3:K$1000)</f>
        <v>0</v>
      </c>
      <c r="N1167" s="1" cm="1">
        <f t="array" ref="N1167">SUMPRODUCT(("T_C-ICEGSLEXT"=[1]OUT_TransportEnergyCons!$A$3:$A$1000)*1,("Var_Fin"=[1]OUT_TransportEnergyCons!$B$3:$B$1000)*1,ISNUMBER(SEARCH("GSL",[1]OUT_TransportEnergyCons!$C$3:$C$1000))*1,[1]OUT_TransportEnergyCons!L$3:L$1000)</f>
        <v>0</v>
      </c>
      <c r="O1167" s="1" cm="1">
        <f t="array" ref="O1167">SUMPRODUCT(("T_C-ICEGSLEXT"=[1]OUT_TransportEnergyCons!$A$3:$A$1000)*1,("Var_Fin"=[1]OUT_TransportEnergyCons!$B$3:$B$1000)*1,ISNUMBER(SEARCH("GSL",[1]OUT_TransportEnergyCons!$C$3:$C$1000))*1,[1]OUT_TransportEnergyCons!M$3:M$1000)</f>
        <v>0</v>
      </c>
      <c r="P1167" s="1" cm="1">
        <f t="array" ref="P1167">SUMPRODUCT(("T_C-ICEGSLEXT"=[1]OUT_TransportEnergyCons!$A$3:$A$1000)*1,("Var_Fin"=[1]OUT_TransportEnergyCons!$B$3:$B$1000)*1,ISNUMBER(SEARCH("GSL",[1]OUT_TransportEnergyCons!$C$3:$C$1000))*1,[1]OUT_TransportEnergyCons!N$3:N$1000)</f>
        <v>0</v>
      </c>
      <c r="Q1167" s="1" cm="1">
        <f t="array" ref="Q1167">SUMPRODUCT(("T_C-ICEGSLEXT"=[1]OUT_TransportEnergyCons!$A$3:$A$1000)*1,("Var_Fin"=[1]OUT_TransportEnergyCons!$B$3:$B$1000)*1,ISNUMBER(SEARCH("GSL",[1]OUT_TransportEnergyCons!$C$3:$C$1000))*1,[1]OUT_TransportEnergyCons!O$3:O$1000)</f>
        <v>0</v>
      </c>
      <c r="S1167" s="3"/>
    </row>
    <row r="1168" spans="2:19" x14ac:dyDescent="0.5">
      <c r="B1168" s="5" t="str">
        <f t="shared" si="1358"/>
        <v>SPS1</v>
      </c>
      <c r="C1168" s="5" t="str">
        <f t="shared" si="1359"/>
        <v>CH</v>
      </c>
      <c r="D1168" t="s">
        <v>1268</v>
      </c>
      <c r="E1168" t="s">
        <v>8</v>
      </c>
      <c r="F1168" s="1" cm="1">
        <f t="array" ref="F1168">SUMPRODUCT(("T_C-ICE-GSL-S1"=[1]OUT_TransportEnergyCons!$A$3:$A$1000)*1,("Var_Fin"=[1]OUT_TransportEnergyCons!$B$3:$B$1000)*1,ISNUMBER(SEARCH("GSL",[1]OUT_TransportEnergyCons!$C$3:$C$1000))*1,[1]OUT_TransportEnergyCons!D$3:D$1000)</f>
        <v>0.48618867416576506</v>
      </c>
      <c r="G1168" s="1" cm="1">
        <f t="array" ref="G1168">SUMPRODUCT(("T_C-ICE-GSL-S1"=[1]OUT_TransportEnergyCons!$A$3:$A$1000)*1,("Var_Fin"=[1]OUT_TransportEnergyCons!$B$3:$B$1000)*1,ISNUMBER(SEARCH("GSL",[1]OUT_TransportEnergyCons!$C$3:$C$1000))*1,[1]OUT_TransportEnergyCons!E$3:E$1000)</f>
        <v>0.93371208409354378</v>
      </c>
      <c r="H1168" s="1" cm="1">
        <f t="array" ref="H1168">SUMPRODUCT(("T_C-ICE-GSL-S1"=[1]OUT_TransportEnergyCons!$A$3:$A$1000)*1,("Var_Fin"=[1]OUT_TransportEnergyCons!$B$3:$B$1000)*1,ISNUMBER(SEARCH("GSL",[1]OUT_TransportEnergyCons!$C$3:$C$1000))*1,[1]OUT_TransportEnergyCons!F$3:F$1000)</f>
        <v>1.841890569222534</v>
      </c>
      <c r="I1168" s="1" cm="1">
        <f t="array" ref="I1168">SUMPRODUCT(("T_C-ICE-GSL-S1"=[1]OUT_TransportEnergyCons!$A$3:$A$1000)*1,("Var_Fin"=[1]OUT_TransportEnergyCons!$B$3:$B$1000)*1,ISNUMBER(SEARCH("GSL",[1]OUT_TransportEnergyCons!$C$3:$C$1000))*1,[1]OUT_TransportEnergyCons!G$3:G$1000)</f>
        <v>1.0758579553487986</v>
      </c>
      <c r="J1168" s="1" cm="1">
        <f t="array" ref="J1168">SUMPRODUCT(("T_C-ICE-GSL-S1"=[1]OUT_TransportEnergyCons!$A$3:$A$1000)*1,("Var_Fin"=[1]OUT_TransportEnergyCons!$B$3:$B$1000)*1,ISNUMBER(SEARCH("GSL",[1]OUT_TransportEnergyCons!$C$3:$C$1000))*1,[1]OUT_TransportEnergyCons!H$3:H$1000)</f>
        <v>0.50028490649617419</v>
      </c>
      <c r="K1168" s="1" cm="1">
        <f t="array" ref="K1168">SUMPRODUCT(("T_C-ICE-GSL-S1"=[1]OUT_TransportEnergyCons!$A$3:$A$1000)*1,("Var_Fin"=[1]OUT_TransportEnergyCons!$B$3:$B$1000)*1,ISNUMBER(SEARCH("GSL",[1]OUT_TransportEnergyCons!$C$3:$C$1000))*1,[1]OUT_TransportEnergyCons!I$3:I$1000)</f>
        <v>6.7678791998572158E-2</v>
      </c>
      <c r="L1168" s="1" cm="1">
        <f t="array" ref="L1168">SUMPRODUCT(("T_C-ICE-GSL-S1"=[1]OUT_TransportEnergyCons!$A$3:$A$1000)*1,("Var_Fin"=[1]OUT_TransportEnergyCons!$B$3:$B$1000)*1,ISNUMBER(SEARCH("GSL",[1]OUT_TransportEnergyCons!$C$3:$C$1000))*1,[1]OUT_TransportEnergyCons!J$3:J$1000)</f>
        <v>0</v>
      </c>
      <c r="M1168" s="1" cm="1">
        <f t="array" ref="M1168">SUMPRODUCT(("T_C-ICE-GSL-S1"=[1]OUT_TransportEnergyCons!$A$3:$A$1000)*1,("Var_Fin"=[1]OUT_TransportEnergyCons!$B$3:$B$1000)*1,ISNUMBER(SEARCH("GSL",[1]OUT_TransportEnergyCons!$C$3:$C$1000))*1,[1]OUT_TransportEnergyCons!K$3:K$1000)</f>
        <v>0</v>
      </c>
      <c r="N1168" s="1" cm="1">
        <f t="array" ref="N1168">SUMPRODUCT(("T_C-ICE-GSL-S1"=[1]OUT_TransportEnergyCons!$A$3:$A$1000)*1,("Var_Fin"=[1]OUT_TransportEnergyCons!$B$3:$B$1000)*1,ISNUMBER(SEARCH("GSL",[1]OUT_TransportEnergyCons!$C$3:$C$1000))*1,[1]OUT_TransportEnergyCons!L$3:L$1000)</f>
        <v>0</v>
      </c>
      <c r="O1168" s="1" cm="1">
        <f t="array" ref="O1168">SUMPRODUCT(("T_C-ICE-GSL-S1"=[1]OUT_TransportEnergyCons!$A$3:$A$1000)*1,("Var_Fin"=[1]OUT_TransportEnergyCons!$B$3:$B$1000)*1,ISNUMBER(SEARCH("GSL",[1]OUT_TransportEnergyCons!$C$3:$C$1000))*1,[1]OUT_TransportEnergyCons!M$3:M$1000)</f>
        <v>0</v>
      </c>
      <c r="P1168" s="1" cm="1">
        <f t="array" ref="P1168">SUMPRODUCT(("T_C-ICE-GSL-S1"=[1]OUT_TransportEnergyCons!$A$3:$A$1000)*1,("Var_Fin"=[1]OUT_TransportEnergyCons!$B$3:$B$1000)*1,ISNUMBER(SEARCH("GSL",[1]OUT_TransportEnergyCons!$C$3:$C$1000))*1,[1]OUT_TransportEnergyCons!N$3:N$1000)</f>
        <v>0</v>
      </c>
      <c r="Q1168" s="1" cm="1">
        <f t="array" ref="Q1168">SUMPRODUCT(("T_C-ICE-GSL-S1"=[1]OUT_TransportEnergyCons!$A$3:$A$1000)*1,("Var_Fin"=[1]OUT_TransportEnergyCons!$B$3:$B$1000)*1,ISNUMBER(SEARCH("GSL",[1]OUT_TransportEnergyCons!$C$3:$C$1000))*1,[1]OUT_TransportEnergyCons!O$3:O$1000)</f>
        <v>0</v>
      </c>
      <c r="S1168" s="3"/>
    </row>
    <row r="1169" spans="2:19" x14ac:dyDescent="0.5">
      <c r="B1169" s="5" t="str">
        <f t="shared" si="1358"/>
        <v>SPS1</v>
      </c>
      <c r="C1169" s="5" t="str">
        <f t="shared" si="1359"/>
        <v>CH</v>
      </c>
      <c r="D1169" t="s">
        <v>1269</v>
      </c>
      <c r="E1169" t="s">
        <v>8</v>
      </c>
      <c r="F1169" s="1" cm="1">
        <f t="array" ref="F1169">SUMPRODUCT(("T_C-ICE-GSL-S2"=[1]OUT_TransportEnergyCons!$A$3:$A$1000)*1,("Var_Fin"=[1]OUT_TransportEnergyCons!$B$3:$B$1000)*1,ISNUMBER(SEARCH("GSL",[1]OUT_TransportEnergyCons!$C$3:$C$1000))*1,[1]OUT_TransportEnergyCons!D$3:D$1000)</f>
        <v>3.6505383297645144</v>
      </c>
      <c r="G1169" s="1" cm="1">
        <f t="array" ref="G1169">SUMPRODUCT(("T_C-ICE-GSL-S2"=[1]OUT_TransportEnergyCons!$A$3:$A$1000)*1,("Var_Fin"=[1]OUT_TransportEnergyCons!$B$3:$B$1000)*1,ISNUMBER(SEARCH("GSL",[1]OUT_TransportEnergyCons!$C$3:$C$1000))*1,[1]OUT_TransportEnergyCons!E$3:E$1000)</f>
        <v>5.3107545198399162</v>
      </c>
      <c r="H1169" s="1" cm="1">
        <f t="array" ref="H1169">SUMPRODUCT(("T_C-ICE-GSL-S2"=[1]OUT_TransportEnergyCons!$A$3:$A$1000)*1,("Var_Fin"=[1]OUT_TransportEnergyCons!$B$3:$B$1000)*1,ISNUMBER(SEARCH("GSL",[1]OUT_TransportEnergyCons!$C$3:$C$1000))*1,[1]OUT_TransportEnergyCons!F$3:F$1000)</f>
        <v>7.4275875231586204</v>
      </c>
      <c r="I1169" s="1" cm="1">
        <f t="array" ref="I1169">SUMPRODUCT(("T_C-ICE-GSL-S2"=[1]OUT_TransportEnergyCons!$A$3:$A$1000)*1,("Var_Fin"=[1]OUT_TransportEnergyCons!$B$3:$B$1000)*1,ISNUMBER(SEARCH("GSL",[1]OUT_TransportEnergyCons!$C$3:$C$1000))*1,[1]OUT_TransportEnergyCons!G$3:G$1000)</f>
        <v>6.0332165387443712</v>
      </c>
      <c r="J1169" s="1" cm="1">
        <f t="array" ref="J1169">SUMPRODUCT(("T_C-ICE-GSL-S2"=[1]OUT_TransportEnergyCons!$A$3:$A$1000)*1,("Var_Fin"=[1]OUT_TransportEnergyCons!$B$3:$B$1000)*1,ISNUMBER(SEARCH("GSL",[1]OUT_TransportEnergyCons!$C$3:$C$1000))*1,[1]OUT_TransportEnergyCons!H$3:H$1000)</f>
        <v>1.1580042114500355</v>
      </c>
      <c r="K1169" s="1" cm="1">
        <f t="array" ref="K1169">SUMPRODUCT(("T_C-ICE-GSL-S2"=[1]OUT_TransportEnergyCons!$A$3:$A$1000)*1,("Var_Fin"=[1]OUT_TransportEnergyCons!$B$3:$B$1000)*1,ISNUMBER(SEARCH("GSL",[1]OUT_TransportEnergyCons!$C$3:$C$1000))*1,[1]OUT_TransportEnergyCons!I$3:I$1000)</f>
        <v>0.16059834325892669</v>
      </c>
      <c r="L1169" s="1" cm="1">
        <f t="array" ref="L1169">SUMPRODUCT(("T_C-ICE-GSL-S2"=[1]OUT_TransportEnergyCons!$A$3:$A$1000)*1,("Var_Fin"=[1]OUT_TransportEnergyCons!$B$3:$B$1000)*1,ISNUMBER(SEARCH("GSL",[1]OUT_TransportEnergyCons!$C$3:$C$1000))*1,[1]OUT_TransportEnergyCons!J$3:J$1000)</f>
        <v>0</v>
      </c>
      <c r="M1169" s="1" cm="1">
        <f t="array" ref="M1169">SUMPRODUCT(("T_C-ICE-GSL-S2"=[1]OUT_TransportEnergyCons!$A$3:$A$1000)*1,("Var_Fin"=[1]OUT_TransportEnergyCons!$B$3:$B$1000)*1,ISNUMBER(SEARCH("GSL",[1]OUT_TransportEnergyCons!$C$3:$C$1000))*1,[1]OUT_TransportEnergyCons!K$3:K$1000)</f>
        <v>0</v>
      </c>
      <c r="N1169" s="1" cm="1">
        <f t="array" ref="N1169">SUMPRODUCT(("T_C-ICE-GSL-S2"=[1]OUT_TransportEnergyCons!$A$3:$A$1000)*1,("Var_Fin"=[1]OUT_TransportEnergyCons!$B$3:$B$1000)*1,ISNUMBER(SEARCH("GSL",[1]OUT_TransportEnergyCons!$C$3:$C$1000))*1,[1]OUT_TransportEnergyCons!L$3:L$1000)</f>
        <v>0</v>
      </c>
      <c r="O1169" s="1" cm="1">
        <f t="array" ref="O1169">SUMPRODUCT(("T_C-ICE-GSL-S2"=[1]OUT_TransportEnergyCons!$A$3:$A$1000)*1,("Var_Fin"=[1]OUT_TransportEnergyCons!$B$3:$B$1000)*1,ISNUMBER(SEARCH("GSL",[1]OUT_TransportEnergyCons!$C$3:$C$1000))*1,[1]OUT_TransportEnergyCons!M$3:M$1000)</f>
        <v>0</v>
      </c>
      <c r="P1169" s="1" cm="1">
        <f t="array" ref="P1169">SUMPRODUCT(("T_C-ICE-GSL-S2"=[1]OUT_TransportEnergyCons!$A$3:$A$1000)*1,("Var_Fin"=[1]OUT_TransportEnergyCons!$B$3:$B$1000)*1,ISNUMBER(SEARCH("GSL",[1]OUT_TransportEnergyCons!$C$3:$C$1000))*1,[1]OUT_TransportEnergyCons!N$3:N$1000)</f>
        <v>0</v>
      </c>
      <c r="Q1169" s="1" cm="1">
        <f t="array" ref="Q1169">SUMPRODUCT(("T_C-ICE-GSL-S2"=[1]OUT_TransportEnergyCons!$A$3:$A$1000)*1,("Var_Fin"=[1]OUT_TransportEnergyCons!$B$3:$B$1000)*1,ISNUMBER(SEARCH("GSL",[1]OUT_TransportEnergyCons!$C$3:$C$1000))*1,[1]OUT_TransportEnergyCons!O$3:O$1000)</f>
        <v>0</v>
      </c>
      <c r="S1169" s="3"/>
    </row>
    <row r="1170" spans="2:19" x14ac:dyDescent="0.5">
      <c r="B1170" s="5" t="str">
        <f t="shared" si="1358"/>
        <v>SPS1</v>
      </c>
      <c r="C1170" s="5" t="str">
        <f t="shared" si="1359"/>
        <v>CH</v>
      </c>
      <c r="D1170" t="s">
        <v>1270</v>
      </c>
      <c r="E1170" t="s">
        <v>8</v>
      </c>
      <c r="F1170" s="1" cm="1">
        <f t="array" ref="F1170">SUMPRODUCT(("T_C-ICE-GSL-S3"=[1]OUT_TransportEnergyCons!$A$3:$A$1000)*1,("Var_Fin"=[1]OUT_TransportEnergyCons!$B$3:$B$1000)*1,ISNUMBER(SEARCH("GSL",[1]OUT_TransportEnergyCons!$C$3:$C$1000))*1,[1]OUT_TransportEnergyCons!D$3:D$1000)</f>
        <v>3.6259178448601364</v>
      </c>
      <c r="G1170" s="1" cm="1">
        <f t="array" ref="G1170">SUMPRODUCT(("T_C-ICE-GSL-S3"=[1]OUT_TransportEnergyCons!$A$3:$A$1000)*1,("Var_Fin"=[1]OUT_TransportEnergyCons!$B$3:$B$1000)*1,ISNUMBER(SEARCH("GSL",[1]OUT_TransportEnergyCons!$C$3:$C$1000))*1,[1]OUT_TransportEnergyCons!E$3:E$1000)</f>
        <v>5.7430396288981012</v>
      </c>
      <c r="H1170" s="1" cm="1">
        <f t="array" ref="H1170">SUMPRODUCT(("T_C-ICE-GSL-S3"=[1]OUT_TransportEnergyCons!$A$3:$A$1000)*1,("Var_Fin"=[1]OUT_TransportEnergyCons!$B$3:$B$1000)*1,ISNUMBER(SEARCH("GSL",[1]OUT_TransportEnergyCons!$C$3:$C$1000))*1,[1]OUT_TransportEnergyCons!F$3:F$1000)</f>
        <v>10.957167863975956</v>
      </c>
      <c r="I1170" s="1" cm="1">
        <f t="array" ref="I1170">SUMPRODUCT(("T_C-ICE-GSL-S3"=[1]OUT_TransportEnergyCons!$A$3:$A$1000)*1,("Var_Fin"=[1]OUT_TransportEnergyCons!$B$3:$B$1000)*1,ISNUMBER(SEARCH("GSL",[1]OUT_TransportEnergyCons!$C$3:$C$1000))*1,[1]OUT_TransportEnergyCons!G$3:G$1000)</f>
        <v>9.2156375267523103</v>
      </c>
      <c r="J1170" s="1" cm="1">
        <f t="array" ref="J1170">SUMPRODUCT(("T_C-ICE-GSL-S3"=[1]OUT_TransportEnergyCons!$A$3:$A$1000)*1,("Var_Fin"=[1]OUT_TransportEnergyCons!$B$3:$B$1000)*1,ISNUMBER(SEARCH("GSL",[1]OUT_TransportEnergyCons!$C$3:$C$1000))*1,[1]OUT_TransportEnergyCons!H$3:H$1000)</f>
        <v>3.5800396911263053</v>
      </c>
      <c r="K1170" s="1" cm="1">
        <f t="array" ref="K1170">SUMPRODUCT(("T_C-ICE-GSL-S3"=[1]OUT_TransportEnergyCons!$A$3:$A$1000)*1,("Var_Fin"=[1]OUT_TransportEnergyCons!$B$3:$B$1000)*1,ISNUMBER(SEARCH("GSL",[1]OUT_TransportEnergyCons!$C$3:$C$1000))*1,[1]OUT_TransportEnergyCons!I$3:I$1000)</f>
        <v>0.48167445653862406</v>
      </c>
      <c r="L1170" s="1" cm="1">
        <f t="array" ref="L1170">SUMPRODUCT(("T_C-ICE-GSL-S3"=[1]OUT_TransportEnergyCons!$A$3:$A$1000)*1,("Var_Fin"=[1]OUT_TransportEnergyCons!$B$3:$B$1000)*1,ISNUMBER(SEARCH("GSL",[1]OUT_TransportEnergyCons!$C$3:$C$1000))*1,[1]OUT_TransportEnergyCons!J$3:J$1000)</f>
        <v>0</v>
      </c>
      <c r="M1170" s="1" cm="1">
        <f t="array" ref="M1170">SUMPRODUCT(("T_C-ICE-GSL-S3"=[1]OUT_TransportEnergyCons!$A$3:$A$1000)*1,("Var_Fin"=[1]OUT_TransportEnergyCons!$B$3:$B$1000)*1,ISNUMBER(SEARCH("GSL",[1]OUT_TransportEnergyCons!$C$3:$C$1000))*1,[1]OUT_TransportEnergyCons!K$3:K$1000)</f>
        <v>0</v>
      </c>
      <c r="N1170" s="1" cm="1">
        <f t="array" ref="N1170">SUMPRODUCT(("T_C-ICE-GSL-S3"=[1]OUT_TransportEnergyCons!$A$3:$A$1000)*1,("Var_Fin"=[1]OUT_TransportEnergyCons!$B$3:$B$1000)*1,ISNUMBER(SEARCH("GSL",[1]OUT_TransportEnergyCons!$C$3:$C$1000))*1,[1]OUT_TransportEnergyCons!L$3:L$1000)</f>
        <v>0</v>
      </c>
      <c r="O1170" s="1" cm="1">
        <f t="array" ref="O1170">SUMPRODUCT(("T_C-ICE-GSL-S3"=[1]OUT_TransportEnergyCons!$A$3:$A$1000)*1,("Var_Fin"=[1]OUT_TransportEnergyCons!$B$3:$B$1000)*1,ISNUMBER(SEARCH("GSL",[1]OUT_TransportEnergyCons!$C$3:$C$1000))*1,[1]OUT_TransportEnergyCons!M$3:M$1000)</f>
        <v>0</v>
      </c>
      <c r="P1170" s="1" cm="1">
        <f t="array" ref="P1170">SUMPRODUCT(("T_C-ICE-GSL-S3"=[1]OUT_TransportEnergyCons!$A$3:$A$1000)*1,("Var_Fin"=[1]OUT_TransportEnergyCons!$B$3:$B$1000)*1,ISNUMBER(SEARCH("GSL",[1]OUT_TransportEnergyCons!$C$3:$C$1000))*1,[1]OUT_TransportEnergyCons!N$3:N$1000)</f>
        <v>0</v>
      </c>
      <c r="Q1170" s="1" cm="1">
        <f t="array" ref="Q1170">SUMPRODUCT(("T_C-ICE-GSL-S3"=[1]OUT_TransportEnergyCons!$A$3:$A$1000)*1,("Var_Fin"=[1]OUT_TransportEnergyCons!$B$3:$B$1000)*1,ISNUMBER(SEARCH("GSL",[1]OUT_TransportEnergyCons!$C$3:$C$1000))*1,[1]OUT_TransportEnergyCons!O$3:O$1000)</f>
        <v>0</v>
      </c>
      <c r="S1170" s="3"/>
    </row>
    <row r="1171" spans="2:19" x14ac:dyDescent="0.5">
      <c r="B1171" s="5" t="str">
        <f t="shared" si="1358"/>
        <v>SPS1</v>
      </c>
      <c r="C1171" s="5" t="str">
        <f t="shared" si="1359"/>
        <v>CH</v>
      </c>
      <c r="D1171" t="s">
        <v>1271</v>
      </c>
      <c r="E1171" t="s">
        <v>8</v>
      </c>
      <c r="F1171" s="1" cm="1">
        <f t="array" ref="F1171">SUMPRODUCT(("T_C-ICE-GSL-S4"=[1]OUT_TransportEnergyCons!$A$3:$A$1000)*1,("Var_Fin"=[1]OUT_TransportEnergyCons!$B$3:$B$1000)*1,ISNUMBER(SEARCH("GSL",[1]OUT_TransportEnergyCons!$C$3:$C$1000))*1,[1]OUT_TransportEnergyCons!D$3:D$1000)</f>
        <v>3.7846855962177273</v>
      </c>
      <c r="G1171" s="1" cm="1">
        <f t="array" ref="G1171">SUMPRODUCT(("T_C-ICE-GSL-S4"=[1]OUT_TransportEnergyCons!$A$3:$A$1000)*1,("Var_Fin"=[1]OUT_TransportEnergyCons!$B$3:$B$1000)*1,ISNUMBER(SEARCH("GSL",[1]OUT_TransportEnergyCons!$C$3:$C$1000))*1,[1]OUT_TransportEnergyCons!E$3:E$1000)</f>
        <v>5.255288283878941</v>
      </c>
      <c r="H1171" s="1" cm="1">
        <f t="array" ref="H1171">SUMPRODUCT(("T_C-ICE-GSL-S4"=[1]OUT_TransportEnergyCons!$A$3:$A$1000)*1,("Var_Fin"=[1]OUT_TransportEnergyCons!$B$3:$B$1000)*1,ISNUMBER(SEARCH("GSL",[1]OUT_TransportEnergyCons!$C$3:$C$1000))*1,[1]OUT_TransportEnergyCons!F$3:F$1000)</f>
        <v>9.4284544547254896</v>
      </c>
      <c r="I1171" s="1" cm="1">
        <f t="array" ref="I1171">SUMPRODUCT(("T_C-ICE-GSL-S4"=[1]OUT_TransportEnergyCons!$A$3:$A$1000)*1,("Var_Fin"=[1]OUT_TransportEnergyCons!$B$3:$B$1000)*1,ISNUMBER(SEARCH("GSL",[1]OUT_TransportEnergyCons!$C$3:$C$1000))*1,[1]OUT_TransportEnergyCons!G$3:G$1000)</f>
        <v>7.8428627044182218</v>
      </c>
      <c r="J1171" s="1" cm="1">
        <f t="array" ref="J1171">SUMPRODUCT(("T_C-ICE-GSL-S4"=[1]OUT_TransportEnergyCons!$A$3:$A$1000)*1,("Var_Fin"=[1]OUT_TransportEnergyCons!$B$3:$B$1000)*1,ISNUMBER(SEARCH("GSL",[1]OUT_TransportEnergyCons!$C$3:$C$1000))*1,[1]OUT_TransportEnergyCons!H$3:H$1000)</f>
        <v>2.872712123105472</v>
      </c>
      <c r="K1171" s="1" cm="1">
        <f t="array" ref="K1171">SUMPRODUCT(("T_C-ICE-GSL-S4"=[1]OUT_TransportEnergyCons!$A$3:$A$1000)*1,("Var_Fin"=[1]OUT_TransportEnergyCons!$B$3:$B$1000)*1,ISNUMBER(SEARCH("GSL",[1]OUT_TransportEnergyCons!$C$3:$C$1000))*1,[1]OUT_TransportEnergyCons!I$3:I$1000)</f>
        <v>0.30378465368700552</v>
      </c>
      <c r="L1171" s="1" cm="1">
        <f t="array" ref="L1171">SUMPRODUCT(("T_C-ICE-GSL-S4"=[1]OUT_TransportEnergyCons!$A$3:$A$1000)*1,("Var_Fin"=[1]OUT_TransportEnergyCons!$B$3:$B$1000)*1,ISNUMBER(SEARCH("GSL",[1]OUT_TransportEnergyCons!$C$3:$C$1000))*1,[1]OUT_TransportEnergyCons!J$3:J$1000)</f>
        <v>0</v>
      </c>
      <c r="M1171" s="1" cm="1">
        <f t="array" ref="M1171">SUMPRODUCT(("T_C-ICE-GSL-S4"=[1]OUT_TransportEnergyCons!$A$3:$A$1000)*1,("Var_Fin"=[1]OUT_TransportEnergyCons!$B$3:$B$1000)*1,ISNUMBER(SEARCH("GSL",[1]OUT_TransportEnergyCons!$C$3:$C$1000))*1,[1]OUT_TransportEnergyCons!K$3:K$1000)</f>
        <v>0</v>
      </c>
      <c r="N1171" s="1" cm="1">
        <f t="array" ref="N1171">SUMPRODUCT(("T_C-ICE-GSL-S4"=[1]OUT_TransportEnergyCons!$A$3:$A$1000)*1,("Var_Fin"=[1]OUT_TransportEnergyCons!$B$3:$B$1000)*1,ISNUMBER(SEARCH("GSL",[1]OUT_TransportEnergyCons!$C$3:$C$1000))*1,[1]OUT_TransportEnergyCons!L$3:L$1000)</f>
        <v>0</v>
      </c>
      <c r="O1171" s="1" cm="1">
        <f t="array" ref="O1171">SUMPRODUCT(("T_C-ICE-GSL-S4"=[1]OUT_TransportEnergyCons!$A$3:$A$1000)*1,("Var_Fin"=[1]OUT_TransportEnergyCons!$B$3:$B$1000)*1,ISNUMBER(SEARCH("GSL",[1]OUT_TransportEnergyCons!$C$3:$C$1000))*1,[1]OUT_TransportEnergyCons!M$3:M$1000)</f>
        <v>0</v>
      </c>
      <c r="P1171" s="1" cm="1">
        <f t="array" ref="P1171">SUMPRODUCT(("T_C-ICE-GSL-S4"=[1]OUT_TransportEnergyCons!$A$3:$A$1000)*1,("Var_Fin"=[1]OUT_TransportEnergyCons!$B$3:$B$1000)*1,ISNUMBER(SEARCH("GSL",[1]OUT_TransportEnergyCons!$C$3:$C$1000))*1,[1]OUT_TransportEnergyCons!N$3:N$1000)</f>
        <v>0</v>
      </c>
      <c r="Q1171" s="1" cm="1">
        <f t="array" ref="Q1171">SUMPRODUCT(("T_C-ICE-GSL-S4"=[1]OUT_TransportEnergyCons!$A$3:$A$1000)*1,("Var_Fin"=[1]OUT_TransportEnergyCons!$B$3:$B$1000)*1,ISNUMBER(SEARCH("GSL",[1]OUT_TransportEnergyCons!$C$3:$C$1000))*1,[1]OUT_TransportEnergyCons!O$3:O$1000)</f>
        <v>0</v>
      </c>
      <c r="S1171" s="3"/>
    </row>
    <row r="1172" spans="2:19" x14ac:dyDescent="0.5">
      <c r="B1172" s="5" t="str">
        <f t="shared" si="1358"/>
        <v>SPS1</v>
      </c>
      <c r="C1172" s="5" t="str">
        <f t="shared" si="1359"/>
        <v>CH</v>
      </c>
      <c r="D1172" t="s">
        <v>1272</v>
      </c>
      <c r="E1172" t="s">
        <v>8</v>
      </c>
      <c r="F1172" s="1" cm="1">
        <f t="array" ref="F1172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SUMPRODUCT(("T_C-MHY-GSL-S1"=[1]OUT_TransportEnergyCons!$A$3:$A$1000)*1,("Var_Fin"=[1]OUT_TransportEnergyCons!$B$3:$B$1000)*1,ISNUMBER(SEARCH("GSL",[1]OUT_TransportEnergyCons!$C$3:$C$1000))*1,[1]OUT_TransportEnergyCons!E$3:E$1000)</f>
        <v>2.9593255919102329E-4</v>
      </c>
      <c r="H1172" s="1" cm="1">
        <f t="array" ref="H1172">SUMPRODUCT(("T_C-MHY-GSL-S1"=[1]OUT_TransportEnergyCons!$A$3:$A$1000)*1,("Var_Fin"=[1]OUT_TransportEnergyCons!$B$3:$B$1000)*1,ISNUMBER(SEARCH("GSL",[1]OUT_TransportEnergyCons!$C$3:$C$1000))*1,[1]OUT_TransportEnergyCons!F$3:F$1000)</f>
        <v>6.2911434470797024E-4</v>
      </c>
      <c r="I1172" s="1" cm="1">
        <f t="array" ref="I1172">SUMPRODUCT(("T_C-MHY-GSL-S1"=[1]OUT_TransportEnergyCons!$A$3:$A$1000)*1,("Var_Fin"=[1]OUT_TransportEnergyCons!$B$3:$B$1000)*1,ISNUMBER(SEARCH("GSL",[1]OUT_TransportEnergyCons!$C$3:$C$1000))*1,[1]OUT_TransportEnergyCons!G$3:G$1000)</f>
        <v>1.883289277970011E-3</v>
      </c>
      <c r="J1172" s="1" cm="1">
        <f t="array" ref="J1172">SUMPRODUCT(("T_C-MHY-GSL-S1"=[1]OUT_TransportEnergyCons!$A$3:$A$1000)*1,("Var_Fin"=[1]OUT_TransportEnergyCons!$B$3:$B$1000)*1,ISNUMBER(SEARCH("GSL",[1]OUT_TransportEnergyCons!$C$3:$C$1000))*1,[1]OUT_TransportEnergyCons!H$3:H$1000)</f>
        <v>1.5090740613912677E-3</v>
      </c>
      <c r="K1172" s="1" cm="1">
        <f t="array" ref="K1172">SUMPRODUCT(("T_C-MHY-GSL-S1"=[1]OUT_TransportEnergyCons!$A$3:$A$1000)*1,("Var_Fin"=[1]OUT_TransportEnergyCons!$B$3:$B$1000)*1,ISNUMBER(SEARCH("GSL",[1]OUT_TransportEnergyCons!$C$3:$C$1000))*1,[1]OUT_TransportEnergyCons!I$3:I$1000)</f>
        <v>8.002936246092429E-4</v>
      </c>
      <c r="L1172" s="1" cm="1">
        <f t="array" ref="L1172">SUMPRODUCT(("T_C-MHY-GSL-S1"=[1]OUT_TransportEnergyCons!$A$3:$A$1000)*1,("Var_Fin"=[1]OUT_TransportEnergyCons!$B$3:$B$1000)*1,ISNUMBER(SEARCH("GSL",[1]OUT_TransportEnergyCons!$C$3:$C$1000))*1,[1]OUT_TransportEnergyCons!J$3:J$1000)</f>
        <v>0</v>
      </c>
      <c r="M1172" s="1" cm="1">
        <f t="array" ref="M1172">SUMPRODUCT(("T_C-MHY-GSL-S1"=[1]OUT_TransportEnergyCons!$A$3:$A$1000)*1,("Var_Fin"=[1]OUT_TransportEnergyCons!$B$3:$B$1000)*1,ISNUMBER(SEARCH("GSL",[1]OUT_TransportEnergyCons!$C$3:$C$1000))*1,[1]OUT_TransportEnergyCons!K$3:K$1000)</f>
        <v>0</v>
      </c>
      <c r="N1172" s="1" cm="1">
        <f t="array" ref="N1172">SUMPRODUCT(("T_C-MHY-GSL-S1"=[1]OUT_TransportEnergyCons!$A$3:$A$1000)*1,("Var_Fin"=[1]OUT_TransportEnergyCons!$B$3:$B$1000)*1,ISNUMBER(SEARCH("GSL",[1]OUT_TransportEnergyCons!$C$3:$C$1000))*1,[1]OUT_TransportEnergyCons!L$3:L$1000)</f>
        <v>0</v>
      </c>
      <c r="O1172" s="1" cm="1">
        <f t="array" ref="O1172">SUMPRODUCT(("T_C-MHY-GSL-S1"=[1]OUT_TransportEnergyCons!$A$3:$A$1000)*1,("Var_Fin"=[1]OUT_TransportEnergyCons!$B$3:$B$1000)*1,ISNUMBER(SEARCH("GSL",[1]OUT_TransportEnergyCons!$C$3:$C$1000))*1,[1]OUT_TransportEnergyCons!M$3:M$1000)</f>
        <v>0</v>
      </c>
      <c r="P1172" s="1" cm="1">
        <f t="array" ref="P1172">SUMPRODUCT(("T_C-MHY-GSL-S1"=[1]OUT_TransportEnergyCons!$A$3:$A$1000)*1,("Var_Fin"=[1]OUT_TransportEnergyCons!$B$3:$B$1000)*1,ISNUMBER(SEARCH("GSL",[1]OUT_TransportEnergyCons!$C$3:$C$1000))*1,[1]OUT_TransportEnergyCons!N$3:N$1000)</f>
        <v>0</v>
      </c>
      <c r="Q1172" s="1" cm="1">
        <f t="array" ref="Q1172">SUMPRODUCT(("T_C-MHY-GSL-S1"=[1]OUT_TransportEnergyCons!$A$3:$A$1000)*1,("Var_Fin"=[1]OUT_TransportEnergyCons!$B$3:$B$1000)*1,ISNUMBER(SEARCH("GSL",[1]OUT_TransportEnergyCons!$C$3:$C$1000))*1,[1]OUT_TransportEnergyCons!O$3:O$1000)</f>
        <v>0</v>
      </c>
      <c r="S1172" s="3"/>
    </row>
    <row r="1173" spans="2:19" x14ac:dyDescent="0.5">
      <c r="B1173" s="5" t="str">
        <f t="shared" si="1358"/>
        <v>SPS1</v>
      </c>
      <c r="C1173" s="5" t="str">
        <f t="shared" si="1359"/>
        <v>CH</v>
      </c>
      <c r="D1173" t="s">
        <v>1273</v>
      </c>
      <c r="E1173" t="s">
        <v>8</v>
      </c>
      <c r="F1173" s="1" cm="1">
        <f t="array" ref="F1173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SUMPRODUCT(("T_C-MHY-GSL-S2"=[1]OUT_TransportEnergyCons!$A$3:$A$1000)*1,("Var_Fin"=[1]OUT_TransportEnergyCons!$B$3:$B$1000)*1,ISNUMBER(SEARCH("GSL",[1]OUT_TransportEnergyCons!$C$3:$C$1000))*1,[1]OUT_TransportEnergyCons!E$3:E$1000)</f>
        <v>3.4782243135314316E-4</v>
      </c>
      <c r="H1173" s="1" cm="1">
        <f t="array" ref="H1173">SUMPRODUCT(("T_C-MHY-GSL-S2"=[1]OUT_TransportEnergyCons!$A$3:$A$1000)*1,("Var_Fin"=[1]OUT_TransportEnergyCons!$B$3:$B$1000)*1,ISNUMBER(SEARCH("GSL",[1]OUT_TransportEnergyCons!$C$3:$C$1000))*1,[1]OUT_TransportEnergyCons!F$3:F$1000)</f>
        <v>8.683451772217726E-4</v>
      </c>
      <c r="I1173" s="1" cm="1">
        <f t="array" ref="I1173">SUMPRODUCT(("T_C-MHY-GSL-S2"=[1]OUT_TransportEnergyCons!$A$3:$A$1000)*1,("Var_Fin"=[1]OUT_TransportEnergyCons!$B$3:$B$1000)*1,ISNUMBER(SEARCH("GSL",[1]OUT_TransportEnergyCons!$C$3:$C$1000))*1,[1]OUT_TransportEnergyCons!G$3:G$1000)</f>
        <v>2.6120139033226487E-3</v>
      </c>
      <c r="J1173" s="1" cm="1">
        <f t="array" ref="J1173">SUMPRODUCT(("T_C-MHY-GSL-S2"=[1]OUT_TransportEnergyCons!$A$3:$A$1000)*1,("Var_Fin"=[1]OUT_TransportEnergyCons!$B$3:$B$1000)*1,ISNUMBER(SEARCH("GSL",[1]OUT_TransportEnergyCons!$C$3:$C$1000))*1,[1]OUT_TransportEnergyCons!H$3:H$1000)</f>
        <v>1.9624989081173981E-3</v>
      </c>
      <c r="K1173" s="1" cm="1">
        <f t="array" ref="K1173">SUMPRODUCT(("T_C-MHY-GSL-S2"=[1]OUT_TransportEnergyCons!$A$3:$A$1000)*1,("Var_Fin"=[1]OUT_TransportEnergyCons!$B$3:$B$1000)*1,ISNUMBER(SEARCH("GSL",[1]OUT_TransportEnergyCons!$C$3:$C$1000))*1,[1]OUT_TransportEnergyCons!I$3:I$1000)</f>
        <v>9.8086919902647747E-4</v>
      </c>
      <c r="L1173" s="1" cm="1">
        <f t="array" ref="L1173">SUMPRODUCT(("T_C-MHY-GSL-S2"=[1]OUT_TransportEnergyCons!$A$3:$A$1000)*1,("Var_Fin"=[1]OUT_TransportEnergyCons!$B$3:$B$1000)*1,ISNUMBER(SEARCH("GSL",[1]OUT_TransportEnergyCons!$C$3:$C$1000))*1,[1]OUT_TransportEnergyCons!J$3:J$1000)</f>
        <v>0</v>
      </c>
      <c r="M1173" s="1" cm="1">
        <f t="array" ref="M1173">SUMPRODUCT(("T_C-MHY-GSL-S2"=[1]OUT_TransportEnergyCons!$A$3:$A$1000)*1,("Var_Fin"=[1]OUT_TransportEnergyCons!$B$3:$B$1000)*1,ISNUMBER(SEARCH("GSL",[1]OUT_TransportEnergyCons!$C$3:$C$1000))*1,[1]OUT_TransportEnergyCons!K$3:K$1000)</f>
        <v>0</v>
      </c>
      <c r="N1173" s="1" cm="1">
        <f t="array" ref="N1173">SUMPRODUCT(("T_C-MHY-GSL-S2"=[1]OUT_TransportEnergyCons!$A$3:$A$1000)*1,("Var_Fin"=[1]OUT_TransportEnergyCons!$B$3:$B$1000)*1,ISNUMBER(SEARCH("GSL",[1]OUT_TransportEnergyCons!$C$3:$C$1000))*1,[1]OUT_TransportEnergyCons!L$3:L$1000)</f>
        <v>0</v>
      </c>
      <c r="O1173" s="1" cm="1">
        <f t="array" ref="O1173">SUMPRODUCT(("T_C-MHY-GSL-S2"=[1]OUT_TransportEnergyCons!$A$3:$A$1000)*1,("Var_Fin"=[1]OUT_TransportEnergyCons!$B$3:$B$1000)*1,ISNUMBER(SEARCH("GSL",[1]OUT_TransportEnergyCons!$C$3:$C$1000))*1,[1]OUT_TransportEnergyCons!M$3:M$1000)</f>
        <v>0</v>
      </c>
      <c r="P1173" s="1" cm="1">
        <f t="array" ref="P1173">SUMPRODUCT(("T_C-MHY-GSL-S2"=[1]OUT_TransportEnergyCons!$A$3:$A$1000)*1,("Var_Fin"=[1]OUT_TransportEnergyCons!$B$3:$B$1000)*1,ISNUMBER(SEARCH("GSL",[1]OUT_TransportEnergyCons!$C$3:$C$1000))*1,[1]OUT_TransportEnergyCons!N$3:N$1000)</f>
        <v>0</v>
      </c>
      <c r="Q1173" s="1" cm="1">
        <f t="array" ref="Q1173">SUMPRODUCT(("T_C-MHY-GSL-S2"=[1]OUT_TransportEnergyCons!$A$3:$A$1000)*1,("Var_Fin"=[1]OUT_TransportEnergyCons!$B$3:$B$1000)*1,ISNUMBER(SEARCH("GSL",[1]OUT_TransportEnergyCons!$C$3:$C$1000))*1,[1]OUT_TransportEnergyCons!O$3:O$1000)</f>
        <v>0</v>
      </c>
      <c r="S1173" s="3"/>
    </row>
    <row r="1174" spans="2:19" x14ac:dyDescent="0.5">
      <c r="B1174" s="5" t="str">
        <f t="shared" si="1358"/>
        <v>SPS1</v>
      </c>
      <c r="C1174" s="5" t="str">
        <f t="shared" si="1359"/>
        <v>CH</v>
      </c>
      <c r="D1174" t="s">
        <v>1274</v>
      </c>
      <c r="E1174" t="s">
        <v>8</v>
      </c>
      <c r="F1174" s="1" cm="1">
        <f t="array" ref="F1174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4" s="1" cm="1">
        <f t="array" ref="G1174">SUMPRODUCT(("T_C-MHY-GSL-S3"=[1]OUT_TransportEnergyCons!$A$3:$A$1000)*1,("Var_Fin"=[1]OUT_TransportEnergyCons!$B$3:$B$1000)*1,ISNUMBER(SEARCH("GSL",[1]OUT_TransportEnergyCons!$C$3:$C$1000))*1,[1]OUT_TransportEnergyCons!E$3:E$1000)</f>
        <v>4.0276509052191296E-4</v>
      </c>
      <c r="H1174" s="1" cm="1">
        <f t="array" ref="H1174">SUMPRODUCT(("T_C-MHY-GSL-S3"=[1]OUT_TransportEnergyCons!$A$3:$A$1000)*1,("Var_Fin"=[1]OUT_TransportEnergyCons!$B$3:$B$1000)*1,ISNUMBER(SEARCH("GSL",[1]OUT_TransportEnergyCons!$C$3:$C$1000))*1,[1]OUT_TransportEnergyCons!F$3:F$1000)</f>
        <v>1.0176304941154775E-3</v>
      </c>
      <c r="I1174" s="1" cm="1">
        <f t="array" ref="I1174">SUMPRODUCT(("T_C-MHY-GSL-S3"=[1]OUT_TransportEnergyCons!$A$3:$A$1000)*1,("Var_Fin"=[1]OUT_TransportEnergyCons!$B$3:$B$1000)*1,ISNUMBER(SEARCH("GSL",[1]OUT_TransportEnergyCons!$C$3:$C$1000))*1,[1]OUT_TransportEnergyCons!G$3:G$1000)</f>
        <v>2.2452760913455922E-3</v>
      </c>
      <c r="J1174" s="1" cm="1">
        <f t="array" ref="J1174">SUMPRODUCT(("T_C-MHY-GSL-S3"=[1]OUT_TransportEnergyCons!$A$3:$A$1000)*1,("Var_Fin"=[1]OUT_TransportEnergyCons!$B$3:$B$1000)*1,ISNUMBER(SEARCH("GSL",[1]OUT_TransportEnergyCons!$C$3:$C$1000))*1,[1]OUT_TransportEnergyCons!H$3:H$1000)</f>
        <v>1.6885348746057001E-3</v>
      </c>
      <c r="K1174" s="1" cm="1">
        <f t="array" ref="K1174">SUMPRODUCT(("T_C-MHY-GSL-S3"=[1]OUT_TransportEnergyCons!$A$3:$A$1000)*1,("Var_Fin"=[1]OUT_TransportEnergyCons!$B$3:$B$1000)*1,ISNUMBER(SEARCH("GSL",[1]OUT_TransportEnergyCons!$C$3:$C$1000))*1,[1]OUT_TransportEnergyCons!I$3:I$1000)</f>
        <v>7.9280546970552604E-4</v>
      </c>
      <c r="L1174" s="1" cm="1">
        <f t="array" ref="L1174">SUMPRODUCT(("T_C-MHY-GSL-S3"=[1]OUT_TransportEnergyCons!$A$3:$A$1000)*1,("Var_Fin"=[1]OUT_TransportEnergyCons!$B$3:$B$1000)*1,ISNUMBER(SEARCH("GSL",[1]OUT_TransportEnergyCons!$C$3:$C$1000))*1,[1]OUT_TransportEnergyCons!J$3:J$1000)</f>
        <v>0</v>
      </c>
      <c r="M1174" s="1" cm="1">
        <f t="array" ref="M1174">SUMPRODUCT(("T_C-MHY-GSL-S3"=[1]OUT_TransportEnergyCons!$A$3:$A$1000)*1,("Var_Fin"=[1]OUT_TransportEnergyCons!$B$3:$B$1000)*1,ISNUMBER(SEARCH("GSL",[1]OUT_TransportEnergyCons!$C$3:$C$1000))*1,[1]OUT_TransportEnergyCons!K$3:K$1000)</f>
        <v>0</v>
      </c>
      <c r="N1174" s="1" cm="1">
        <f t="array" ref="N1174">SUMPRODUCT(("T_C-MHY-GSL-S3"=[1]OUT_TransportEnergyCons!$A$3:$A$1000)*1,("Var_Fin"=[1]OUT_TransportEnergyCons!$B$3:$B$1000)*1,ISNUMBER(SEARCH("GSL",[1]OUT_TransportEnergyCons!$C$3:$C$1000))*1,[1]OUT_TransportEnergyCons!L$3:L$1000)</f>
        <v>0</v>
      </c>
      <c r="O1174" s="1" cm="1">
        <f t="array" ref="O1174">SUMPRODUCT(("T_C-MHY-GSL-S3"=[1]OUT_TransportEnergyCons!$A$3:$A$1000)*1,("Var_Fin"=[1]OUT_TransportEnergyCons!$B$3:$B$1000)*1,ISNUMBER(SEARCH("GSL",[1]OUT_TransportEnergyCons!$C$3:$C$1000))*1,[1]OUT_TransportEnergyCons!M$3:M$1000)</f>
        <v>0</v>
      </c>
      <c r="P1174" s="1" cm="1">
        <f t="array" ref="P1174">SUMPRODUCT(("T_C-MHY-GSL-S3"=[1]OUT_TransportEnergyCons!$A$3:$A$1000)*1,("Var_Fin"=[1]OUT_TransportEnergyCons!$B$3:$B$1000)*1,ISNUMBER(SEARCH("GSL",[1]OUT_TransportEnergyCons!$C$3:$C$1000))*1,[1]OUT_TransportEnergyCons!N$3:N$1000)</f>
        <v>0</v>
      </c>
      <c r="Q1174" s="1" cm="1">
        <f t="array" ref="Q1174">SUMPRODUCT(("T_C-MHY-GSL-S3"=[1]OUT_TransportEnergyCons!$A$3:$A$1000)*1,("Var_Fin"=[1]OUT_TransportEnergyCons!$B$3:$B$1000)*1,ISNUMBER(SEARCH("GSL",[1]OUT_TransportEnergyCons!$C$3:$C$1000))*1,[1]OUT_TransportEnergyCons!O$3:O$1000)</f>
        <v>0</v>
      </c>
      <c r="S1174" s="3"/>
    </row>
    <row r="1175" spans="2:19" x14ac:dyDescent="0.5">
      <c r="B1175" s="5" t="str">
        <f t="shared" si="1358"/>
        <v>SPS1</v>
      </c>
      <c r="C1175" s="5" t="str">
        <f t="shared" si="1359"/>
        <v>CH</v>
      </c>
      <c r="D1175" t="s">
        <v>1275</v>
      </c>
      <c r="E1175" t="s">
        <v>8</v>
      </c>
      <c r="F1175" s="1" cm="1">
        <f t="array" ref="F1175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5" s="1" cm="1">
        <f t="array" ref="G1175">SUMPRODUCT(("T_C-MHY-GSL-S4"=[1]OUT_TransportEnergyCons!$A$3:$A$1000)*1,("Var_Fin"=[1]OUT_TransportEnergyCons!$B$3:$B$1000)*1,ISNUMBER(SEARCH("GSL",[1]OUT_TransportEnergyCons!$C$3:$C$1000))*1,[1]OUT_TransportEnergyCons!E$3:E$1000)</f>
        <v>4.3892089404046252E-4</v>
      </c>
      <c r="H1175" s="1" cm="1">
        <f t="array" ref="H1175">SUMPRODUCT(("T_C-MHY-GSL-S4"=[1]OUT_TransportEnergyCons!$A$3:$A$1000)*1,("Var_Fin"=[1]OUT_TransportEnergyCons!$B$3:$B$1000)*1,ISNUMBER(SEARCH("GSL",[1]OUT_TransportEnergyCons!$C$3:$C$1000))*1,[1]OUT_TransportEnergyCons!F$3:F$1000)</f>
        <v>1.1685676012178003E-3</v>
      </c>
      <c r="I1175" s="1" cm="1">
        <f t="array" ref="I1175">SUMPRODUCT(("T_C-MHY-GSL-S4"=[1]OUT_TransportEnergyCons!$A$3:$A$1000)*1,("Var_Fin"=[1]OUT_TransportEnergyCons!$B$3:$B$1000)*1,ISNUMBER(SEARCH("GSL",[1]OUT_TransportEnergyCons!$C$3:$C$1000))*1,[1]OUT_TransportEnergyCons!G$3:G$1000)</f>
        <v>3.7555251681339829E-3</v>
      </c>
      <c r="J1175" s="1" cm="1">
        <f t="array" ref="J1175">SUMPRODUCT(("T_C-MHY-GSL-S4"=[1]OUT_TransportEnergyCons!$A$3:$A$1000)*1,("Var_Fin"=[1]OUT_TransportEnergyCons!$B$3:$B$1000)*1,ISNUMBER(SEARCH("GSL",[1]OUT_TransportEnergyCons!$C$3:$C$1000))*1,[1]OUT_TransportEnergyCons!H$3:H$1000)</f>
        <v>2.7901351354269674E-3</v>
      </c>
      <c r="K1175" s="1" cm="1">
        <f t="array" ref="K1175">SUMPRODUCT(("T_C-MHY-GSL-S4"=[1]OUT_TransportEnergyCons!$A$3:$A$1000)*1,("Var_Fin"=[1]OUT_TransportEnergyCons!$B$3:$B$1000)*1,ISNUMBER(SEARCH("GSL",[1]OUT_TransportEnergyCons!$C$3:$C$1000))*1,[1]OUT_TransportEnergyCons!I$3:I$1000)</f>
        <v>1.358149861832021E-3</v>
      </c>
      <c r="L1175" s="1" cm="1">
        <f t="array" ref="L1175">SUMPRODUCT(("T_C-MHY-GSL-S4"=[1]OUT_TransportEnergyCons!$A$3:$A$1000)*1,("Var_Fin"=[1]OUT_TransportEnergyCons!$B$3:$B$1000)*1,ISNUMBER(SEARCH("GSL",[1]OUT_TransportEnergyCons!$C$3:$C$1000))*1,[1]OUT_TransportEnergyCons!J$3:J$1000)</f>
        <v>0</v>
      </c>
      <c r="M1175" s="1" cm="1">
        <f t="array" ref="M1175">SUMPRODUCT(("T_C-MHY-GSL-S4"=[1]OUT_TransportEnergyCons!$A$3:$A$1000)*1,("Var_Fin"=[1]OUT_TransportEnergyCons!$B$3:$B$1000)*1,ISNUMBER(SEARCH("GSL",[1]OUT_TransportEnergyCons!$C$3:$C$1000))*1,[1]OUT_TransportEnergyCons!K$3:K$1000)</f>
        <v>0</v>
      </c>
      <c r="N1175" s="1" cm="1">
        <f t="array" ref="N1175">SUMPRODUCT(("T_C-MHY-GSL-S4"=[1]OUT_TransportEnergyCons!$A$3:$A$1000)*1,("Var_Fin"=[1]OUT_TransportEnergyCons!$B$3:$B$1000)*1,ISNUMBER(SEARCH("GSL",[1]OUT_TransportEnergyCons!$C$3:$C$1000))*1,[1]OUT_TransportEnergyCons!L$3:L$1000)</f>
        <v>0</v>
      </c>
      <c r="O1175" s="1" cm="1">
        <f t="array" ref="O1175">SUMPRODUCT(("T_C-MHY-GSL-S4"=[1]OUT_TransportEnergyCons!$A$3:$A$1000)*1,("Var_Fin"=[1]OUT_TransportEnergyCons!$B$3:$B$1000)*1,ISNUMBER(SEARCH("GSL",[1]OUT_TransportEnergyCons!$C$3:$C$1000))*1,[1]OUT_TransportEnergyCons!M$3:M$1000)</f>
        <v>0</v>
      </c>
      <c r="P1175" s="1" cm="1">
        <f t="array" ref="P1175">SUMPRODUCT(("T_C-MHY-GSL-S4"=[1]OUT_TransportEnergyCons!$A$3:$A$1000)*1,("Var_Fin"=[1]OUT_TransportEnergyCons!$B$3:$B$1000)*1,ISNUMBER(SEARCH("GSL",[1]OUT_TransportEnergyCons!$C$3:$C$1000))*1,[1]OUT_TransportEnergyCons!N$3:N$1000)</f>
        <v>0</v>
      </c>
      <c r="Q1175" s="1" cm="1">
        <f t="array" ref="Q1175">SUMPRODUCT(("T_C-MHY-GSL-S4"=[1]OUT_TransportEnergyCons!$A$3:$A$1000)*1,("Var_Fin"=[1]OUT_TransportEnergyCons!$B$3:$B$1000)*1,ISNUMBER(SEARCH("GSL",[1]OUT_TransportEnergyCons!$C$3:$C$1000))*1,[1]OUT_TransportEnergyCons!O$3:O$1000)</f>
        <v>0</v>
      </c>
      <c r="S1175" s="3"/>
    </row>
    <row r="1176" spans="2:19" x14ac:dyDescent="0.5">
      <c r="B1176" s="5" t="str">
        <f t="shared" si="1358"/>
        <v>SPS1</v>
      </c>
      <c r="C1176" s="5" t="str">
        <f t="shared" si="1359"/>
        <v>CH</v>
      </c>
      <c r="D1176" t="s">
        <v>1276</v>
      </c>
      <c r="E1176" t="s">
        <v>8</v>
      </c>
      <c r="F1176" s="1" cm="1">
        <f t="array" ref="F1176">SUMPRODUCT(("T-Plg-GSL-mix_S1"=[1]OUT_TransportEnergyCons!$A$3:$A$1000)*1,("Var_Fin"=[1]OUT_TransportEnergyCons!$B$3:$B$1000)*1,ISNUMBER(SEARCH("GSL",[1]OUT_TransportEnergyCons!$C$3:$C$1000))*1,[1]OUT_TransportEnergyCons!D$3:D$1000)</f>
        <v>5.0841231043527858E-4</v>
      </c>
      <c r="G1176" s="1" cm="1">
        <f t="array" ref="G1176">SUMPRODUCT(("T-Plg-GSL-mix_S1"=[1]OUT_TransportEnergyCons!$A$3:$A$1000)*1,("Var_Fin"=[1]OUT_TransportEnergyCons!$B$3:$B$1000)*1,ISNUMBER(SEARCH("GSL",[1]OUT_TransportEnergyCons!$C$3:$C$1000))*1,[1]OUT_TransportEnergyCons!E$3:E$1000)</f>
        <v>3.3991115353995088E-3</v>
      </c>
      <c r="H1176" s="1" cm="1">
        <f t="array" ref="H1176">SUMPRODUCT(("T-Plg-GSL-mix_S1"=[1]OUT_TransportEnergyCons!$A$3:$A$1000)*1,("Var_Fin"=[1]OUT_TransportEnergyCons!$B$3:$B$1000)*1,ISNUMBER(SEARCH("GSL",[1]OUT_TransportEnergyCons!$C$3:$C$1000))*1,[1]OUT_TransportEnergyCons!F$3:F$1000)</f>
        <v>4.3610113065570858E-3</v>
      </c>
      <c r="I1176" s="1" cm="1">
        <f t="array" ref="I1176">SUMPRODUCT(("T-Plg-GSL-mix_S1"=[1]OUT_TransportEnergyCons!$A$3:$A$1000)*1,("Var_Fin"=[1]OUT_TransportEnergyCons!$B$3:$B$1000)*1,ISNUMBER(SEARCH("GSL",[1]OUT_TransportEnergyCons!$C$3:$C$1000))*1,[1]OUT_TransportEnergyCons!G$3:G$1000)</f>
        <v>3.9862436115935757E-3</v>
      </c>
      <c r="J1176" s="1" cm="1">
        <f t="array" ref="J1176">SUMPRODUCT(("T-Plg-GSL-mix_S1"=[1]OUT_TransportEnergyCons!$A$3:$A$1000)*1,("Var_Fin"=[1]OUT_TransportEnergyCons!$B$3:$B$1000)*1,ISNUMBER(SEARCH("GSL",[1]OUT_TransportEnergyCons!$C$3:$C$1000))*1,[1]OUT_TransportEnergyCons!H$3:H$1000)</f>
        <v>4.2641683086470207E-3</v>
      </c>
      <c r="K1176" s="1" cm="1">
        <f t="array" ref="K1176">SUMPRODUCT(("T-Plg-GSL-mix_S1"=[1]OUT_TransportEnergyCons!$A$3:$A$1000)*1,("Var_Fin"=[1]OUT_TransportEnergyCons!$B$3:$B$1000)*1,ISNUMBER(SEARCH("GSL",[1]OUT_TransportEnergyCons!$C$3:$C$1000))*1,[1]OUT_TransportEnergyCons!I$3:I$1000)</f>
        <v>2.2706540564409773E-3</v>
      </c>
      <c r="L1176" s="1" cm="1">
        <f t="array" ref="L1176">SUMPRODUCT(("T-Plg-GSL-mix_S1"=[1]OUT_TransportEnergyCons!$A$3:$A$1000)*1,("Var_Fin"=[1]OUT_TransportEnergyCons!$B$3:$B$1000)*1,ISNUMBER(SEARCH("GSL",[1]OUT_TransportEnergyCons!$C$3:$C$1000))*1,[1]OUT_TransportEnergyCons!J$3:J$1000)</f>
        <v>1.8054343811704165E-3</v>
      </c>
      <c r="M1176" s="1" cm="1">
        <f t="array" ref="M1176">SUMPRODUCT(("T-Plg-GSL-mix_S1"=[1]OUT_TransportEnergyCons!$A$3:$A$1000)*1,("Var_Fin"=[1]OUT_TransportEnergyCons!$B$3:$B$1000)*1,ISNUMBER(SEARCH("GSL",[1]OUT_TransportEnergyCons!$C$3:$C$1000))*1,[1]OUT_TransportEnergyCons!K$3:K$1000)</f>
        <v>6.7338029065921166E-4</v>
      </c>
      <c r="N1176" s="1" cm="1">
        <f t="array" ref="N1176">SUMPRODUCT(("T-Plg-GSL-mix_S1"=[1]OUT_TransportEnergyCons!$A$3:$A$1000)*1,("Var_Fin"=[1]OUT_TransportEnergyCons!$B$3:$B$1000)*1,ISNUMBER(SEARCH("GSL",[1]OUT_TransportEnergyCons!$C$3:$C$1000))*1,[1]OUT_TransportEnergyCons!L$3:L$1000)</f>
        <v>4.0110578572162331E-3</v>
      </c>
      <c r="O1176" s="1" cm="1">
        <f t="array" ref="O1176">SUMPRODUCT(("T-Plg-GSL-mix_S1"=[1]OUT_TransportEnergyCons!$A$3:$A$1000)*1,("Var_Fin"=[1]OUT_TransportEnergyCons!$B$3:$B$1000)*1,ISNUMBER(SEARCH("GSL",[1]OUT_TransportEnergyCons!$C$3:$C$1000))*1,[1]OUT_TransportEnergyCons!M$3:M$1000)</f>
        <v>6.4767702430057967E-3</v>
      </c>
      <c r="P1176" s="1" cm="1">
        <f t="array" ref="P1176">SUMPRODUCT(("T-Plg-GSL-mix_S1"=[1]OUT_TransportEnergyCons!$A$3:$A$1000)*1,("Var_Fin"=[1]OUT_TransportEnergyCons!$B$3:$B$1000)*1,ISNUMBER(SEARCH("GSL",[1]OUT_TransportEnergyCons!$C$3:$C$1000))*1,[1]OUT_TransportEnergyCons!N$3:N$1000)</f>
        <v>7.6224352668377978E-3</v>
      </c>
      <c r="Q1176" s="1" cm="1">
        <f t="array" ref="Q1176">SUMPRODUCT(("T-Plg-GSL-mix_S1"=[1]OUT_TransportEnergyCons!$A$3:$A$1000)*1,("Var_Fin"=[1]OUT_TransportEnergyCons!$B$3:$B$1000)*1,ISNUMBER(SEARCH("GSL",[1]OUT_TransportEnergyCons!$C$3:$C$1000))*1,[1]OUT_TransportEnergyCons!O$3:O$1000)</f>
        <v>9.1698524982096116E-3</v>
      </c>
      <c r="S1176" s="3"/>
    </row>
    <row r="1177" spans="2:19" x14ac:dyDescent="0.5">
      <c r="B1177" s="5" t="str">
        <f t="shared" si="1358"/>
        <v>SPS1</v>
      </c>
      <c r="C1177" s="5" t="str">
        <f t="shared" si="1359"/>
        <v>CH</v>
      </c>
      <c r="D1177" t="s">
        <v>1277</v>
      </c>
      <c r="E1177" t="s">
        <v>8</v>
      </c>
      <c r="F1177" s="1" cm="1">
        <f t="array" ref="F1177">SUMPRODUCT(("T-Plg-GSL-mix_S2"=[1]OUT_TransportEnergyCons!$A$3:$A$1000)*1,("Var_Fin"=[1]OUT_TransportEnergyCons!$B$3:$B$1000)*1,ISNUMBER(SEARCH("GSL",[1]OUT_TransportEnergyCons!$C$3:$C$1000))*1,[1]OUT_TransportEnergyCons!D$3:D$1000)</f>
        <v>8.2827079177955315E-2</v>
      </c>
      <c r="G1177" s="1" cm="1">
        <f t="array" ref="G1177">SUMPRODUCT(("T-Plg-GSL-mix_S2"=[1]OUT_TransportEnergyCons!$A$3:$A$1000)*1,("Var_Fin"=[1]OUT_TransportEnergyCons!$B$3:$B$1000)*1,ISNUMBER(SEARCH("GSL",[1]OUT_TransportEnergyCons!$C$3:$C$1000))*1,[1]OUT_TransportEnergyCons!E$3:E$1000)</f>
        <v>0.16360337761097624</v>
      </c>
      <c r="H1177" s="1" cm="1">
        <f t="array" ref="H1177">SUMPRODUCT(("T-Plg-GSL-mix_S2"=[1]OUT_TransportEnergyCons!$A$3:$A$1000)*1,("Var_Fin"=[1]OUT_TransportEnergyCons!$B$3:$B$1000)*1,ISNUMBER(SEARCH("GSL",[1]OUT_TransportEnergyCons!$C$3:$C$1000))*1,[1]OUT_TransportEnergyCons!F$3:F$1000)</f>
        <v>0.14106022300204282</v>
      </c>
      <c r="I1177" s="1" cm="1">
        <f t="array" ref="I1177">SUMPRODUCT(("T-Plg-GSL-mix_S2"=[1]OUT_TransportEnergyCons!$A$3:$A$1000)*1,("Var_Fin"=[1]OUT_TransportEnergyCons!$B$3:$B$1000)*1,ISNUMBER(SEARCH("GSL",[1]OUT_TransportEnergyCons!$C$3:$C$1000))*1,[1]OUT_TransportEnergyCons!G$3:G$1000)</f>
        <v>0.31277684627320701</v>
      </c>
      <c r="J1177" s="1" cm="1">
        <f t="array" ref="J1177">SUMPRODUCT(("T-Plg-GSL-mix_S2"=[1]OUT_TransportEnergyCons!$A$3:$A$1000)*1,("Var_Fin"=[1]OUT_TransportEnergyCons!$B$3:$B$1000)*1,ISNUMBER(SEARCH("GSL",[1]OUT_TransportEnergyCons!$C$3:$C$1000))*1,[1]OUT_TransportEnergyCons!H$3:H$1000)</f>
        <v>0.12894170505481736</v>
      </c>
      <c r="K1177" s="1" cm="1">
        <f t="array" ref="K1177">SUMPRODUCT(("T-Plg-GSL-mix_S2"=[1]OUT_TransportEnergyCons!$A$3:$A$1000)*1,("Var_Fin"=[1]OUT_TransportEnergyCons!$B$3:$B$1000)*1,ISNUMBER(SEARCH("GSL",[1]OUT_TransportEnergyCons!$C$3:$C$1000))*1,[1]OUT_TransportEnergyCons!I$3:I$1000)</f>
        <v>5.8430918239930567E-2</v>
      </c>
      <c r="L1177" s="1" cm="1">
        <f t="array" ref="L1177">SUMPRODUCT(("T-Plg-GSL-mix_S2"=[1]OUT_TransportEnergyCons!$A$3:$A$1000)*1,("Var_Fin"=[1]OUT_TransportEnergyCons!$B$3:$B$1000)*1,ISNUMBER(SEARCH("GSL",[1]OUT_TransportEnergyCons!$C$3:$C$1000))*1,[1]OUT_TransportEnergyCons!J$3:J$1000)</f>
        <v>6.0791290701793987E-3</v>
      </c>
      <c r="M1177" s="1" cm="1">
        <f t="array" ref="M1177">SUMPRODUCT(("T-Plg-GSL-mix_S2"=[1]OUT_TransportEnergyCons!$A$3:$A$1000)*1,("Var_Fin"=[1]OUT_TransportEnergyCons!$B$3:$B$1000)*1,ISNUMBER(SEARCH("GSL",[1]OUT_TransportEnergyCons!$C$3:$C$1000))*1,[1]OUT_TransportEnergyCons!K$3:K$1000)</f>
        <v>3.4079599835314862E-3</v>
      </c>
      <c r="N1177" s="1" cm="1">
        <f t="array" ref="N1177">SUMPRODUCT(("T-Plg-GSL-mix_S2"=[1]OUT_TransportEnergyCons!$A$3:$A$1000)*1,("Var_Fin"=[1]OUT_TransportEnergyCons!$B$3:$B$1000)*1,ISNUMBER(SEARCH("GSL",[1]OUT_TransportEnergyCons!$C$3:$C$1000))*1,[1]OUT_TransportEnergyCons!L$3:L$1000)</f>
        <v>1.3563498398227408E-2</v>
      </c>
      <c r="O1177" s="1" cm="1">
        <f t="array" ref="O1177">SUMPRODUCT(("T-Plg-GSL-mix_S2"=[1]OUT_TransportEnergyCons!$A$3:$A$1000)*1,("Var_Fin"=[1]OUT_TransportEnergyCons!$B$3:$B$1000)*1,ISNUMBER(SEARCH("GSL",[1]OUT_TransportEnergyCons!$C$3:$C$1000))*1,[1]OUT_TransportEnergyCons!M$3:M$1000)</f>
        <v>1.3076175048052275E-2</v>
      </c>
      <c r="P1177" s="1" cm="1">
        <f t="array" ref="P1177">SUMPRODUCT(("T-Plg-GSL-mix_S2"=[1]OUT_TransportEnergyCons!$A$3:$A$1000)*1,("Var_Fin"=[1]OUT_TransportEnergyCons!$B$3:$B$1000)*1,ISNUMBER(SEARCH("GSL",[1]OUT_TransportEnergyCons!$C$3:$C$1000))*1,[1]OUT_TransportEnergyCons!N$3:N$1000)</f>
        <v>1.0479848133473607E-2</v>
      </c>
      <c r="Q1177" s="1" cm="1">
        <f t="array" ref="Q1177">SUMPRODUCT(("T-Plg-GSL-mix_S2"=[1]OUT_TransportEnergyCons!$A$3:$A$1000)*1,("Var_Fin"=[1]OUT_TransportEnergyCons!$B$3:$B$1000)*1,ISNUMBER(SEARCH("GSL",[1]OUT_TransportEnergyCons!$C$3:$C$1000))*1,[1]OUT_TransportEnergyCons!O$3:O$1000)</f>
        <v>5.4606735590607466E-3</v>
      </c>
      <c r="S1177" s="3"/>
    </row>
    <row r="1178" spans="2:19" x14ac:dyDescent="0.5">
      <c r="B1178" s="5" t="str">
        <f t="shared" si="1358"/>
        <v>SPS1</v>
      </c>
      <c r="C1178" s="5" t="str">
        <f t="shared" si="1359"/>
        <v>CH</v>
      </c>
      <c r="D1178" t="s">
        <v>1278</v>
      </c>
      <c r="E1178" t="s">
        <v>8</v>
      </c>
      <c r="F1178" s="1" cm="1">
        <f t="array" ref="F1178">SUMPRODUCT(("T-Plg-GSL-mix_S3"=[1]OUT_TransportEnergyCons!$A$3:$A$1000)*1,("Var_Fin"=[1]OUT_TransportEnergyCons!$B$3:$B$1000)*1,ISNUMBER(SEARCH("GSL",[1]OUT_TransportEnergyCons!$C$3:$C$1000))*1,[1]OUT_TransportEnergyCons!D$3:D$1000)</f>
        <v>8.544517882000148E-2</v>
      </c>
      <c r="G1178" s="1" cm="1">
        <f t="array" ref="G1178">SUMPRODUCT(("T-Plg-GSL-mix_S3"=[1]OUT_TransportEnergyCons!$A$3:$A$1000)*1,("Var_Fin"=[1]OUT_TransportEnergyCons!$B$3:$B$1000)*1,ISNUMBER(SEARCH("GSL",[1]OUT_TransportEnergyCons!$C$3:$C$1000))*1,[1]OUT_TransportEnergyCons!E$3:E$1000)</f>
        <v>0.26820231809462702</v>
      </c>
      <c r="H1178" s="1" cm="1">
        <f t="array" ref="H1178">SUMPRODUCT(("T-Plg-GSL-mix_S3"=[1]OUT_TransportEnergyCons!$A$3:$A$1000)*1,("Var_Fin"=[1]OUT_TransportEnergyCons!$B$3:$B$1000)*1,ISNUMBER(SEARCH("GSL",[1]OUT_TransportEnergyCons!$C$3:$C$1000))*1,[1]OUT_TransportEnergyCons!F$3:F$1000)</f>
        <v>1.7551668552137187</v>
      </c>
      <c r="I1178" s="1" cm="1">
        <f t="array" ref="I1178">SUMPRODUCT(("T-Plg-GSL-mix_S3"=[1]OUT_TransportEnergyCons!$A$3:$A$1000)*1,("Var_Fin"=[1]OUT_TransportEnergyCons!$B$3:$B$1000)*1,ISNUMBER(SEARCH("GSL",[1]OUT_TransportEnergyCons!$C$3:$C$1000))*1,[1]OUT_TransportEnergyCons!G$3:G$1000)</f>
        <v>3.8492060565250035</v>
      </c>
      <c r="J1178" s="1" cm="1">
        <f t="array" ref="J1178">SUMPRODUCT(("T-Plg-GSL-mix_S3"=[1]OUT_TransportEnergyCons!$A$3:$A$1000)*1,("Var_Fin"=[1]OUT_TransportEnergyCons!$B$3:$B$1000)*1,ISNUMBER(SEARCH("GSL",[1]OUT_TransportEnergyCons!$C$3:$C$1000))*1,[1]OUT_TransportEnergyCons!H$3:H$1000)</f>
        <v>10.688767796246681</v>
      </c>
      <c r="K1178" s="1" cm="1">
        <f t="array" ref="K1178">SUMPRODUCT(("T-Plg-GSL-mix_S3"=[1]OUT_TransportEnergyCons!$A$3:$A$1000)*1,("Var_Fin"=[1]OUT_TransportEnergyCons!$B$3:$B$1000)*1,ISNUMBER(SEARCH("GSL",[1]OUT_TransportEnergyCons!$C$3:$C$1000))*1,[1]OUT_TransportEnergyCons!I$3:I$1000)</f>
        <v>6.810094940551199</v>
      </c>
      <c r="L1178" s="1" cm="1">
        <f t="array" ref="L1178">SUMPRODUCT(("T-Plg-GSL-mix_S3"=[1]OUT_TransportEnergyCons!$A$3:$A$1000)*1,("Var_Fin"=[1]OUT_TransportEnergyCons!$B$3:$B$1000)*1,ISNUMBER(SEARCH("GSL",[1]OUT_TransportEnergyCons!$C$3:$C$1000))*1,[1]OUT_TransportEnergyCons!J$3:J$1000)</f>
        <v>4.9280088668117417</v>
      </c>
      <c r="M1178" s="1" cm="1">
        <f t="array" ref="M1178">SUMPRODUCT(("T-Plg-GSL-mix_S3"=[1]OUT_TransportEnergyCons!$A$3:$A$1000)*1,("Var_Fin"=[1]OUT_TransportEnergyCons!$B$3:$B$1000)*1,ISNUMBER(SEARCH("GSL",[1]OUT_TransportEnergyCons!$C$3:$C$1000))*1,[1]OUT_TransportEnergyCons!K$3:K$1000)</f>
        <v>1.3097640755168969</v>
      </c>
      <c r="N1178" s="1" cm="1">
        <f t="array" ref="N1178">SUMPRODUCT(("T-Plg-GSL-mix_S3"=[1]OUT_TransportEnergyCons!$A$3:$A$1000)*1,("Var_Fin"=[1]OUT_TransportEnergyCons!$B$3:$B$1000)*1,ISNUMBER(SEARCH("GSL",[1]OUT_TransportEnergyCons!$C$3:$C$1000))*1,[1]OUT_TransportEnergyCons!L$3:L$1000)</f>
        <v>0.7869895089523411</v>
      </c>
      <c r="O1178" s="1" cm="1">
        <f t="array" ref="O1178">SUMPRODUCT(("T-Plg-GSL-mix_S3"=[1]OUT_TransportEnergyCons!$A$3:$A$1000)*1,("Var_Fin"=[1]OUT_TransportEnergyCons!$B$3:$B$1000)*1,ISNUMBER(SEARCH("GSL",[1]OUT_TransportEnergyCons!$C$3:$C$1000))*1,[1]OUT_TransportEnergyCons!M$3:M$1000)</f>
        <v>2.4086673521693944E-2</v>
      </c>
      <c r="P1178" s="1" cm="1">
        <f t="array" ref="P1178">SUMPRODUCT(("T-Plg-GSL-mix_S3"=[1]OUT_TransportEnergyCons!$A$3:$A$1000)*1,("Var_Fin"=[1]OUT_TransportEnergyCons!$B$3:$B$1000)*1,ISNUMBER(SEARCH("GSL",[1]OUT_TransportEnergyCons!$C$3:$C$1000))*1,[1]OUT_TransportEnergyCons!N$3:N$1000)</f>
        <v>2.00557428021036E-2</v>
      </c>
      <c r="Q1178" s="1" cm="1">
        <f t="array" ref="Q1178">SUMPRODUCT(("T-Plg-GSL-mix_S3"=[1]OUT_TransportEnergyCons!$A$3:$A$1000)*1,("Var_Fin"=[1]OUT_TransportEnergyCons!$B$3:$B$1000)*1,ISNUMBER(SEARCH("GSL",[1]OUT_TransportEnergyCons!$C$3:$C$1000))*1,[1]OUT_TransportEnergyCons!O$3:O$1000)</f>
        <v>9.9855410526293997E-3</v>
      </c>
      <c r="S1178" s="3"/>
    </row>
    <row r="1179" spans="2:19" x14ac:dyDescent="0.5">
      <c r="B1179" s="5" t="str">
        <f t="shared" si="1358"/>
        <v>SPS1</v>
      </c>
      <c r="C1179" s="5" t="str">
        <f t="shared" si="1359"/>
        <v>CH</v>
      </c>
      <c r="D1179" t="s">
        <v>1279</v>
      </c>
      <c r="E1179" t="s">
        <v>8</v>
      </c>
      <c r="F1179" s="1" cm="1">
        <f t="array" ref="F1179">SUMPRODUCT(("T-Plg-GSL-mix_S4"=[1]OUT_TransportEnergyCons!$A$3:$A$1000)*1,("Var_Fin"=[1]OUT_TransportEnergyCons!$B$3:$B$1000)*1,ISNUMBER(SEARCH("GSL",[1]OUT_TransportEnergyCons!$C$3:$C$1000))*1,[1]OUT_TransportEnergyCons!D$3:D$1000)</f>
        <v>0.16475268740347668</v>
      </c>
      <c r="G1179" s="1" cm="1">
        <f t="array" ref="G1179">SUMPRODUCT(("T-Plg-GSL-mix_S4"=[1]OUT_TransportEnergyCons!$A$3:$A$1000)*1,("Var_Fin"=[1]OUT_TransportEnergyCons!$B$3:$B$1000)*1,ISNUMBER(SEARCH("GSL",[1]OUT_TransportEnergyCons!$C$3:$C$1000))*1,[1]OUT_TransportEnergyCons!E$3:E$1000)</f>
        <v>0.30863254352155117</v>
      </c>
      <c r="H1179" s="1" cm="1">
        <f t="array" ref="H1179">SUMPRODUCT(("T-Plg-GSL-mix_S4"=[1]OUT_TransportEnergyCons!$A$3:$A$1000)*1,("Var_Fin"=[1]OUT_TransportEnergyCons!$B$3:$B$1000)*1,ISNUMBER(SEARCH("GSL",[1]OUT_TransportEnergyCons!$C$3:$C$1000))*1,[1]OUT_TransportEnergyCons!F$3:F$1000)</f>
        <v>0.25635098013393542</v>
      </c>
      <c r="I1179" s="1" cm="1">
        <f t="array" ref="I1179">SUMPRODUCT(("T-Plg-GSL-mix_S4"=[1]OUT_TransportEnergyCons!$A$3:$A$1000)*1,("Var_Fin"=[1]OUT_TransportEnergyCons!$B$3:$B$1000)*1,ISNUMBER(SEARCH("GSL",[1]OUT_TransportEnergyCons!$C$3:$C$1000))*1,[1]OUT_TransportEnergyCons!G$3:G$1000)</f>
        <v>0.25631812425644002</v>
      </c>
      <c r="J1179" s="1" cm="1">
        <f t="array" ref="J1179">SUMPRODUCT(("T-Plg-GSL-mix_S4"=[1]OUT_TransportEnergyCons!$A$3:$A$1000)*1,("Var_Fin"=[1]OUT_TransportEnergyCons!$B$3:$B$1000)*1,ISNUMBER(SEARCH("GSL",[1]OUT_TransportEnergyCons!$C$3:$C$1000))*1,[1]OUT_TransportEnergyCons!H$3:H$1000)</f>
        <v>0.10646339569618202</v>
      </c>
      <c r="K1179" s="1" cm="1">
        <f t="array" ref="K1179">SUMPRODUCT(("T-Plg-GSL-mix_S4"=[1]OUT_TransportEnergyCons!$A$3:$A$1000)*1,("Var_Fin"=[1]OUT_TransportEnergyCons!$B$3:$B$1000)*1,ISNUMBER(SEARCH("GSL",[1]OUT_TransportEnergyCons!$C$3:$C$1000))*1,[1]OUT_TransportEnergyCons!I$3:I$1000)</f>
        <v>2.9462312493270758E-2</v>
      </c>
      <c r="L1179" s="1" cm="1">
        <f t="array" ref="L1179">SUMPRODUCT(("T-Plg-GSL-mix_S4"=[1]OUT_TransportEnergyCons!$A$3:$A$1000)*1,("Var_Fin"=[1]OUT_TransportEnergyCons!$B$3:$B$1000)*1,ISNUMBER(SEARCH("GSL",[1]OUT_TransportEnergyCons!$C$3:$C$1000))*1,[1]OUT_TransportEnergyCons!J$3:J$1000)</f>
        <v>8.9281706923314066E-3</v>
      </c>
      <c r="M1179" s="1" cm="1">
        <f t="array" ref="M1179">SUMPRODUCT(("T-Plg-GSL-mix_S4"=[1]OUT_TransportEnergyCons!$A$3:$A$1000)*1,("Var_Fin"=[1]OUT_TransportEnergyCons!$B$3:$B$1000)*1,ISNUMBER(SEARCH("GSL",[1]OUT_TransportEnergyCons!$C$3:$C$1000))*1,[1]OUT_TransportEnergyCons!K$3:K$1000)</f>
        <v>4.534643906671223E-3</v>
      </c>
      <c r="N1179" s="1" cm="1">
        <f t="array" ref="N1179">SUMPRODUCT(("T-Plg-GSL-mix_S4"=[1]OUT_TransportEnergyCons!$A$3:$A$1000)*1,("Var_Fin"=[1]OUT_TransportEnergyCons!$B$3:$B$1000)*1,ISNUMBER(SEARCH("GSL",[1]OUT_TransportEnergyCons!$C$3:$C$1000))*1,[1]OUT_TransportEnergyCons!L$3:L$1000)</f>
        <v>0.45109345146316798</v>
      </c>
      <c r="O1179" s="1" cm="1">
        <f t="array" ref="O1179">SUMPRODUCT(("T-Plg-GSL-mix_S4"=[1]OUT_TransportEnergyCons!$A$3:$A$1000)*1,("Var_Fin"=[1]OUT_TransportEnergyCons!$B$3:$B$1000)*1,ISNUMBER(SEARCH("GSL",[1]OUT_TransportEnergyCons!$C$3:$C$1000))*1,[1]OUT_TransportEnergyCons!M$3:M$1000)</f>
        <v>1.1951312508716583</v>
      </c>
      <c r="P1179" s="1" cm="1">
        <f t="array" ref="P1179">SUMPRODUCT(("T-Plg-GSL-mix_S4"=[1]OUT_TransportEnergyCons!$A$3:$A$1000)*1,("Var_Fin"=[1]OUT_TransportEnergyCons!$B$3:$B$1000)*1,ISNUMBER(SEARCH("GSL",[1]OUT_TransportEnergyCons!$C$3:$C$1000))*1,[1]OUT_TransportEnergyCons!N$3:N$1000)</f>
        <v>1.0882889973964025</v>
      </c>
      <c r="Q1179" s="1" cm="1">
        <f t="array" ref="Q1179">SUMPRODUCT(("T-Plg-GSL-mix_S4"=[1]OUT_TransportEnergyCons!$A$3:$A$1000)*1,("Var_Fin"=[1]OUT_TransportEnergyCons!$B$3:$B$1000)*1,ISNUMBER(SEARCH("GSL",[1]OUT_TransportEnergyCons!$C$3:$C$1000))*1,[1]OUT_TransportEnergyCons!O$3:O$1000)</f>
        <v>1.0513783889640242</v>
      </c>
      <c r="S1179" s="3"/>
    </row>
    <row r="1180" spans="2:19" x14ac:dyDescent="0.5">
      <c r="B1180" s="5" t="str">
        <f t="shared" si="1358"/>
        <v>SPS1</v>
      </c>
      <c r="C1180" s="5" t="str">
        <f t="shared" si="1359"/>
        <v>CH</v>
      </c>
      <c r="D1180" t="s">
        <v>1280</v>
      </c>
      <c r="E1180" t="s">
        <v>8</v>
      </c>
      <c r="F1180" s="1">
        <f>SUM(F1185:F1202)</f>
        <v>61.093137713188739</v>
      </c>
      <c r="G1180" s="1">
        <f t="shared" ref="G1180:K1180" si="1375">SUM(G1185:G1202)</f>
        <v>58.871383974762381</v>
      </c>
      <c r="H1180" s="1">
        <f t="shared" si="1375"/>
        <v>47.076931391939318</v>
      </c>
      <c r="I1180" s="1">
        <f t="shared" si="1375"/>
        <v>29.418265385371839</v>
      </c>
      <c r="J1180" s="1">
        <f t="shared" si="1375"/>
        <v>10.021190461016841</v>
      </c>
      <c r="K1180" s="1">
        <f t="shared" si="1375"/>
        <v>5.1778492377148684</v>
      </c>
      <c r="L1180" s="1">
        <f t="shared" ref="L1180:O1180" si="1376">SUM(L1185:L1202)</f>
        <v>3.5423499829547982</v>
      </c>
      <c r="M1180" s="1">
        <f t="shared" si="1376"/>
        <v>1.0172919539977987</v>
      </c>
      <c r="N1180" s="1">
        <f t="shared" si="1376"/>
        <v>0.93108991136525288</v>
      </c>
      <c r="O1180" s="1">
        <f t="shared" si="1376"/>
        <v>0.85760502378113024</v>
      </c>
      <c r="P1180" s="1">
        <f>SUM(P1185:P1202)</f>
        <v>0.78014475254834192</v>
      </c>
      <c r="Q1180" s="1">
        <f>SUM(Q1185:Q1202)</f>
        <v>0.74456137895891872</v>
      </c>
      <c r="S1180" s="3"/>
    </row>
    <row r="1181" spans="2:19" x14ac:dyDescent="0.5">
      <c r="B1181" s="5" t="str">
        <f>B1180</f>
        <v>SPS1</v>
      </c>
      <c r="C1181" s="5" t="str">
        <f>C1180</f>
        <v>CH</v>
      </c>
      <c r="D1181" t="s">
        <v>1281</v>
      </c>
      <c r="E1181" t="str">
        <f>E1180</f>
        <v>PJ/yr.</v>
      </c>
      <c r="F1181" s="1">
        <f>IF(F1180-F1182&lt;0,0,F1180-F1182)</f>
        <v>59.584917793344914</v>
      </c>
      <c r="G1181" s="1">
        <f t="shared" ref="G1181:K1181" si="1377">IF(G1180-G1182&lt;0,0,G1180-G1182)</f>
        <v>57.337085313330981</v>
      </c>
      <c r="H1181" s="1">
        <f t="shared" si="1377"/>
        <v>44.964009258948828</v>
      </c>
      <c r="I1181" s="1">
        <f t="shared" si="1377"/>
        <v>27.814247820580682</v>
      </c>
      <c r="J1181" s="1">
        <f t="shared" si="1377"/>
        <v>9.1973065740099447</v>
      </c>
      <c r="K1181" s="1">
        <f t="shared" si="1377"/>
        <v>4.2715452788881141</v>
      </c>
      <c r="L1181" s="1">
        <f t="shared" ref="L1181:O1181" si="1378">IF(L1180-L1182&lt;0,0,L1180-L1182)</f>
        <v>2.023574895214447</v>
      </c>
      <c r="M1181" s="1">
        <f t="shared" si="1378"/>
        <v>0</v>
      </c>
      <c r="N1181" s="1">
        <f t="shared" si="1378"/>
        <v>0</v>
      </c>
      <c r="O1181" s="1">
        <f t="shared" si="1378"/>
        <v>0</v>
      </c>
      <c r="P1181" s="1">
        <f>IF(P1180-P1182&lt;0,0,P1180-P1182)</f>
        <v>0</v>
      </c>
      <c r="Q1181" s="1">
        <f>IF(Q1180-Q1182&lt;0,0,Q1180-Q1182)</f>
        <v>0</v>
      </c>
      <c r="S1181" s="3"/>
    </row>
    <row r="1182" spans="2:19" x14ac:dyDescent="0.5">
      <c r="B1182" s="5" t="str">
        <f t="shared" ref="B1182:B1184" si="1379">B1181</f>
        <v>SPS1</v>
      </c>
      <c r="C1182" s="5" t="str">
        <f t="shared" ref="C1182:C1184" si="1380">C1181</f>
        <v>CH</v>
      </c>
      <c r="D1182" t="s">
        <v>1282</v>
      </c>
      <c r="E1182" t="str">
        <f t="shared" ref="E1182:E1184" si="1381">E1181</f>
        <v>PJ/yr.</v>
      </c>
      <c r="F1182" s="1">
        <f>SUM(F1183:F1184)</f>
        <v>1.5082199198438233</v>
      </c>
      <c r="G1182" s="1">
        <f t="shared" ref="G1182" si="1382">SUM(G1183:G1184)</f>
        <v>1.5342986614313994</v>
      </c>
      <c r="H1182" s="1">
        <f t="shared" ref="H1182" si="1383">SUM(H1183:H1184)</f>
        <v>2.1129221329904904</v>
      </c>
      <c r="I1182" s="1">
        <f t="shared" ref="I1182" si="1384">SUM(I1183:I1184)</f>
        <v>1.6040175647911561</v>
      </c>
      <c r="J1182" s="1">
        <f t="shared" ref="J1182" si="1385">SUM(J1183:J1184)</f>
        <v>0.82388388700689685</v>
      </c>
      <c r="K1182" s="1">
        <f t="shared" ref="K1182" si="1386">SUM(K1183:K1184)</f>
        <v>0.9063039588267543</v>
      </c>
      <c r="L1182" s="1">
        <f t="shared" ref="L1182:O1182" si="1387">SUM(L1183:L1184)</f>
        <v>1.5187750877403512</v>
      </c>
      <c r="M1182" s="1">
        <f t="shared" si="1387"/>
        <v>1.0179309538824584</v>
      </c>
      <c r="N1182" s="1">
        <f t="shared" si="1387"/>
        <v>0.93258650387985154</v>
      </c>
      <c r="O1182" s="1">
        <f t="shared" si="1387"/>
        <v>0.85760590843713724</v>
      </c>
      <c r="P1182" s="1">
        <f>SUM(P1183:P1184)</f>
        <v>0.78035399026397478</v>
      </c>
      <c r="Q1182" s="1">
        <f>SUM(Q1183:Q1184)</f>
        <v>0.74476564829750524</v>
      </c>
      <c r="S1182" s="3"/>
    </row>
    <row r="1183" spans="2:19" x14ac:dyDescent="0.5">
      <c r="B1183" s="5" t="str">
        <f t="shared" si="1379"/>
        <v>SPS1</v>
      </c>
      <c r="C1183" s="5" t="str">
        <f t="shared" si="1380"/>
        <v>CH</v>
      </c>
      <c r="D1183" t="s">
        <v>1283</v>
      </c>
      <c r="E1183" t="str">
        <f t="shared" si="1381"/>
        <v>PJ/yr.</v>
      </c>
      <c r="F1183" s="1">
        <f>[1]Transport!B$26/SUM([1]Transport!B$22,[1]Transport!B$26)*F1180*(F$34+F$582)/(F$34+F$582+F$38)</f>
        <v>1.5082199198438233</v>
      </c>
      <c r="G1183" s="1">
        <f>[1]Transport!C$26/SUM([1]Transport!C$22,[1]Transport!C$26)*G1180*(G$34+G$582)/(G$34+G$582+G$38)</f>
        <v>1.5342986614313994</v>
      </c>
      <c r="H1183" s="1">
        <f>[1]Transport!D$26/SUM([1]Transport!D$22,[1]Transport!D$26)*H1180*(H$34+H$582)/(H$34+H$582+H$38)</f>
        <v>2.1129221329904904</v>
      </c>
      <c r="I1183" s="1">
        <f>[1]Transport!E$26/SUM([1]Transport!E$22,[1]Transport!E$26)*I1180*(I$34+I$582)/(I$34+I$582+I$38)</f>
        <v>1.6040175647911561</v>
      </c>
      <c r="J1183" s="1">
        <f>[1]Transport!F$26/SUM([1]Transport!F$22,[1]Transport!F$26)*J1180*(J$34+J$582)/(J$34+J$582+J$38)</f>
        <v>0.82129240492860345</v>
      </c>
      <c r="K1183" s="1">
        <f>[1]Transport!G$26/SUM([1]Transport!G$22,[1]Transport!G$26)*K1180*(K$34+K$582)/(K$34+K$582+K$38)</f>
        <v>0.65593027491746358</v>
      </c>
      <c r="L1183" s="1">
        <f>[1]Transport!H$26/SUM([1]Transport!H$22,[1]Transport!H$26)*L1180*(L$34+L$582)/(L$34+L$582+L$38)</f>
        <v>1.1569899288787731</v>
      </c>
      <c r="M1183" s="1">
        <f>[1]Transport!I$26/SUM([1]Transport!I$22,[1]Transport!I$26)*M1180*(M$34+M$582)/(M$34+M$582+M$38)</f>
        <v>0.9744500522144407</v>
      </c>
      <c r="N1183" s="1">
        <f>[1]Transport!J$26/SUM([1]Transport!J$22,[1]Transport!J$26)*N1180*(N$34+N$582)/(N$34+N$582+N$38)</f>
        <v>0.83168567434736429</v>
      </c>
      <c r="O1183" s="1">
        <f>[1]Transport!K$26/SUM([1]Transport!K$22,[1]Transport!K$26)*O1180*(O$34+O$582)/(O$34+O$582+O$38)</f>
        <v>0.85595710396173996</v>
      </c>
      <c r="P1183" s="1">
        <f>[1]Transport!L$26/SUM([1]Transport!L$22,[1]Transport!L$26)*P1180*(P$34+P$582)/(P$34+P$582+P$38)</f>
        <v>0.76558348819868338</v>
      </c>
      <c r="Q1183" s="1">
        <f>[1]Transport!M$26/SUM([1]Transport!M$22,[1]Transport!M$26)*Q1180*(Q$34+Q$582)/(Q$34+Q$582+Q$38)</f>
        <v>0.73223502058633116</v>
      </c>
      <c r="S1183" s="3"/>
    </row>
    <row r="1184" spans="2:19" x14ac:dyDescent="0.5">
      <c r="B1184" s="5" t="str">
        <f t="shared" si="1379"/>
        <v>SPS1</v>
      </c>
      <c r="C1184" s="5" t="str">
        <f t="shared" si="1380"/>
        <v>CH</v>
      </c>
      <c r="D1184" t="s">
        <v>1284</v>
      </c>
      <c r="E1184" t="str">
        <f t="shared" si="1381"/>
        <v>PJ/yr.</v>
      </c>
      <c r="F1184" s="1">
        <f>(F$38+F$718)/([1]Transport!B$22+[1]Transport!B$26)*F1180</f>
        <v>0</v>
      </c>
      <c r="G1184" s="1">
        <f>(G$38+G$718)/([1]Transport!C$22+[1]Transport!C$26)*G1180</f>
        <v>0</v>
      </c>
      <c r="H1184" s="1">
        <f>(H$38+H$718)/([1]Transport!D$22+[1]Transport!D$26)*H1180</f>
        <v>0</v>
      </c>
      <c r="I1184" s="1">
        <f>(I$38+I$718)/([1]Transport!E$22+[1]Transport!E$26)*I1180</f>
        <v>0</v>
      </c>
      <c r="J1184" s="1">
        <f>(J$38+J$718)/([1]Transport!F$22+[1]Transport!F$26)*J1180</f>
        <v>2.5914820782934086E-3</v>
      </c>
      <c r="K1184" s="1">
        <f>(K$38+K$718)/([1]Transport!G$22+[1]Transport!G$26)*K1180</f>
        <v>0.25037368390929077</v>
      </c>
      <c r="L1184" s="1">
        <f>(L$38+L$718)/([1]Transport!H$22+[1]Transport!H$26)*L1180</f>
        <v>0.36178515886157808</v>
      </c>
      <c r="M1184" s="1">
        <f>(M$38+M$718)/([1]Transport!I$22+[1]Transport!I$26)*M1180</f>
        <v>4.348090166801763E-2</v>
      </c>
      <c r="N1184" s="1">
        <f>(N$38+N$718)/([1]Transport!J$22+[1]Transport!J$26)*N1180</f>
        <v>0.10090082953248723</v>
      </c>
      <c r="O1184" s="1">
        <f>(O$38+O$718)/([1]Transport!K$22+[1]Transport!K$26)*O1180</f>
        <v>1.6488044753973266E-3</v>
      </c>
      <c r="P1184" s="1">
        <f>(P$38+P$718)/([1]Transport!L$22+[1]Transport!L$26)*P1180</f>
        <v>1.4770502065291433E-2</v>
      </c>
      <c r="Q1184" s="1">
        <f>(Q$38+Q$718)/([1]Transport!M$22+[1]Transport!M$26)*Q1180</f>
        <v>1.253062771117408E-2</v>
      </c>
      <c r="R1184" s="1"/>
      <c r="S1184" s="3"/>
    </row>
    <row r="1185" spans="2:19" x14ac:dyDescent="0.5">
      <c r="B1185" s="5" t="str">
        <f>B1180</f>
        <v>SPS1</v>
      </c>
      <c r="C1185" s="5" t="str">
        <f>C1180</f>
        <v>CH</v>
      </c>
      <c r="D1185" t="s">
        <v>1285</v>
      </c>
      <c r="E1185" t="s">
        <v>8</v>
      </c>
      <c r="F1185" s="1" cm="1">
        <f t="array" ref="F1185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5" s="1" cm="1">
        <f t="array" ref="G1185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5" s="1" cm="1">
        <f t="array" ref="H1185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5" s="1" cm="1">
        <f t="array" ref="I1185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5" s="1" cm="1">
        <f t="array" ref="J1185">SUMPRODUCT(("T_C-HYBDSLEXT"=[1]OUT_TransportEnergyCons!$A$3:$A$1000)*1,("Var_Fin"=[1]OUT_TransportEnergyCons!$B$3:$B$1000)*1,ISNUMBER(SEARCH("DSL",[1]OUT_TransportEnergyCons!$C$3:$C$1000))*1,[1]OUT_TransportEnergyCons!H$3:H$1000)</f>
        <v>0</v>
      </c>
      <c r="K1185" s="1" cm="1">
        <f t="array" ref="K1185">SUMPRODUCT(("T_C-HYBDSLEXT"=[1]OUT_TransportEnergyCons!$A$3:$A$1000)*1,("Var_Fin"=[1]OUT_TransportEnergyCons!$B$3:$B$1000)*1,ISNUMBER(SEARCH("DSL",[1]OUT_TransportEnergyCons!$C$3:$C$1000))*1,[1]OUT_TransportEnergyCons!I$3:I$1000)</f>
        <v>0</v>
      </c>
      <c r="L1185" s="1" cm="1">
        <f t="array" ref="L1185">SUMPRODUCT(("T_C-HYBDSLEXT"=[1]OUT_TransportEnergyCons!$A$3:$A$1000)*1,("Var_Fin"=[1]OUT_TransportEnergyCons!$B$3:$B$1000)*1,ISNUMBER(SEARCH("DSL",[1]OUT_TransportEnergyCons!$C$3:$C$1000))*1,[1]OUT_TransportEnergyCons!J$3:J$1000)</f>
        <v>0</v>
      </c>
      <c r="M1185" s="1" cm="1">
        <f t="array" ref="M1185">SUMPRODUCT(("T_C-HYBDSLEXT"=[1]OUT_TransportEnergyCons!$A$3:$A$1000)*1,("Var_Fin"=[1]OUT_TransportEnergyCons!$B$3:$B$1000)*1,ISNUMBER(SEARCH("DSL",[1]OUT_TransportEnergyCons!$C$3:$C$1000))*1,[1]OUT_TransportEnergyCons!K$3:K$1000)</f>
        <v>0</v>
      </c>
      <c r="N1185" s="1" cm="1">
        <f t="array" ref="N1185">SUMPRODUCT(("T_C-HYBDSLEXT"=[1]OUT_TransportEnergyCons!$A$3:$A$1000)*1,("Var_Fin"=[1]OUT_TransportEnergyCons!$B$3:$B$1000)*1,ISNUMBER(SEARCH("DSL",[1]OUT_TransportEnergyCons!$C$3:$C$1000))*1,[1]OUT_TransportEnergyCons!L$3:L$1000)</f>
        <v>0</v>
      </c>
      <c r="O1185" s="1" cm="1">
        <f t="array" ref="O1185">SUMPRODUCT(("T_C-HYBDSLEXT"=[1]OUT_TransportEnergyCons!$A$3:$A$1000)*1,("Var_Fin"=[1]OUT_TransportEnergyCons!$B$3:$B$1000)*1,ISNUMBER(SEARCH("DSL",[1]OUT_TransportEnergyCons!$C$3:$C$1000))*1,[1]OUT_TransportEnergyCons!M$3:M$1000)</f>
        <v>0</v>
      </c>
      <c r="P1185" s="1" cm="1">
        <f t="array" ref="P1185">SUMPRODUCT(("T_C-HYBDSLEXT"=[1]OUT_TransportEnergyCons!$A$3:$A$1000)*1,("Var_Fin"=[1]OUT_TransportEnergyCons!$B$3:$B$1000)*1,ISNUMBER(SEARCH("DSL",[1]OUT_TransportEnergyCons!$C$3:$C$1000))*1,[1]OUT_TransportEnergyCons!N$3:N$1000)</f>
        <v>0</v>
      </c>
      <c r="Q1185" s="1" cm="1">
        <f t="array" ref="Q1185">SUMPRODUCT(("T_C-HYBDSLEXT"=[1]OUT_TransportEnergyCons!$A$3:$A$1000)*1,("Var_Fin"=[1]OUT_TransportEnergyCons!$B$3:$B$1000)*1,ISNUMBER(SEARCH("DSL",[1]OUT_TransportEnergyCons!$C$3:$C$1000))*1,[1]OUT_TransportEnergyCons!O$3:O$1000)</f>
        <v>0</v>
      </c>
      <c r="S1185" s="3"/>
    </row>
    <row r="1186" spans="2:19" x14ac:dyDescent="0.5">
      <c r="B1186" s="5" t="str">
        <f t="shared" si="1358"/>
        <v>SPS1</v>
      </c>
      <c r="C1186" s="5" t="str">
        <f t="shared" si="1359"/>
        <v>CH</v>
      </c>
      <c r="D1186" t="s">
        <v>1286</v>
      </c>
      <c r="E1186" t="s">
        <v>8</v>
      </c>
      <c r="F1186" s="1" cm="1">
        <f t="array" ref="F1186">SUMPRODUCT(("T_C-HY-DSL-S1"=[1]OUT_TransportEnergyCons!$A$3:$A$1000)*1,("Var_Fin"=[1]OUT_TransportEnergyCons!$B$3:$B$1000)*1,ISNUMBER(SEARCH("DSL",[1]OUT_TransportEnergyCons!$C$3:$C$1000))*1,[1]OUT_TransportEnergyCons!D$3:D$1000)</f>
        <v>1.0567370832920097E-4</v>
      </c>
      <c r="G1186" s="1" cm="1">
        <f t="array" ref="G1186">SUMPRODUCT(("T_C-HY-DSL-S1"=[1]OUT_TransportEnergyCons!$A$3:$A$1000)*1,("Var_Fin"=[1]OUT_TransportEnergyCons!$B$3:$B$1000)*1,ISNUMBER(SEARCH("DSL",[1]OUT_TransportEnergyCons!$C$3:$C$1000))*1,[1]OUT_TransportEnergyCons!E$3:E$1000)</f>
        <v>6.5217435176799456E-4</v>
      </c>
      <c r="H1186" s="1" cm="1">
        <f t="array" ref="H1186">SUMPRODUCT(("T_C-HY-DSL-S1"=[1]OUT_TransportEnergyCons!$A$3:$A$1000)*1,("Var_Fin"=[1]OUT_TransportEnergyCons!$B$3:$B$1000)*1,ISNUMBER(SEARCH("DSL",[1]OUT_TransportEnergyCons!$C$3:$C$1000))*1,[1]OUT_TransportEnergyCons!F$3:F$1000)</f>
        <v>1.0225983739019881E-3</v>
      </c>
      <c r="I1186" s="1" cm="1">
        <f t="array" ref="I1186">SUMPRODUCT(("T_C-HY-DSL-S1"=[1]OUT_TransportEnergyCons!$A$3:$A$1000)*1,("Var_Fin"=[1]OUT_TransportEnergyCons!$B$3:$B$1000)*1,ISNUMBER(SEARCH("DSL",[1]OUT_TransportEnergyCons!$C$3:$C$1000))*1,[1]OUT_TransportEnergyCons!G$3:G$1000)</f>
        <v>2.7132054192824848E-3</v>
      </c>
      <c r="J1186" s="1" cm="1">
        <f t="array" ref="J1186">SUMPRODUCT(("T_C-HY-DSL-S1"=[1]OUT_TransportEnergyCons!$A$3:$A$1000)*1,("Var_Fin"=[1]OUT_TransportEnergyCons!$B$3:$B$1000)*1,ISNUMBER(SEARCH("DSL",[1]OUT_TransportEnergyCons!$C$3:$C$1000))*1,[1]OUT_TransportEnergyCons!H$3:H$1000)</f>
        <v>2.0208237908184178E-3</v>
      </c>
      <c r="K1186" s="1" cm="1">
        <f t="array" ref="K1186">SUMPRODUCT(("T_C-HY-DSL-S1"=[1]OUT_TransportEnergyCons!$A$3:$A$1000)*1,("Var_Fin"=[1]OUT_TransportEnergyCons!$B$3:$B$1000)*1,ISNUMBER(SEARCH("DSL",[1]OUT_TransportEnergyCons!$C$3:$C$1000))*1,[1]OUT_TransportEnergyCons!I$3:I$1000)</f>
        <v>1.0620482110041559E-3</v>
      </c>
      <c r="L1186" s="1" cm="1">
        <f t="array" ref="L1186">SUMPRODUCT(("T_C-HY-DSL-S1"=[1]OUT_TransportEnergyCons!$A$3:$A$1000)*1,("Var_Fin"=[1]OUT_TransportEnergyCons!$B$3:$B$1000)*1,ISNUMBER(SEARCH("DSL",[1]OUT_TransportEnergyCons!$C$3:$C$1000))*1,[1]OUT_TransportEnergyCons!J$3:J$1000)</f>
        <v>0</v>
      </c>
      <c r="M1186" s="1" cm="1">
        <f t="array" ref="M1186">SUMPRODUCT(("T_C-HY-DSL-S1"=[1]OUT_TransportEnergyCons!$A$3:$A$1000)*1,("Var_Fin"=[1]OUT_TransportEnergyCons!$B$3:$B$1000)*1,ISNUMBER(SEARCH("DSL",[1]OUT_TransportEnergyCons!$C$3:$C$1000))*1,[1]OUT_TransportEnergyCons!K$3:K$1000)</f>
        <v>0</v>
      </c>
      <c r="N1186" s="1" cm="1">
        <f t="array" ref="N1186">SUMPRODUCT(("T_C-HY-DSL-S1"=[1]OUT_TransportEnergyCons!$A$3:$A$1000)*1,("Var_Fin"=[1]OUT_TransportEnergyCons!$B$3:$B$1000)*1,ISNUMBER(SEARCH("DSL",[1]OUT_TransportEnergyCons!$C$3:$C$1000))*1,[1]OUT_TransportEnergyCons!L$3:L$1000)</f>
        <v>0</v>
      </c>
      <c r="O1186" s="1" cm="1">
        <f t="array" ref="O1186">SUMPRODUCT(("T_C-HY-DSL-S1"=[1]OUT_TransportEnergyCons!$A$3:$A$1000)*1,("Var_Fin"=[1]OUT_TransportEnergyCons!$B$3:$B$1000)*1,ISNUMBER(SEARCH("DSL",[1]OUT_TransportEnergyCons!$C$3:$C$1000))*1,[1]OUT_TransportEnergyCons!M$3:M$1000)</f>
        <v>0</v>
      </c>
      <c r="P1186" s="1" cm="1">
        <f t="array" ref="P1186">SUMPRODUCT(("T_C-HY-DSL-S1"=[1]OUT_TransportEnergyCons!$A$3:$A$1000)*1,("Var_Fin"=[1]OUT_TransportEnergyCons!$B$3:$B$1000)*1,ISNUMBER(SEARCH("DSL",[1]OUT_TransportEnergyCons!$C$3:$C$1000))*1,[1]OUT_TransportEnergyCons!N$3:N$1000)</f>
        <v>0</v>
      </c>
      <c r="Q1186" s="1" cm="1">
        <f t="array" ref="Q1186">SUMPRODUCT(("T_C-HY-DSL-S1"=[1]OUT_TransportEnergyCons!$A$3:$A$1000)*1,("Var_Fin"=[1]OUT_TransportEnergyCons!$B$3:$B$1000)*1,ISNUMBER(SEARCH("DSL",[1]OUT_TransportEnergyCons!$C$3:$C$1000))*1,[1]OUT_TransportEnergyCons!O$3:O$1000)</f>
        <v>0</v>
      </c>
      <c r="R1186" s="1"/>
      <c r="S1186" s="3"/>
    </row>
    <row r="1187" spans="2:19" x14ac:dyDescent="0.5">
      <c r="B1187" s="5" t="str">
        <f t="shared" si="1358"/>
        <v>SPS1</v>
      </c>
      <c r="C1187" s="5" t="str">
        <f t="shared" si="1359"/>
        <v>CH</v>
      </c>
      <c r="D1187" t="s">
        <v>1287</v>
      </c>
      <c r="E1187" t="s">
        <v>8</v>
      </c>
      <c r="F1187" s="1" cm="1">
        <f t="array" ref="F1187">SUMPRODUCT(("T_C-HY-DSL-S2"=[1]OUT_TransportEnergyCons!$A$3:$A$1000)*1,("Var_Fin"=[1]OUT_TransportEnergyCons!$B$3:$B$1000)*1,ISNUMBER(SEARCH("DSL",[1]OUT_TransportEnergyCons!$C$3:$C$1000))*1,[1]OUT_TransportEnergyCons!D$3:D$1000)</f>
        <v>2.7282317073883734E-3</v>
      </c>
      <c r="G1187" s="1" cm="1">
        <f t="array" ref="G1187">SUMPRODUCT(("T_C-HY-DSL-S2"=[1]OUT_TransportEnergyCons!$A$3:$A$1000)*1,("Var_Fin"=[1]OUT_TransportEnergyCons!$B$3:$B$1000)*1,ISNUMBER(SEARCH("DSL",[1]OUT_TransportEnergyCons!$C$3:$C$1000))*1,[1]OUT_TransportEnergyCons!E$3:E$1000)</f>
        <v>0.47089312084423129</v>
      </c>
      <c r="H1187" s="1" cm="1">
        <f t="array" ref="H1187">SUMPRODUCT(("T_C-HY-DSL-S2"=[1]OUT_TransportEnergyCons!$A$3:$A$1000)*1,("Var_Fin"=[1]OUT_TransportEnergyCons!$B$3:$B$1000)*1,ISNUMBER(SEARCH("DSL",[1]OUT_TransportEnergyCons!$C$3:$C$1000))*1,[1]OUT_TransportEnergyCons!F$3:F$1000)</f>
        <v>1.4638054733297607</v>
      </c>
      <c r="I1187" s="1" cm="1">
        <f t="array" ref="I1187">SUMPRODUCT(("T_C-HY-DSL-S2"=[1]OUT_TransportEnergyCons!$A$3:$A$1000)*1,("Var_Fin"=[1]OUT_TransportEnergyCons!$B$3:$B$1000)*1,ISNUMBER(SEARCH("DSL",[1]OUT_TransportEnergyCons!$C$3:$C$1000))*1,[1]OUT_TransportEnergyCons!G$3:G$1000)</f>
        <v>1.2546087351292139</v>
      </c>
      <c r="J1187" s="1" cm="1">
        <f t="array" ref="J1187">SUMPRODUCT(("T_C-HY-DSL-S2"=[1]OUT_TransportEnergyCons!$A$3:$A$1000)*1,("Var_Fin"=[1]OUT_TransportEnergyCons!$B$3:$B$1000)*1,ISNUMBER(SEARCH("DSL",[1]OUT_TransportEnergyCons!$C$3:$C$1000))*1,[1]OUT_TransportEnergyCons!H$3:H$1000)</f>
        <v>0.62562937317558487</v>
      </c>
      <c r="K1187" s="1" cm="1">
        <f t="array" ref="K1187">SUMPRODUCT(("T_C-HY-DSL-S2"=[1]OUT_TransportEnergyCons!$A$3:$A$1000)*1,("Var_Fin"=[1]OUT_TransportEnergyCons!$B$3:$B$1000)*1,ISNUMBER(SEARCH("DSL",[1]OUT_TransportEnergyCons!$C$3:$C$1000))*1,[1]OUT_TransportEnergyCons!I$3:I$1000)</f>
        <v>7.4807265747046131E-2</v>
      </c>
      <c r="L1187" s="1" cm="1">
        <f t="array" ref="L1187">SUMPRODUCT(("T_C-HY-DSL-S2"=[1]OUT_TransportEnergyCons!$A$3:$A$1000)*1,("Var_Fin"=[1]OUT_TransportEnergyCons!$B$3:$B$1000)*1,ISNUMBER(SEARCH("DSL",[1]OUT_TransportEnergyCons!$C$3:$C$1000))*1,[1]OUT_TransportEnergyCons!J$3:J$1000)</f>
        <v>0</v>
      </c>
      <c r="M1187" s="1" cm="1">
        <f t="array" ref="M1187">SUMPRODUCT(("T_C-HY-DSL-S2"=[1]OUT_TransportEnergyCons!$A$3:$A$1000)*1,("Var_Fin"=[1]OUT_TransportEnergyCons!$B$3:$B$1000)*1,ISNUMBER(SEARCH("DSL",[1]OUT_TransportEnergyCons!$C$3:$C$1000))*1,[1]OUT_TransportEnergyCons!K$3:K$1000)</f>
        <v>0</v>
      </c>
      <c r="N1187" s="1" cm="1">
        <f t="array" ref="N1187">SUMPRODUCT(("T_C-HY-DSL-S2"=[1]OUT_TransportEnergyCons!$A$3:$A$1000)*1,("Var_Fin"=[1]OUT_TransportEnergyCons!$B$3:$B$1000)*1,ISNUMBER(SEARCH("DSL",[1]OUT_TransportEnergyCons!$C$3:$C$1000))*1,[1]OUT_TransportEnergyCons!L$3:L$1000)</f>
        <v>0</v>
      </c>
      <c r="O1187" s="1" cm="1">
        <f t="array" ref="O1187">SUMPRODUCT(("T_C-HY-DSL-S2"=[1]OUT_TransportEnergyCons!$A$3:$A$1000)*1,("Var_Fin"=[1]OUT_TransportEnergyCons!$B$3:$B$1000)*1,ISNUMBER(SEARCH("DSL",[1]OUT_TransportEnergyCons!$C$3:$C$1000))*1,[1]OUT_TransportEnergyCons!M$3:M$1000)</f>
        <v>0</v>
      </c>
      <c r="P1187" s="1" cm="1">
        <f t="array" ref="P1187">SUMPRODUCT(("T_C-HY-DSL-S2"=[1]OUT_TransportEnergyCons!$A$3:$A$1000)*1,("Var_Fin"=[1]OUT_TransportEnergyCons!$B$3:$B$1000)*1,ISNUMBER(SEARCH("DSL",[1]OUT_TransportEnergyCons!$C$3:$C$1000))*1,[1]OUT_TransportEnergyCons!N$3:N$1000)</f>
        <v>0</v>
      </c>
      <c r="Q1187" s="1" cm="1">
        <f t="array" ref="Q1187">SUMPRODUCT(("T_C-HY-DSL-S2"=[1]OUT_TransportEnergyCons!$A$3:$A$1000)*1,("Var_Fin"=[1]OUT_TransportEnergyCons!$B$3:$B$1000)*1,ISNUMBER(SEARCH("DSL",[1]OUT_TransportEnergyCons!$C$3:$C$1000))*1,[1]OUT_TransportEnergyCons!O$3:O$1000)</f>
        <v>0</v>
      </c>
      <c r="S1187" s="3"/>
    </row>
    <row r="1188" spans="2:19" x14ac:dyDescent="0.5">
      <c r="B1188" s="5" t="str">
        <f t="shared" si="1358"/>
        <v>SPS1</v>
      </c>
      <c r="C1188" s="5" t="str">
        <f t="shared" si="1359"/>
        <v>CH</v>
      </c>
      <c r="D1188" t="s">
        <v>1288</v>
      </c>
      <c r="E1188" t="s">
        <v>8</v>
      </c>
      <c r="F1188" s="1" cm="1">
        <f t="array" ref="F1188">SUMPRODUCT(("T_C-HY-DSL-S3"=[1]OUT_TransportEnergyCons!$A$3:$A$1000)*1,("Var_Fin"=[1]OUT_TransportEnergyCons!$B$3:$B$1000)*1,ISNUMBER(SEARCH("DSL",[1]OUT_TransportEnergyCons!$C$3:$C$1000))*1,[1]OUT_TransportEnergyCons!D$3:D$1000)</f>
        <v>2.8425733121559469E-2</v>
      </c>
      <c r="G1188" s="1" cm="1">
        <f t="array" ref="G1188">SUMPRODUCT(("T_C-HY-DSL-S3"=[1]OUT_TransportEnergyCons!$A$3:$A$1000)*1,("Var_Fin"=[1]OUT_TransportEnergyCons!$B$3:$B$1000)*1,ISNUMBER(SEARCH("DSL",[1]OUT_TransportEnergyCons!$C$3:$C$1000))*1,[1]OUT_TransportEnergyCons!E$3:E$1000)</f>
        <v>4.6362035878738203E-2</v>
      </c>
      <c r="H1188" s="1" cm="1">
        <f t="array" ref="H1188">SUMPRODUCT(("T_C-HY-DSL-S3"=[1]OUT_TransportEnergyCons!$A$3:$A$1000)*1,("Var_Fin"=[1]OUT_TransportEnergyCons!$B$3:$B$1000)*1,ISNUMBER(SEARCH("DSL",[1]OUT_TransportEnergyCons!$C$3:$C$1000))*1,[1]OUT_TransportEnergyCons!F$3:F$1000)</f>
        <v>4.5685734109958333E-2</v>
      </c>
      <c r="I1188" s="1" cm="1">
        <f t="array" ref="I1188">SUMPRODUCT(("T_C-HY-DSL-S3"=[1]OUT_TransportEnergyCons!$A$3:$A$1000)*1,("Var_Fin"=[1]OUT_TransportEnergyCons!$B$3:$B$1000)*1,ISNUMBER(SEARCH("DSL",[1]OUT_TransportEnergyCons!$C$3:$C$1000))*1,[1]OUT_TransportEnergyCons!G$3:G$1000)</f>
        <v>3.451112141077281E-2</v>
      </c>
      <c r="J1188" s="1" cm="1">
        <f t="array" ref="J1188">SUMPRODUCT(("T_C-HY-DSL-S3"=[1]OUT_TransportEnergyCons!$A$3:$A$1000)*1,("Var_Fin"=[1]OUT_TransportEnergyCons!$B$3:$B$1000)*1,ISNUMBER(SEARCH("DSL",[1]OUT_TransportEnergyCons!$C$3:$C$1000))*1,[1]OUT_TransportEnergyCons!H$3:H$1000)</f>
        <v>7.4271723516202894E-3</v>
      </c>
      <c r="K1188" s="1" cm="1">
        <f t="array" ref="K1188">SUMPRODUCT(("T_C-HY-DSL-S3"=[1]OUT_TransportEnergyCons!$A$3:$A$1000)*1,("Var_Fin"=[1]OUT_TransportEnergyCons!$B$3:$B$1000)*1,ISNUMBER(SEARCH("DSL",[1]OUT_TransportEnergyCons!$C$3:$C$1000))*1,[1]OUT_TransportEnergyCons!I$3:I$1000)</f>
        <v>4.2965119783827595E-4</v>
      </c>
      <c r="L1188" s="1" cm="1">
        <f t="array" ref="L1188">SUMPRODUCT(("T_C-HY-DSL-S3"=[1]OUT_TransportEnergyCons!$A$3:$A$1000)*1,("Var_Fin"=[1]OUT_TransportEnergyCons!$B$3:$B$1000)*1,ISNUMBER(SEARCH("DSL",[1]OUT_TransportEnergyCons!$C$3:$C$1000))*1,[1]OUT_TransportEnergyCons!J$3:J$1000)</f>
        <v>0</v>
      </c>
      <c r="M1188" s="1" cm="1">
        <f t="array" ref="M1188">SUMPRODUCT(("T_C-HY-DSL-S3"=[1]OUT_TransportEnergyCons!$A$3:$A$1000)*1,("Var_Fin"=[1]OUT_TransportEnergyCons!$B$3:$B$1000)*1,ISNUMBER(SEARCH("DSL",[1]OUT_TransportEnergyCons!$C$3:$C$1000))*1,[1]OUT_TransportEnergyCons!K$3:K$1000)</f>
        <v>0</v>
      </c>
      <c r="N1188" s="1" cm="1">
        <f t="array" ref="N1188">SUMPRODUCT(("T_C-HY-DSL-S3"=[1]OUT_TransportEnergyCons!$A$3:$A$1000)*1,("Var_Fin"=[1]OUT_TransportEnergyCons!$B$3:$B$1000)*1,ISNUMBER(SEARCH("DSL",[1]OUT_TransportEnergyCons!$C$3:$C$1000))*1,[1]OUT_TransportEnergyCons!L$3:L$1000)</f>
        <v>0</v>
      </c>
      <c r="O1188" s="1" cm="1">
        <f t="array" ref="O1188">SUMPRODUCT(("T_C-HY-DSL-S3"=[1]OUT_TransportEnergyCons!$A$3:$A$1000)*1,("Var_Fin"=[1]OUT_TransportEnergyCons!$B$3:$B$1000)*1,ISNUMBER(SEARCH("DSL",[1]OUT_TransportEnergyCons!$C$3:$C$1000))*1,[1]OUT_TransportEnergyCons!M$3:M$1000)</f>
        <v>0</v>
      </c>
      <c r="P1188" s="1" cm="1">
        <f t="array" ref="P1188">SUMPRODUCT(("T_C-HY-DSL-S3"=[1]OUT_TransportEnergyCons!$A$3:$A$1000)*1,("Var_Fin"=[1]OUT_TransportEnergyCons!$B$3:$B$1000)*1,ISNUMBER(SEARCH("DSL",[1]OUT_TransportEnergyCons!$C$3:$C$1000))*1,[1]OUT_TransportEnergyCons!N$3:N$1000)</f>
        <v>0</v>
      </c>
      <c r="Q1188" s="1" cm="1">
        <f t="array" ref="Q1188">SUMPRODUCT(("T_C-HY-DSL-S3"=[1]OUT_TransportEnergyCons!$A$3:$A$1000)*1,("Var_Fin"=[1]OUT_TransportEnergyCons!$B$3:$B$1000)*1,ISNUMBER(SEARCH("DSL",[1]OUT_TransportEnergyCons!$C$3:$C$1000))*1,[1]OUT_TransportEnergyCons!O$3:O$1000)</f>
        <v>0</v>
      </c>
      <c r="S1188" s="3"/>
    </row>
    <row r="1189" spans="2:19" x14ac:dyDescent="0.5">
      <c r="B1189" s="5" t="str">
        <f t="shared" si="1358"/>
        <v>SPS1</v>
      </c>
      <c r="C1189" s="5" t="str">
        <f t="shared" si="1359"/>
        <v>CH</v>
      </c>
      <c r="D1189" t="s">
        <v>1289</v>
      </c>
      <c r="E1189" t="s">
        <v>8</v>
      </c>
      <c r="F1189" s="1" cm="1">
        <f t="array" ref="F1189">SUMPRODUCT(("T_C-HY-DSL-S4"=[1]OUT_TransportEnergyCons!$A$3:$A$1000)*1,("Var_Fin"=[1]OUT_TransportEnergyCons!$B$3:$B$1000)*1,ISNUMBER(SEARCH("DSL",[1]OUT_TransportEnergyCons!$C$3:$C$1000))*1,[1]OUT_TransportEnergyCons!D$3:D$1000)</f>
        <v>3.4888022229908722E-2</v>
      </c>
      <c r="G1189" s="1" cm="1">
        <f t="array" ref="G1189">SUMPRODUCT(("T_C-HY-DSL-S4"=[1]OUT_TransportEnergyCons!$A$3:$A$1000)*1,("Var_Fin"=[1]OUT_TransportEnergyCons!$B$3:$B$1000)*1,ISNUMBER(SEARCH("DSL",[1]OUT_TransportEnergyCons!$C$3:$C$1000))*1,[1]OUT_TransportEnergyCons!E$3:E$1000)</f>
        <v>7.2109416036204632E-2</v>
      </c>
      <c r="H1189" s="1" cm="1">
        <f t="array" ref="H1189">SUMPRODUCT(("T_C-HY-DSL-S4"=[1]OUT_TransportEnergyCons!$A$3:$A$1000)*1,("Var_Fin"=[1]OUT_TransportEnergyCons!$B$3:$B$1000)*1,ISNUMBER(SEARCH("DSL",[1]OUT_TransportEnergyCons!$C$3:$C$1000))*1,[1]OUT_TransportEnergyCons!F$3:F$1000)</f>
        <v>6.9959902617235184E-2</v>
      </c>
      <c r="I1189" s="1" cm="1">
        <f t="array" ref="I1189">SUMPRODUCT(("T_C-HY-DSL-S4"=[1]OUT_TransportEnergyCons!$A$3:$A$1000)*1,("Var_Fin"=[1]OUT_TransportEnergyCons!$B$3:$B$1000)*1,ISNUMBER(SEARCH("DSL",[1]OUT_TransportEnergyCons!$C$3:$C$1000))*1,[1]OUT_TransportEnergyCons!G$3:G$1000)</f>
        <v>5.7724592602795846E-2</v>
      </c>
      <c r="J1189" s="1" cm="1">
        <f t="array" ref="J1189">SUMPRODUCT(("T_C-HY-DSL-S4"=[1]OUT_TransportEnergyCons!$A$3:$A$1000)*1,("Var_Fin"=[1]OUT_TransportEnergyCons!$B$3:$B$1000)*1,ISNUMBER(SEARCH("DSL",[1]OUT_TransportEnergyCons!$C$3:$C$1000))*1,[1]OUT_TransportEnergyCons!H$3:H$1000)</f>
        <v>1.3794567027440653E-2</v>
      </c>
      <c r="K1189" s="1" cm="1">
        <f t="array" ref="K1189">SUMPRODUCT(("T_C-HY-DSL-S4"=[1]OUT_TransportEnergyCons!$A$3:$A$1000)*1,("Var_Fin"=[1]OUT_TransportEnergyCons!$B$3:$B$1000)*1,ISNUMBER(SEARCH("DSL",[1]OUT_TransportEnergyCons!$C$3:$C$1000))*1,[1]OUT_TransportEnergyCons!I$3:I$1000)</f>
        <v>5.232390251702938E-4</v>
      </c>
      <c r="L1189" s="1" cm="1">
        <f t="array" ref="L1189">SUMPRODUCT(("T_C-HY-DSL-S4"=[1]OUT_TransportEnergyCons!$A$3:$A$1000)*1,("Var_Fin"=[1]OUT_TransportEnergyCons!$B$3:$B$1000)*1,ISNUMBER(SEARCH("DSL",[1]OUT_TransportEnergyCons!$C$3:$C$1000))*1,[1]OUT_TransportEnergyCons!J$3:J$1000)</f>
        <v>0</v>
      </c>
      <c r="M1189" s="1" cm="1">
        <f t="array" ref="M1189">SUMPRODUCT(("T_C-HY-DSL-S4"=[1]OUT_TransportEnergyCons!$A$3:$A$1000)*1,("Var_Fin"=[1]OUT_TransportEnergyCons!$B$3:$B$1000)*1,ISNUMBER(SEARCH("DSL",[1]OUT_TransportEnergyCons!$C$3:$C$1000))*1,[1]OUT_TransportEnergyCons!K$3:K$1000)</f>
        <v>0</v>
      </c>
      <c r="N1189" s="1" cm="1">
        <f t="array" ref="N1189">SUMPRODUCT(("T_C-HY-DSL-S4"=[1]OUT_TransportEnergyCons!$A$3:$A$1000)*1,("Var_Fin"=[1]OUT_TransportEnergyCons!$B$3:$B$1000)*1,ISNUMBER(SEARCH("DSL",[1]OUT_TransportEnergyCons!$C$3:$C$1000))*1,[1]OUT_TransportEnergyCons!L$3:L$1000)</f>
        <v>0</v>
      </c>
      <c r="O1189" s="1" cm="1">
        <f t="array" ref="O1189">SUMPRODUCT(("T_C-HY-DSL-S4"=[1]OUT_TransportEnergyCons!$A$3:$A$1000)*1,("Var_Fin"=[1]OUT_TransportEnergyCons!$B$3:$B$1000)*1,ISNUMBER(SEARCH("DSL",[1]OUT_TransportEnergyCons!$C$3:$C$1000))*1,[1]OUT_TransportEnergyCons!M$3:M$1000)</f>
        <v>0</v>
      </c>
      <c r="P1189" s="1" cm="1">
        <f t="array" ref="P1189">SUMPRODUCT(("T_C-HY-DSL-S4"=[1]OUT_TransportEnergyCons!$A$3:$A$1000)*1,("Var_Fin"=[1]OUT_TransportEnergyCons!$B$3:$B$1000)*1,ISNUMBER(SEARCH("DSL",[1]OUT_TransportEnergyCons!$C$3:$C$1000))*1,[1]OUT_TransportEnergyCons!N$3:N$1000)</f>
        <v>0</v>
      </c>
      <c r="Q1189" s="1" cm="1">
        <f t="array" ref="Q1189">SUMPRODUCT(("T_C-HY-DSL-S4"=[1]OUT_TransportEnergyCons!$A$3:$A$1000)*1,("Var_Fin"=[1]OUT_TransportEnergyCons!$B$3:$B$1000)*1,ISNUMBER(SEARCH("DSL",[1]OUT_TransportEnergyCons!$C$3:$C$1000))*1,[1]OUT_TransportEnergyCons!O$3:O$1000)</f>
        <v>0</v>
      </c>
      <c r="S1189" s="3"/>
    </row>
    <row r="1190" spans="2:19" x14ac:dyDescent="0.5">
      <c r="B1190" s="5" t="str">
        <f t="shared" si="1358"/>
        <v>SPS1</v>
      </c>
      <c r="C1190" s="5" t="str">
        <f t="shared" si="1359"/>
        <v>CH</v>
      </c>
      <c r="D1190" t="s">
        <v>1290</v>
      </c>
      <c r="E1190" t="s">
        <v>8</v>
      </c>
      <c r="F1190" s="1" cm="1">
        <f t="array" ref="F1190">SUMPRODUCT(("T_C-ICEDSLEXT"=[1]OUT_TransportEnergyCons!$A$3:$A$1000)*1,("Var_Fin"=[1]OUT_TransportEnergyCons!$B$3:$B$1000)*1,ISNUMBER(SEARCH("DSL",[1]OUT_TransportEnergyCons!$C$3:$C$1000))*1,[1]OUT_TransportEnergyCons!D$3:D$1000)</f>
        <v>52.85373275042047</v>
      </c>
      <c r="G1190" s="1" cm="1">
        <f t="array" ref="G1190">SUMPRODUCT(("T_C-ICEDSLEXT"=[1]OUT_TransportEnergyCons!$A$3:$A$1000)*1,("Var_Fin"=[1]OUT_TransportEnergyCons!$B$3:$B$1000)*1,ISNUMBER(SEARCH("DSL",[1]OUT_TransportEnergyCons!$C$3:$C$1000))*1,[1]OUT_TransportEnergyCons!E$3:E$1000)</f>
        <v>48.700997376008651</v>
      </c>
      <c r="H1190" s="1" cm="1">
        <f t="array" ref="H1190">SUMPRODUCT(("T_C-ICEDSLEXT"=[1]OUT_TransportEnergyCons!$A$3:$A$1000)*1,("Var_Fin"=[1]OUT_TransportEnergyCons!$B$3:$B$1000)*1,ISNUMBER(SEARCH("DSL",[1]OUT_TransportEnergyCons!$C$3:$C$1000))*1,[1]OUT_TransportEnergyCons!F$3:F$1000)</f>
        <v>35.237651970631731</v>
      </c>
      <c r="I1190" s="1" cm="1">
        <f t="array" ref="I1190">SUMPRODUCT(("T_C-ICEDSLEXT"=[1]OUT_TransportEnergyCons!$A$3:$A$1000)*1,("Var_Fin"=[1]OUT_TransportEnergyCons!$B$3:$B$1000)*1,ISNUMBER(SEARCH("DSL",[1]OUT_TransportEnergyCons!$C$3:$C$1000))*1,[1]OUT_TransportEnergyCons!G$3:G$1000)</f>
        <v>15.246157032182936</v>
      </c>
      <c r="J1190" s="1" cm="1">
        <f t="array" ref="J1190">SUMPRODUCT(("T_C-ICEDSLEXT"=[1]OUT_TransportEnergyCons!$A$3:$A$1000)*1,("Var_Fin"=[1]OUT_TransportEnergyCons!$B$3:$B$1000)*1,ISNUMBER(SEARCH("DSL",[1]OUT_TransportEnergyCons!$C$3:$C$1000))*1,[1]OUT_TransportEnergyCons!H$3:H$1000)</f>
        <v>0</v>
      </c>
      <c r="K1190" s="1" cm="1">
        <f t="array" ref="K1190">SUMPRODUCT(("T_C-ICEDSLEXT"=[1]OUT_TransportEnergyCons!$A$3:$A$1000)*1,("Var_Fin"=[1]OUT_TransportEnergyCons!$B$3:$B$1000)*1,ISNUMBER(SEARCH("DSL",[1]OUT_TransportEnergyCons!$C$3:$C$1000))*1,[1]OUT_TransportEnergyCons!I$3:I$1000)</f>
        <v>0</v>
      </c>
      <c r="L1190" s="1" cm="1">
        <f t="array" ref="L1190">SUMPRODUCT(("T_C-ICEDSLEXT"=[1]OUT_TransportEnergyCons!$A$3:$A$1000)*1,("Var_Fin"=[1]OUT_TransportEnergyCons!$B$3:$B$1000)*1,ISNUMBER(SEARCH("DSL",[1]OUT_TransportEnergyCons!$C$3:$C$1000))*1,[1]OUT_TransportEnergyCons!J$3:J$1000)</f>
        <v>0</v>
      </c>
      <c r="M1190" s="1" cm="1">
        <f t="array" ref="M1190">SUMPRODUCT(("T_C-ICEDSLEXT"=[1]OUT_TransportEnergyCons!$A$3:$A$1000)*1,("Var_Fin"=[1]OUT_TransportEnergyCons!$B$3:$B$1000)*1,ISNUMBER(SEARCH("DSL",[1]OUT_TransportEnergyCons!$C$3:$C$1000))*1,[1]OUT_TransportEnergyCons!K$3:K$1000)</f>
        <v>0</v>
      </c>
      <c r="N1190" s="1" cm="1">
        <f t="array" ref="N1190">SUMPRODUCT(("T_C-ICEDSLEXT"=[1]OUT_TransportEnergyCons!$A$3:$A$1000)*1,("Var_Fin"=[1]OUT_TransportEnergyCons!$B$3:$B$1000)*1,ISNUMBER(SEARCH("DSL",[1]OUT_TransportEnergyCons!$C$3:$C$1000))*1,[1]OUT_TransportEnergyCons!L$3:L$1000)</f>
        <v>0</v>
      </c>
      <c r="O1190" s="1" cm="1">
        <f t="array" ref="O1190">SUMPRODUCT(("T_C-ICEDSLEXT"=[1]OUT_TransportEnergyCons!$A$3:$A$1000)*1,("Var_Fin"=[1]OUT_TransportEnergyCons!$B$3:$B$1000)*1,ISNUMBER(SEARCH("DSL",[1]OUT_TransportEnergyCons!$C$3:$C$1000))*1,[1]OUT_TransportEnergyCons!M$3:M$1000)</f>
        <v>0</v>
      </c>
      <c r="P1190" s="1" cm="1">
        <f t="array" ref="P1190">SUMPRODUCT(("T_C-ICEDSLEXT"=[1]OUT_TransportEnergyCons!$A$3:$A$1000)*1,("Var_Fin"=[1]OUT_TransportEnergyCons!$B$3:$B$1000)*1,ISNUMBER(SEARCH("DSL",[1]OUT_TransportEnergyCons!$C$3:$C$1000))*1,[1]OUT_TransportEnergyCons!N$3:N$1000)</f>
        <v>0</v>
      </c>
      <c r="Q1190" s="1" cm="1">
        <f t="array" ref="Q1190">SUMPRODUCT(("T_C-ICEDSLEXT"=[1]OUT_TransportEnergyCons!$A$3:$A$1000)*1,("Var_Fin"=[1]OUT_TransportEnergyCons!$B$3:$B$1000)*1,ISNUMBER(SEARCH("DSL",[1]OUT_TransportEnergyCons!$C$3:$C$1000))*1,[1]OUT_TransportEnergyCons!O$3:O$1000)</f>
        <v>0</v>
      </c>
      <c r="S1190" s="3"/>
    </row>
    <row r="1191" spans="2:19" x14ac:dyDescent="0.5">
      <c r="B1191" s="5" t="str">
        <f t="shared" si="1358"/>
        <v>SPS1</v>
      </c>
      <c r="C1191" s="5" t="str">
        <f t="shared" si="1359"/>
        <v>CH</v>
      </c>
      <c r="D1191" t="s">
        <v>1291</v>
      </c>
      <c r="E1191" t="s">
        <v>8</v>
      </c>
      <c r="F1191" s="1" cm="1">
        <f t="array" ref="F1191">SUMPRODUCT(("T_C-ICE-DSL-S1"=[1]OUT_TransportEnergyCons!$A$3:$A$1000)*1,("Var_Fin"=[1]OUT_TransportEnergyCons!$B$3:$B$1000)*1,ISNUMBER(SEARCH("DSL",[1]OUT_TransportEnergyCons!$C$3:$C$1000))*1,[1]OUT_TransportEnergyCons!D$3:D$1000)</f>
        <v>5.1414339519797979E-3</v>
      </c>
      <c r="G1191" s="1" cm="1">
        <f t="array" ref="G1191">SUMPRODUCT(("T_C-ICE-DSL-S1"=[1]OUT_TransportEnergyCons!$A$3:$A$1000)*1,("Var_Fin"=[1]OUT_TransportEnergyCons!$B$3:$B$1000)*1,ISNUMBER(SEARCH("DSL",[1]OUT_TransportEnergyCons!$C$3:$C$1000))*1,[1]OUT_TransportEnergyCons!E$3:E$1000)</f>
        <v>5.3026225536301867E-2</v>
      </c>
      <c r="H1191" s="1" cm="1">
        <f t="array" ref="H1191">SUMPRODUCT(("T_C-ICE-DSL-S1"=[1]OUT_TransportEnergyCons!$A$3:$A$1000)*1,("Var_Fin"=[1]OUT_TransportEnergyCons!$B$3:$B$1000)*1,ISNUMBER(SEARCH("DSL",[1]OUT_TransportEnergyCons!$C$3:$C$1000))*1,[1]OUT_TransportEnergyCons!F$3:F$1000)</f>
        <v>5.140314946377364E-2</v>
      </c>
      <c r="I1191" s="1" cm="1">
        <f t="array" ref="I1191">SUMPRODUCT(("T_C-ICE-DSL-S1"=[1]OUT_TransportEnergyCons!$A$3:$A$1000)*1,("Var_Fin"=[1]OUT_TransportEnergyCons!$B$3:$B$1000)*1,ISNUMBER(SEARCH("DSL",[1]OUT_TransportEnergyCons!$C$3:$C$1000))*1,[1]OUT_TransportEnergyCons!G$3:G$1000)</f>
        <v>3.0134451026281497E-2</v>
      </c>
      <c r="J1191" s="1" cm="1">
        <f t="array" ref="J1191">SUMPRODUCT(("T_C-ICE-DSL-S1"=[1]OUT_TransportEnergyCons!$A$3:$A$1000)*1,("Var_Fin"=[1]OUT_TransportEnergyCons!$B$3:$B$1000)*1,ISNUMBER(SEARCH("DSL",[1]OUT_TransportEnergyCons!$C$3:$C$1000))*1,[1]OUT_TransportEnergyCons!H$3:H$1000)</f>
        <v>1.0439274236183517E-2</v>
      </c>
      <c r="K1191" s="1" cm="1">
        <f t="array" ref="K1191">SUMPRODUCT(("T_C-ICE-DSL-S1"=[1]OUT_TransportEnergyCons!$A$3:$A$1000)*1,("Var_Fin"=[1]OUT_TransportEnergyCons!$B$3:$B$1000)*1,ISNUMBER(SEARCH("DSL",[1]OUT_TransportEnergyCons!$C$3:$C$1000))*1,[1]OUT_TransportEnergyCons!I$3:I$1000)</f>
        <v>7.8031021406117101E-4</v>
      </c>
      <c r="L1191" s="1" cm="1">
        <f t="array" ref="L1191">SUMPRODUCT(("T_C-ICE-DSL-S1"=[1]OUT_TransportEnergyCons!$A$3:$A$1000)*1,("Var_Fin"=[1]OUT_TransportEnergyCons!$B$3:$B$1000)*1,ISNUMBER(SEARCH("DSL",[1]OUT_TransportEnergyCons!$C$3:$C$1000))*1,[1]OUT_TransportEnergyCons!J$3:J$1000)</f>
        <v>0</v>
      </c>
      <c r="M1191" s="1" cm="1">
        <f t="array" ref="M1191">SUMPRODUCT(("T_C-ICE-DSL-S1"=[1]OUT_TransportEnergyCons!$A$3:$A$1000)*1,("Var_Fin"=[1]OUT_TransportEnergyCons!$B$3:$B$1000)*1,ISNUMBER(SEARCH("DSL",[1]OUT_TransportEnergyCons!$C$3:$C$1000))*1,[1]OUT_TransportEnergyCons!K$3:K$1000)</f>
        <v>0</v>
      </c>
      <c r="N1191" s="1" cm="1">
        <f t="array" ref="N1191">SUMPRODUCT(("T_C-ICE-DSL-S1"=[1]OUT_TransportEnergyCons!$A$3:$A$1000)*1,("Var_Fin"=[1]OUT_TransportEnergyCons!$B$3:$B$1000)*1,ISNUMBER(SEARCH("DSL",[1]OUT_TransportEnergyCons!$C$3:$C$1000))*1,[1]OUT_TransportEnergyCons!L$3:L$1000)</f>
        <v>0</v>
      </c>
      <c r="O1191" s="1" cm="1">
        <f t="array" ref="O1191">SUMPRODUCT(("T_C-ICE-DSL-S1"=[1]OUT_TransportEnergyCons!$A$3:$A$1000)*1,("Var_Fin"=[1]OUT_TransportEnergyCons!$B$3:$B$1000)*1,ISNUMBER(SEARCH("DSL",[1]OUT_TransportEnergyCons!$C$3:$C$1000))*1,[1]OUT_TransportEnergyCons!M$3:M$1000)</f>
        <v>0</v>
      </c>
      <c r="P1191" s="1" cm="1">
        <f t="array" ref="P1191">SUMPRODUCT(("T_C-ICE-DSL-S1"=[1]OUT_TransportEnergyCons!$A$3:$A$1000)*1,("Var_Fin"=[1]OUT_TransportEnergyCons!$B$3:$B$1000)*1,ISNUMBER(SEARCH("DSL",[1]OUT_TransportEnergyCons!$C$3:$C$1000))*1,[1]OUT_TransportEnergyCons!N$3:N$1000)</f>
        <v>0</v>
      </c>
      <c r="Q1191" s="1" cm="1">
        <f t="array" ref="Q1191">SUMPRODUCT(("T_C-ICE-DSL-S1"=[1]OUT_TransportEnergyCons!$A$3:$A$1000)*1,("Var_Fin"=[1]OUT_TransportEnergyCons!$B$3:$B$1000)*1,ISNUMBER(SEARCH("DSL",[1]OUT_TransportEnergyCons!$C$3:$C$1000))*1,[1]OUT_TransportEnergyCons!O$3:O$1000)</f>
        <v>0</v>
      </c>
      <c r="S1191" s="3"/>
    </row>
    <row r="1192" spans="2:19" x14ac:dyDescent="0.5">
      <c r="B1192" s="5" t="str">
        <f t="shared" si="1358"/>
        <v>SPS1</v>
      </c>
      <c r="C1192" s="5" t="str">
        <f t="shared" si="1359"/>
        <v>CH</v>
      </c>
      <c r="D1192" t="s">
        <v>1292</v>
      </c>
      <c r="E1192" t="s">
        <v>8</v>
      </c>
      <c r="F1192" s="1" cm="1">
        <f t="array" ref="F1192">SUMPRODUCT(("T_C-ICE-DSL-S2"=[1]OUT_TransportEnergyCons!$A$3:$A$1000)*1,("Var_Fin"=[1]OUT_TransportEnergyCons!$B$3:$B$1000)*1,ISNUMBER(SEARCH("DSL",[1]OUT_TransportEnergyCons!$C$3:$C$1000))*1,[1]OUT_TransportEnergyCons!D$3:D$1000)</f>
        <v>1.2207403709096845</v>
      </c>
      <c r="G1192" s="1" cm="1">
        <f t="array" ref="G1192">SUMPRODUCT(("T_C-ICE-DSL-S2"=[1]OUT_TransportEnergyCons!$A$3:$A$1000)*1,("Var_Fin"=[1]OUT_TransportEnergyCons!$B$3:$B$1000)*1,ISNUMBER(SEARCH("DSL",[1]OUT_TransportEnergyCons!$C$3:$C$1000))*1,[1]OUT_TransportEnergyCons!E$3:E$1000)</f>
        <v>1.2842581817025378</v>
      </c>
      <c r="H1192" s="1" cm="1">
        <f t="array" ref="H1192">SUMPRODUCT(("T_C-ICE-DSL-S2"=[1]OUT_TransportEnergyCons!$A$3:$A$1000)*1,("Var_Fin"=[1]OUT_TransportEnergyCons!$B$3:$B$1000)*1,ISNUMBER(SEARCH("DSL",[1]OUT_TransportEnergyCons!$C$3:$C$1000))*1,[1]OUT_TransportEnergyCons!F$3:F$1000)</f>
        <v>1.2755161626071676</v>
      </c>
      <c r="I1192" s="1" cm="1">
        <f t="array" ref="I1192">SUMPRODUCT(("T_C-ICE-DSL-S2"=[1]OUT_TransportEnergyCons!$A$3:$A$1000)*1,("Var_Fin"=[1]OUT_TransportEnergyCons!$B$3:$B$1000)*1,ISNUMBER(SEARCH("DSL",[1]OUT_TransportEnergyCons!$C$3:$C$1000))*1,[1]OUT_TransportEnergyCons!G$3:G$1000)</f>
        <v>0.83273444233515548</v>
      </c>
      <c r="J1192" s="1" cm="1">
        <f t="array" ref="J1192">SUMPRODUCT(("T_C-ICE-DSL-S2"=[1]OUT_TransportEnergyCons!$A$3:$A$1000)*1,("Var_Fin"=[1]OUT_TransportEnergyCons!$B$3:$B$1000)*1,ISNUMBER(SEARCH("DSL",[1]OUT_TransportEnergyCons!$C$3:$C$1000))*1,[1]OUT_TransportEnergyCons!H$3:H$1000)</f>
        <v>2.3346272692288835E-2</v>
      </c>
      <c r="K1192" s="1" cm="1">
        <f t="array" ref="K1192">SUMPRODUCT(("T_C-ICE-DSL-S2"=[1]OUT_TransportEnergyCons!$A$3:$A$1000)*1,("Var_Fin"=[1]OUT_TransportEnergyCons!$B$3:$B$1000)*1,ISNUMBER(SEARCH("DSL",[1]OUT_TransportEnergyCons!$C$3:$C$1000))*1,[1]OUT_TransportEnergyCons!I$3:I$1000)</f>
        <v>8.0062697145399323E-4</v>
      </c>
      <c r="L1192" s="1" cm="1">
        <f t="array" ref="L1192">SUMPRODUCT(("T_C-ICE-DSL-S2"=[1]OUT_TransportEnergyCons!$A$3:$A$1000)*1,("Var_Fin"=[1]OUT_TransportEnergyCons!$B$3:$B$1000)*1,ISNUMBER(SEARCH("DSL",[1]OUT_TransportEnergyCons!$C$3:$C$1000))*1,[1]OUT_TransportEnergyCons!J$3:J$1000)</f>
        <v>0</v>
      </c>
      <c r="M1192" s="1" cm="1">
        <f t="array" ref="M1192">SUMPRODUCT(("T_C-ICE-DSL-S2"=[1]OUT_TransportEnergyCons!$A$3:$A$1000)*1,("Var_Fin"=[1]OUT_TransportEnergyCons!$B$3:$B$1000)*1,ISNUMBER(SEARCH("DSL",[1]OUT_TransportEnergyCons!$C$3:$C$1000))*1,[1]OUT_TransportEnergyCons!K$3:K$1000)</f>
        <v>0</v>
      </c>
      <c r="N1192" s="1" cm="1">
        <f t="array" ref="N1192">SUMPRODUCT(("T_C-ICE-DSL-S2"=[1]OUT_TransportEnergyCons!$A$3:$A$1000)*1,("Var_Fin"=[1]OUT_TransportEnergyCons!$B$3:$B$1000)*1,ISNUMBER(SEARCH("DSL",[1]OUT_TransportEnergyCons!$C$3:$C$1000))*1,[1]OUT_TransportEnergyCons!L$3:L$1000)</f>
        <v>0</v>
      </c>
      <c r="O1192" s="1" cm="1">
        <f t="array" ref="O1192">SUMPRODUCT(("T_C-ICE-DSL-S2"=[1]OUT_TransportEnergyCons!$A$3:$A$1000)*1,("Var_Fin"=[1]OUT_TransportEnergyCons!$B$3:$B$1000)*1,ISNUMBER(SEARCH("DSL",[1]OUT_TransportEnergyCons!$C$3:$C$1000))*1,[1]OUT_TransportEnergyCons!M$3:M$1000)</f>
        <v>0</v>
      </c>
      <c r="P1192" s="1" cm="1">
        <f t="array" ref="P1192">SUMPRODUCT(("T_C-ICE-DSL-S2"=[1]OUT_TransportEnergyCons!$A$3:$A$1000)*1,("Var_Fin"=[1]OUT_TransportEnergyCons!$B$3:$B$1000)*1,ISNUMBER(SEARCH("DSL",[1]OUT_TransportEnergyCons!$C$3:$C$1000))*1,[1]OUT_TransportEnergyCons!N$3:N$1000)</f>
        <v>0</v>
      </c>
      <c r="Q1192" s="1" cm="1">
        <f t="array" ref="Q1192">SUMPRODUCT(("T_C-ICE-DSL-S2"=[1]OUT_TransportEnergyCons!$A$3:$A$1000)*1,("Var_Fin"=[1]OUT_TransportEnergyCons!$B$3:$B$1000)*1,ISNUMBER(SEARCH("DSL",[1]OUT_TransportEnergyCons!$C$3:$C$1000))*1,[1]OUT_TransportEnergyCons!O$3:O$1000)</f>
        <v>0</v>
      </c>
      <c r="S1192" s="3"/>
    </row>
    <row r="1193" spans="2:19" x14ac:dyDescent="0.5">
      <c r="B1193" s="5" t="str">
        <f t="shared" si="1358"/>
        <v>SPS1</v>
      </c>
      <c r="C1193" s="5" t="str">
        <f t="shared" si="1359"/>
        <v>CH</v>
      </c>
      <c r="D1193" t="s">
        <v>1293</v>
      </c>
      <c r="E1193" t="s">
        <v>8</v>
      </c>
      <c r="F1193" s="1" cm="1">
        <f t="array" ref="F1193">SUMPRODUCT(("T_C-ICE-DSL-S3"=[1]OUT_TransportEnergyCons!$A$3:$A$1000)*1,("Var_Fin"=[1]OUT_TransportEnergyCons!$B$3:$B$1000)*1,ISNUMBER(SEARCH("DSL",[1]OUT_TransportEnergyCons!$C$3:$C$1000))*1,[1]OUT_TransportEnergyCons!D$3:D$1000)</f>
        <v>5.0119212228722514</v>
      </c>
      <c r="G1193" s="1" cm="1">
        <f t="array" ref="G1193">SUMPRODUCT(("T_C-ICE-DSL-S3"=[1]OUT_TransportEnergyCons!$A$3:$A$1000)*1,("Var_Fin"=[1]OUT_TransportEnergyCons!$B$3:$B$1000)*1,ISNUMBER(SEARCH("DSL",[1]OUT_TransportEnergyCons!$C$3:$C$1000))*1,[1]OUT_TransportEnergyCons!E$3:E$1000)</f>
        <v>5.3272036476793048</v>
      </c>
      <c r="H1193" s="1" cm="1">
        <f t="array" ref="H1193">SUMPRODUCT(("T_C-ICE-DSL-S3"=[1]OUT_TransportEnergyCons!$A$3:$A$1000)*1,("Var_Fin"=[1]OUT_TransportEnergyCons!$B$3:$B$1000)*1,ISNUMBER(SEARCH("DSL",[1]OUT_TransportEnergyCons!$C$3:$C$1000))*1,[1]OUT_TransportEnergyCons!F$3:F$1000)</f>
        <v>5.2776420744012835</v>
      </c>
      <c r="I1193" s="1" cm="1">
        <f t="array" ref="I1193">SUMPRODUCT(("T_C-ICE-DSL-S3"=[1]OUT_TransportEnergyCons!$A$3:$A$1000)*1,("Var_Fin"=[1]OUT_TransportEnergyCons!$B$3:$B$1000)*1,ISNUMBER(SEARCH("DSL",[1]OUT_TransportEnergyCons!$C$3:$C$1000))*1,[1]OUT_TransportEnergyCons!G$3:G$1000)</f>
        <v>4.0295503402792505</v>
      </c>
      <c r="J1193" s="1" cm="1">
        <f t="array" ref="J1193">SUMPRODUCT(("T_C-ICE-DSL-S3"=[1]OUT_TransportEnergyCons!$A$3:$A$1000)*1,("Var_Fin"=[1]OUT_TransportEnergyCons!$B$3:$B$1000)*1,ISNUMBER(SEARCH("DSL",[1]OUT_TransportEnergyCons!$C$3:$C$1000))*1,[1]OUT_TransportEnergyCons!H$3:H$1000)</f>
        <v>0.13919075781543189</v>
      </c>
      <c r="K1193" s="1" cm="1">
        <f t="array" ref="K1193">SUMPRODUCT(("T_C-ICE-DSL-S3"=[1]OUT_TransportEnergyCons!$A$3:$A$1000)*1,("Var_Fin"=[1]OUT_TransportEnergyCons!$B$3:$B$1000)*1,ISNUMBER(SEARCH("DSL",[1]OUT_TransportEnergyCons!$C$3:$C$1000))*1,[1]OUT_TransportEnergyCons!I$3:I$1000)</f>
        <v>6.5827271375786043E-4</v>
      </c>
      <c r="L1193" s="1" cm="1">
        <f t="array" ref="L1193">SUMPRODUCT(("T_C-ICE-DSL-S3"=[1]OUT_TransportEnergyCons!$A$3:$A$1000)*1,("Var_Fin"=[1]OUT_TransportEnergyCons!$B$3:$B$1000)*1,ISNUMBER(SEARCH("DSL",[1]OUT_TransportEnergyCons!$C$3:$C$1000))*1,[1]OUT_TransportEnergyCons!J$3:J$1000)</f>
        <v>0</v>
      </c>
      <c r="M1193" s="1" cm="1">
        <f t="array" ref="M1193">SUMPRODUCT(("T_C-ICE-DSL-S3"=[1]OUT_TransportEnergyCons!$A$3:$A$1000)*1,("Var_Fin"=[1]OUT_TransportEnergyCons!$B$3:$B$1000)*1,ISNUMBER(SEARCH("DSL",[1]OUT_TransportEnergyCons!$C$3:$C$1000))*1,[1]OUT_TransportEnergyCons!K$3:K$1000)</f>
        <v>0</v>
      </c>
      <c r="N1193" s="1" cm="1">
        <f t="array" ref="N1193">SUMPRODUCT(("T_C-ICE-DSL-S3"=[1]OUT_TransportEnergyCons!$A$3:$A$1000)*1,("Var_Fin"=[1]OUT_TransportEnergyCons!$B$3:$B$1000)*1,ISNUMBER(SEARCH("DSL",[1]OUT_TransportEnergyCons!$C$3:$C$1000))*1,[1]OUT_TransportEnergyCons!L$3:L$1000)</f>
        <v>0</v>
      </c>
      <c r="O1193" s="1" cm="1">
        <f t="array" ref="O1193">SUMPRODUCT(("T_C-ICE-DSL-S3"=[1]OUT_TransportEnergyCons!$A$3:$A$1000)*1,("Var_Fin"=[1]OUT_TransportEnergyCons!$B$3:$B$1000)*1,ISNUMBER(SEARCH("DSL",[1]OUT_TransportEnergyCons!$C$3:$C$1000))*1,[1]OUT_TransportEnergyCons!M$3:M$1000)</f>
        <v>0</v>
      </c>
      <c r="P1193" s="1" cm="1">
        <f t="array" ref="P1193">SUMPRODUCT(("T_C-ICE-DSL-S3"=[1]OUT_TransportEnergyCons!$A$3:$A$1000)*1,("Var_Fin"=[1]OUT_TransportEnergyCons!$B$3:$B$1000)*1,ISNUMBER(SEARCH("DSL",[1]OUT_TransportEnergyCons!$C$3:$C$1000))*1,[1]OUT_TransportEnergyCons!N$3:N$1000)</f>
        <v>0</v>
      </c>
      <c r="Q1193" s="1" cm="1">
        <f t="array" ref="Q1193">SUMPRODUCT(("T_C-ICE-DSL-S3"=[1]OUT_TransportEnergyCons!$A$3:$A$1000)*1,("Var_Fin"=[1]OUT_TransportEnergyCons!$B$3:$B$1000)*1,ISNUMBER(SEARCH("DSL",[1]OUT_TransportEnergyCons!$C$3:$C$1000))*1,[1]OUT_TransportEnergyCons!O$3:O$1000)</f>
        <v>0</v>
      </c>
      <c r="S1193" s="3"/>
    </row>
    <row r="1194" spans="2:19" x14ac:dyDescent="0.5">
      <c r="B1194" s="5" t="str">
        <f t="shared" si="1358"/>
        <v>SPS1</v>
      </c>
      <c r="C1194" s="5" t="str">
        <f t="shared" si="1359"/>
        <v>CH</v>
      </c>
      <c r="D1194" t="s">
        <v>1294</v>
      </c>
      <c r="E1194" t="s">
        <v>8</v>
      </c>
      <c r="F1194" s="1" cm="1">
        <f t="array" ref="F1194">SUMPRODUCT(("T_C-ICE-DSL-S4"=[1]OUT_TransportEnergyCons!$A$3:$A$1000)*1,("Var_Fin"=[1]OUT_TransportEnergyCons!$B$3:$B$1000)*1,ISNUMBER(SEARCH("DSL",[1]OUT_TransportEnergyCons!$C$3:$C$1000))*1,[1]OUT_TransportEnergyCons!D$3:D$1000)</f>
        <v>1.9292771814865139</v>
      </c>
      <c r="G1194" s="1" cm="1">
        <f t="array" ref="G1194">SUMPRODUCT(("T_C-ICE-DSL-S4"=[1]OUT_TransportEnergyCons!$A$3:$A$1000)*1,("Var_Fin"=[1]OUT_TransportEnergyCons!$B$3:$B$1000)*1,ISNUMBER(SEARCH("DSL",[1]OUT_TransportEnergyCons!$C$3:$C$1000))*1,[1]OUT_TransportEnergyCons!E$3:E$1000)</f>
        <v>2.210489002722996</v>
      </c>
      <c r="H1194" s="1" cm="1">
        <f t="array" ref="H1194">SUMPRODUCT(("T_C-ICE-DSL-S4"=[1]OUT_TransportEnergyCons!$A$3:$A$1000)*1,("Var_Fin"=[1]OUT_TransportEnergyCons!$B$3:$B$1000)*1,ISNUMBER(SEARCH("DSL",[1]OUT_TransportEnergyCons!$C$3:$C$1000))*1,[1]OUT_TransportEnergyCons!F$3:F$1000)</f>
        <v>2.1749934603551564</v>
      </c>
      <c r="I1194" s="1" cm="1">
        <f t="array" ref="I1194">SUMPRODUCT(("T_C-ICE-DSL-S4"=[1]OUT_TransportEnergyCons!$A$3:$A$1000)*1,("Var_Fin"=[1]OUT_TransportEnergyCons!$B$3:$B$1000)*1,ISNUMBER(SEARCH("DSL",[1]OUT_TransportEnergyCons!$C$3:$C$1000))*1,[1]OUT_TransportEnergyCons!G$3:G$1000)</f>
        <v>1.6699363564396761</v>
      </c>
      <c r="J1194" s="1" cm="1">
        <f t="array" ref="J1194">SUMPRODUCT(("T_C-ICE-DSL-S4"=[1]OUT_TransportEnergyCons!$A$3:$A$1000)*1,("Var_Fin"=[1]OUT_TransportEnergyCons!$B$3:$B$1000)*1,ISNUMBER(SEARCH("DSL",[1]OUT_TransportEnergyCons!$C$3:$C$1000))*1,[1]OUT_TransportEnergyCons!H$3:H$1000)</f>
        <v>9.9053649061650387E-2</v>
      </c>
      <c r="K1194" s="1" cm="1">
        <f t="array" ref="K1194">SUMPRODUCT(("T_C-ICE-DSL-S4"=[1]OUT_TransportEnergyCons!$A$3:$A$1000)*1,("Var_Fin"=[1]OUT_TransportEnergyCons!$B$3:$B$1000)*1,ISNUMBER(SEARCH("DSL",[1]OUT_TransportEnergyCons!$C$3:$C$1000))*1,[1]OUT_TransportEnergyCons!I$3:I$1000)</f>
        <v>5.1398003456567924E-4</v>
      </c>
      <c r="L1194" s="1" cm="1">
        <f t="array" ref="L1194">SUMPRODUCT(("T_C-ICE-DSL-S4"=[1]OUT_TransportEnergyCons!$A$3:$A$1000)*1,("Var_Fin"=[1]OUT_TransportEnergyCons!$B$3:$B$1000)*1,ISNUMBER(SEARCH("DSL",[1]OUT_TransportEnergyCons!$C$3:$C$1000))*1,[1]OUT_TransportEnergyCons!J$3:J$1000)</f>
        <v>0</v>
      </c>
      <c r="M1194" s="1" cm="1">
        <f t="array" ref="M1194">SUMPRODUCT(("T_C-ICE-DSL-S4"=[1]OUT_TransportEnergyCons!$A$3:$A$1000)*1,("Var_Fin"=[1]OUT_TransportEnergyCons!$B$3:$B$1000)*1,ISNUMBER(SEARCH("DSL",[1]OUT_TransportEnergyCons!$C$3:$C$1000))*1,[1]OUT_TransportEnergyCons!K$3:K$1000)</f>
        <v>0</v>
      </c>
      <c r="N1194" s="1" cm="1">
        <f t="array" ref="N1194">SUMPRODUCT(("T_C-ICE-DSL-S4"=[1]OUT_TransportEnergyCons!$A$3:$A$1000)*1,("Var_Fin"=[1]OUT_TransportEnergyCons!$B$3:$B$1000)*1,ISNUMBER(SEARCH("DSL",[1]OUT_TransportEnergyCons!$C$3:$C$1000))*1,[1]OUT_TransportEnergyCons!L$3:L$1000)</f>
        <v>0</v>
      </c>
      <c r="O1194" s="1" cm="1">
        <f t="array" ref="O1194">SUMPRODUCT(("T_C-ICE-DSL-S4"=[1]OUT_TransportEnergyCons!$A$3:$A$1000)*1,("Var_Fin"=[1]OUT_TransportEnergyCons!$B$3:$B$1000)*1,ISNUMBER(SEARCH("DSL",[1]OUT_TransportEnergyCons!$C$3:$C$1000))*1,[1]OUT_TransportEnergyCons!M$3:M$1000)</f>
        <v>0</v>
      </c>
      <c r="P1194" s="1" cm="1">
        <f t="array" ref="P1194">SUMPRODUCT(("T_C-ICE-DSL-S4"=[1]OUT_TransportEnergyCons!$A$3:$A$1000)*1,("Var_Fin"=[1]OUT_TransportEnergyCons!$B$3:$B$1000)*1,ISNUMBER(SEARCH("DSL",[1]OUT_TransportEnergyCons!$C$3:$C$1000))*1,[1]OUT_TransportEnergyCons!N$3:N$1000)</f>
        <v>0</v>
      </c>
      <c r="Q1194" s="1" cm="1">
        <f t="array" ref="Q1194">SUMPRODUCT(("T_C-ICE-DSL-S4"=[1]OUT_TransportEnergyCons!$A$3:$A$1000)*1,("Var_Fin"=[1]OUT_TransportEnergyCons!$B$3:$B$1000)*1,ISNUMBER(SEARCH("DSL",[1]OUT_TransportEnergyCons!$C$3:$C$1000))*1,[1]OUT_TransportEnergyCons!O$3:O$1000)</f>
        <v>0</v>
      </c>
      <c r="S1194" s="3"/>
    </row>
    <row r="1195" spans="2:19" x14ac:dyDescent="0.5">
      <c r="B1195" s="5" t="str">
        <f t="shared" si="1358"/>
        <v>SPS1</v>
      </c>
      <c r="C1195" s="5" t="str">
        <f t="shared" si="1359"/>
        <v>CH</v>
      </c>
      <c r="D1195" t="s">
        <v>1295</v>
      </c>
      <c r="E1195" t="s">
        <v>8</v>
      </c>
      <c r="F1195" s="1" cm="1">
        <f t="array" ref="F1195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SUMPRODUCT(("T_C-MHY-DSL-S1"=[1]OUT_TransportEnergyCons!$A$3:$A$1000)*1,("Var_Fin"=[1]OUT_TransportEnergyCons!$B$3:$B$1000)*1,ISNUMBER(SEARCH("DSL",[1]OUT_TransportEnergyCons!$C$3:$C$1000))*1,[1]OUT_TransportEnergyCons!E$3:E$1000)</f>
        <v>2.4334193554043692E-4</v>
      </c>
      <c r="H1195" s="1" cm="1">
        <f t="array" ref="H1195">SUMPRODUCT(("T_C-MHY-DSL-S1"=[1]OUT_TransportEnergyCons!$A$3:$A$1000)*1,("Var_Fin"=[1]OUT_TransportEnergyCons!$B$3:$B$1000)*1,ISNUMBER(SEARCH("DSL",[1]OUT_TransportEnergyCons!$C$3:$C$1000))*1,[1]OUT_TransportEnergyCons!F$3:F$1000)</f>
        <v>4.7982277059023911E-4</v>
      </c>
      <c r="I1195" s="1" cm="1">
        <f t="array" ref="I1195">SUMPRODUCT(("T_C-MHY-DSL-S1"=[1]OUT_TransportEnergyCons!$A$3:$A$1000)*1,("Var_Fin"=[1]OUT_TransportEnergyCons!$B$3:$B$1000)*1,ISNUMBER(SEARCH("DSL",[1]OUT_TransportEnergyCons!$C$3:$C$1000))*1,[1]OUT_TransportEnergyCons!G$3:G$1000)</f>
        <v>1.8377001947105615E-3</v>
      </c>
      <c r="J1195" s="1" cm="1">
        <f t="array" ref="J1195">SUMPRODUCT(("T_C-MHY-DSL-S1"=[1]OUT_TransportEnergyCons!$A$3:$A$1000)*1,("Var_Fin"=[1]OUT_TransportEnergyCons!$B$3:$B$1000)*1,ISNUMBER(SEARCH("DSL",[1]OUT_TransportEnergyCons!$C$3:$C$1000))*1,[1]OUT_TransportEnergyCons!H$3:H$1000)</f>
        <v>1.4862839427789822E-3</v>
      </c>
      <c r="K1195" s="1" cm="1">
        <f t="array" ref="K1195">SUMPRODUCT(("T_C-MHY-DSL-S1"=[1]OUT_TransportEnergyCons!$A$3:$A$1000)*1,("Var_Fin"=[1]OUT_TransportEnergyCons!$B$3:$B$1000)*1,ISNUMBER(SEARCH("DSL",[1]OUT_TransportEnergyCons!$C$3:$C$1000))*1,[1]OUT_TransportEnergyCons!I$3:I$1000)</f>
        <v>8.0898704139044527E-4</v>
      </c>
      <c r="L1195" s="1" cm="1">
        <f t="array" ref="L1195">SUMPRODUCT(("T_C-MHY-DSL-S1"=[1]OUT_TransportEnergyCons!$A$3:$A$1000)*1,("Var_Fin"=[1]OUT_TransportEnergyCons!$B$3:$B$1000)*1,ISNUMBER(SEARCH("DSL",[1]OUT_TransportEnergyCons!$C$3:$C$1000))*1,[1]OUT_TransportEnergyCons!J$3:J$1000)</f>
        <v>0</v>
      </c>
      <c r="M1195" s="1" cm="1">
        <f t="array" ref="M1195">SUMPRODUCT(("T_C-MHY-DSL-S1"=[1]OUT_TransportEnergyCons!$A$3:$A$1000)*1,("Var_Fin"=[1]OUT_TransportEnergyCons!$B$3:$B$1000)*1,ISNUMBER(SEARCH("DSL",[1]OUT_TransportEnergyCons!$C$3:$C$1000))*1,[1]OUT_TransportEnergyCons!K$3:K$1000)</f>
        <v>0</v>
      </c>
      <c r="N1195" s="1" cm="1">
        <f t="array" ref="N1195">SUMPRODUCT(("T_C-MHY-DSL-S1"=[1]OUT_TransportEnergyCons!$A$3:$A$1000)*1,("Var_Fin"=[1]OUT_TransportEnergyCons!$B$3:$B$1000)*1,ISNUMBER(SEARCH("DSL",[1]OUT_TransportEnergyCons!$C$3:$C$1000))*1,[1]OUT_TransportEnergyCons!L$3:L$1000)</f>
        <v>0</v>
      </c>
      <c r="O1195" s="1" cm="1">
        <f t="array" ref="O1195">SUMPRODUCT(("T_C-MHY-DSL-S1"=[1]OUT_TransportEnergyCons!$A$3:$A$1000)*1,("Var_Fin"=[1]OUT_TransportEnergyCons!$B$3:$B$1000)*1,ISNUMBER(SEARCH("DSL",[1]OUT_TransportEnergyCons!$C$3:$C$1000))*1,[1]OUT_TransportEnergyCons!M$3:M$1000)</f>
        <v>0</v>
      </c>
      <c r="P1195" s="1" cm="1">
        <f t="array" ref="P1195">SUMPRODUCT(("T_C-MHY-DSL-S1"=[1]OUT_TransportEnergyCons!$A$3:$A$1000)*1,("Var_Fin"=[1]OUT_TransportEnergyCons!$B$3:$B$1000)*1,ISNUMBER(SEARCH("DSL",[1]OUT_TransportEnergyCons!$C$3:$C$1000))*1,[1]OUT_TransportEnergyCons!N$3:N$1000)</f>
        <v>0</v>
      </c>
      <c r="Q1195" s="1" cm="1">
        <f t="array" ref="Q1195">SUMPRODUCT(("T_C-MHY-DSL-S1"=[1]OUT_TransportEnergyCons!$A$3:$A$1000)*1,("Var_Fin"=[1]OUT_TransportEnergyCons!$B$3:$B$1000)*1,ISNUMBER(SEARCH("DSL",[1]OUT_TransportEnergyCons!$C$3:$C$1000))*1,[1]OUT_TransportEnergyCons!O$3:O$1000)</f>
        <v>0</v>
      </c>
      <c r="S1195" s="3"/>
    </row>
    <row r="1196" spans="2:19" x14ac:dyDescent="0.5">
      <c r="B1196" s="5" t="str">
        <f t="shared" si="1358"/>
        <v>SPS1</v>
      </c>
      <c r="C1196" s="5" t="str">
        <f t="shared" si="1359"/>
        <v>CH</v>
      </c>
      <c r="D1196" t="s">
        <v>1296</v>
      </c>
      <c r="E1196" t="s">
        <v>8</v>
      </c>
      <c r="F1196" s="1" cm="1">
        <f t="array" ref="F1196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SUMPRODUCT(("T_C-MHY-DSL-S2"=[1]OUT_TransportEnergyCons!$A$3:$A$1000)*1,("Var_Fin"=[1]OUT_TransportEnergyCons!$B$3:$B$1000)*1,ISNUMBER(SEARCH("DSL",[1]OUT_TransportEnergyCons!$C$3:$C$1000))*1,[1]OUT_TransportEnergyCons!E$3:E$1000)</f>
        <v>2.9585302050643352E-4</v>
      </c>
      <c r="H1196" s="1" cm="1">
        <f t="array" ref="H1196">SUMPRODUCT(("T_C-MHY-DSL-S2"=[1]OUT_TransportEnergyCons!$A$3:$A$1000)*1,("Var_Fin"=[1]OUT_TransportEnergyCons!$B$3:$B$1000)*1,ISNUMBER(SEARCH("DSL",[1]OUT_TransportEnergyCons!$C$3:$C$1000))*1,[1]OUT_TransportEnergyCons!F$3:F$1000)</f>
        <v>6.7750841524791641E-4</v>
      </c>
      <c r="I1196" s="1" cm="1">
        <f t="array" ref="I1196">SUMPRODUCT(("T_C-MHY-DSL-S2"=[1]OUT_TransportEnergyCons!$A$3:$A$1000)*1,("Var_Fin"=[1]OUT_TransportEnergyCons!$B$3:$B$1000)*1,ISNUMBER(SEARCH("DSL",[1]OUT_TransportEnergyCons!$C$3:$C$1000))*1,[1]OUT_TransportEnergyCons!G$3:G$1000)</f>
        <v>2.1048756744063211E-3</v>
      </c>
      <c r="J1196" s="1" cm="1">
        <f t="array" ref="J1196">SUMPRODUCT(("T_C-MHY-DSL-S2"=[1]OUT_TransportEnergyCons!$A$3:$A$1000)*1,("Var_Fin"=[1]OUT_TransportEnergyCons!$B$3:$B$1000)*1,ISNUMBER(SEARCH("DSL",[1]OUT_TransportEnergyCons!$C$3:$C$1000))*1,[1]OUT_TransportEnergyCons!H$3:H$1000)</f>
        <v>1.5759808879201966E-3</v>
      </c>
      <c r="K1196" s="1" cm="1">
        <f t="array" ref="K1196">SUMPRODUCT(("T_C-MHY-DSL-S2"=[1]OUT_TransportEnergyCons!$A$3:$A$1000)*1,("Var_Fin"=[1]OUT_TransportEnergyCons!$B$3:$B$1000)*1,ISNUMBER(SEARCH("DSL",[1]OUT_TransportEnergyCons!$C$3:$C$1000))*1,[1]OUT_TransportEnergyCons!I$3:I$1000)</f>
        <v>7.8524085480336317E-4</v>
      </c>
      <c r="L1196" s="1" cm="1">
        <f t="array" ref="L1196">SUMPRODUCT(("T_C-MHY-DSL-S2"=[1]OUT_TransportEnergyCons!$A$3:$A$1000)*1,("Var_Fin"=[1]OUT_TransportEnergyCons!$B$3:$B$1000)*1,ISNUMBER(SEARCH("DSL",[1]OUT_TransportEnergyCons!$C$3:$C$1000))*1,[1]OUT_TransportEnergyCons!J$3:J$1000)</f>
        <v>0</v>
      </c>
      <c r="M1196" s="1" cm="1">
        <f t="array" ref="M1196">SUMPRODUCT(("T_C-MHY-DSL-S2"=[1]OUT_TransportEnergyCons!$A$3:$A$1000)*1,("Var_Fin"=[1]OUT_TransportEnergyCons!$B$3:$B$1000)*1,ISNUMBER(SEARCH("DSL",[1]OUT_TransportEnergyCons!$C$3:$C$1000))*1,[1]OUT_TransportEnergyCons!K$3:K$1000)</f>
        <v>0</v>
      </c>
      <c r="N1196" s="1" cm="1">
        <f t="array" ref="N1196">SUMPRODUCT(("T_C-MHY-DSL-S2"=[1]OUT_TransportEnergyCons!$A$3:$A$1000)*1,("Var_Fin"=[1]OUT_TransportEnergyCons!$B$3:$B$1000)*1,ISNUMBER(SEARCH("DSL",[1]OUT_TransportEnergyCons!$C$3:$C$1000))*1,[1]OUT_TransportEnergyCons!L$3:L$1000)</f>
        <v>0</v>
      </c>
      <c r="O1196" s="1" cm="1">
        <f t="array" ref="O1196">SUMPRODUCT(("T_C-MHY-DSL-S2"=[1]OUT_TransportEnergyCons!$A$3:$A$1000)*1,("Var_Fin"=[1]OUT_TransportEnergyCons!$B$3:$B$1000)*1,ISNUMBER(SEARCH("DSL",[1]OUT_TransportEnergyCons!$C$3:$C$1000))*1,[1]OUT_TransportEnergyCons!M$3:M$1000)</f>
        <v>0</v>
      </c>
      <c r="P1196" s="1" cm="1">
        <f t="array" ref="P1196">SUMPRODUCT(("T_C-MHY-DSL-S2"=[1]OUT_TransportEnergyCons!$A$3:$A$1000)*1,("Var_Fin"=[1]OUT_TransportEnergyCons!$B$3:$B$1000)*1,ISNUMBER(SEARCH("DSL",[1]OUT_TransportEnergyCons!$C$3:$C$1000))*1,[1]OUT_TransportEnergyCons!N$3:N$1000)</f>
        <v>0</v>
      </c>
      <c r="Q1196" s="1" cm="1">
        <f t="array" ref="Q1196">SUMPRODUCT(("T_C-MHY-DSL-S2"=[1]OUT_TransportEnergyCons!$A$3:$A$1000)*1,("Var_Fin"=[1]OUT_TransportEnergyCons!$B$3:$B$1000)*1,ISNUMBER(SEARCH("DSL",[1]OUT_TransportEnergyCons!$C$3:$C$1000))*1,[1]OUT_TransportEnergyCons!O$3:O$1000)</f>
        <v>0</v>
      </c>
      <c r="S1196" s="3"/>
    </row>
    <row r="1197" spans="2:19" x14ac:dyDescent="0.5">
      <c r="B1197" s="5" t="str">
        <f t="shared" si="1358"/>
        <v>SPS1</v>
      </c>
      <c r="C1197" s="5" t="str">
        <f t="shared" si="1359"/>
        <v>CH</v>
      </c>
      <c r="D1197" t="s">
        <v>1297</v>
      </c>
      <c r="E1197" t="s">
        <v>8</v>
      </c>
      <c r="F1197" s="1" cm="1">
        <f t="array" ref="F1197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7" s="1" cm="1">
        <f t="array" ref="G1197">SUMPRODUCT(("T_C-MHY-DSL-S3"=[1]OUT_TransportEnergyCons!$A$3:$A$1000)*1,("Var_Fin"=[1]OUT_TransportEnergyCons!$B$3:$B$1000)*1,ISNUMBER(SEARCH("DSL",[1]OUT_TransportEnergyCons!$C$3:$C$1000))*1,[1]OUT_TransportEnergyCons!E$3:E$1000)</f>
        <v>3.3972604319739032E-4</v>
      </c>
      <c r="H1197" s="1" cm="1">
        <f t="array" ref="H1197">SUMPRODUCT(("T_C-MHY-DSL-S3"=[1]OUT_TransportEnergyCons!$A$3:$A$1000)*1,("Var_Fin"=[1]OUT_TransportEnergyCons!$B$3:$B$1000)*1,ISNUMBER(SEARCH("DSL",[1]OUT_TransportEnergyCons!$C$3:$C$1000))*1,[1]OUT_TransportEnergyCons!F$3:F$1000)</f>
        <v>7.8545344284410251E-4</v>
      </c>
      <c r="I1197" s="1" cm="1">
        <f t="array" ref="I1197">SUMPRODUCT(("T_C-MHY-DSL-S3"=[1]OUT_TransportEnergyCons!$A$3:$A$1000)*1,("Var_Fin"=[1]OUT_TransportEnergyCons!$B$3:$B$1000)*1,ISNUMBER(SEARCH("DSL",[1]OUT_TransportEnergyCons!$C$3:$C$1000))*1,[1]OUT_TransportEnergyCons!G$3:G$1000)</f>
        <v>1.7439856627068677E-3</v>
      </c>
      <c r="J1197" s="1" cm="1">
        <f t="array" ref="J1197">SUMPRODUCT(("T_C-MHY-DSL-S3"=[1]OUT_TransportEnergyCons!$A$3:$A$1000)*1,("Var_Fin"=[1]OUT_TransportEnergyCons!$B$3:$B$1000)*1,ISNUMBER(SEARCH("DSL",[1]OUT_TransportEnergyCons!$C$3:$C$1000))*1,[1]OUT_TransportEnergyCons!H$3:H$1000)</f>
        <v>1.3133268642013592E-3</v>
      </c>
      <c r="K1197" s="1" cm="1">
        <f t="array" ref="K1197">SUMPRODUCT(("T_C-MHY-DSL-S3"=[1]OUT_TransportEnergyCons!$A$3:$A$1000)*1,("Var_Fin"=[1]OUT_TransportEnergyCons!$B$3:$B$1000)*1,ISNUMBER(SEARCH("DSL",[1]OUT_TransportEnergyCons!$C$3:$C$1000))*1,[1]OUT_TransportEnergyCons!I$3:I$1000)</f>
        <v>6.2267478612897532E-4</v>
      </c>
      <c r="L1197" s="1" cm="1">
        <f t="array" ref="L1197">SUMPRODUCT(("T_C-MHY-DSL-S3"=[1]OUT_TransportEnergyCons!$A$3:$A$1000)*1,("Var_Fin"=[1]OUT_TransportEnergyCons!$B$3:$B$1000)*1,ISNUMBER(SEARCH("DSL",[1]OUT_TransportEnergyCons!$C$3:$C$1000))*1,[1]OUT_TransportEnergyCons!J$3:J$1000)</f>
        <v>0</v>
      </c>
      <c r="M1197" s="1" cm="1">
        <f t="array" ref="M1197">SUMPRODUCT(("T_C-MHY-DSL-S3"=[1]OUT_TransportEnergyCons!$A$3:$A$1000)*1,("Var_Fin"=[1]OUT_TransportEnergyCons!$B$3:$B$1000)*1,ISNUMBER(SEARCH("DSL",[1]OUT_TransportEnergyCons!$C$3:$C$1000))*1,[1]OUT_TransportEnergyCons!K$3:K$1000)</f>
        <v>0</v>
      </c>
      <c r="N1197" s="1" cm="1">
        <f t="array" ref="N1197">SUMPRODUCT(("T_C-MHY-DSL-S3"=[1]OUT_TransportEnergyCons!$A$3:$A$1000)*1,("Var_Fin"=[1]OUT_TransportEnergyCons!$B$3:$B$1000)*1,ISNUMBER(SEARCH("DSL",[1]OUT_TransportEnergyCons!$C$3:$C$1000))*1,[1]OUT_TransportEnergyCons!L$3:L$1000)</f>
        <v>0</v>
      </c>
      <c r="O1197" s="1" cm="1">
        <f t="array" ref="O1197">SUMPRODUCT(("T_C-MHY-DSL-S3"=[1]OUT_TransportEnergyCons!$A$3:$A$1000)*1,("Var_Fin"=[1]OUT_TransportEnergyCons!$B$3:$B$1000)*1,ISNUMBER(SEARCH("DSL",[1]OUT_TransportEnergyCons!$C$3:$C$1000))*1,[1]OUT_TransportEnergyCons!M$3:M$1000)</f>
        <v>0</v>
      </c>
      <c r="P1197" s="1" cm="1">
        <f t="array" ref="P1197">SUMPRODUCT(("T_C-MHY-DSL-S3"=[1]OUT_TransportEnergyCons!$A$3:$A$1000)*1,("Var_Fin"=[1]OUT_TransportEnergyCons!$B$3:$B$1000)*1,ISNUMBER(SEARCH("DSL",[1]OUT_TransportEnergyCons!$C$3:$C$1000))*1,[1]OUT_TransportEnergyCons!N$3:N$1000)</f>
        <v>0</v>
      </c>
      <c r="Q1197" s="1" cm="1">
        <f t="array" ref="Q1197">SUMPRODUCT(("T_C-MHY-DSL-S3"=[1]OUT_TransportEnergyCons!$A$3:$A$1000)*1,("Var_Fin"=[1]OUT_TransportEnergyCons!$B$3:$B$1000)*1,ISNUMBER(SEARCH("DSL",[1]OUT_TransportEnergyCons!$C$3:$C$1000))*1,[1]OUT_TransportEnergyCons!O$3:O$1000)</f>
        <v>0</v>
      </c>
      <c r="S1197" s="3"/>
    </row>
    <row r="1198" spans="2:19" x14ac:dyDescent="0.5">
      <c r="B1198" s="5" t="str">
        <f t="shared" si="1358"/>
        <v>SPS1</v>
      </c>
      <c r="C1198" s="5" t="str">
        <f t="shared" si="1359"/>
        <v>CH</v>
      </c>
      <c r="D1198" t="s">
        <v>1298</v>
      </c>
      <c r="E1198" t="s">
        <v>8</v>
      </c>
      <c r="F1198" s="1" cm="1">
        <f t="array" ref="F1198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8" s="1" cm="1">
        <f t="array" ref="G1198">SUMPRODUCT(("T_C-MHY-DSL-S4"=[1]OUT_TransportEnergyCons!$A$3:$A$1000)*1,("Var_Fin"=[1]OUT_TransportEnergyCons!$B$3:$B$1000)*1,ISNUMBER(SEARCH("DSL",[1]OUT_TransportEnergyCons!$C$3:$C$1000))*1,[1]OUT_TransportEnergyCons!E$3:E$1000)</f>
        <v>2.8084030843330301E-4</v>
      </c>
      <c r="H1198" s="1" cm="1">
        <f t="array" ref="H1198">SUMPRODUCT(("T_C-MHY-DSL-S4"=[1]OUT_TransportEnergyCons!$A$3:$A$1000)*1,("Var_Fin"=[1]OUT_TransportEnergyCons!$B$3:$B$1000)*1,ISNUMBER(SEARCH("DSL",[1]OUT_TransportEnergyCons!$C$3:$C$1000))*1,[1]OUT_TransportEnergyCons!F$3:F$1000)</f>
        <v>6.2444851781168296E-4</v>
      </c>
      <c r="I1198" s="1" cm="1">
        <f t="array" ref="I1198">SUMPRODUCT(("T_C-MHY-DSL-S4"=[1]OUT_TransportEnergyCons!$A$3:$A$1000)*1,("Var_Fin"=[1]OUT_TransportEnergyCons!$B$3:$B$1000)*1,ISNUMBER(SEARCH("DSL",[1]OUT_TransportEnergyCons!$C$3:$C$1000))*1,[1]OUT_TransportEnergyCons!G$3:G$1000)</f>
        <v>1.3323687284810509E-3</v>
      </c>
      <c r="J1198" s="1" cm="1">
        <f t="array" ref="J1198">SUMPRODUCT(("T_C-MHY-DSL-S4"=[1]OUT_TransportEnergyCons!$A$3:$A$1000)*1,("Var_Fin"=[1]OUT_TransportEnergyCons!$B$3:$B$1000)*1,ISNUMBER(SEARCH("DSL",[1]OUT_TransportEnergyCons!$C$3:$C$1000))*1,[1]OUT_TransportEnergyCons!H$3:H$1000)</f>
        <v>1.0093540683033747E-3</v>
      </c>
      <c r="K1198" s="1" cm="1">
        <f t="array" ref="K1198">SUMPRODUCT(("T_C-MHY-DSL-S4"=[1]OUT_TransportEnergyCons!$A$3:$A$1000)*1,("Var_Fin"=[1]OUT_TransportEnergyCons!$B$3:$B$1000)*1,ISNUMBER(SEARCH("DSL",[1]OUT_TransportEnergyCons!$C$3:$C$1000))*1,[1]OUT_TransportEnergyCons!I$3:I$1000)</f>
        <v>4.8969852790489666E-4</v>
      </c>
      <c r="L1198" s="1" cm="1">
        <f t="array" ref="L1198">SUMPRODUCT(("T_C-MHY-DSL-S4"=[1]OUT_TransportEnergyCons!$A$3:$A$1000)*1,("Var_Fin"=[1]OUT_TransportEnergyCons!$B$3:$B$1000)*1,ISNUMBER(SEARCH("DSL",[1]OUT_TransportEnergyCons!$C$3:$C$1000))*1,[1]OUT_TransportEnergyCons!J$3:J$1000)</f>
        <v>0</v>
      </c>
      <c r="M1198" s="1" cm="1">
        <f t="array" ref="M1198">SUMPRODUCT(("T_C-MHY-DSL-S4"=[1]OUT_TransportEnergyCons!$A$3:$A$1000)*1,("Var_Fin"=[1]OUT_TransportEnergyCons!$B$3:$B$1000)*1,ISNUMBER(SEARCH("DSL",[1]OUT_TransportEnergyCons!$C$3:$C$1000))*1,[1]OUT_TransportEnergyCons!K$3:K$1000)</f>
        <v>0</v>
      </c>
      <c r="N1198" s="1" cm="1">
        <f t="array" ref="N1198">SUMPRODUCT(("T_C-MHY-DSL-S4"=[1]OUT_TransportEnergyCons!$A$3:$A$1000)*1,("Var_Fin"=[1]OUT_TransportEnergyCons!$B$3:$B$1000)*1,ISNUMBER(SEARCH("DSL",[1]OUT_TransportEnergyCons!$C$3:$C$1000))*1,[1]OUT_TransportEnergyCons!L$3:L$1000)</f>
        <v>0</v>
      </c>
      <c r="O1198" s="1" cm="1">
        <f t="array" ref="O1198">SUMPRODUCT(("T_C-MHY-DSL-S4"=[1]OUT_TransportEnergyCons!$A$3:$A$1000)*1,("Var_Fin"=[1]OUT_TransportEnergyCons!$B$3:$B$1000)*1,ISNUMBER(SEARCH("DSL",[1]OUT_TransportEnergyCons!$C$3:$C$1000))*1,[1]OUT_TransportEnergyCons!M$3:M$1000)</f>
        <v>0</v>
      </c>
      <c r="P1198" s="1" cm="1">
        <f t="array" ref="P1198">SUMPRODUCT(("T_C-MHY-DSL-S4"=[1]OUT_TransportEnergyCons!$A$3:$A$1000)*1,("Var_Fin"=[1]OUT_TransportEnergyCons!$B$3:$B$1000)*1,ISNUMBER(SEARCH("DSL",[1]OUT_TransportEnergyCons!$C$3:$C$1000))*1,[1]OUT_TransportEnergyCons!N$3:N$1000)</f>
        <v>0</v>
      </c>
      <c r="Q1198" s="1" cm="1">
        <f t="array" ref="Q1198">SUMPRODUCT(("T_C-MHY-DSL-S4"=[1]OUT_TransportEnergyCons!$A$3:$A$1000)*1,("Var_Fin"=[1]OUT_TransportEnergyCons!$B$3:$B$1000)*1,ISNUMBER(SEARCH("DSL",[1]OUT_TransportEnergyCons!$C$3:$C$1000))*1,[1]OUT_TransportEnergyCons!O$3:O$1000)</f>
        <v>0</v>
      </c>
      <c r="S1198" s="3"/>
    </row>
    <row r="1199" spans="2:19" x14ac:dyDescent="0.5">
      <c r="B1199" s="5" t="str">
        <f t="shared" si="1358"/>
        <v>SPS1</v>
      </c>
      <c r="C1199" s="5" t="str">
        <f t="shared" si="1359"/>
        <v>CH</v>
      </c>
      <c r="D1199" t="s">
        <v>1299</v>
      </c>
      <c r="E1199" t="s">
        <v>8</v>
      </c>
      <c r="F1199" s="1" cm="1">
        <f t="array" ref="F1199">SUMPRODUCT(("T-Plg-DSL-mix_S1"=[1]OUT_TransportEnergyCons!$A$3:$A$1000)*1,("Var_Fin"=[1]OUT_TransportEnergyCons!$B$3:$B$1000)*1,ISNUMBER(SEARCH("DSL",[1]OUT_TransportEnergyCons!$C$3:$C$1000))*1,[1]OUT_TransportEnergyCons!D$3:D$1000)</f>
        <v>5.9706645024832931E-5</v>
      </c>
      <c r="G1199" s="1" cm="1">
        <f t="array" ref="G1199">SUMPRODUCT(("T-Plg-DSL-mix_S1"=[1]OUT_TransportEnergyCons!$A$3:$A$1000)*1,("Var_Fin"=[1]OUT_TransportEnergyCons!$B$3:$B$1000)*1,ISNUMBER(SEARCH("DSL",[1]OUT_TransportEnergyCons!$C$3:$C$1000))*1,[1]OUT_TransportEnergyCons!E$3:E$1000)</f>
        <v>3.4325714921258081E-3</v>
      </c>
      <c r="H1199" s="1" cm="1">
        <f t="array" ref="H1199">SUMPRODUCT(("T-Plg-DSL-mix_S1"=[1]OUT_TransportEnergyCons!$A$3:$A$1000)*1,("Var_Fin"=[1]OUT_TransportEnergyCons!$B$3:$B$1000)*1,ISNUMBER(SEARCH("DSL",[1]OUT_TransportEnergyCons!$C$3:$C$1000))*1,[1]OUT_TransportEnergyCons!F$3:F$1000)</f>
        <v>4.2130198064038579E-3</v>
      </c>
      <c r="I1199" s="1" cm="1">
        <f t="array" ref="I1199">SUMPRODUCT(("T-Plg-DSL-mix_S1"=[1]OUT_TransportEnergyCons!$A$3:$A$1000)*1,("Var_Fin"=[1]OUT_TransportEnergyCons!$B$3:$B$1000)*1,ISNUMBER(SEARCH("DSL",[1]OUT_TransportEnergyCons!$C$3:$C$1000))*1,[1]OUT_TransportEnergyCons!G$3:G$1000)</f>
        <v>5.1381235528969622E-3</v>
      </c>
      <c r="J1199" s="1" cm="1">
        <f t="array" ref="J1199">SUMPRODUCT(("T-Plg-DSL-mix_S1"=[1]OUT_TransportEnergyCons!$A$3:$A$1000)*1,("Var_Fin"=[1]OUT_TransportEnergyCons!$B$3:$B$1000)*1,ISNUMBER(SEARCH("DSL",[1]OUT_TransportEnergyCons!$C$3:$C$1000))*1,[1]OUT_TransportEnergyCons!H$3:H$1000)</f>
        <v>5.0982528235163152E-3</v>
      </c>
      <c r="K1199" s="1" cm="1">
        <f t="array" ref="K1199">SUMPRODUCT(("T-Plg-DSL-mix_S1"=[1]OUT_TransportEnergyCons!$A$3:$A$1000)*1,("Var_Fin"=[1]OUT_TransportEnergyCons!$B$3:$B$1000)*1,ISNUMBER(SEARCH("DSL",[1]OUT_TransportEnergyCons!$C$3:$C$1000))*1,[1]OUT_TransportEnergyCons!I$3:I$1000)</f>
        <v>2.6357301767631885E-3</v>
      </c>
      <c r="L1199" s="1" cm="1">
        <f t="array" ref="L1199">SUMPRODUCT(("T-Plg-DSL-mix_S1"=[1]OUT_TransportEnergyCons!$A$3:$A$1000)*1,("Var_Fin"=[1]OUT_TransportEnergyCons!$B$3:$B$1000)*1,ISNUMBER(SEARCH("DSL",[1]OUT_TransportEnergyCons!$C$3:$C$1000))*1,[1]OUT_TransportEnergyCons!J$3:J$1000)</f>
        <v>1.073873827490953E-2</v>
      </c>
      <c r="M1199" s="1" cm="1">
        <f t="array" ref="M1199">SUMPRODUCT(("T-Plg-DSL-mix_S1"=[1]OUT_TransportEnergyCons!$A$3:$A$1000)*1,("Var_Fin"=[1]OUT_TransportEnergyCons!$B$3:$B$1000)*1,ISNUMBER(SEARCH("DSL",[1]OUT_TransportEnergyCons!$C$3:$C$1000))*1,[1]OUT_TransportEnergyCons!K$3:K$1000)</f>
        <v>6.7871826400990893E-3</v>
      </c>
      <c r="N1199" s="1" cm="1">
        <f t="array" ref="N1199">SUMPRODUCT(("T-Plg-DSL-mix_S1"=[1]OUT_TransportEnergyCons!$A$3:$A$1000)*1,("Var_Fin"=[1]OUT_TransportEnergyCons!$B$3:$B$1000)*1,ISNUMBER(SEARCH("DSL",[1]OUT_TransportEnergyCons!$C$3:$C$1000))*1,[1]OUT_TransportEnergyCons!L$3:L$1000)</f>
        <v>1.5921754051756127E-2</v>
      </c>
      <c r="O1199" s="1" cm="1">
        <f t="array" ref="O1199">SUMPRODUCT(("T-Plg-DSL-mix_S1"=[1]OUT_TransportEnergyCons!$A$3:$A$1000)*1,("Var_Fin"=[1]OUT_TransportEnergyCons!$B$3:$B$1000)*1,ISNUMBER(SEARCH("DSL",[1]OUT_TransportEnergyCons!$C$3:$C$1000))*1,[1]OUT_TransportEnergyCons!M$3:M$1000)</f>
        <v>8.5361768585871692E-4</v>
      </c>
      <c r="P1199" s="1" cm="1">
        <f t="array" ref="P1199">SUMPRODUCT(("T-Plg-DSL-mix_S1"=[1]OUT_TransportEnergyCons!$A$3:$A$1000)*1,("Var_Fin"=[1]OUT_TransportEnergyCons!$B$3:$B$1000)*1,ISNUMBER(SEARCH("DSL",[1]OUT_TransportEnergyCons!$C$3:$C$1000))*1,[1]OUT_TransportEnergyCons!N$3:N$1000)</f>
        <v>4.4816326163432023E-4</v>
      </c>
      <c r="Q1199" s="1" cm="1">
        <f t="array" ref="Q1199">SUMPRODUCT(("T-Plg-DSL-mix_S1"=[1]OUT_TransportEnergyCons!$A$3:$A$1000)*1,("Var_Fin"=[1]OUT_TransportEnergyCons!$B$3:$B$1000)*1,ISNUMBER(SEARCH("DSL",[1]OUT_TransportEnergyCons!$C$3:$C$1000))*1,[1]OUT_TransportEnergyCons!O$3:O$1000)</f>
        <v>3.6976370821326424E-4</v>
      </c>
      <c r="S1199" s="3"/>
    </row>
    <row r="1200" spans="2:19" x14ac:dyDescent="0.5">
      <c r="B1200" s="5" t="str">
        <f t="shared" si="1358"/>
        <v>SPS1</v>
      </c>
      <c r="C1200" s="5" t="str">
        <f t="shared" si="1359"/>
        <v>CH</v>
      </c>
      <c r="D1200" t="s">
        <v>1300</v>
      </c>
      <c r="E1200" t="s">
        <v>8</v>
      </c>
      <c r="F1200" s="1" cm="1">
        <f t="array" ref="F1200">SUMPRODUCT(("T-Plg-DSL-mix_S2"=[1]OUT_TransportEnergyCons!$A$3:$A$1000)*1,("Var_Fin"=[1]OUT_TransportEnergyCons!$B$3:$B$1000)*1,ISNUMBER(SEARCH("DSL",[1]OUT_TransportEnergyCons!$C$3:$C$1000))*1,[1]OUT_TransportEnergyCons!D$3:D$1000)</f>
        <v>5.3910643510427512E-5</v>
      </c>
      <c r="G1200" s="1" cm="1">
        <f t="array" ref="G1200">SUMPRODUCT(("T-Plg-DSL-mix_S2"=[1]OUT_TransportEnergyCons!$A$3:$A$1000)*1,("Var_Fin"=[1]OUT_TransportEnergyCons!$B$3:$B$1000)*1,ISNUMBER(SEARCH("DSL",[1]OUT_TransportEnergyCons!$C$3:$C$1000))*1,[1]OUT_TransportEnergyCons!E$3:E$1000)</f>
        <v>2.6055307097848988E-3</v>
      </c>
      <c r="H1200" s="1" cm="1">
        <f t="array" ref="H1200">SUMPRODUCT(("T-Plg-DSL-mix_S2"=[1]OUT_TransportEnergyCons!$A$3:$A$1000)*1,("Var_Fin"=[1]OUT_TransportEnergyCons!$B$3:$B$1000)*1,ISNUMBER(SEARCH("DSL",[1]OUT_TransportEnergyCons!$C$3:$C$1000))*1,[1]OUT_TransportEnergyCons!F$3:F$1000)</f>
        <v>4.2848387070998726E-3</v>
      </c>
      <c r="I1200" s="1" cm="1">
        <f t="array" ref="I1200">SUMPRODUCT(("T-Plg-DSL-mix_S2"=[1]OUT_TransportEnergyCons!$A$3:$A$1000)*1,("Var_Fin"=[1]OUT_TransportEnergyCons!$B$3:$B$1000)*1,ISNUMBER(SEARCH("DSL",[1]OUT_TransportEnergyCons!$C$3:$C$1000))*1,[1]OUT_TransportEnergyCons!G$3:G$1000)</f>
        <v>2.4135261723995289</v>
      </c>
      <c r="J1200" s="1" cm="1">
        <f t="array" ref="J1200">SUMPRODUCT(("T-Plg-DSL-mix_S2"=[1]OUT_TransportEnergyCons!$A$3:$A$1000)*1,("Var_Fin"=[1]OUT_TransportEnergyCons!$B$3:$B$1000)*1,ISNUMBER(SEARCH("DSL",[1]OUT_TransportEnergyCons!$C$3:$C$1000))*1,[1]OUT_TransportEnergyCons!H$3:H$1000)</f>
        <v>1.4881551143386358</v>
      </c>
      <c r="K1200" s="1" cm="1">
        <f t="array" ref="K1200">SUMPRODUCT(("T-Plg-DSL-mix_S2"=[1]OUT_TransportEnergyCons!$A$3:$A$1000)*1,("Var_Fin"=[1]OUT_TransportEnergyCons!$B$3:$B$1000)*1,ISNUMBER(SEARCH("DSL",[1]OUT_TransportEnergyCons!$C$3:$C$1000))*1,[1]OUT_TransportEnergyCons!I$3:I$1000)</f>
        <v>0.73207103678188623</v>
      </c>
      <c r="L1200" s="1" cm="1">
        <f t="array" ref="L1200">SUMPRODUCT(("T-Plg-DSL-mix_S2"=[1]OUT_TransportEnergyCons!$A$3:$A$1000)*1,("Var_Fin"=[1]OUT_TransportEnergyCons!$B$3:$B$1000)*1,ISNUMBER(SEARCH("DSL",[1]OUT_TransportEnergyCons!$C$3:$C$1000))*1,[1]OUT_TransportEnergyCons!J$3:J$1000)</f>
        <v>4.9231468759790425E-2</v>
      </c>
      <c r="M1200" s="1" cm="1">
        <f t="array" ref="M1200">SUMPRODUCT(("T-Plg-DSL-mix_S2"=[1]OUT_TransportEnergyCons!$A$3:$A$1000)*1,("Var_Fin"=[1]OUT_TransportEnergyCons!$B$3:$B$1000)*1,ISNUMBER(SEARCH("DSL",[1]OUT_TransportEnergyCons!$C$3:$C$1000))*1,[1]OUT_TransportEnergyCons!K$3:K$1000)</f>
        <v>3.110109560892511E-2</v>
      </c>
      <c r="N1200" s="1" cm="1">
        <f t="array" ref="N1200">SUMPRODUCT(("T-Plg-DSL-mix_S2"=[1]OUT_TransportEnergyCons!$A$3:$A$1000)*1,("Var_Fin"=[1]OUT_TransportEnergyCons!$B$3:$B$1000)*1,ISNUMBER(SEARCH("DSL",[1]OUT_TransportEnergyCons!$C$3:$C$1000))*1,[1]OUT_TransportEnergyCons!L$3:L$1000)</f>
        <v>2.0120966409181918E-2</v>
      </c>
      <c r="O1200" s="1" cm="1">
        <f t="array" ref="O1200">SUMPRODUCT(("T-Plg-DSL-mix_S2"=[1]OUT_TransportEnergyCons!$A$3:$A$1000)*1,("Var_Fin"=[1]OUT_TransportEnergyCons!$B$3:$B$1000)*1,ISNUMBER(SEARCH("DSL",[1]OUT_TransportEnergyCons!$C$3:$C$1000))*1,[1]OUT_TransportEnergyCons!M$3:M$1000)</f>
        <v>1.2203092395080058E-3</v>
      </c>
      <c r="P1200" s="1" cm="1">
        <f t="array" ref="P1200">SUMPRODUCT(("T-Plg-DSL-mix_S2"=[1]OUT_TransportEnergyCons!$A$3:$A$1000)*1,("Var_Fin"=[1]OUT_TransportEnergyCons!$B$3:$B$1000)*1,ISNUMBER(SEARCH("DSL",[1]OUT_TransportEnergyCons!$C$3:$C$1000))*1,[1]OUT_TransportEnergyCons!N$3:N$1000)</f>
        <v>1.0812332726955133E-3</v>
      </c>
      <c r="Q1200" s="1" cm="1">
        <f t="array" ref="Q1200">SUMPRODUCT(("T-Plg-DSL-mix_S2"=[1]OUT_TransportEnergyCons!$A$3:$A$1000)*1,("Var_Fin"=[1]OUT_TransportEnergyCons!$B$3:$B$1000)*1,ISNUMBER(SEARCH("DSL",[1]OUT_TransportEnergyCons!$C$3:$C$1000))*1,[1]OUT_TransportEnergyCons!O$3:O$1000)</f>
        <v>6.4647719261266509E-4</v>
      </c>
      <c r="S1200" s="3"/>
    </row>
    <row r="1201" spans="2:19" x14ac:dyDescent="0.5">
      <c r="B1201" s="5" t="str">
        <f t="shared" si="1358"/>
        <v>SPS1</v>
      </c>
      <c r="C1201" s="5" t="str">
        <f t="shared" si="1359"/>
        <v>CH</v>
      </c>
      <c r="D1201" t="s">
        <v>1301</v>
      </c>
      <c r="E1201" t="s">
        <v>8</v>
      </c>
      <c r="F1201" s="1" cm="1">
        <f t="array" ref="F1201">SUMPRODUCT(("T-Plg-DSL-mix_S3"=[1]OUT_TransportEnergyCons!$A$3:$A$1000)*1,("Var_Fin"=[1]OUT_TransportEnergyCons!$B$3:$B$1000)*1,ISNUMBER(SEARCH("DSL",[1]OUT_TransportEnergyCons!$C$3:$C$1000))*1,[1]OUT_TransportEnergyCons!D$3:D$1000)</f>
        <v>2.5977739915666664E-4</v>
      </c>
      <c r="G1201" s="1" cm="1">
        <f t="array" ref="G1201">SUMPRODUCT(("T-Plg-DSL-mix_S3"=[1]OUT_TransportEnergyCons!$A$3:$A$1000)*1,("Var_Fin"=[1]OUT_TransportEnergyCons!$B$3:$B$1000)*1,ISNUMBER(SEARCH("DSL",[1]OUT_TransportEnergyCons!$C$3:$C$1000))*1,[1]OUT_TransportEnergyCons!E$3:E$1000)</f>
        <v>0.66608966284252524</v>
      </c>
      <c r="H1201" s="1" cm="1">
        <f t="array" ref="H1201">SUMPRODUCT(("T-Plg-DSL-mix_S3"=[1]OUT_TransportEnergyCons!$A$3:$A$1000)*1,("Var_Fin"=[1]OUT_TransportEnergyCons!$B$3:$B$1000)*1,ISNUMBER(SEARCH("DSL",[1]OUT_TransportEnergyCons!$C$3:$C$1000))*1,[1]OUT_TransportEnergyCons!F$3:F$1000)</f>
        <v>1.427794810068312</v>
      </c>
      <c r="I1201" s="1" cm="1">
        <f t="array" ref="I1201">SUMPRODUCT(("T-Plg-DSL-mix_S3"=[1]OUT_TransportEnergyCons!$A$3:$A$1000)*1,("Var_Fin"=[1]OUT_TransportEnergyCons!$B$3:$B$1000)*1,ISNUMBER(SEARCH("DSL",[1]OUT_TransportEnergyCons!$C$3:$C$1000))*1,[1]OUT_TransportEnergyCons!G$3:G$1000)</f>
        <v>1.1341918548857193</v>
      </c>
      <c r="J1201" s="1" cm="1">
        <f t="array" ref="J1201">SUMPRODUCT(("T-Plg-DSL-mix_S3"=[1]OUT_TransportEnergyCons!$A$3:$A$1000)*1,("Var_Fin"=[1]OUT_TransportEnergyCons!$B$3:$B$1000)*1,ISNUMBER(SEARCH("DSL",[1]OUT_TransportEnergyCons!$C$3:$C$1000))*1,[1]OUT_TransportEnergyCons!H$3:H$1000)</f>
        <v>5.5464588413430942</v>
      </c>
      <c r="K1201" s="1" cm="1">
        <f t="array" ref="K1201">SUMPRODUCT(("T-Plg-DSL-mix_S3"=[1]OUT_TransportEnergyCons!$A$3:$A$1000)*1,("Var_Fin"=[1]OUT_TransportEnergyCons!$B$3:$B$1000)*1,ISNUMBER(SEARCH("DSL",[1]OUT_TransportEnergyCons!$C$3:$C$1000))*1,[1]OUT_TransportEnergyCons!I$3:I$1000)</f>
        <v>3.6498065509996112</v>
      </c>
      <c r="L1201" s="1" cm="1">
        <f t="array" ref="L1201">SUMPRODUCT(("T-Plg-DSL-mix_S3"=[1]OUT_TransportEnergyCons!$A$3:$A$1000)*1,("Var_Fin"=[1]OUT_TransportEnergyCons!$B$3:$B$1000)*1,ISNUMBER(SEARCH("DSL",[1]OUT_TransportEnergyCons!$C$3:$C$1000))*1,[1]OUT_TransportEnergyCons!J$3:J$1000)</f>
        <v>2.298245388282024</v>
      </c>
      <c r="M1201" s="1" cm="1">
        <f t="array" ref="M1201">SUMPRODUCT(("T-Plg-DSL-mix_S3"=[1]OUT_TransportEnergyCons!$A$3:$A$1000)*1,("Var_Fin"=[1]OUT_TransportEnergyCons!$B$3:$B$1000)*1,ISNUMBER(SEARCH("DSL",[1]OUT_TransportEnergyCons!$C$3:$C$1000))*1,[1]OUT_TransportEnergyCons!K$3:K$1000)</f>
        <v>0.22088445273786303</v>
      </c>
      <c r="N1201" s="1" cm="1">
        <f t="array" ref="N1201">SUMPRODUCT(("T-Plg-DSL-mix_S3"=[1]OUT_TransportEnergyCons!$A$3:$A$1000)*1,("Var_Fin"=[1]OUT_TransportEnergyCons!$B$3:$B$1000)*1,ISNUMBER(SEARCH("DSL",[1]OUT_TransportEnergyCons!$C$3:$C$1000))*1,[1]OUT_TransportEnergyCons!L$3:L$1000)</f>
        <v>0.14066832857792189</v>
      </c>
      <c r="O1201" s="1" cm="1">
        <f t="array" ref="O1201">SUMPRODUCT(("T-Plg-DSL-mix_S3"=[1]OUT_TransportEnergyCons!$A$3:$A$1000)*1,("Var_Fin"=[1]OUT_TransportEnergyCons!$B$3:$B$1000)*1,ISNUMBER(SEARCH("DSL",[1]OUT_TransportEnergyCons!$C$3:$C$1000))*1,[1]OUT_TransportEnergyCons!M$3:M$1000)</f>
        <v>1.5497431151110185E-3</v>
      </c>
      <c r="P1201" s="1" cm="1">
        <f t="array" ref="P1201">SUMPRODUCT(("T-Plg-DSL-mix_S3"=[1]OUT_TransportEnergyCons!$A$3:$A$1000)*1,("Var_Fin"=[1]OUT_TransportEnergyCons!$B$3:$B$1000)*1,ISNUMBER(SEARCH("DSL",[1]OUT_TransportEnergyCons!$C$3:$C$1000))*1,[1]OUT_TransportEnergyCons!N$3:N$1000)</f>
        <v>1.3445959408350345E-3</v>
      </c>
      <c r="Q1201" s="1" cm="1">
        <f t="array" ref="Q1201">SUMPRODUCT(("T-Plg-DSL-mix_S3"=[1]OUT_TransportEnergyCons!$A$3:$A$1000)*1,("Var_Fin"=[1]OUT_TransportEnergyCons!$B$3:$B$1000)*1,ISNUMBER(SEARCH("DSL",[1]OUT_TransportEnergyCons!$C$3:$C$1000))*1,[1]OUT_TransportEnergyCons!O$3:O$1000)</f>
        <v>7.5228038135083928E-4</v>
      </c>
      <c r="S1201" s="3"/>
    </row>
    <row r="1202" spans="2:19" x14ac:dyDescent="0.5">
      <c r="B1202" s="5" t="str">
        <f t="shared" si="1358"/>
        <v>SPS1</v>
      </c>
      <c r="C1202" s="5" t="str">
        <f t="shared" si="1359"/>
        <v>CH</v>
      </c>
      <c r="D1202" t="s">
        <v>1302</v>
      </c>
      <c r="E1202" t="s">
        <v>8</v>
      </c>
      <c r="F1202" s="1" cm="1">
        <f t="array" ref="F1202">SUMPRODUCT(("T-Plg-DSL-mix_S4"=[1]OUT_TransportEnergyCons!$A$3:$A$1000)*1,("Var_Fin"=[1]OUT_TransportEnergyCons!$B$3:$B$1000)*1,ISNUMBER(SEARCH("DSL",[1]OUT_TransportEnergyCons!$C$3:$C$1000))*1,[1]OUT_TransportEnergyCons!D$3:D$1000)</f>
        <v>5.8036980929582881E-3</v>
      </c>
      <c r="G1202" s="1" cm="1">
        <f t="array" ref="G1202">SUMPRODUCT(("T-Plg-DSL-mix_S4"=[1]OUT_TransportEnergyCons!$A$3:$A$1000)*1,("Var_Fin"=[1]OUT_TransportEnergyCons!$B$3:$B$1000)*1,ISNUMBER(SEARCH("DSL",[1]OUT_TransportEnergyCons!$C$3:$C$1000))*1,[1]OUT_TransportEnergyCons!E$3:E$1000)</f>
        <v>3.2105267649543863E-2</v>
      </c>
      <c r="H1202" s="1" cm="1">
        <f t="array" ref="H1202">SUMPRODUCT(("T-Plg-DSL-mix_S4"=[1]OUT_TransportEnergyCons!$A$3:$A$1000)*1,("Var_Fin"=[1]OUT_TransportEnergyCons!$B$3:$B$1000)*1,ISNUMBER(SEARCH("DSL",[1]OUT_TransportEnergyCons!$C$3:$C$1000))*1,[1]OUT_TransportEnergyCons!F$3:F$1000)</f>
        <v>4.0390964321030141E-2</v>
      </c>
      <c r="I1202" s="1" cm="1">
        <f t="array" ref="I1202">SUMPRODUCT(("T-Plg-DSL-mix_S4"=[1]OUT_TransportEnergyCons!$A$3:$A$1000)*1,("Var_Fin"=[1]OUT_TransportEnergyCons!$B$3:$B$1000)*1,ISNUMBER(SEARCH("DSL",[1]OUT_TransportEnergyCons!$C$3:$C$1000))*1,[1]OUT_TransportEnergyCons!G$3:G$1000)</f>
        <v>2.7003200274480275</v>
      </c>
      <c r="J1202" s="1" cm="1">
        <f t="array" ref="J1202">SUMPRODUCT(("T-Plg-DSL-mix_S4"=[1]OUT_TransportEnergyCons!$A$3:$A$1000)*1,("Var_Fin"=[1]OUT_TransportEnergyCons!$B$3:$B$1000)*1,ISNUMBER(SEARCH("DSL",[1]OUT_TransportEnergyCons!$C$3:$C$1000))*1,[1]OUT_TransportEnergyCons!H$3:H$1000)</f>
        <v>2.0551914165973728</v>
      </c>
      <c r="K1202" s="1" cm="1">
        <f t="array" ref="K1202">SUMPRODUCT(("T-Plg-DSL-mix_S4"=[1]OUT_TransportEnergyCons!$A$3:$A$1000)*1,("Var_Fin"=[1]OUT_TransportEnergyCons!$B$3:$B$1000)*1,ISNUMBER(SEARCH("DSL",[1]OUT_TransportEnergyCons!$C$3:$C$1000))*1,[1]OUT_TransportEnergyCons!I$3:I$1000)</f>
        <v>0.71105392443148208</v>
      </c>
      <c r="L1202" s="1" cm="1">
        <f t="array" ref="L1202">SUMPRODUCT(("T-Plg-DSL-mix_S4"=[1]OUT_TransportEnergyCons!$A$3:$A$1000)*1,("Var_Fin"=[1]OUT_TransportEnergyCons!$B$3:$B$1000)*1,ISNUMBER(SEARCH("DSL",[1]OUT_TransportEnergyCons!$C$3:$C$1000))*1,[1]OUT_TransportEnergyCons!J$3:J$1000)</f>
        <v>1.1841343876380743</v>
      </c>
      <c r="M1202" s="1" cm="1">
        <f t="array" ref="M1202">SUMPRODUCT(("T-Plg-DSL-mix_S4"=[1]OUT_TransportEnergyCons!$A$3:$A$1000)*1,("Var_Fin"=[1]OUT_TransportEnergyCons!$B$3:$B$1000)*1,ISNUMBER(SEARCH("DSL",[1]OUT_TransportEnergyCons!$C$3:$C$1000))*1,[1]OUT_TransportEnergyCons!K$3:K$1000)</f>
        <v>0.75851922301091135</v>
      </c>
      <c r="N1202" s="1" cm="1">
        <f t="array" ref="N1202">SUMPRODUCT(("T-Plg-DSL-mix_S4"=[1]OUT_TransportEnergyCons!$A$3:$A$1000)*1,("Var_Fin"=[1]OUT_TransportEnergyCons!$B$3:$B$1000)*1,ISNUMBER(SEARCH("DSL",[1]OUT_TransportEnergyCons!$C$3:$C$1000))*1,[1]OUT_TransportEnergyCons!L$3:L$1000)</f>
        <v>0.75437886232639295</v>
      </c>
      <c r="O1202" s="1" cm="1">
        <f t="array" ref="O1202">SUMPRODUCT(("T-Plg-DSL-mix_S4"=[1]OUT_TransportEnergyCons!$A$3:$A$1000)*1,("Var_Fin"=[1]OUT_TransportEnergyCons!$B$3:$B$1000)*1,ISNUMBER(SEARCH("DSL",[1]OUT_TransportEnergyCons!$C$3:$C$1000))*1,[1]OUT_TransportEnergyCons!M$3:M$1000)</f>
        <v>0.85398135374065254</v>
      </c>
      <c r="P1202" s="1" cm="1">
        <f t="array" ref="P1202">SUMPRODUCT(("T-Plg-DSL-mix_S4"=[1]OUT_TransportEnergyCons!$A$3:$A$1000)*1,("Var_Fin"=[1]OUT_TransportEnergyCons!$B$3:$B$1000)*1,ISNUMBER(SEARCH("DSL",[1]OUT_TransportEnergyCons!$C$3:$C$1000))*1,[1]OUT_TransportEnergyCons!N$3:N$1000)</f>
        <v>0.77727076007317708</v>
      </c>
      <c r="Q1202" s="1" cm="1">
        <f t="array" ref="Q1202">SUMPRODUCT(("T-Plg-DSL-mix_S4"=[1]OUT_TransportEnergyCons!$A$3:$A$1000)*1,("Var_Fin"=[1]OUT_TransportEnergyCons!$B$3:$B$1000)*1,ISNUMBER(SEARCH("DSL",[1]OUT_TransportEnergyCons!$C$3:$C$1000))*1,[1]OUT_TransportEnergyCons!O$3:O$1000)</f>
        <v>0.74279285767674197</v>
      </c>
      <c r="S1202" s="3"/>
    </row>
    <row r="1203" spans="2:19" x14ac:dyDescent="0.5">
      <c r="B1203" s="5" t="str">
        <f t="shared" si="1358"/>
        <v>SPS1</v>
      </c>
      <c r="C1203" s="5" t="str">
        <f t="shared" si="1359"/>
        <v>CH</v>
      </c>
      <c r="D1203" t="s">
        <v>1303</v>
      </c>
      <c r="E1203" t="s">
        <v>8</v>
      </c>
      <c r="F1203" s="1">
        <f>SUM(F1208:F1212)</f>
        <v>0.11119805305202848</v>
      </c>
      <c r="G1203" s="1">
        <f t="shared" ref="G1203:K1203" si="1388">SUM(G1208:G1212)</f>
        <v>0.11158445384124704</v>
      </c>
      <c r="H1203" s="1">
        <f t="shared" si="1388"/>
        <v>0.11657520862013612</v>
      </c>
      <c r="I1203" s="1">
        <f t="shared" si="1388"/>
        <v>2.1438437018048316E-3</v>
      </c>
      <c r="J1203" s="1">
        <f t="shared" si="1388"/>
        <v>1.1269574926917323E-3</v>
      </c>
      <c r="K1203" s="1">
        <f t="shared" si="1388"/>
        <v>4.6364370295932315E-4</v>
      </c>
      <c r="L1203" s="1">
        <f t="shared" ref="L1203:O1203" si="1389">SUM(L1208:L1212)</f>
        <v>0</v>
      </c>
      <c r="M1203" s="1">
        <f t="shared" si="1389"/>
        <v>0</v>
      </c>
      <c r="N1203" s="1">
        <f>SUM(N1208:N1212)</f>
        <v>0</v>
      </c>
      <c r="O1203" s="1">
        <f t="shared" si="1389"/>
        <v>0</v>
      </c>
      <c r="P1203" s="1">
        <f>SUM(P1208:P1212)</f>
        <v>0</v>
      </c>
      <c r="Q1203" s="1">
        <f>SUM(Q1208:Q1212)</f>
        <v>0</v>
      </c>
      <c r="S1203" s="3"/>
    </row>
    <row r="1204" spans="2:19" x14ac:dyDescent="0.5">
      <c r="B1204" s="5" t="str">
        <f t="shared" si="1358"/>
        <v>SPS1</v>
      </c>
      <c r="C1204" s="5" t="str">
        <f t="shared" si="1359"/>
        <v>CH</v>
      </c>
      <c r="D1204" t="s">
        <v>1335</v>
      </c>
      <c r="E1204" t="s">
        <v>8</v>
      </c>
      <c r="F1204" s="1">
        <f>IF(F1203-F1205&lt;0,0,F1203-F1205)</f>
        <v>0.10271851132101997</v>
      </c>
      <c r="G1204" s="1">
        <f t="shared" ref="G1204:K1204" si="1390">IF(G1203-G1205&lt;0,0,G1203-G1205)</f>
        <v>9.7932425585242844E-2</v>
      </c>
      <c r="H1204" s="1">
        <f t="shared" si="1390"/>
        <v>0.11586076870488726</v>
      </c>
      <c r="I1204" s="1">
        <f t="shared" si="1390"/>
        <v>2.1317266411085092E-3</v>
      </c>
      <c r="J1204" s="1">
        <f t="shared" si="1390"/>
        <v>0</v>
      </c>
      <c r="K1204" s="1">
        <f t="shared" si="1390"/>
        <v>0</v>
      </c>
      <c r="L1204" s="1">
        <f t="shared" ref="L1204:O1204" si="1391">IF(L1203-L1205&lt;0,0,L1203-L1205)</f>
        <v>0</v>
      </c>
      <c r="M1204" s="1">
        <f t="shared" si="1391"/>
        <v>0</v>
      </c>
      <c r="N1204" s="1">
        <f>IF(N1203-N1205&lt;0,0,N1203-N1205)</f>
        <v>0</v>
      </c>
      <c r="O1204" s="1">
        <f t="shared" si="1391"/>
        <v>0</v>
      </c>
      <c r="P1204" s="1">
        <f>IF(P1203-P1205&lt;0,0,P1203-P1205)</f>
        <v>0</v>
      </c>
      <c r="Q1204" s="1">
        <f>IF(Q1203-Q1205&lt;0,0,Q1203-Q1205)</f>
        <v>0</v>
      </c>
      <c r="S1204" s="3"/>
    </row>
    <row r="1205" spans="2:19" x14ac:dyDescent="0.5">
      <c r="B1205" s="5" t="str">
        <f t="shared" si="1358"/>
        <v>SPS1</v>
      </c>
      <c r="C1205" s="5" t="str">
        <f t="shared" si="1359"/>
        <v>CH</v>
      </c>
      <c r="D1205" t="s">
        <v>1336</v>
      </c>
      <c r="E1205" t="s">
        <v>8</v>
      </c>
      <c r="F1205" s="1">
        <f>SUM(F1206:F1207)</f>
        <v>8.4795417310085108E-3</v>
      </c>
      <c r="G1205" s="1">
        <f t="shared" ref="G1205" si="1392">SUM(G1206:G1207)</f>
        <v>1.3652028256004199E-2</v>
      </c>
      <c r="H1205" s="1">
        <f t="shared" ref="H1205" si="1393">SUM(H1206:H1207)</f>
        <v>7.1443991524885813E-4</v>
      </c>
      <c r="I1205" s="1">
        <f t="shared" ref="I1205" si="1394">SUM(I1206:I1207)</f>
        <v>1.2117060696322564E-5</v>
      </c>
      <c r="J1205" s="1">
        <f t="shared" ref="J1205" si="1395">SUM(J1206:J1207)</f>
        <v>4.031644306047499E-3</v>
      </c>
      <c r="K1205" s="1">
        <f t="shared" ref="K1205" si="1396">SUM(K1206:K1207)</f>
        <v>1.4873350847429169E-2</v>
      </c>
      <c r="L1205" s="1">
        <f t="shared" ref="L1205:O1205" si="1397">SUM(L1206:L1207)</f>
        <v>0</v>
      </c>
      <c r="M1205" s="1">
        <f t="shared" si="1397"/>
        <v>0</v>
      </c>
      <c r="N1205" s="1">
        <f t="shared" si="1397"/>
        <v>0</v>
      </c>
      <c r="O1205" s="1">
        <f t="shared" si="1397"/>
        <v>0</v>
      </c>
      <c r="P1205" s="1">
        <f>SUM(P1206:P1207)</f>
        <v>0</v>
      </c>
      <c r="Q1205" s="1">
        <f>SUM(Q1206:Q1207)</f>
        <v>0</v>
      </c>
      <c r="S1205" s="3"/>
    </row>
    <row r="1206" spans="2:19" x14ac:dyDescent="0.5">
      <c r="B1206" s="5" t="str">
        <f t="shared" si="1358"/>
        <v>SPS1</v>
      </c>
      <c r="C1206" s="5" t="str">
        <f t="shared" si="1359"/>
        <v>CH</v>
      </c>
      <c r="D1206" t="s">
        <v>1337</v>
      </c>
      <c r="E1206" t="s">
        <v>8</v>
      </c>
      <c r="F1206" s="1">
        <f>IF(SUM([1]Transport!B$24,[1]Transport!B$27)=0,0,[1]Transport!B$27/SUM([1]Transport!B$24,[1]Transport!B$27)*F1203*(F$47+F$614)/(F$47+F$614+F$49))</f>
        <v>8.4795417310085108E-3</v>
      </c>
      <c r="G1206" s="1">
        <f>IF(SUM([1]Transport!C$24,[1]Transport!C$27)=0,0,[1]Transport!C$27/SUM([1]Transport!C$24,[1]Transport!C$27)*G1203*(G$47+G$614)/(G$47+G$614+G$49))</f>
        <v>1.3652028256004199E-2</v>
      </c>
      <c r="H1206" s="1">
        <f>IF(SUM([1]Transport!D$24,[1]Transport!D$27)=0,0,[1]Transport!D$27/SUM([1]Transport!D$24,[1]Transport!D$27)*H1203*(H$47+H$614)/(H$47+H$614+H$49))</f>
        <v>7.1443991524885813E-4</v>
      </c>
      <c r="I1206" s="1">
        <f>IF(SUM([1]Transport!E$24,[1]Transport!E$27)=0,0,[1]Transport!E$27/SUM([1]Transport!E$24,[1]Transport!E$27)*I1203*(I$47+I$614)/(I$47+I$614+I$49))</f>
        <v>1.2117060696322564E-5</v>
      </c>
      <c r="J1206" s="1">
        <f>IF(SUM([1]Transport!F$24,[1]Transport!F$27)=0,0,[1]Transport!F$27/SUM([1]Transport!F$24,[1]Transport!F$27)*J1203*(J$47+J$614)/(J$47+J$614+J$49))</f>
        <v>1.2256621410712456E-5</v>
      </c>
      <c r="K1206" s="1">
        <f>IF(SUM([1]Transport!G$24,[1]Transport!G$27)=0,0,[1]Transport!G$27/SUM([1]Transport!G$24,[1]Transport!G$27)*K1203*(K$47+K$614)/(K$47+K$614+K$49))</f>
        <v>5.3042760967786707E-5</v>
      </c>
      <c r="L1206" s="1">
        <f>IF(SUM([1]Transport!H$24,[1]Transport!H$27)=0,0,[1]Transport!H$27/SUM([1]Transport!H$24,[1]Transport!H$27)*L1203*(L$47+L$614)/(L$47+L$614+L$49))</f>
        <v>0</v>
      </c>
      <c r="M1206" s="1">
        <f>IF(SUM([1]Transport!I$24,[1]Transport!I$27)=0,0,[1]Transport!I$27/SUM([1]Transport!I$24,[1]Transport!I$27)*M1203*(M$47+M$614)/(M$47+M$614+M$49))</f>
        <v>0</v>
      </c>
      <c r="N1206" s="1">
        <f>IF(SUM([1]Transport!J$24,[1]Transport!J$27)=0,0,[1]Transport!J$27/SUM([1]Transport!J$24,[1]Transport!J$27)*N1203*(N$47+N$614)/(N$47+N$614+N$49))</f>
        <v>0</v>
      </c>
      <c r="O1206" s="1">
        <f>IF(SUM([1]Transport!K$24,[1]Transport!K$27)=0,0,[1]Transport!K$27/SUM([1]Transport!K$24,[1]Transport!K$27)*O1203*(O$47+O$614)/(O$47+O$614+O$49))</f>
        <v>0</v>
      </c>
      <c r="P1206" s="1">
        <f>IF(SUM([1]Transport!L$24,[1]Transport!L$27)=0,0,[1]Transport!L$27/SUM([1]Transport!L$24,[1]Transport!L$27)*P1203*(P$47+P$614)/(P$47+P$614+P$49))</f>
        <v>0</v>
      </c>
      <c r="Q1206" s="1">
        <f>IF(SUM([1]Transport!M$24,[1]Transport!M$27)=0,0,[1]Transport!M$27/SUM([1]Transport!M$24,[1]Transport!M$27)*Q1203*(Q$47+Q$614)/(Q$47+Q$614+Q$49))</f>
        <v>0</v>
      </c>
      <c r="S1206" s="3"/>
    </row>
    <row r="1207" spans="2:19" x14ac:dyDescent="0.5">
      <c r="B1207" s="5" t="str">
        <f t="shared" si="1358"/>
        <v>SPS1</v>
      </c>
      <c r="C1207" s="5" t="str">
        <f t="shared" si="1359"/>
        <v>CH</v>
      </c>
      <c r="D1207" t="s">
        <v>1338</v>
      </c>
      <c r="E1207" t="s">
        <v>8</v>
      </c>
      <c r="F1207" s="1">
        <f>IF(([1]Transport!B$24+[1]Transport!B$27)=0,0,(F$49+F$716)/([1]Transport!B$24+[1]Transport!B$27)*F1203)</f>
        <v>0</v>
      </c>
      <c r="G1207" s="1">
        <f>IF(([1]Transport!C$24+[1]Transport!C$27)=0,0,(G$49+G$716)/([1]Transport!C$24+[1]Transport!C$27)*G1203)</f>
        <v>0</v>
      </c>
      <c r="H1207" s="1">
        <f>IF(([1]Transport!D$24+[1]Transport!D$27)=0,0,(H$49+H$716)/([1]Transport!D$24+[1]Transport!D$27)*H1203)</f>
        <v>0</v>
      </c>
      <c r="I1207" s="1">
        <f>IF(([1]Transport!E$24+[1]Transport!E$27)=0,0,(I$49+I$716)/([1]Transport!E$24+[1]Transport!E$27)*I1203)</f>
        <v>0</v>
      </c>
      <c r="J1207" s="1">
        <f>IF(([1]Transport!F$24+[1]Transport!F$27)=0,0,(J$49+J$716)/([1]Transport!F$24+[1]Transport!F$27)*J1203)</f>
        <v>4.0193876846367866E-3</v>
      </c>
      <c r="K1207" s="1">
        <f>IF(([1]Transport!G$24+[1]Transport!G$27)=0,0,(K$49+K$716)/([1]Transport!G$24+[1]Transport!G$27)*K1203)</f>
        <v>1.4820308086461382E-2</v>
      </c>
      <c r="L1207" s="1">
        <f>IF(([1]Transport!H$24+[1]Transport!H$27)=0,0,(L$49+L$716)/([1]Transport!H$24+[1]Transport!H$27)*L1203)</f>
        <v>0</v>
      </c>
      <c r="M1207" s="1">
        <f>IF(([1]Transport!I$24+[1]Transport!I$27)=0,0,(M$49+M$716)/([1]Transport!I$24+[1]Transport!I$27)*M1203)</f>
        <v>0</v>
      </c>
      <c r="N1207" s="1">
        <f>IF(([1]Transport!J$24+[1]Transport!J$27)=0,0,(N$49+N$716)/([1]Transport!J$24+[1]Transport!J$27)*N1203)</f>
        <v>0</v>
      </c>
      <c r="O1207" s="1">
        <f>IF(([1]Transport!K$24+[1]Transport!K$27)=0,0,(O$49+O$716)/([1]Transport!K$24+[1]Transport!K$27)*O1203)</f>
        <v>0</v>
      </c>
      <c r="P1207" s="1">
        <f>IF(([1]Transport!L$24+[1]Transport!L$27)=0,0,(P$49+P$716)/([1]Transport!L$24+[1]Transport!L$27)*P1203)</f>
        <v>0</v>
      </c>
      <c r="Q1207" s="1">
        <f>IF(([1]Transport!M$24+[1]Transport!M$27)=0,0,(Q$49+Q$716)/([1]Transport!M$24+[1]Transport!M$27)*Q1203)</f>
        <v>0</v>
      </c>
      <c r="S1207" s="3"/>
    </row>
    <row r="1208" spans="2:19" x14ac:dyDescent="0.5">
      <c r="B1208" s="5" t="str">
        <f>B1203</f>
        <v>SPS1</v>
      </c>
      <c r="C1208" s="5" t="str">
        <f>C1203</f>
        <v>CH</v>
      </c>
      <c r="D1208" t="s">
        <v>1330</v>
      </c>
      <c r="E1208" t="s">
        <v>8</v>
      </c>
      <c r="F1208" s="1" cm="1">
        <f t="array" ref="F1208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8" s="1" cm="1">
        <f t="array" ref="G1208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8" s="1" cm="1">
        <f t="array" ref="H1208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8" s="1" cm="1">
        <f t="array" ref="I1208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8" s="1" cm="1">
        <f t="array" ref="J1208">SUMPRODUCT(("T_C-ICENGAEXT"=[1]OUT_TransportEnergyCons!$A$3:$A$1000)*1,("Var_Fin"=[1]OUT_TransportEnergyCons!$B$3:$B$1000)*1,ISNUMBER(SEARCH("NGA",[1]OUT_TransportEnergyCons!$C$3:$C$1000))*1,[1]OUT_TransportEnergyCons!H$3:H$1000)</f>
        <v>0</v>
      </c>
      <c r="K1208" s="1" cm="1">
        <f t="array" ref="K1208">SUMPRODUCT(("T_C-ICENGAEXT"=[1]OUT_TransportEnergyCons!$A$3:$A$1000)*1,("Var_Fin"=[1]OUT_TransportEnergyCons!$B$3:$B$1000)*1,ISNUMBER(SEARCH("NGA",[1]OUT_TransportEnergyCons!$C$3:$C$1000))*1,[1]OUT_TransportEnergyCons!I$3:I$1000)</f>
        <v>0</v>
      </c>
      <c r="L1208" s="1" cm="1">
        <f t="array" ref="L1208">SUMPRODUCT(("T_C-ICENGAEXT"=[1]OUT_TransportEnergyCons!$A$3:$A$1000)*1,("Var_Fin"=[1]OUT_TransportEnergyCons!$B$3:$B$1000)*1,ISNUMBER(SEARCH("NGA",[1]OUT_TransportEnergyCons!$C$3:$C$1000))*1,[1]OUT_TransportEnergyCons!J$3:J$1000)</f>
        <v>0</v>
      </c>
      <c r="M1208" s="1" cm="1">
        <f t="array" ref="M1208">SUMPRODUCT(("T_C-ICENGAEXT"=[1]OUT_TransportEnergyCons!$A$3:$A$1000)*1,("Var_Fin"=[1]OUT_TransportEnergyCons!$B$3:$B$1000)*1,ISNUMBER(SEARCH("NGA",[1]OUT_TransportEnergyCons!$C$3:$C$1000))*1,[1]OUT_TransportEnergyCons!K$3:K$1000)</f>
        <v>0</v>
      </c>
      <c r="N1208" s="1" cm="1">
        <f t="array" ref="N1208">SUMPRODUCT(("T_C-ICENGAEXT"=[1]OUT_TransportEnergyCons!$A$3:$A$1000)*1,("Var_Fin"=[1]OUT_TransportEnergyCons!$B$3:$B$1000)*1,ISNUMBER(SEARCH("NGA",[1]OUT_TransportEnergyCons!$C$3:$C$1000))*1,[1]OUT_TransportEnergyCons!L$3:L$1000)</f>
        <v>0</v>
      </c>
      <c r="O1208" s="1" cm="1">
        <f t="array" ref="O1208">SUMPRODUCT(("T_C-ICENGAEXT"=[1]OUT_TransportEnergyCons!$A$3:$A$1000)*1,("Var_Fin"=[1]OUT_TransportEnergyCons!$B$3:$B$1000)*1,ISNUMBER(SEARCH("NGA",[1]OUT_TransportEnergyCons!$C$3:$C$1000))*1,[1]OUT_TransportEnergyCons!M$3:M$1000)</f>
        <v>0</v>
      </c>
      <c r="P1208" s="1" cm="1">
        <f t="array" ref="P1208">SUMPRODUCT(("T_C-ICENGAEXT"=[1]OUT_TransportEnergyCons!$A$3:$A$1000)*1,("Var_Fin"=[1]OUT_TransportEnergyCons!$B$3:$B$1000)*1,ISNUMBER(SEARCH("NGA",[1]OUT_TransportEnergyCons!$C$3:$C$1000))*1,[1]OUT_TransportEnergyCons!N$3:N$1000)</f>
        <v>0</v>
      </c>
      <c r="Q1208" s="1" cm="1">
        <f t="array" ref="Q1208">SUMPRODUCT(("T_C-ICENGAEXT"=[1]OUT_TransportEnergyCons!$A$3:$A$1000)*1,("Var_Fin"=[1]OUT_TransportEnergyCons!$B$3:$B$1000)*1,ISNUMBER(SEARCH("NGA",[1]OUT_TransportEnergyCons!$C$3:$C$1000))*1,[1]OUT_TransportEnergyCons!O$3:O$1000)</f>
        <v>0</v>
      </c>
      <c r="S1208" s="3"/>
    </row>
    <row r="1209" spans="2:19" x14ac:dyDescent="0.5">
      <c r="B1209" s="5" t="str">
        <f t="shared" si="1358"/>
        <v>SPS1</v>
      </c>
      <c r="C1209" s="5" t="str">
        <f t="shared" si="1359"/>
        <v>CH</v>
      </c>
      <c r="D1209" t="s">
        <v>1331</v>
      </c>
      <c r="E1209" t="s">
        <v>8</v>
      </c>
      <c r="F1209" s="1" cm="1">
        <f t="array" ref="F1209">SUMPRODUCT(("T_C-ICE-NGA-S1"=[1]OUT_TransportEnergyCons!$A$3:$A$1000)*1,("Var_Fin"=[1]OUT_TransportEnergyCons!$B$3:$B$1000)*1,ISNUMBER(SEARCH("NGA",[1]OUT_TransportEnergyCons!$C$3:$C$1000))*1,[1]OUT_TransportEnergyCons!D$3:D$1000)</f>
        <v>3.7162491185191646E-3</v>
      </c>
      <c r="G1209" s="1" cm="1">
        <f t="array" ref="G1209">SUMPRODUCT(("T_C-ICE-NGA-S1"=[1]OUT_TransportEnergyCons!$A$3:$A$1000)*1,("Var_Fin"=[1]OUT_TransportEnergyCons!$B$3:$B$1000)*1,ISNUMBER(SEARCH("NGA",[1]OUT_TransportEnergyCons!$C$3:$C$1000))*1,[1]OUT_TransportEnergyCons!E$3:E$1000)</f>
        <v>2.5940461016912375E-3</v>
      </c>
      <c r="H1209" s="1" cm="1">
        <f t="array" ref="H1209">SUMPRODUCT(("T_C-ICE-NGA-S1"=[1]OUT_TransportEnergyCons!$A$3:$A$1000)*1,("Var_Fin"=[1]OUT_TransportEnergyCons!$B$3:$B$1000)*1,ISNUMBER(SEARCH("NGA",[1]OUT_TransportEnergyCons!$C$3:$C$1000))*1,[1]OUT_TransportEnergyCons!F$3:F$1000)</f>
        <v>3.9867218589133878E-3</v>
      </c>
      <c r="I1209" s="1" cm="1">
        <f t="array" ref="I1209">SUMPRODUCT(("T_C-ICE-NGA-S1"=[1]OUT_TransportEnergyCons!$A$3:$A$1000)*1,("Var_Fin"=[1]OUT_TransportEnergyCons!$B$3:$B$1000)*1,ISNUMBER(SEARCH("NGA",[1]OUT_TransportEnergyCons!$C$3:$C$1000))*1,[1]OUT_TransportEnergyCons!G$3:G$1000)</f>
        <v>5.1328838238230766E-4</v>
      </c>
      <c r="J1209" s="1" cm="1">
        <f t="array" ref="J1209">SUMPRODUCT(("T_C-ICE-NGA-S1"=[1]OUT_TransportEnergyCons!$A$3:$A$1000)*1,("Var_Fin"=[1]OUT_TransportEnergyCons!$B$3:$B$1000)*1,ISNUMBER(SEARCH("NGA",[1]OUT_TransportEnergyCons!$C$3:$C$1000))*1,[1]OUT_TransportEnergyCons!H$3:H$1000)</f>
        <v>2.4893419719063136E-4</v>
      </c>
      <c r="K1209" s="1" cm="1">
        <f t="array" ref="K1209">SUMPRODUCT(("T_C-ICE-NGA-S1"=[1]OUT_TransportEnergyCons!$A$3:$A$1000)*1,("Var_Fin"=[1]OUT_TransportEnergyCons!$B$3:$B$1000)*1,ISNUMBER(SEARCH("NGA",[1]OUT_TransportEnergyCons!$C$3:$C$1000))*1,[1]OUT_TransportEnergyCons!I$3:I$1000)</f>
        <v>9.8234719278939003E-5</v>
      </c>
      <c r="L1209" s="1" cm="1">
        <f t="array" ref="L1209">SUMPRODUCT(("T_C-ICE-NGA-S1"=[1]OUT_TransportEnergyCons!$A$3:$A$1000)*1,("Var_Fin"=[1]OUT_TransportEnergyCons!$B$3:$B$1000)*1,ISNUMBER(SEARCH("NGA",[1]OUT_TransportEnergyCons!$C$3:$C$1000))*1,[1]OUT_TransportEnergyCons!J$3:J$1000)</f>
        <v>0</v>
      </c>
      <c r="M1209" s="1" cm="1">
        <f t="array" ref="M1209">SUMPRODUCT(("T_C-ICE-NGA-S1"=[1]OUT_TransportEnergyCons!$A$3:$A$1000)*1,("Var_Fin"=[1]OUT_TransportEnergyCons!$B$3:$B$1000)*1,ISNUMBER(SEARCH("NGA",[1]OUT_TransportEnergyCons!$C$3:$C$1000))*1,[1]OUT_TransportEnergyCons!K$3:K$1000)</f>
        <v>0</v>
      </c>
      <c r="N1209" s="1" cm="1">
        <f t="array" ref="N1209">SUMPRODUCT(("T_C-ICE-NGA-S1"=[1]OUT_TransportEnergyCons!$A$3:$A$1000)*1,("Var_Fin"=[1]OUT_TransportEnergyCons!$B$3:$B$1000)*1,ISNUMBER(SEARCH("NGA",[1]OUT_TransportEnergyCons!$C$3:$C$1000))*1,[1]OUT_TransportEnergyCons!L$3:L$1000)</f>
        <v>0</v>
      </c>
      <c r="O1209" s="1" cm="1">
        <f t="array" ref="O1209">SUMPRODUCT(("T_C-ICE-NGA-S1"=[1]OUT_TransportEnergyCons!$A$3:$A$1000)*1,("Var_Fin"=[1]OUT_TransportEnergyCons!$B$3:$B$1000)*1,ISNUMBER(SEARCH("NGA",[1]OUT_TransportEnergyCons!$C$3:$C$1000))*1,[1]OUT_TransportEnergyCons!M$3:M$1000)</f>
        <v>0</v>
      </c>
      <c r="P1209" s="1" cm="1">
        <f t="array" ref="P1209">SUMPRODUCT(("T_C-ICE-NGA-S1"=[1]OUT_TransportEnergyCons!$A$3:$A$1000)*1,("Var_Fin"=[1]OUT_TransportEnergyCons!$B$3:$B$1000)*1,ISNUMBER(SEARCH("NGA",[1]OUT_TransportEnergyCons!$C$3:$C$1000))*1,[1]OUT_TransportEnergyCons!N$3:N$1000)</f>
        <v>0</v>
      </c>
      <c r="Q1209" s="1" cm="1">
        <f t="array" ref="Q1209">SUMPRODUCT(("T_C-ICE-NGA-S1"=[1]OUT_TransportEnergyCons!$A$3:$A$1000)*1,("Var_Fin"=[1]OUT_TransportEnergyCons!$B$3:$B$1000)*1,ISNUMBER(SEARCH("NGA",[1]OUT_TransportEnergyCons!$C$3:$C$1000))*1,[1]OUT_TransportEnergyCons!O$3:O$1000)</f>
        <v>0</v>
      </c>
      <c r="S1209" s="3"/>
    </row>
    <row r="1210" spans="2:19" x14ac:dyDescent="0.5">
      <c r="B1210" s="5" t="str">
        <f t="shared" si="1358"/>
        <v>SPS1</v>
      </c>
      <c r="C1210" s="5" t="str">
        <f t="shared" si="1359"/>
        <v>CH</v>
      </c>
      <c r="D1210" t="s">
        <v>1332</v>
      </c>
      <c r="E1210" t="s">
        <v>8</v>
      </c>
      <c r="F1210" s="1" cm="1">
        <f t="array" ref="F1210">SUMPRODUCT(("T_C-ICE-NGA-S2"=[1]OUT_TransportEnergyCons!$A$3:$A$1000)*1,("Var_Fin"=[1]OUT_TransportEnergyCons!$B$3:$B$1000)*1,ISNUMBER(SEARCH("NGA",[1]OUT_TransportEnergyCons!$C$3:$C$1000))*1,[1]OUT_TransportEnergyCons!D$3:D$1000)</f>
        <v>5.5065170332956666E-2</v>
      </c>
      <c r="G1210" s="1" cm="1">
        <f t="array" ref="G1210">SUMPRODUCT(("T_C-ICE-NGA-S2"=[1]OUT_TransportEnergyCons!$A$3:$A$1000)*1,("Var_Fin"=[1]OUT_TransportEnergyCons!$B$3:$B$1000)*1,ISNUMBER(SEARCH("NGA",[1]OUT_TransportEnergyCons!$C$3:$C$1000))*1,[1]OUT_TransportEnergyCons!E$3:E$1000)</f>
        <v>5.6774036554424E-2</v>
      </c>
      <c r="H1210" s="1" cm="1">
        <f t="array" ref="H1210">SUMPRODUCT(("T_C-ICE-NGA-S2"=[1]OUT_TransportEnergyCons!$A$3:$A$1000)*1,("Var_Fin"=[1]OUT_TransportEnergyCons!$B$3:$B$1000)*1,ISNUMBER(SEARCH("NGA",[1]OUT_TransportEnergyCons!$C$3:$C$1000))*1,[1]OUT_TransportEnergyCons!F$3:F$1000)</f>
        <v>6.0472696222320613E-2</v>
      </c>
      <c r="I1210" s="1" cm="1">
        <f t="array" ref="I1210">SUMPRODUCT(("T_C-ICE-NGA-S2"=[1]OUT_TransportEnergyCons!$A$3:$A$1000)*1,("Var_Fin"=[1]OUT_TransportEnergyCons!$B$3:$B$1000)*1,ISNUMBER(SEARCH("NGA",[1]OUT_TransportEnergyCons!$C$3:$C$1000))*1,[1]OUT_TransportEnergyCons!G$3:G$1000)</f>
        <v>4.5961483035730723E-4</v>
      </c>
      <c r="J1210" s="1" cm="1">
        <f t="array" ref="J1210">SUMPRODUCT(("T_C-ICE-NGA-S2"=[1]OUT_TransportEnergyCons!$A$3:$A$1000)*1,("Var_Fin"=[1]OUT_TransportEnergyCons!$B$3:$B$1000)*1,ISNUMBER(SEARCH("NGA",[1]OUT_TransportEnergyCons!$C$3:$C$1000))*1,[1]OUT_TransportEnergyCons!H$3:H$1000)</f>
        <v>2.7248442725867779E-4</v>
      </c>
      <c r="K1210" s="1" cm="1">
        <f t="array" ref="K1210">SUMPRODUCT(("T_C-ICE-NGA-S2"=[1]OUT_TransportEnergyCons!$A$3:$A$1000)*1,("Var_Fin"=[1]OUT_TransportEnergyCons!$B$3:$B$1000)*1,ISNUMBER(SEARCH("NGA",[1]OUT_TransportEnergyCons!$C$3:$C$1000))*1,[1]OUT_TransportEnergyCons!I$3:I$1000)</f>
        <v>1.2188887581555064E-4</v>
      </c>
      <c r="L1210" s="1" cm="1">
        <f t="array" ref="L1210">SUMPRODUCT(("T_C-ICE-NGA-S2"=[1]OUT_TransportEnergyCons!$A$3:$A$1000)*1,("Var_Fin"=[1]OUT_TransportEnergyCons!$B$3:$B$1000)*1,ISNUMBER(SEARCH("NGA",[1]OUT_TransportEnergyCons!$C$3:$C$1000))*1,[1]OUT_TransportEnergyCons!J$3:J$1000)</f>
        <v>0</v>
      </c>
      <c r="M1210" s="1" cm="1">
        <f t="array" ref="M1210">SUMPRODUCT(("T_C-ICE-NGA-S2"=[1]OUT_TransportEnergyCons!$A$3:$A$1000)*1,("Var_Fin"=[1]OUT_TransportEnergyCons!$B$3:$B$1000)*1,ISNUMBER(SEARCH("NGA",[1]OUT_TransportEnergyCons!$C$3:$C$1000))*1,[1]OUT_TransportEnergyCons!K$3:K$1000)</f>
        <v>0</v>
      </c>
      <c r="N1210" s="1" cm="1">
        <f t="array" ref="N1210">SUMPRODUCT(("T_C-ICE-NGA-S2"=[1]OUT_TransportEnergyCons!$A$3:$A$1000)*1,("Var_Fin"=[1]OUT_TransportEnergyCons!$B$3:$B$1000)*1,ISNUMBER(SEARCH("NGA",[1]OUT_TransportEnergyCons!$C$3:$C$1000))*1,[1]OUT_TransportEnergyCons!L$3:L$1000)</f>
        <v>0</v>
      </c>
      <c r="O1210" s="1" cm="1">
        <f t="array" ref="O1210">SUMPRODUCT(("T_C-ICE-NGA-S2"=[1]OUT_TransportEnergyCons!$A$3:$A$1000)*1,("Var_Fin"=[1]OUT_TransportEnergyCons!$B$3:$B$1000)*1,ISNUMBER(SEARCH("NGA",[1]OUT_TransportEnergyCons!$C$3:$C$1000))*1,[1]OUT_TransportEnergyCons!M$3:M$1000)</f>
        <v>0</v>
      </c>
      <c r="P1210" s="1" cm="1">
        <f t="array" ref="P1210">SUMPRODUCT(("T_C-ICE-NGA-S2"=[1]OUT_TransportEnergyCons!$A$3:$A$1000)*1,("Var_Fin"=[1]OUT_TransportEnergyCons!$B$3:$B$1000)*1,ISNUMBER(SEARCH("NGA",[1]OUT_TransportEnergyCons!$C$3:$C$1000))*1,[1]OUT_TransportEnergyCons!N$3:N$1000)</f>
        <v>0</v>
      </c>
      <c r="Q1210" s="1" cm="1">
        <f t="array" ref="Q1210">SUMPRODUCT(("T_C-ICE-NGA-S2"=[1]OUT_TransportEnergyCons!$A$3:$A$1000)*1,("Var_Fin"=[1]OUT_TransportEnergyCons!$B$3:$B$1000)*1,ISNUMBER(SEARCH("NGA",[1]OUT_TransportEnergyCons!$C$3:$C$1000))*1,[1]OUT_TransportEnergyCons!O$3:O$1000)</f>
        <v>0</v>
      </c>
      <c r="S1210" s="3"/>
    </row>
    <row r="1211" spans="2:19" x14ac:dyDescent="0.5">
      <c r="B1211" s="5" t="str">
        <f t="shared" si="1358"/>
        <v>SPS1</v>
      </c>
      <c r="C1211" s="5" t="str">
        <f t="shared" si="1359"/>
        <v>CH</v>
      </c>
      <c r="D1211" t="s">
        <v>1333</v>
      </c>
      <c r="E1211" t="s">
        <v>8</v>
      </c>
      <c r="F1211" s="1" cm="1">
        <f t="array" ref="F1211">SUMPRODUCT(("T_C-ICE-NGA-S3"=[1]OUT_TransportEnergyCons!$A$3:$A$1000)*1,("Var_Fin"=[1]OUT_TransportEnergyCons!$B$3:$B$1000)*1,ISNUMBER(SEARCH("NGA",[1]OUT_TransportEnergyCons!$C$3:$C$1000))*1,[1]OUT_TransportEnergyCons!D$3:D$1000)</f>
        <v>4.475281653310282E-3</v>
      </c>
      <c r="G1211" s="1" cm="1">
        <f t="array" ref="G1211">SUMPRODUCT(("T_C-ICE-NGA-S3"=[1]OUT_TransportEnergyCons!$A$3:$A$1000)*1,("Var_Fin"=[1]OUT_TransportEnergyCons!$B$3:$B$1000)*1,ISNUMBER(SEARCH("NGA",[1]OUT_TransportEnergyCons!$C$3:$C$1000))*1,[1]OUT_TransportEnergyCons!E$3:E$1000)</f>
        <v>4.8889783118989298E-3</v>
      </c>
      <c r="H1211" s="1" cm="1">
        <f t="array" ref="H1211">SUMPRODUCT(("T_C-ICE-NGA-S3"=[1]OUT_TransportEnergyCons!$A$3:$A$1000)*1,("Var_Fin"=[1]OUT_TransportEnergyCons!$B$3:$B$1000)*1,ISNUMBER(SEARCH("NGA",[1]OUT_TransportEnergyCons!$C$3:$C$1000))*1,[1]OUT_TransportEnergyCons!F$3:F$1000)</f>
        <v>5.8973143784202221E-3</v>
      </c>
      <c r="I1211" s="1" cm="1">
        <f t="array" ref="I1211">SUMPRODUCT(("T_C-ICE-NGA-S3"=[1]OUT_TransportEnergyCons!$A$3:$A$1000)*1,("Var_Fin"=[1]OUT_TransportEnergyCons!$B$3:$B$1000)*1,ISNUMBER(SEARCH("NGA",[1]OUT_TransportEnergyCons!$C$3:$C$1000))*1,[1]OUT_TransportEnergyCons!G$3:G$1000)</f>
        <v>8.5397686886309638E-4</v>
      </c>
      <c r="J1211" s="1" cm="1">
        <f t="array" ref="J1211">SUMPRODUCT(("T_C-ICE-NGA-S3"=[1]OUT_TransportEnergyCons!$A$3:$A$1000)*1,("Var_Fin"=[1]OUT_TransportEnergyCons!$B$3:$B$1000)*1,ISNUMBER(SEARCH("NGA",[1]OUT_TransportEnergyCons!$C$3:$C$1000))*1,[1]OUT_TransportEnergyCons!H$3:H$1000)</f>
        <v>3.267848933284584E-4</v>
      </c>
      <c r="K1211" s="1" cm="1">
        <f t="array" ref="K1211">SUMPRODUCT(("T_C-ICE-NGA-S3"=[1]OUT_TransportEnergyCons!$A$3:$A$1000)*1,("Var_Fin"=[1]OUT_TransportEnergyCons!$B$3:$B$1000)*1,ISNUMBER(SEARCH("NGA",[1]OUT_TransportEnergyCons!$C$3:$C$1000))*1,[1]OUT_TransportEnergyCons!I$3:I$1000)</f>
        <v>1.186606240845896E-4</v>
      </c>
      <c r="L1211" s="1" cm="1">
        <f t="array" ref="L1211">SUMPRODUCT(("T_C-ICE-NGA-S3"=[1]OUT_TransportEnergyCons!$A$3:$A$1000)*1,("Var_Fin"=[1]OUT_TransportEnergyCons!$B$3:$B$1000)*1,ISNUMBER(SEARCH("NGA",[1]OUT_TransportEnergyCons!$C$3:$C$1000))*1,[1]OUT_TransportEnergyCons!J$3:J$1000)</f>
        <v>0</v>
      </c>
      <c r="M1211" s="1" cm="1">
        <f t="array" ref="M1211">SUMPRODUCT(("T_C-ICE-NGA-S3"=[1]OUT_TransportEnergyCons!$A$3:$A$1000)*1,("Var_Fin"=[1]OUT_TransportEnergyCons!$B$3:$B$1000)*1,ISNUMBER(SEARCH("NGA",[1]OUT_TransportEnergyCons!$C$3:$C$1000))*1,[1]OUT_TransportEnergyCons!K$3:K$1000)</f>
        <v>0</v>
      </c>
      <c r="N1211" s="1" cm="1">
        <f t="array" ref="N1211">SUMPRODUCT(("T_C-ICE-NGA-S3"=[1]OUT_TransportEnergyCons!$A$3:$A$1000)*1,("Var_Fin"=[1]OUT_TransportEnergyCons!$B$3:$B$1000)*1,ISNUMBER(SEARCH("NGA",[1]OUT_TransportEnergyCons!$C$3:$C$1000))*1,[1]OUT_TransportEnergyCons!L$3:L$1000)</f>
        <v>0</v>
      </c>
      <c r="O1211" s="1" cm="1">
        <f t="array" ref="O1211">SUMPRODUCT(("T_C-ICE-NGA-S3"=[1]OUT_TransportEnergyCons!$A$3:$A$1000)*1,("Var_Fin"=[1]OUT_TransportEnergyCons!$B$3:$B$1000)*1,ISNUMBER(SEARCH("NGA",[1]OUT_TransportEnergyCons!$C$3:$C$1000))*1,[1]OUT_TransportEnergyCons!M$3:M$1000)</f>
        <v>0</v>
      </c>
      <c r="P1211" s="1" cm="1">
        <f t="array" ref="P1211">SUMPRODUCT(("T_C-ICE-NGA-S3"=[1]OUT_TransportEnergyCons!$A$3:$A$1000)*1,("Var_Fin"=[1]OUT_TransportEnergyCons!$B$3:$B$1000)*1,ISNUMBER(SEARCH("NGA",[1]OUT_TransportEnergyCons!$C$3:$C$1000))*1,[1]OUT_TransportEnergyCons!N$3:N$1000)</f>
        <v>0</v>
      </c>
      <c r="Q1211" s="1" cm="1">
        <f t="array" ref="Q1211">SUMPRODUCT(("T_C-ICE-NGA-S3"=[1]OUT_TransportEnergyCons!$A$3:$A$1000)*1,("Var_Fin"=[1]OUT_TransportEnergyCons!$B$3:$B$1000)*1,ISNUMBER(SEARCH("NGA",[1]OUT_TransportEnergyCons!$C$3:$C$1000))*1,[1]OUT_TransportEnergyCons!O$3:O$1000)</f>
        <v>0</v>
      </c>
      <c r="S1211" s="3"/>
    </row>
    <row r="1212" spans="2:19" x14ac:dyDescent="0.5">
      <c r="B1212" s="5" t="str">
        <f t="shared" si="1358"/>
        <v>SPS1</v>
      </c>
      <c r="C1212" s="5" t="str">
        <f t="shared" si="1359"/>
        <v>CH</v>
      </c>
      <c r="D1212" t="s">
        <v>1334</v>
      </c>
      <c r="E1212" t="s">
        <v>8</v>
      </c>
      <c r="F1212" s="1" cm="1">
        <f t="array" ref="F1212">SUMPRODUCT(("T_C-ICE-NGA-S4"=[1]OUT_TransportEnergyCons!$A$3:$A$1000)*1,("Var_Fin"=[1]OUT_TransportEnergyCons!$B$3:$B$1000)*1,ISNUMBER(SEARCH("NGA",[1]OUT_TransportEnergyCons!$C$3:$C$1000))*1,[1]OUT_TransportEnergyCons!D$3:D$1000)</f>
        <v>4.7941351947242375E-2</v>
      </c>
      <c r="G1212" s="1" cm="1">
        <f t="array" ref="G1212">SUMPRODUCT(("T_C-ICE-NGA-S4"=[1]OUT_TransportEnergyCons!$A$3:$A$1000)*1,("Var_Fin"=[1]OUT_TransportEnergyCons!$B$3:$B$1000)*1,ISNUMBER(SEARCH("NGA",[1]OUT_TransportEnergyCons!$C$3:$C$1000))*1,[1]OUT_TransportEnergyCons!E$3:E$1000)</f>
        <v>4.7327392873232892E-2</v>
      </c>
      <c r="H1212" s="1" cm="1">
        <f t="array" ref="H1212">SUMPRODUCT(("T_C-ICE-NGA-S4"=[1]OUT_TransportEnergyCons!$A$3:$A$1000)*1,("Var_Fin"=[1]OUT_TransportEnergyCons!$B$3:$B$1000)*1,ISNUMBER(SEARCH("NGA",[1]OUT_TransportEnergyCons!$C$3:$C$1000))*1,[1]OUT_TransportEnergyCons!F$3:F$1000)</f>
        <v>4.6218476160481907E-2</v>
      </c>
      <c r="I1212" s="1" cm="1">
        <f t="array" ref="I1212">SUMPRODUCT(("T_C-ICE-NGA-S4"=[1]OUT_TransportEnergyCons!$A$3:$A$1000)*1,("Var_Fin"=[1]OUT_TransportEnergyCons!$B$3:$B$1000)*1,ISNUMBER(SEARCH("NGA",[1]OUT_TransportEnergyCons!$C$3:$C$1000))*1,[1]OUT_TransportEnergyCons!G$3:G$1000)</f>
        <v>3.1696362020212053E-4</v>
      </c>
      <c r="J1212" s="1" cm="1">
        <f t="array" ref="J1212">SUMPRODUCT(("T_C-ICE-NGA-S4"=[1]OUT_TransportEnergyCons!$A$3:$A$1000)*1,("Var_Fin"=[1]OUT_TransportEnergyCons!$B$3:$B$1000)*1,ISNUMBER(SEARCH("NGA",[1]OUT_TransportEnergyCons!$C$3:$C$1000))*1,[1]OUT_TransportEnergyCons!H$3:H$1000)</f>
        <v>2.7875397491396474E-4</v>
      </c>
      <c r="K1212" s="1" cm="1">
        <f t="array" ref="K1212">SUMPRODUCT(("T_C-ICE-NGA-S4"=[1]OUT_TransportEnergyCons!$A$3:$A$1000)*1,("Var_Fin"=[1]OUT_TransportEnergyCons!$B$3:$B$1000)*1,ISNUMBER(SEARCH("NGA",[1]OUT_TransportEnergyCons!$C$3:$C$1000))*1,[1]OUT_TransportEnergyCons!I$3:I$1000)</f>
        <v>1.2485948378024387E-4</v>
      </c>
      <c r="L1212" s="1" cm="1">
        <f t="array" ref="L1212">SUMPRODUCT(("T_C-ICE-NGA-S4"=[1]OUT_TransportEnergyCons!$A$3:$A$1000)*1,("Var_Fin"=[1]OUT_TransportEnergyCons!$B$3:$B$1000)*1,ISNUMBER(SEARCH("NGA",[1]OUT_TransportEnergyCons!$C$3:$C$1000))*1,[1]OUT_TransportEnergyCons!J$3:J$1000)</f>
        <v>0</v>
      </c>
      <c r="M1212" s="1" cm="1">
        <f t="array" ref="M1212">SUMPRODUCT(("T_C-ICE-NGA-S4"=[1]OUT_TransportEnergyCons!$A$3:$A$1000)*1,("Var_Fin"=[1]OUT_TransportEnergyCons!$B$3:$B$1000)*1,ISNUMBER(SEARCH("NGA",[1]OUT_TransportEnergyCons!$C$3:$C$1000))*1,[1]OUT_TransportEnergyCons!K$3:K$1000)</f>
        <v>0</v>
      </c>
      <c r="N1212" s="1" cm="1">
        <f t="array" ref="N1212">SUMPRODUCT(("T_C-ICE-NGA-S4"=[1]OUT_TransportEnergyCons!$A$3:$A$1000)*1,("Var_Fin"=[1]OUT_TransportEnergyCons!$B$3:$B$1000)*1,ISNUMBER(SEARCH("NGA",[1]OUT_TransportEnergyCons!$C$3:$C$1000))*1,[1]OUT_TransportEnergyCons!L$3:L$1000)</f>
        <v>0</v>
      </c>
      <c r="O1212" s="1" cm="1">
        <f t="array" ref="O1212">SUMPRODUCT(("T_C-ICE-NGA-S4"=[1]OUT_TransportEnergyCons!$A$3:$A$1000)*1,("Var_Fin"=[1]OUT_TransportEnergyCons!$B$3:$B$1000)*1,ISNUMBER(SEARCH("NGA",[1]OUT_TransportEnergyCons!$C$3:$C$1000))*1,[1]OUT_TransportEnergyCons!M$3:M$1000)</f>
        <v>0</v>
      </c>
      <c r="P1212" s="1" cm="1">
        <f t="array" ref="P1212">SUMPRODUCT(("T_C-ICE-NGA-S4"=[1]OUT_TransportEnergyCons!$A$3:$A$1000)*1,("Var_Fin"=[1]OUT_TransportEnergyCons!$B$3:$B$1000)*1,ISNUMBER(SEARCH("NGA",[1]OUT_TransportEnergyCons!$C$3:$C$1000))*1,[1]OUT_TransportEnergyCons!N$3:N$1000)</f>
        <v>0</v>
      </c>
      <c r="Q1212" s="1" cm="1">
        <f t="array" ref="Q1212">SUMPRODUCT(("T_C-ICE-NGA-S4"=[1]OUT_TransportEnergyCons!$A$3:$A$1000)*1,("Var_Fin"=[1]OUT_TransportEnergyCons!$B$3:$B$1000)*1,ISNUMBER(SEARCH("NGA",[1]OUT_TransportEnergyCons!$C$3:$C$1000))*1,[1]OUT_TransportEnergyCons!O$3:O$1000)</f>
        <v>0</v>
      </c>
      <c r="S1212" s="3"/>
    </row>
    <row r="1213" spans="2:19" x14ac:dyDescent="0.5">
      <c r="B1213" s="5" t="str">
        <f t="shared" si="1358"/>
        <v>SPS1</v>
      </c>
      <c r="C1213" s="5" t="str">
        <f t="shared" si="1359"/>
        <v>CH</v>
      </c>
      <c r="D1213" s="2" t="s">
        <v>1132</v>
      </c>
      <c r="E1213" s="2" t="s">
        <v>1131</v>
      </c>
      <c r="F1213" s="3">
        <f>SUM(F1214:F1263)</f>
        <v>49.007339956483527</v>
      </c>
      <c r="G1213" s="3">
        <f t="shared" ref="G1213:K1213" si="1398">SUM(G1214:G1263)</f>
        <v>55.677369278772318</v>
      </c>
      <c r="H1213" s="3">
        <f t="shared" si="1398"/>
        <v>60.268701229786757</v>
      </c>
      <c r="I1213" s="3">
        <f t="shared" si="1398"/>
        <v>62.347976418826605</v>
      </c>
      <c r="J1213" s="3">
        <f t="shared" si="1398"/>
        <v>62.626304857997383</v>
      </c>
      <c r="K1213" s="3">
        <f t="shared" si="1398"/>
        <v>62.347723232718373</v>
      </c>
      <c r="L1213" s="3">
        <f t="shared" ref="L1213:O1213" si="1399">SUM(L1214:L1263)</f>
        <v>61.748694369263958</v>
      </c>
      <c r="M1213" s="3">
        <f t="shared" si="1399"/>
        <v>61.151459248421709</v>
      </c>
      <c r="N1213" s="3">
        <f t="shared" si="1399"/>
        <v>60.956794055511054</v>
      </c>
      <c r="O1213" s="3">
        <f t="shared" si="1399"/>
        <v>60.754277977863168</v>
      </c>
      <c r="P1213" s="3">
        <f>SUM(P1214:P1263)</f>
        <v>60.590500711539462</v>
      </c>
      <c r="Q1213" s="3">
        <f>SUM(Q1214:Q1263)</f>
        <v>60.553459491981357</v>
      </c>
      <c r="S1213" s="3"/>
    </row>
    <row r="1214" spans="2:19" x14ac:dyDescent="0.5">
      <c r="B1214" s="5" t="str">
        <f>B1213</f>
        <v>SPS1</v>
      </c>
      <c r="C1214" s="5" t="str">
        <f>C1213</f>
        <v>CH</v>
      </c>
      <c r="D1214" t="s">
        <v>1133</v>
      </c>
      <c r="E1214" t="str">
        <f>E1213</f>
        <v>billion km/yr.</v>
      </c>
      <c r="F1214" s="1" cm="1">
        <f t="array" ref="F1214">SUMPRODUCT(("T_C-BATELCEXT"=[1]OUT_TransportEnergyCons!$A$3:$A$1000)*1,("var_fout"=[1]OUT_TransportEnergyCons!$B$3:$B$1000)*1,ISNUMBER(SEARCH("TPCAR",[1]OUT_TransportEnergyCons!$C$3:$C$1000))*1,[1]OUT_TransportEnergyCons!D$3:D$1000)</f>
        <v>0.41619840894164967</v>
      </c>
      <c r="G1214" s="1" cm="1">
        <f t="array" ref="G1214">SUMPRODUCT(("T_C-BATELCEXT"=[1]OUT_TransportEnergyCons!$A$3:$A$1000)*1,("var_fout"=[1]OUT_TransportEnergyCons!$B$3:$B$1000)*1,ISNUMBER(SEARCH("TPCAR",[1]OUT_TransportEnergyCons!$C$3:$C$1000))*1,[1]OUT_TransportEnergyCons!E$3:E$1000)</f>
        <v>0.36006203586154206</v>
      </c>
      <c r="H1214" s="1" cm="1">
        <f t="array" ref="H1214">SUMPRODUCT(("T_C-BATELCEXT"=[1]OUT_TransportEnergyCons!$A$3:$A$1000)*1,("var_fout"=[1]OUT_TransportEnergyCons!$B$3:$B$1000)*1,ISNUMBER(SEARCH("TPCAR",[1]OUT_TransportEnergyCons!$C$3:$C$1000))*1,[1]OUT_TransportEnergyCons!F$3:F$1000)</f>
        <v>0.26557634787461848</v>
      </c>
      <c r="I1214" s="1" cm="1">
        <f t="array" ref="I1214">SUMPRODUCT(("T_C-BATELCEXT"=[1]OUT_TransportEnergyCons!$A$3:$A$1000)*1,("var_fout"=[1]OUT_TransportEnergyCons!$B$3:$B$1000)*1,ISNUMBER(SEARCH("TPCAR",[1]OUT_TransportEnergyCons!$C$3:$C$1000))*1,[1]OUT_TransportEnergyCons!G$3:G$1000)</f>
        <v>0.13875336315567499</v>
      </c>
      <c r="J1214" s="1" cm="1">
        <f t="array" ref="J1214">SUMPRODUCT(("T_C-BATELCEXT"=[1]OUT_TransportEnergyCons!$A$3:$A$1000)*1,("var_fout"=[1]OUT_TransportEnergyCons!$B$3:$B$1000)*1,ISNUMBER(SEARCH("TPCAR",[1]OUT_TransportEnergyCons!$C$3:$C$1000))*1,[1]OUT_TransportEnergyCons!H$3:H$1000)</f>
        <v>0</v>
      </c>
      <c r="K1214" s="1" cm="1">
        <f t="array" ref="K1214">SUMPRODUCT(("T_C-BATELCEXT"=[1]OUT_TransportEnergyCons!$A$3:$A$1000)*1,("var_fout"=[1]OUT_TransportEnergyCons!$B$3:$B$1000)*1,ISNUMBER(SEARCH("TPCAR",[1]OUT_TransportEnergyCons!$C$3:$C$1000))*1,[1]OUT_TransportEnergyCons!I$3:I$1000)</f>
        <v>0</v>
      </c>
      <c r="L1214" s="1" cm="1">
        <f t="array" ref="L1214">SUMPRODUCT(("T_C-BATELCEXT"=[1]OUT_TransportEnergyCons!$A$3:$A$1000)*1,("var_fout"=[1]OUT_TransportEnergyCons!$B$3:$B$1000)*1,ISNUMBER(SEARCH("TPCAR",[1]OUT_TransportEnergyCons!$C$3:$C$1000))*1,[1]OUT_TransportEnergyCons!J$3:J$1000)</f>
        <v>0</v>
      </c>
      <c r="M1214" s="1" cm="1">
        <f t="array" ref="M1214">SUMPRODUCT(("T_C-BATELCEXT"=[1]OUT_TransportEnergyCons!$A$3:$A$1000)*1,("var_fout"=[1]OUT_TransportEnergyCons!$B$3:$B$1000)*1,ISNUMBER(SEARCH("TPCAR",[1]OUT_TransportEnergyCons!$C$3:$C$1000))*1,[1]OUT_TransportEnergyCons!K$3:K$1000)</f>
        <v>0</v>
      </c>
      <c r="N1214" s="1" cm="1">
        <f t="array" ref="N1214">SUMPRODUCT(("T_C-BATELCEXT"=[1]OUT_TransportEnergyCons!$A$3:$A$1000)*1,("var_fout"=[1]OUT_TransportEnergyCons!$B$3:$B$1000)*1,ISNUMBER(SEARCH("TPCAR",[1]OUT_TransportEnergyCons!$C$3:$C$1000))*1,[1]OUT_TransportEnergyCons!L$3:L$1000)</f>
        <v>0</v>
      </c>
      <c r="O1214" s="1" cm="1">
        <f t="array" ref="O1214">SUMPRODUCT(("T_C-BATELCEXT"=[1]OUT_TransportEnergyCons!$A$3:$A$1000)*1,("var_fout"=[1]OUT_TransportEnergyCons!$B$3:$B$1000)*1,ISNUMBER(SEARCH("TPCAR",[1]OUT_TransportEnergyCons!$C$3:$C$1000))*1,[1]OUT_TransportEnergyCons!M$3:M$1000)</f>
        <v>0</v>
      </c>
      <c r="P1214" s="1" cm="1">
        <f t="array" ref="P1214">SUMPRODUCT(("T_C-BATELCEXT"=[1]OUT_TransportEnergyCons!$A$3:$A$1000)*1,("var_fout"=[1]OUT_TransportEnergyCons!$B$3:$B$1000)*1,ISNUMBER(SEARCH("TPCAR",[1]OUT_TransportEnergyCons!$C$3:$C$1000))*1,[1]OUT_TransportEnergyCons!N$3:N$1000)</f>
        <v>0</v>
      </c>
      <c r="Q1214" s="1" cm="1">
        <f t="array" ref="Q1214">SUMPRODUCT(("T_C-BATELCEXT"=[1]OUT_TransportEnergyCons!$A$3:$A$1000)*1,("var_fout"=[1]OUT_TransportEnergyCons!$B$3:$B$1000)*1,ISNUMBER(SEARCH("TPCAR",[1]OUT_TransportEnergyCons!$C$3:$C$1000))*1,[1]OUT_TransportEnergyCons!O$3:O$1000)</f>
        <v>0</v>
      </c>
      <c r="S1214" s="3"/>
    </row>
    <row r="1215" spans="2:19" x14ac:dyDescent="0.5">
      <c r="B1215" s="5" t="str">
        <f t="shared" si="1358"/>
        <v>SPS1</v>
      </c>
      <c r="C1215" s="5" t="str">
        <f t="shared" si="1359"/>
        <v>CH</v>
      </c>
      <c r="D1215" t="s">
        <v>1134</v>
      </c>
      <c r="E1215" t="str">
        <f t="shared" ref="E1215:E1263" si="1400">E1214</f>
        <v>billion km/yr.</v>
      </c>
      <c r="F1215" s="1" cm="1">
        <f t="array" ref="F1215">SUMPRODUCT(("T_C-BAT-ELC-S1"=[1]OUT_TransportEnergyCons!$A$3:$A$1000)*1,("var_fout"=[1]OUT_TransportEnergyCons!$B$3:$B$1000)*1,ISNUMBER(SEARCH("TPCAR",[1]OUT_TransportEnergyCons!$C$3:$C$1000))*1,[1]OUT_TransportEnergyCons!D$3:D$1000)</f>
        <v>1.4090004718783605E-2</v>
      </c>
      <c r="G1215" s="1" cm="1">
        <f t="array" ref="G1215">SUMPRODUCT(("T_C-BAT-ELC-S1"=[1]OUT_TransportEnergyCons!$A$3:$A$1000)*1,("var_fout"=[1]OUT_TransportEnergyCons!$B$3:$B$1000)*1,ISNUMBER(SEARCH("TPCAR",[1]OUT_TransportEnergyCons!$C$3:$C$1000))*1,[1]OUT_TransportEnergyCons!E$3:E$1000)</f>
        <v>2.5338778750475792E-2</v>
      </c>
      <c r="H1215" s="1" cm="1">
        <f t="array" ref="H1215">SUMPRODUCT(("T_C-BAT-ELC-S1"=[1]OUT_TransportEnergyCons!$A$3:$A$1000)*1,("var_fout"=[1]OUT_TransportEnergyCons!$B$3:$B$1000)*1,ISNUMBER(SEARCH("TPCAR",[1]OUT_TransportEnergyCons!$C$3:$C$1000))*1,[1]OUT_TransportEnergyCons!F$3:F$1000)</f>
        <v>1.0374441392562462E-2</v>
      </c>
      <c r="I1215" s="1" cm="1">
        <f t="array" ref="I1215">SUMPRODUCT(("T_C-BAT-ELC-S1"=[1]OUT_TransportEnergyCons!$A$3:$A$1000)*1,("var_fout"=[1]OUT_TransportEnergyCons!$B$3:$B$1000)*1,ISNUMBER(SEARCH("TPCAR",[1]OUT_TransportEnergyCons!$C$3:$C$1000))*1,[1]OUT_TransportEnergyCons!G$3:G$1000)</f>
        <v>1.1028200072584122</v>
      </c>
      <c r="J1215" s="1" cm="1">
        <f t="array" ref="J1215">SUMPRODUCT(("T_C-BAT-ELC-S1"=[1]OUT_TransportEnergyCons!$A$3:$A$1000)*1,("var_fout"=[1]OUT_TransportEnergyCons!$B$3:$B$1000)*1,ISNUMBER(SEARCH("TPCAR",[1]OUT_TransportEnergyCons!$C$3:$C$1000))*1,[1]OUT_TransportEnergyCons!H$3:H$1000)</f>
        <v>1.9961215842287636</v>
      </c>
      <c r="K1215" s="1" cm="1">
        <f t="array" ref="K1215">SUMPRODUCT(("T_C-BAT-ELC-S1"=[1]OUT_TransportEnergyCons!$A$3:$A$1000)*1,("var_fout"=[1]OUT_TransportEnergyCons!$B$3:$B$1000)*1,ISNUMBER(SEARCH("TPCAR",[1]OUT_TransportEnergyCons!$C$3:$C$1000))*1,[1]OUT_TransportEnergyCons!I$3:I$1000)</f>
        <v>2.3221799501798275</v>
      </c>
      <c r="L1215" s="1" cm="1">
        <f t="array" ref="L1215">SUMPRODUCT(("T_C-BAT-ELC-S1"=[1]OUT_TransportEnergyCons!$A$3:$A$1000)*1,("var_fout"=[1]OUT_TransportEnergyCons!$B$3:$B$1000)*1,ISNUMBER(SEARCH("TPCAR",[1]OUT_TransportEnergyCons!$C$3:$C$1000))*1,[1]OUT_TransportEnergyCons!J$3:J$1000)</f>
        <v>2.3928719833754473</v>
      </c>
      <c r="M1215" s="1" cm="1">
        <f t="array" ref="M1215">SUMPRODUCT(("T_C-BAT-ELC-S1"=[1]OUT_TransportEnergyCons!$A$3:$A$1000)*1,("var_fout"=[1]OUT_TransportEnergyCons!$B$3:$B$1000)*1,ISNUMBER(SEARCH("TPCAR",[1]OUT_TransportEnergyCons!$C$3:$C$1000))*1,[1]OUT_TransportEnergyCons!K$3:K$1000)</f>
        <v>2.4349370010983766</v>
      </c>
      <c r="N1215" s="1" cm="1">
        <f t="array" ref="N1215">SUMPRODUCT(("T_C-BAT-ELC-S1"=[1]OUT_TransportEnergyCons!$A$3:$A$1000)*1,("var_fout"=[1]OUT_TransportEnergyCons!$B$3:$B$1000)*1,ISNUMBER(SEARCH("TPCAR",[1]OUT_TransportEnergyCons!$C$3:$C$1000))*1,[1]OUT_TransportEnergyCons!L$3:L$1000)</f>
        <v>2.4037122458228146</v>
      </c>
      <c r="O1215" s="1" cm="1">
        <f t="array" ref="O1215">SUMPRODUCT(("T_C-BAT-ELC-S1"=[1]OUT_TransportEnergyCons!$A$3:$A$1000)*1,("var_fout"=[1]OUT_TransportEnergyCons!$B$3:$B$1000)*1,ISNUMBER(SEARCH("TPCAR",[1]OUT_TransportEnergyCons!$C$3:$C$1000))*1,[1]OUT_TransportEnergyCons!M$3:M$1000)</f>
        <v>2.4179981928595353</v>
      </c>
      <c r="P1215" s="1" cm="1">
        <f t="array" ref="P1215">SUMPRODUCT(("T_C-BAT-ELC-S1"=[1]OUT_TransportEnergyCons!$A$3:$A$1000)*1,("var_fout"=[1]OUT_TransportEnergyCons!$B$3:$B$1000)*1,ISNUMBER(SEARCH("TPCAR",[1]OUT_TransportEnergyCons!$C$3:$C$1000))*1,[1]OUT_TransportEnergyCons!N$3:N$1000)</f>
        <v>2.409590907870323</v>
      </c>
      <c r="Q1215" s="1" cm="1">
        <f t="array" ref="Q1215">SUMPRODUCT(("T_C-BAT-ELC-S1"=[1]OUT_TransportEnergyCons!$A$3:$A$1000)*1,("var_fout"=[1]OUT_TransportEnergyCons!$B$3:$B$1000)*1,ISNUMBER(SEARCH("TPCAR",[1]OUT_TransportEnergyCons!$C$3:$C$1000))*1,[1]OUT_TransportEnergyCons!O$3:O$1000)</f>
        <v>2.404250161245197</v>
      </c>
      <c r="S1215" s="3"/>
    </row>
    <row r="1216" spans="2:19" x14ac:dyDescent="0.5">
      <c r="B1216" s="5" t="str">
        <f t="shared" si="1358"/>
        <v>SPS1</v>
      </c>
      <c r="C1216" s="5" t="str">
        <f t="shared" si="1359"/>
        <v>CH</v>
      </c>
      <c r="D1216" t="s">
        <v>1135</v>
      </c>
      <c r="E1216" t="str">
        <f t="shared" si="1400"/>
        <v>billion km/yr.</v>
      </c>
      <c r="F1216" s="1" cm="1">
        <f t="array" ref="F1216">SUMPRODUCT(("T_C-BAT-ELC-S2"=[1]OUT_TransportEnergyCons!$A$3:$A$1000)*1,("var_fout"=[1]OUT_TransportEnergyCons!$B$3:$B$1000)*1,ISNUMBER(SEARCH("TPCAR",[1]OUT_TransportEnergyCons!$C$3:$C$1000))*1,[1]OUT_TransportEnergyCons!D$3:D$1000)</f>
        <v>9.7110757259742664E-2</v>
      </c>
      <c r="G1216" s="1" cm="1">
        <f t="array" ref="G1216">SUMPRODUCT(("T_C-BAT-ELC-S2"=[1]OUT_TransportEnergyCons!$A$3:$A$1000)*1,("var_fout"=[1]OUT_TransportEnergyCons!$B$3:$B$1000)*1,ISNUMBER(SEARCH("TPCAR",[1]OUT_TransportEnergyCons!$C$3:$C$1000))*1,[1]OUT_TransportEnergyCons!E$3:E$1000)</f>
        <v>0.16264305805375809</v>
      </c>
      <c r="H1216" s="1" cm="1">
        <f t="array" ref="H1216">SUMPRODUCT(("T_C-BAT-ELC-S2"=[1]OUT_TransportEnergyCons!$A$3:$A$1000)*1,("var_fout"=[1]OUT_TransportEnergyCons!$B$3:$B$1000)*1,ISNUMBER(SEARCH("TPCAR",[1]OUT_TransportEnergyCons!$C$3:$C$1000))*1,[1]OUT_TransportEnergyCons!F$3:F$1000)</f>
        <v>0.16274110522106255</v>
      </c>
      <c r="I1216" s="1" cm="1">
        <f t="array" ref="I1216">SUMPRODUCT(("T_C-BAT-ELC-S2"=[1]OUT_TransportEnergyCons!$A$3:$A$1000)*1,("var_fout"=[1]OUT_TransportEnergyCons!$B$3:$B$1000)*1,ISNUMBER(SEARCH("TPCAR",[1]OUT_TransportEnergyCons!$C$3:$C$1000))*1,[1]OUT_TransportEnergyCons!G$3:G$1000)</f>
        <v>4.7908696310190146</v>
      </c>
      <c r="J1216" s="1" cm="1">
        <f t="array" ref="J1216">SUMPRODUCT(("T_C-BAT-ELC-S2"=[1]OUT_TransportEnergyCons!$A$3:$A$1000)*1,("var_fout"=[1]OUT_TransportEnergyCons!$B$3:$B$1000)*1,ISNUMBER(SEARCH("TPCAR",[1]OUT_TransportEnergyCons!$C$3:$C$1000))*1,[1]OUT_TransportEnergyCons!H$3:H$1000)</f>
        <v>14.520641885742378</v>
      </c>
      <c r="K1216" s="1" cm="1">
        <f t="array" ref="K1216">SUMPRODUCT(("T_C-BAT-ELC-S2"=[1]OUT_TransportEnergyCons!$A$3:$A$1000)*1,("var_fout"=[1]OUT_TransportEnergyCons!$B$3:$B$1000)*1,ISNUMBER(SEARCH("TPCAR",[1]OUT_TransportEnergyCons!$C$3:$C$1000))*1,[1]OUT_TransportEnergyCons!I$3:I$1000)</f>
        <v>17.322856373216098</v>
      </c>
      <c r="L1216" s="1" cm="1">
        <f t="array" ref="L1216">SUMPRODUCT(("T_C-BAT-ELC-S2"=[1]OUT_TransportEnergyCons!$A$3:$A$1000)*1,("var_fout"=[1]OUT_TransportEnergyCons!$B$3:$B$1000)*1,ISNUMBER(SEARCH("TPCAR",[1]OUT_TransportEnergyCons!$C$3:$C$1000))*1,[1]OUT_TransportEnergyCons!J$3:J$1000)</f>
        <v>18.155575533413838</v>
      </c>
      <c r="M1216" s="1" cm="1">
        <f t="array" ref="M1216">SUMPRODUCT(("T_C-BAT-ELC-S2"=[1]OUT_TransportEnergyCons!$A$3:$A$1000)*1,("var_fout"=[1]OUT_TransportEnergyCons!$B$3:$B$1000)*1,ISNUMBER(SEARCH("TPCAR",[1]OUT_TransportEnergyCons!$C$3:$C$1000))*1,[1]OUT_TransportEnergyCons!K$3:K$1000)</f>
        <v>17.9916213098826</v>
      </c>
      <c r="N1216" s="1" cm="1">
        <f t="array" ref="N1216">SUMPRODUCT(("T_C-BAT-ELC-S2"=[1]OUT_TransportEnergyCons!$A$3:$A$1000)*1,("var_fout"=[1]OUT_TransportEnergyCons!$B$3:$B$1000)*1,ISNUMBER(SEARCH("TPCAR",[1]OUT_TransportEnergyCons!$C$3:$C$1000))*1,[1]OUT_TransportEnergyCons!L$3:L$1000)</f>
        <v>17.933313148788432</v>
      </c>
      <c r="O1216" s="1" cm="1">
        <f t="array" ref="O1216">SUMPRODUCT(("T_C-BAT-ELC-S2"=[1]OUT_TransportEnergyCons!$A$3:$A$1000)*1,("var_fout"=[1]OUT_TransportEnergyCons!$B$3:$B$1000)*1,ISNUMBER(SEARCH("TPCAR",[1]OUT_TransportEnergyCons!$C$3:$C$1000))*1,[1]OUT_TransportEnergyCons!M$3:M$1000)</f>
        <v>17.905327427846739</v>
      </c>
      <c r="P1216" s="1" cm="1">
        <f t="array" ref="P1216">SUMPRODUCT(("T_C-BAT-ELC-S2"=[1]OUT_TransportEnergyCons!$A$3:$A$1000)*1,("var_fout"=[1]OUT_TransportEnergyCons!$B$3:$B$1000)*1,ISNUMBER(SEARCH("TPCAR",[1]OUT_TransportEnergyCons!$C$3:$C$1000))*1,[1]OUT_TransportEnergyCons!N$3:N$1000)</f>
        <v>17.86123426798212</v>
      </c>
      <c r="Q1216" s="1" cm="1">
        <f t="array" ref="Q1216">SUMPRODUCT(("T_C-BAT-ELC-S2"=[1]OUT_TransportEnergyCons!$A$3:$A$1000)*1,("var_fout"=[1]OUT_TransportEnergyCons!$B$3:$B$1000)*1,ISNUMBER(SEARCH("TPCAR",[1]OUT_TransportEnergyCons!$C$3:$C$1000))*1,[1]OUT_TransportEnergyCons!O$3:O$1000)</f>
        <v>17.860043964510428</v>
      </c>
      <c r="S1216" s="3"/>
    </row>
    <row r="1217" spans="2:19" x14ac:dyDescent="0.5">
      <c r="B1217" s="5" t="str">
        <f t="shared" si="1358"/>
        <v>SPS1</v>
      </c>
      <c r="C1217" s="5" t="str">
        <f t="shared" si="1359"/>
        <v>CH</v>
      </c>
      <c r="D1217" t="s">
        <v>1136</v>
      </c>
      <c r="E1217" t="str">
        <f t="shared" si="1400"/>
        <v>billion km/yr.</v>
      </c>
      <c r="F1217" s="1" cm="1">
        <f t="array" ref="F1217">SUMPRODUCT(("T_C-BAT-ELC-S3"=[1]OUT_TransportEnergyCons!$A$3:$A$1000)*1,("var_fout"=[1]OUT_TransportEnergyCons!$B$3:$B$1000)*1,ISNUMBER(SEARCH("TPCAR",[1]OUT_TransportEnergyCons!$C$3:$C$1000))*1,[1]OUT_TransportEnergyCons!D$3:D$1000)</f>
        <v>6.1122324538222507E-2</v>
      </c>
      <c r="G1217" s="1" cm="1">
        <f t="array" ref="G1217">SUMPRODUCT(("T_C-BAT-ELC-S3"=[1]OUT_TransportEnergyCons!$A$3:$A$1000)*1,("var_fout"=[1]OUT_TransportEnergyCons!$B$3:$B$1000)*1,ISNUMBER(SEARCH("TPCAR",[1]OUT_TransportEnergyCons!$C$3:$C$1000))*1,[1]OUT_TransportEnergyCons!E$3:E$1000)</f>
        <v>0.13296500594179031</v>
      </c>
      <c r="H1217" s="1" cm="1">
        <f t="array" ref="H1217">SUMPRODUCT(("T_C-BAT-ELC-S3"=[1]OUT_TransportEnergyCons!$A$3:$A$1000)*1,("var_fout"=[1]OUT_TransportEnergyCons!$B$3:$B$1000)*1,ISNUMBER(SEARCH("TPCAR",[1]OUT_TransportEnergyCons!$C$3:$C$1000))*1,[1]OUT_TransportEnergyCons!F$3:F$1000)</f>
        <v>4.0344430242767784</v>
      </c>
      <c r="I1217" s="1" cm="1">
        <f t="array" ref="I1217">SUMPRODUCT(("T_C-BAT-ELC-S3"=[1]OUT_TransportEnergyCons!$A$3:$A$1000)*1,("var_fout"=[1]OUT_TransportEnergyCons!$B$3:$B$1000)*1,ISNUMBER(SEARCH("TPCAR",[1]OUT_TransportEnergyCons!$C$3:$C$1000))*1,[1]OUT_TransportEnergyCons!G$3:G$1000)</f>
        <v>3.5453995213749168</v>
      </c>
      <c r="J1217" s="1" cm="1">
        <f t="array" ref="J1217">SUMPRODUCT(("T_C-BAT-ELC-S3"=[1]OUT_TransportEnergyCons!$A$3:$A$1000)*1,("var_fout"=[1]OUT_TransportEnergyCons!$B$3:$B$1000)*1,ISNUMBER(SEARCH("TPCAR",[1]OUT_TransportEnergyCons!$C$3:$C$1000))*1,[1]OUT_TransportEnergyCons!H$3:H$1000)</f>
        <v>3.935322346759258</v>
      </c>
      <c r="K1217" s="1" cm="1">
        <f t="array" ref="K1217">SUMPRODUCT(("T_C-BAT-ELC-S3"=[1]OUT_TransportEnergyCons!$A$3:$A$1000)*1,("var_fout"=[1]OUT_TransportEnergyCons!$B$3:$B$1000)*1,ISNUMBER(SEARCH("TPCAR",[1]OUT_TransportEnergyCons!$C$3:$C$1000))*1,[1]OUT_TransportEnergyCons!I$3:I$1000)</f>
        <v>8.3375249796610831</v>
      </c>
      <c r="L1217" s="1" cm="1">
        <f t="array" ref="L1217">SUMPRODUCT(("T_C-BAT-ELC-S3"=[1]OUT_TransportEnergyCons!$A$3:$A$1000)*1,("var_fout"=[1]OUT_TransportEnergyCons!$B$3:$B$1000)*1,ISNUMBER(SEARCH("TPCAR",[1]OUT_TransportEnergyCons!$C$3:$C$1000))*1,[1]OUT_TransportEnergyCons!J$3:J$1000)</f>
        <v>7.91955404300918</v>
      </c>
      <c r="M1217" s="1" cm="1">
        <f t="array" ref="M1217">SUMPRODUCT(("T_C-BAT-ELC-S3"=[1]OUT_TransportEnergyCons!$A$3:$A$1000)*1,("var_fout"=[1]OUT_TransportEnergyCons!$B$3:$B$1000)*1,ISNUMBER(SEARCH("TPCAR",[1]OUT_TransportEnergyCons!$C$3:$C$1000))*1,[1]OUT_TransportEnergyCons!K$3:K$1000)</f>
        <v>14.143703992084706</v>
      </c>
      <c r="N1217" s="1" cm="1">
        <f t="array" ref="N1217">SUMPRODUCT(("T_C-BAT-ELC-S3"=[1]OUT_TransportEnergyCons!$A$3:$A$1000)*1,("var_fout"=[1]OUT_TransportEnergyCons!$B$3:$B$1000)*1,ISNUMBER(SEARCH("TPCAR",[1]OUT_TransportEnergyCons!$C$3:$C$1000))*1,[1]OUT_TransportEnergyCons!L$3:L$1000)</f>
        <v>15.145225828410396</v>
      </c>
      <c r="O1217" s="1" cm="1">
        <f t="array" ref="O1217">SUMPRODUCT(("T_C-BAT-ELC-S3"=[1]OUT_TransportEnergyCons!$A$3:$A$1000)*1,("var_fout"=[1]OUT_TransportEnergyCons!$B$3:$B$1000)*1,ISNUMBER(SEARCH("TPCAR",[1]OUT_TransportEnergyCons!$C$3:$C$1000))*1,[1]OUT_TransportEnergyCons!M$3:M$1000)</f>
        <v>16.917690783811114</v>
      </c>
      <c r="P1217" s="1" cm="1">
        <f t="array" ref="P1217">SUMPRODUCT(("T_C-BAT-ELC-S3"=[1]OUT_TransportEnergyCons!$A$3:$A$1000)*1,("var_fout"=[1]OUT_TransportEnergyCons!$B$3:$B$1000)*1,ISNUMBER(SEARCH("TPCAR",[1]OUT_TransportEnergyCons!$C$3:$C$1000))*1,[1]OUT_TransportEnergyCons!N$3:N$1000)</f>
        <v>24.057903995573895</v>
      </c>
      <c r="Q1217" s="1" cm="1">
        <f t="array" ref="Q1217">SUMPRODUCT(("T_C-BAT-ELC-S3"=[1]OUT_TransportEnergyCons!$A$3:$A$1000)*1,("var_fout"=[1]OUT_TransportEnergyCons!$B$3:$B$1000)*1,ISNUMBER(SEARCH("TPCAR",[1]OUT_TransportEnergyCons!$C$3:$C$1000))*1,[1]OUT_TransportEnergyCons!O$3:O$1000)</f>
        <v>19.684233411749538</v>
      </c>
      <c r="S1217" s="3"/>
    </row>
    <row r="1218" spans="2:19" x14ac:dyDescent="0.5">
      <c r="B1218" s="5" t="str">
        <f t="shared" ref="B1218:B1264" si="1401">B1217</f>
        <v>SPS1</v>
      </c>
      <c r="C1218" s="5" t="str">
        <f t="shared" ref="C1218:C1264" si="1402">C1217</f>
        <v>CH</v>
      </c>
      <c r="D1218" t="s">
        <v>1137</v>
      </c>
      <c r="E1218" t="str">
        <f t="shared" si="1400"/>
        <v>billion km/yr.</v>
      </c>
      <c r="F1218" s="1" cm="1">
        <f t="array" ref="F1218">SUMPRODUCT(("T_C-BAT-ELC-S4"=[1]OUT_TransportEnergyCons!$A$3:$A$1000)*1,("var_fout"=[1]OUT_TransportEnergyCons!$B$3:$B$1000)*1,ISNUMBER(SEARCH("TPCAR",[1]OUT_TransportEnergyCons!$C$3:$C$1000))*1,[1]OUT_TransportEnergyCons!D$3:D$1000)</f>
        <v>0.19333074810467954</v>
      </c>
      <c r="G1218" s="1" cm="1">
        <f t="array" ref="G1218">SUMPRODUCT(("T_C-BAT-ELC-S4"=[1]OUT_TransportEnergyCons!$A$3:$A$1000)*1,("var_fout"=[1]OUT_TransportEnergyCons!$B$3:$B$1000)*1,ISNUMBER(SEARCH("TPCAR",[1]OUT_TransportEnergyCons!$C$3:$C$1000))*1,[1]OUT_TransportEnergyCons!E$3:E$1000)</f>
        <v>1.2651232419183989</v>
      </c>
      <c r="H1218" s="1" cm="1">
        <f t="array" ref="H1218">SUMPRODUCT(("T_C-BAT-ELC-S4"=[1]OUT_TransportEnergyCons!$A$3:$A$1000)*1,("var_fout"=[1]OUT_TransportEnergyCons!$B$3:$B$1000)*1,ISNUMBER(SEARCH("TPCAR",[1]OUT_TransportEnergyCons!$C$3:$C$1000))*1,[1]OUT_TransportEnergyCons!F$3:F$1000)</f>
        <v>1.3151055262812861</v>
      </c>
      <c r="I1218" s="1" cm="1">
        <f t="array" ref="I1218">SUMPRODUCT(("T_C-BAT-ELC-S4"=[1]OUT_TransportEnergyCons!$A$3:$A$1000)*1,("var_fout"=[1]OUT_TransportEnergyCons!$B$3:$B$1000)*1,ISNUMBER(SEARCH("TPCAR",[1]OUT_TransportEnergyCons!$C$3:$C$1000))*1,[1]OUT_TransportEnergyCons!G$3:G$1000)</f>
        <v>11.259082162614709</v>
      </c>
      <c r="J1218" s="1" cm="1">
        <f t="array" ref="J1218">SUMPRODUCT(("T_C-BAT-ELC-S4"=[1]OUT_TransportEnergyCons!$A$3:$A$1000)*1,("var_fout"=[1]OUT_TransportEnergyCons!$B$3:$B$1000)*1,ISNUMBER(SEARCH("TPCAR",[1]OUT_TransportEnergyCons!$C$3:$C$1000))*1,[1]OUT_TransportEnergyCons!H$3:H$1000)</f>
        <v>19.408596535435251</v>
      </c>
      <c r="K1218" s="1" cm="1">
        <f t="array" ref="K1218">SUMPRODUCT(("T_C-BAT-ELC-S4"=[1]OUT_TransportEnergyCons!$A$3:$A$1000)*1,("var_fout"=[1]OUT_TransportEnergyCons!$B$3:$B$1000)*1,ISNUMBER(SEARCH("TPCAR",[1]OUT_TransportEnergyCons!$C$3:$C$1000))*1,[1]OUT_TransportEnergyCons!I$3:I$1000)</f>
        <v>22.036947185304783</v>
      </c>
      <c r="L1218" s="1" cm="1">
        <f t="array" ref="L1218">SUMPRODUCT(("T_C-BAT-ELC-S4"=[1]OUT_TransportEnergyCons!$A$3:$A$1000)*1,("var_fout"=[1]OUT_TransportEnergyCons!$B$3:$B$1000)*1,ISNUMBER(SEARCH("TPCAR",[1]OUT_TransportEnergyCons!$C$3:$C$1000))*1,[1]OUT_TransportEnergyCons!J$3:J$1000)</f>
        <v>21.736598254371703</v>
      </c>
      <c r="M1218" s="1" cm="1">
        <f t="array" ref="M1218">SUMPRODUCT(("T_C-BAT-ELC-S4"=[1]OUT_TransportEnergyCons!$A$3:$A$1000)*1,("var_fout"=[1]OUT_TransportEnergyCons!$B$3:$B$1000)*1,ISNUMBER(SEARCH("TPCAR",[1]OUT_TransportEnergyCons!$C$3:$C$1000))*1,[1]OUT_TransportEnergyCons!K$3:K$1000)</f>
        <v>22.301339192298194</v>
      </c>
      <c r="N1218" s="1" cm="1">
        <f t="array" ref="N1218">SUMPRODUCT(("T_C-BAT-ELC-S4"=[1]OUT_TransportEnergyCons!$A$3:$A$1000)*1,("var_fout"=[1]OUT_TransportEnergyCons!$B$3:$B$1000)*1,ISNUMBER(SEARCH("TPCAR",[1]OUT_TransportEnergyCons!$C$3:$C$1000))*1,[1]OUT_TransportEnergyCons!L$3:L$1000)</f>
        <v>21.389464215505367</v>
      </c>
      <c r="O1218" s="1" cm="1">
        <f t="array" ref="O1218">SUMPRODUCT(("T_C-BAT-ELC-S4"=[1]OUT_TransportEnergyCons!$A$3:$A$1000)*1,("var_fout"=[1]OUT_TransportEnergyCons!$B$3:$B$1000)*1,ISNUMBER(SEARCH("TPCAR",[1]OUT_TransportEnergyCons!$C$3:$C$1000))*1,[1]OUT_TransportEnergyCons!M$3:M$1000)</f>
        <v>19.630589886297827</v>
      </c>
      <c r="P1218" s="1" cm="1">
        <f t="array" ref="P1218">SUMPRODUCT(("T_C-BAT-ELC-S4"=[1]OUT_TransportEnergyCons!$A$3:$A$1000)*1,("var_fout"=[1]OUT_TransportEnergyCons!$B$3:$B$1000)*1,ISNUMBER(SEARCH("TPCAR",[1]OUT_TransportEnergyCons!$C$3:$C$1000))*1,[1]OUT_TransportEnergyCons!N$3:N$1000)</f>
        <v>12.542992428320558</v>
      </c>
      <c r="Q1218" s="1" cm="1">
        <f t="array" ref="Q1218">SUMPRODUCT(("T_C-BAT-ELC-S4"=[1]OUT_TransportEnergyCons!$A$3:$A$1000)*1,("var_fout"=[1]OUT_TransportEnergyCons!$B$3:$B$1000)*1,ISNUMBER(SEARCH("TPCAR",[1]OUT_TransportEnergyCons!$C$3:$C$1000))*1,[1]OUT_TransportEnergyCons!O$3:O$1000)</f>
        <v>17.051478043556187</v>
      </c>
      <c r="S1218" s="3"/>
    </row>
    <row r="1219" spans="2:19" x14ac:dyDescent="0.5">
      <c r="B1219" s="5" t="str">
        <f t="shared" si="1401"/>
        <v>SPS1</v>
      </c>
      <c r="C1219" s="5" t="str">
        <f t="shared" si="1402"/>
        <v>CH</v>
      </c>
      <c r="D1219" t="s">
        <v>1138</v>
      </c>
      <c r="E1219" t="str">
        <f t="shared" si="1400"/>
        <v>billion km/yr.</v>
      </c>
      <c r="F1219" s="1" cm="1">
        <f t="array" ref="F1219">SUMPRODUCT(("T_C-PEV-GSL-S1"=[1]OUT_TransportEnergyCons!$A$3:$A$1000)*1,("var_fout"=[1]OUT_TransportEnergyCons!$B$3:$B$1000)*1,ISNUMBER(SEARCH("TPCAR",[1]OUT_TransportEnergyCons!$C$3:$C$1000))*1,[1]OUT_TransportEnergyCons!D$3:D$1000)</f>
        <v>3.6284850570389595E-4</v>
      </c>
      <c r="G1219" s="1" cm="1">
        <f t="array" ref="G1219">SUMPRODUCT(("T_C-PEV-GSL-S1"=[1]OUT_TransportEnergyCons!$A$3:$A$1000)*1,("var_fout"=[1]OUT_TransportEnergyCons!$B$3:$B$1000)*1,ISNUMBER(SEARCH("TPCAR",[1]OUT_TransportEnergyCons!$C$3:$C$1000))*1,[1]OUT_TransportEnergyCons!E$3:E$1000)</f>
        <v>2.8050182275875424E-3</v>
      </c>
      <c r="H1219" s="1" cm="1">
        <f t="array" ref="H1219">SUMPRODUCT(("T_C-PEV-GSL-S1"=[1]OUT_TransportEnergyCons!$A$3:$A$1000)*1,("var_fout"=[1]OUT_TransportEnergyCons!$B$3:$B$1000)*1,ISNUMBER(SEARCH("TPCAR",[1]OUT_TransportEnergyCons!$C$3:$C$1000))*1,[1]OUT_TransportEnergyCons!F$3:F$1000)</f>
        <v>3.689174596665679E-3</v>
      </c>
      <c r="I1219" s="1" cm="1">
        <f t="array" ref="I1219">SUMPRODUCT(("T_C-PEV-GSL-S1"=[1]OUT_TransportEnergyCons!$A$3:$A$1000)*1,("var_fout"=[1]OUT_TransportEnergyCons!$B$3:$B$1000)*1,ISNUMBER(SEARCH("TPCAR",[1]OUT_TransportEnergyCons!$C$3:$C$1000))*1,[1]OUT_TransportEnergyCons!G$3:G$1000)</f>
        <v>3.7042703767910141E-3</v>
      </c>
      <c r="J1219" s="1" cm="1">
        <f t="array" ref="J1219">SUMPRODUCT(("T_C-PEV-GSL-S1"=[1]OUT_TransportEnergyCons!$A$3:$A$1000)*1,("var_fout"=[1]OUT_TransportEnergyCons!$B$3:$B$1000)*1,ISNUMBER(SEARCH("TPCAR",[1]OUT_TransportEnergyCons!$C$3:$C$1000))*1,[1]OUT_TransportEnergyCons!H$3:H$1000)</f>
        <v>4.1456958258735922E-3</v>
      </c>
      <c r="K1219" s="1" cm="1">
        <f t="array" ref="K1219">SUMPRODUCT(("T_C-PEV-GSL-S1"=[1]OUT_TransportEnergyCons!$A$3:$A$1000)*1,("var_fout"=[1]OUT_TransportEnergyCons!$B$3:$B$1000)*1,ISNUMBER(SEARCH("TPCAR",[1]OUT_TransportEnergyCons!$C$3:$C$1000))*1,[1]OUT_TransportEnergyCons!I$3:I$1000)</f>
        <v>2.5642503054851503E-3</v>
      </c>
      <c r="L1219" s="1" cm="1">
        <f t="array" ref="L1219">SUMPRODUCT(("T_C-PEV-GSL-S1"=[1]OUT_TransportEnergyCons!$A$3:$A$1000)*1,("var_fout"=[1]OUT_TransportEnergyCons!$B$3:$B$1000)*1,ISNUMBER(SEARCH("TPCAR",[1]OUT_TransportEnergyCons!$C$3:$C$1000))*1,[1]OUT_TransportEnergyCons!J$3:J$1000)</f>
        <v>2.370952922402178E-3</v>
      </c>
      <c r="M1219" s="1" cm="1">
        <f t="array" ref="M1219">SUMPRODUCT(("T_C-PEV-GSL-S1"=[1]OUT_TransportEnergyCons!$A$3:$A$1000)*1,("var_fout"=[1]OUT_TransportEnergyCons!$B$3:$B$1000)*1,ISNUMBER(SEARCH("TPCAR",[1]OUT_TransportEnergyCons!$C$3:$C$1000))*1,[1]OUT_TransportEnergyCons!K$3:K$1000)</f>
        <v>1.0532956533988091E-3</v>
      </c>
      <c r="N1219" s="1" cm="1">
        <f t="array" ref="N1219">SUMPRODUCT(("T_C-PEV-GSL-S1"=[1]OUT_TransportEnergyCons!$A$3:$A$1000)*1,("var_fout"=[1]OUT_TransportEnergyCons!$B$3:$B$1000)*1,ISNUMBER(SEARCH("TPCAR",[1]OUT_TransportEnergyCons!$C$3:$C$1000))*1,[1]OUT_TransportEnergyCons!L$3:L$1000)</f>
        <v>7.0221742353817097E-3</v>
      </c>
      <c r="O1219" s="1" cm="1">
        <f t="array" ref="O1219">SUMPRODUCT(("T_C-PEV-GSL-S1"=[1]OUT_TransportEnergyCons!$A$3:$A$1000)*1,("var_fout"=[1]OUT_TransportEnergyCons!$B$3:$B$1000)*1,ISNUMBER(SEARCH("TPCAR",[1]OUT_TransportEnergyCons!$C$3:$C$1000))*1,[1]OUT_TransportEnergyCons!M$3:M$1000)</f>
        <v>1.2436111035150616E-2</v>
      </c>
      <c r="P1219" s="1" cm="1">
        <f t="array" ref="P1219">SUMPRODUCT(("T_C-PEV-GSL-S1"=[1]OUT_TransportEnergyCons!$A$3:$A$1000)*1,("var_fout"=[1]OUT_TransportEnergyCons!$B$3:$B$1000)*1,ISNUMBER(SEARCH("TPCAR",[1]OUT_TransportEnergyCons!$C$3:$C$1000))*1,[1]OUT_TransportEnergyCons!N$3:N$1000)</f>
        <v>1.5159900931716876E-2</v>
      </c>
      <c r="Q1219" s="1" cm="1">
        <f t="array" ref="Q1219">SUMPRODUCT(("T_C-PEV-GSL-S1"=[1]OUT_TransportEnergyCons!$A$3:$A$1000)*1,("var_fout"=[1]OUT_TransportEnergyCons!$B$3:$B$1000)*1,ISNUMBER(SEARCH("TPCAR",[1]OUT_TransportEnergyCons!$C$3:$C$1000))*1,[1]OUT_TransportEnergyCons!O$3:O$1000)</f>
        <v>1.9014543789446475E-2</v>
      </c>
      <c r="S1219" s="3"/>
    </row>
    <row r="1220" spans="2:19" x14ac:dyDescent="0.5">
      <c r="B1220" s="5" t="str">
        <f t="shared" si="1401"/>
        <v>SPS1</v>
      </c>
      <c r="C1220" s="5" t="str">
        <f t="shared" si="1402"/>
        <v>CH</v>
      </c>
      <c r="D1220" t="s">
        <v>1139</v>
      </c>
      <c r="E1220" t="str">
        <f t="shared" si="1400"/>
        <v>billion km/yr.</v>
      </c>
      <c r="F1220" s="1" cm="1">
        <f t="array" ref="F1220">SUMPRODUCT(("T_C-PEV-GSL-S2"=[1]OUT_TransportEnergyCons!$A$3:$A$1000)*1,("var_fout"=[1]OUT_TransportEnergyCons!$B$3:$B$1000)*1,ISNUMBER(SEARCH("TPCAR",[1]OUT_TransportEnergyCons!$C$3:$C$1000))*1,[1]OUT_TransportEnergyCons!D$3:D$1000)</f>
        <v>5.3644239974224975E-2</v>
      </c>
      <c r="G1220" s="1" cm="1">
        <f t="array" ref="G1220">SUMPRODUCT(("T_C-PEV-GSL-S2"=[1]OUT_TransportEnergyCons!$A$3:$A$1000)*1,("var_fout"=[1]OUT_TransportEnergyCons!$B$3:$B$1000)*1,ISNUMBER(SEARCH("TPCAR",[1]OUT_TransportEnergyCons!$C$3:$C$1000))*1,[1]OUT_TransportEnergyCons!E$3:E$1000)</f>
        <v>9.9612254812176129E-2</v>
      </c>
      <c r="H1220" s="1" cm="1">
        <f t="array" ref="H1220">SUMPRODUCT(("T_C-PEV-GSL-S2"=[1]OUT_TransportEnergyCons!$A$3:$A$1000)*1,("var_fout"=[1]OUT_TransportEnergyCons!$B$3:$B$1000)*1,ISNUMBER(SEARCH("TPCAR",[1]OUT_TransportEnergyCons!$C$3:$C$1000))*1,[1]OUT_TransportEnergyCons!F$3:F$1000)</f>
        <v>9.7175544105417525E-2</v>
      </c>
      <c r="I1220" s="1" cm="1">
        <f t="array" ref="I1220">SUMPRODUCT(("T_C-PEV-GSL-S2"=[1]OUT_TransportEnergyCons!$A$3:$A$1000)*1,("var_fout"=[1]OUT_TransportEnergyCons!$B$3:$B$1000)*1,ISNUMBER(SEARCH("TPCAR",[1]OUT_TransportEnergyCons!$C$3:$C$1000))*1,[1]OUT_TransportEnergyCons!G$3:G$1000)</f>
        <v>0.22602926573664092</v>
      </c>
      <c r="J1220" s="1" cm="1">
        <f t="array" ref="J1220">SUMPRODUCT(("T_C-PEV-GSL-S2"=[1]OUT_TransportEnergyCons!$A$3:$A$1000)*1,("var_fout"=[1]OUT_TransportEnergyCons!$B$3:$B$1000)*1,ISNUMBER(SEARCH("TPCAR",[1]OUT_TransportEnergyCons!$C$3:$C$1000))*1,[1]OUT_TransportEnergyCons!H$3:H$1000)</f>
        <v>0.10200162551097797</v>
      </c>
      <c r="K1220" s="1" cm="1">
        <f t="array" ref="K1220">SUMPRODUCT(("T_C-PEV-GSL-S2"=[1]OUT_TransportEnergyCons!$A$3:$A$1000)*1,("var_fout"=[1]OUT_TransportEnergyCons!$B$3:$B$1000)*1,ISNUMBER(SEARCH("TPCAR",[1]OUT_TransportEnergyCons!$C$3:$C$1000))*1,[1]OUT_TransportEnergyCons!I$3:I$1000)</f>
        <v>5.5161864216045853E-2</v>
      </c>
      <c r="L1220" s="1" cm="1">
        <f t="array" ref="L1220">SUMPRODUCT(("T_C-PEV-GSL-S2"=[1]OUT_TransportEnergyCons!$A$3:$A$1000)*1,("var_fout"=[1]OUT_TransportEnergyCons!$B$3:$B$1000)*1,ISNUMBER(SEARCH("TPCAR",[1]OUT_TransportEnergyCons!$C$3:$C$1000))*1,[1]OUT_TransportEnergyCons!J$3:J$1000)</f>
        <v>7.3594471709577452E-3</v>
      </c>
      <c r="M1220" s="1" cm="1">
        <f t="array" ref="M1220">SUMPRODUCT(("T_C-PEV-GSL-S2"=[1]OUT_TransportEnergyCons!$A$3:$A$1000)*1,("var_fout"=[1]OUT_TransportEnergyCons!$B$3:$B$1000)*1,ISNUMBER(SEARCH("TPCAR",[1]OUT_TransportEnergyCons!$C$3:$C$1000))*1,[1]OUT_TransportEnergyCons!K$3:K$1000)</f>
        <v>5.3583422963706228E-3</v>
      </c>
      <c r="N1220" s="1" cm="1">
        <f t="array" ref="N1220">SUMPRODUCT(("T_C-PEV-GSL-S2"=[1]OUT_TransportEnergyCons!$A$3:$A$1000)*1,("var_fout"=[1]OUT_TransportEnergyCons!$B$3:$B$1000)*1,ISNUMBER(SEARCH("TPCAR",[1]OUT_TransportEnergyCons!$C$3:$C$1000))*1,[1]OUT_TransportEnergyCons!L$3:L$1000)</f>
        <v>2.2877107490597431E-2</v>
      </c>
      <c r="O1220" s="1" cm="1">
        <f t="array" ref="O1220">SUMPRODUCT(("T_C-PEV-GSL-S2"=[1]OUT_TransportEnergyCons!$A$3:$A$1000)*1,("var_fout"=[1]OUT_TransportEnergyCons!$B$3:$B$1000)*1,ISNUMBER(SEARCH("TPCAR",[1]OUT_TransportEnergyCons!$C$3:$C$1000))*1,[1]OUT_TransportEnergyCons!M$3:M$1000)</f>
        <v>2.368133309759915E-2</v>
      </c>
      <c r="P1220" s="1" cm="1">
        <f t="array" ref="P1220">SUMPRODUCT(("T_C-PEV-GSL-S2"=[1]OUT_TransportEnergyCons!$A$3:$A$1000)*1,("var_fout"=[1]OUT_TransportEnergyCons!$B$3:$B$1000)*1,ISNUMBER(SEARCH("TPCAR",[1]OUT_TransportEnergyCons!$C$3:$C$1000))*1,[1]OUT_TransportEnergyCons!N$3:N$1000)</f>
        <v>1.9643713399361655E-2</v>
      </c>
      <c r="Q1220" s="1" cm="1">
        <f t="array" ref="Q1220">SUMPRODUCT(("T_C-PEV-GSL-S2"=[1]OUT_TransportEnergyCons!$A$3:$A$1000)*1,("var_fout"=[1]OUT_TransportEnergyCons!$B$3:$B$1000)*1,ISNUMBER(SEARCH("TPCAR",[1]OUT_TransportEnergyCons!$C$3:$C$1000))*1,[1]OUT_TransportEnergyCons!O$3:O$1000)</f>
        <v>1.0579545169849125E-2</v>
      </c>
      <c r="S1220" s="3"/>
    </row>
    <row r="1221" spans="2:19" x14ac:dyDescent="0.5">
      <c r="B1221" s="5" t="str">
        <f t="shared" si="1401"/>
        <v>SPS1</v>
      </c>
      <c r="C1221" s="5" t="str">
        <f t="shared" si="1402"/>
        <v>CH</v>
      </c>
      <c r="D1221" t="s">
        <v>1140</v>
      </c>
      <c r="E1221" t="str">
        <f t="shared" si="1400"/>
        <v>billion km/yr.</v>
      </c>
      <c r="F1221" s="1" cm="1">
        <f t="array" ref="F1221">SUMPRODUCT(("T_C-PEV-GSL-S3"=[1]OUT_TransportEnergyCons!$A$3:$A$1000)*1,("var_fout"=[1]OUT_TransportEnergyCons!$B$3:$B$1000)*1,ISNUMBER(SEARCH("TPCAR",[1]OUT_TransportEnergyCons!$C$3:$C$1000))*1,[1]OUT_TransportEnergyCons!D$3:D$1000)</f>
        <v>4.6613467063120861E-2</v>
      </c>
      <c r="G1221" s="1" cm="1">
        <f t="array" ref="G1221">SUMPRODUCT(("T_C-PEV-GSL-S3"=[1]OUT_TransportEnergyCons!$A$3:$A$1000)*1,("var_fout"=[1]OUT_TransportEnergyCons!$B$3:$B$1000)*1,ISNUMBER(SEARCH("TPCAR",[1]OUT_TransportEnergyCons!$C$3:$C$1000))*1,[1]OUT_TransportEnergyCons!E$3:E$1000)</f>
        <v>0.17398593918157687</v>
      </c>
      <c r="H1221" s="1" cm="1">
        <f t="array" ref="H1221">SUMPRODUCT(("T_C-PEV-GSL-S3"=[1]OUT_TransportEnergyCons!$A$3:$A$1000)*1,("var_fout"=[1]OUT_TransportEnergyCons!$B$3:$B$1000)*1,ISNUMBER(SEARCH("TPCAR",[1]OUT_TransportEnergyCons!$C$3:$C$1000))*1,[1]OUT_TransportEnergyCons!F$3:F$1000)</f>
        <v>1.1849726570957964</v>
      </c>
      <c r="I1221" s="1" cm="1">
        <f t="array" ref="I1221">SUMPRODUCT(("T_C-PEV-GSL-S3"=[1]OUT_TransportEnergyCons!$A$3:$A$1000)*1,("var_fout"=[1]OUT_TransportEnergyCons!$B$3:$B$1000)*1,ISNUMBER(SEARCH("TPCAR",[1]OUT_TransportEnergyCons!$C$3:$C$1000))*1,[1]OUT_TransportEnergyCons!G$3:G$1000)</f>
        <v>2.9779438688738504</v>
      </c>
      <c r="J1221" s="1" cm="1">
        <f t="array" ref="J1221">SUMPRODUCT(("T_C-PEV-GSL-S3"=[1]OUT_TransportEnergyCons!$A$3:$A$1000)*1,("var_fout"=[1]OUT_TransportEnergyCons!$B$3:$B$1000)*1,ISNUMBER(SEARCH("TPCAR",[1]OUT_TransportEnergyCons!$C$3:$C$1000))*1,[1]OUT_TransportEnergyCons!H$3:H$1000)</f>
        <v>8.5074239924295512</v>
      </c>
      <c r="K1221" s="1" cm="1">
        <f t="array" ref="K1221">SUMPRODUCT(("T_C-PEV-GSL-S3"=[1]OUT_TransportEnergyCons!$A$3:$A$1000)*1,("var_fout"=[1]OUT_TransportEnergyCons!$B$3:$B$1000)*1,ISNUMBER(SEARCH("TPCAR",[1]OUT_TransportEnergyCons!$C$3:$C$1000))*1,[1]OUT_TransportEnergyCons!I$3:I$1000)</f>
        <v>6.5898715799518124</v>
      </c>
      <c r="L1221" s="1" cm="1">
        <f t="array" ref="L1221">SUMPRODUCT(("T_C-PEV-GSL-S3"=[1]OUT_TransportEnergyCons!$A$3:$A$1000)*1,("var_fout"=[1]OUT_TransportEnergyCons!$B$3:$B$1000)*1,ISNUMBER(SEARCH("TPCAR",[1]OUT_TransportEnergyCons!$C$3:$C$1000))*1,[1]OUT_TransportEnergyCons!J$3:J$1000)</f>
        <v>6.7780944758425887</v>
      </c>
      <c r="M1221" s="1" cm="1">
        <f t="array" ref="M1221">SUMPRODUCT(("T_C-PEV-GSL-S3"=[1]OUT_TransportEnergyCons!$A$3:$A$1000)*1,("var_fout"=[1]OUT_TransportEnergyCons!$B$3:$B$1000)*1,ISNUMBER(SEARCH("TPCAR",[1]OUT_TransportEnergyCons!$C$3:$C$1000))*1,[1]OUT_TransportEnergyCons!K$3:K$1000)</f>
        <v>2.5066223269624293</v>
      </c>
      <c r="N1221" s="1" cm="1">
        <f t="array" ref="N1221">SUMPRODUCT(("T_C-PEV-GSL-S3"=[1]OUT_TransportEnergyCons!$A$3:$A$1000)*1,("var_fout"=[1]OUT_TransportEnergyCons!$B$3:$B$1000)*1,ISNUMBER(SEARCH("TPCAR",[1]OUT_TransportEnergyCons!$C$3:$C$1000))*1,[1]OUT_TransportEnergyCons!L$3:L$1000)</f>
        <v>1.5913635064289793</v>
      </c>
      <c r="O1221" s="1" cm="1">
        <f t="array" ref="O1221">SUMPRODUCT(("T_C-PEV-GSL-S3"=[1]OUT_TransportEnergyCons!$A$3:$A$1000)*1,("var_fout"=[1]OUT_TransportEnergyCons!$B$3:$B$1000)*1,ISNUMBER(SEARCH("TPCAR",[1]OUT_TransportEnergyCons!$C$3:$C$1000))*1,[1]OUT_TransportEnergyCons!M$3:M$1000)</f>
        <v>5.1177709443213107E-2</v>
      </c>
      <c r="P1221" s="1" cm="1">
        <f t="array" ref="P1221">SUMPRODUCT(("T_C-PEV-GSL-S3"=[1]OUT_TransportEnergyCons!$A$3:$A$1000)*1,("var_fout"=[1]OUT_TransportEnergyCons!$B$3:$B$1000)*1,ISNUMBER(SEARCH("TPCAR",[1]OUT_TransportEnergyCons!$C$3:$C$1000))*1,[1]OUT_TransportEnergyCons!N$3:N$1000)</f>
        <v>4.4416363240558969E-2</v>
      </c>
      <c r="Q1221" s="1" cm="1">
        <f t="array" ref="Q1221">SUMPRODUCT(("T_C-PEV-GSL-S3"=[1]OUT_TransportEnergyCons!$A$3:$A$1000)*1,("var_fout"=[1]OUT_TransportEnergyCons!$B$3:$B$1000)*1,ISNUMBER(SEARCH("TPCAR",[1]OUT_TransportEnergyCons!$C$3:$C$1000))*1,[1]OUT_TransportEnergyCons!O$3:O$1000)</f>
        <v>2.2610913879910974E-2</v>
      </c>
      <c r="S1221" s="3"/>
    </row>
    <row r="1222" spans="2:19" x14ac:dyDescent="0.5">
      <c r="B1222" s="5" t="str">
        <f t="shared" si="1401"/>
        <v>SPS1</v>
      </c>
      <c r="C1222" s="5" t="str">
        <f t="shared" si="1402"/>
        <v>CH</v>
      </c>
      <c r="D1222" t="s">
        <v>1141</v>
      </c>
      <c r="E1222" t="str">
        <f t="shared" si="1400"/>
        <v>billion km/yr.</v>
      </c>
      <c r="F1222" s="1" cm="1">
        <f t="array" ref="F1222">SUMPRODUCT(("T_C-PEV-GSL-S4"=[1]OUT_TransportEnergyCons!$A$3:$A$1000)*1,("var_fout"=[1]OUT_TransportEnergyCons!$B$3:$B$1000)*1,ISNUMBER(SEARCH("TPCAR",[1]OUT_TransportEnergyCons!$C$3:$C$1000))*1,[1]OUT_TransportEnergyCons!D$3:D$1000)</f>
        <v>8.5631145853598781E-2</v>
      </c>
      <c r="G1222" s="1" cm="1">
        <f t="array" ref="G1222">SUMPRODUCT(("T_C-PEV-GSL-S4"=[1]OUT_TransportEnergyCons!$A$3:$A$1000)*1,("var_fout"=[1]OUT_TransportEnergyCons!$B$3:$B$1000)*1,ISNUMBER(SEARCH("TPCAR",[1]OUT_TransportEnergyCons!$C$3:$C$1000))*1,[1]OUT_TransportEnergyCons!E$3:E$1000)</f>
        <v>0.16252729758716916</v>
      </c>
      <c r="H1222" s="1" cm="1">
        <f t="array" ref="H1222">SUMPRODUCT(("T_C-PEV-GSL-S4"=[1]OUT_TransportEnergyCons!$A$3:$A$1000)*1,("var_fout"=[1]OUT_TransportEnergyCons!$B$3:$B$1000)*1,ISNUMBER(SEARCH("TPCAR",[1]OUT_TransportEnergyCons!$C$3:$C$1000))*1,[1]OUT_TransportEnergyCons!F$3:F$1000)</f>
        <v>0.16245528036409049</v>
      </c>
      <c r="I1222" s="1" cm="1">
        <f t="array" ref="I1222">SUMPRODUCT(("T_C-PEV-GSL-S4"=[1]OUT_TransportEnergyCons!$A$3:$A$1000)*1,("var_fout"=[1]OUT_TransportEnergyCons!$B$3:$B$1000)*1,ISNUMBER(SEARCH("TPCAR",[1]OUT_TransportEnergyCons!$C$3:$C$1000))*1,[1]OUT_TransportEnergyCons!G$3:G$1000)</f>
        <v>0.18412902459569042</v>
      </c>
      <c r="J1222" s="1" cm="1">
        <f t="array" ref="J1222">SUMPRODUCT(("T_C-PEV-GSL-S4"=[1]OUT_TransportEnergyCons!$A$3:$A$1000)*1,("var_fout"=[1]OUT_TransportEnergyCons!$B$3:$B$1000)*1,ISNUMBER(SEARCH("TPCAR",[1]OUT_TransportEnergyCons!$C$3:$C$1000))*1,[1]OUT_TransportEnergyCons!H$3:H$1000)</f>
        <v>7.8806657885704776E-2</v>
      </c>
      <c r="K1222" s="1" cm="1">
        <f t="array" ref="K1222">SUMPRODUCT(("T_C-PEV-GSL-S4"=[1]OUT_TransportEnergyCons!$A$3:$A$1000)*1,("var_fout"=[1]OUT_TransportEnergyCons!$B$3:$B$1000)*1,ISNUMBER(SEARCH("TPCAR",[1]OUT_TransportEnergyCons!$C$3:$C$1000))*1,[1]OUT_TransportEnergyCons!I$3:I$1000)</f>
        <v>2.6434867353652362E-2</v>
      </c>
      <c r="L1222" s="1" cm="1">
        <f t="array" ref="L1222">SUMPRODUCT(("T_C-PEV-GSL-S4"=[1]OUT_TransportEnergyCons!$A$3:$A$1000)*1,("var_fout"=[1]OUT_TransportEnergyCons!$B$3:$B$1000)*1,ISNUMBER(SEARCH("TPCAR",[1]OUT_TransportEnergyCons!$C$3:$C$1000))*1,[1]OUT_TransportEnergyCons!J$3:J$1000)</f>
        <v>1.0688092116539602E-2</v>
      </c>
      <c r="M1222" s="1" cm="1">
        <f t="array" ref="M1222">SUMPRODUCT(("T_C-PEV-GSL-S4"=[1]OUT_TransportEnergyCons!$A$3:$A$1000)*1,("var_fout"=[1]OUT_TransportEnergyCons!$B$3:$B$1000)*1,ISNUMBER(SEARCH("TPCAR",[1]OUT_TransportEnergyCons!$C$3:$C$1000))*1,[1]OUT_TransportEnergyCons!K$3:K$1000)</f>
        <v>7.2139501505560756E-3</v>
      </c>
      <c r="N1222" s="1" cm="1">
        <f t="array" ref="N1222">SUMPRODUCT(("T_C-PEV-GSL-S4"=[1]OUT_TransportEnergyCons!$A$3:$A$1000)*1,("var_fout"=[1]OUT_TransportEnergyCons!$B$3:$B$1000)*1,ISNUMBER(SEARCH("TPCAR",[1]OUT_TransportEnergyCons!$C$3:$C$1000))*1,[1]OUT_TransportEnergyCons!L$3:L$1000)</f>
        <v>0.78418335289545726</v>
      </c>
      <c r="O1222" s="1" cm="1">
        <f t="array" ref="O1222">SUMPRODUCT(("T_C-PEV-GSL-S4"=[1]OUT_TransportEnergyCons!$A$3:$A$1000)*1,("var_fout"=[1]OUT_TransportEnergyCons!$B$3:$B$1000)*1,ISNUMBER(SEARCH("TPCAR",[1]OUT_TransportEnergyCons!$C$3:$C$1000))*1,[1]OUT_TransportEnergyCons!M$3:M$1000)</f>
        <v>2.1990085889823323</v>
      </c>
      <c r="P1222" s="1" cm="1">
        <f t="array" ref="P1222">SUMPRODUCT(("T_C-PEV-GSL-S4"=[1]OUT_TransportEnergyCons!$A$3:$A$1000)*1,("var_fout"=[1]OUT_TransportEnergyCons!$B$3:$B$1000)*1,ISNUMBER(SEARCH("TPCAR",[1]OUT_TransportEnergyCons!$C$3:$C$1000))*1,[1]OUT_TransportEnergyCons!N$3:N$1000)</f>
        <v>2.1104698915134179</v>
      </c>
      <c r="Q1222" s="1" cm="1">
        <f t="array" ref="Q1222">SUMPRODUCT(("T_C-PEV-GSL-S4"=[1]OUT_TransportEnergyCons!$A$3:$A$1000)*1,("var_fout"=[1]OUT_TransportEnergyCons!$B$3:$B$1000)*1,ISNUMBER(SEARCH("TPCAR",[1]OUT_TransportEnergyCons!$C$3:$C$1000))*1,[1]OUT_TransportEnergyCons!O$3:O$1000)</f>
        <v>2.0401679848450192</v>
      </c>
      <c r="S1222" s="3"/>
    </row>
    <row r="1223" spans="2:19" x14ac:dyDescent="0.5">
      <c r="B1223" s="5" t="str">
        <f t="shared" si="1401"/>
        <v>SPS1</v>
      </c>
      <c r="C1223" s="5" t="str">
        <f t="shared" si="1402"/>
        <v>CH</v>
      </c>
      <c r="D1223" t="s">
        <v>1142</v>
      </c>
      <c r="E1223" t="str">
        <f t="shared" si="1400"/>
        <v>billion km/yr.</v>
      </c>
      <c r="F1223" s="1" cm="1">
        <f t="array" ref="F1223">SUMPRODUCT(("T_C-PEV-DSL-S1"=[1]OUT_TransportEnergyCons!$A$3:$A$1000)*1,("var_fout"=[1]OUT_TransportEnergyCons!$B$3:$B$1000)*1,ISNUMBER(SEARCH("TPCAR",[1]OUT_TransportEnergyCons!$C$3:$C$1000))*1,[1]OUT_TransportEnergyCons!D$3:D$1000)</f>
        <v>4.3490660314723688E-5</v>
      </c>
      <c r="G1223" s="1" cm="1">
        <f t="array" ref="G1223">SUMPRODUCT(("T_C-PEV-DSL-S1"=[1]OUT_TransportEnergyCons!$A$3:$A$1000)*1,("var_fout"=[1]OUT_TransportEnergyCons!$B$3:$B$1000)*1,ISNUMBER(SEARCH("TPCAR",[1]OUT_TransportEnergyCons!$C$3:$C$1000))*1,[1]OUT_TransportEnergyCons!E$3:E$1000)</f>
        <v>2.7762431929738399E-3</v>
      </c>
      <c r="H1223" s="1" cm="1">
        <f t="array" ref="H1223">SUMPRODUCT(("T_C-PEV-DSL-S1"=[1]OUT_TransportEnergyCons!$A$3:$A$1000)*1,("var_fout"=[1]OUT_TransportEnergyCons!$B$3:$B$1000)*1,ISNUMBER(SEARCH("TPCAR",[1]OUT_TransportEnergyCons!$C$3:$C$1000))*1,[1]OUT_TransportEnergyCons!F$3:F$1000)</f>
        <v>3.5277865879242919E-3</v>
      </c>
      <c r="I1223" s="1" cm="1">
        <f t="array" ref="I1223">SUMPRODUCT(("T_C-PEV-DSL-S1"=[1]OUT_TransportEnergyCons!$A$3:$A$1000)*1,("var_fout"=[1]OUT_TransportEnergyCons!$B$3:$B$1000)*1,ISNUMBER(SEARCH("TPCAR",[1]OUT_TransportEnergyCons!$C$3:$C$1000))*1,[1]OUT_TransportEnergyCons!G$3:G$1000)</f>
        <v>4.7140466158016592E-3</v>
      </c>
      <c r="J1223" s="1" cm="1">
        <f t="array" ref="J1223">SUMPRODUCT(("T_C-PEV-DSL-S1"=[1]OUT_TransportEnergyCons!$A$3:$A$1000)*1,("var_fout"=[1]OUT_TransportEnergyCons!$B$3:$B$1000)*1,ISNUMBER(SEARCH("TPCAR",[1]OUT_TransportEnergyCons!$C$3:$C$1000))*1,[1]OUT_TransportEnergyCons!H$3:H$1000)</f>
        <v>4.9903709357764624E-3</v>
      </c>
      <c r="K1223" s="1" cm="1">
        <f t="array" ref="K1223">SUMPRODUCT(("T_C-PEV-DSL-S1"=[1]OUT_TransportEnergyCons!$A$3:$A$1000)*1,("var_fout"=[1]OUT_TransportEnergyCons!$B$3:$B$1000)*1,ISNUMBER(SEARCH("TPCAR",[1]OUT_TransportEnergyCons!$C$3:$C$1000))*1,[1]OUT_TransportEnergyCons!I$3:I$1000)</f>
        <v>3.0335645959652237E-3</v>
      </c>
      <c r="L1223" s="1" cm="1">
        <f t="array" ref="L1223">SUMPRODUCT(("T_C-PEV-DSL-S1"=[1]OUT_TransportEnergyCons!$A$3:$A$1000)*1,("var_fout"=[1]OUT_TransportEnergyCons!$B$3:$B$1000)*1,ISNUMBER(SEARCH("TPCAR",[1]OUT_TransportEnergyCons!$C$3:$C$1000))*1,[1]OUT_TransportEnergyCons!J$3:J$1000)</f>
        <v>1.4789351804434098E-2</v>
      </c>
      <c r="M1223" s="1" cm="1">
        <f t="array" ref="M1223">SUMPRODUCT(("T_C-PEV-DSL-S1"=[1]OUT_TransportEnergyCons!$A$3:$A$1000)*1,("var_fout"=[1]OUT_TransportEnergyCons!$B$3:$B$1000)*1,ISNUMBER(SEARCH("TPCAR",[1]OUT_TransportEnergyCons!$C$3:$C$1000))*1,[1]OUT_TransportEnergyCons!K$3:K$1000)</f>
        <v>1.1879628140721564E-2</v>
      </c>
      <c r="N1223" s="1" cm="1">
        <f t="array" ref="N1223">SUMPRODUCT(("T_C-PEV-DSL-S1"=[1]OUT_TransportEnergyCons!$A$3:$A$1000)*1,("var_fout"=[1]OUT_TransportEnergyCons!$B$3:$B$1000)*1,ISNUMBER(SEARCH("TPCAR",[1]OUT_TransportEnergyCons!$C$3:$C$1000))*1,[1]OUT_TransportEnergyCons!L$3:L$1000)</f>
        <v>2.9410860486476339E-2</v>
      </c>
      <c r="O1223" s="1" cm="1">
        <f t="array" ref="O1223">SUMPRODUCT(("T_C-PEV-DSL-S1"=[1]OUT_TransportEnergyCons!$A$3:$A$1000)*1,("var_fout"=[1]OUT_TransportEnergyCons!$B$3:$B$1000)*1,ISNUMBER(SEARCH("TPCAR",[1]OUT_TransportEnergyCons!$C$3:$C$1000))*1,[1]OUT_TransportEnergyCons!M$3:M$1000)</f>
        <v>1.5858645114747156E-3</v>
      </c>
      <c r="P1223" s="1" cm="1">
        <f t="array" ref="P1223">SUMPRODUCT(("T_C-PEV-DSL-S1"=[1]OUT_TransportEnergyCons!$A$3:$A$1000)*1,("var_fout"=[1]OUT_TransportEnergyCons!$B$3:$B$1000)*1,ISNUMBER(SEARCH("TPCAR",[1]OUT_TransportEnergyCons!$C$3:$C$1000))*1,[1]OUT_TransportEnergyCons!N$3:N$1000)</f>
        <v>7.7769627877592869E-4</v>
      </c>
      <c r="Q1223" s="1" cm="1">
        <f t="array" ref="Q1223">SUMPRODUCT(("T_C-PEV-DSL-S1"=[1]OUT_TransportEnergyCons!$A$3:$A$1000)*1,("var_fout"=[1]OUT_TransportEnergyCons!$B$3:$B$1000)*1,ISNUMBER(SEARCH("TPCAR",[1]OUT_TransportEnergyCons!$C$3:$C$1000))*1,[1]OUT_TransportEnergyCons!O$3:O$1000)</f>
        <v>7.5649060987528782E-4</v>
      </c>
      <c r="S1223" s="3"/>
    </row>
    <row r="1224" spans="2:19" x14ac:dyDescent="0.5">
      <c r="B1224" s="5" t="str">
        <f t="shared" si="1401"/>
        <v>SPS1</v>
      </c>
      <c r="C1224" s="5" t="str">
        <f t="shared" si="1402"/>
        <v>CH</v>
      </c>
      <c r="D1224" t="s">
        <v>1143</v>
      </c>
      <c r="E1224" t="str">
        <f t="shared" si="1400"/>
        <v>billion km/yr.</v>
      </c>
      <c r="F1224" s="1" cm="1">
        <f t="array" ref="F1224">SUMPRODUCT(("T_C-PEV-DSL-S2"=[1]OUT_TransportEnergyCons!$A$3:$A$1000)*1,("var_fout"=[1]OUT_TransportEnergyCons!$B$3:$B$1000)*1,ISNUMBER(SEARCH("TPCAR",[1]OUT_TransportEnergyCons!$C$3:$C$1000))*1,[1]OUT_TransportEnergyCons!D$3:D$1000)</f>
        <v>3.1010713396573541E-5</v>
      </c>
      <c r="G1224" s="1" cm="1">
        <f t="array" ref="G1224">SUMPRODUCT(("T_C-PEV-DSL-S2"=[1]OUT_TransportEnergyCons!$A$3:$A$1000)*1,("var_fout"=[1]OUT_TransportEnergyCons!$B$3:$B$1000)*1,ISNUMBER(SEARCH("TPCAR",[1]OUT_TransportEnergyCons!$C$3:$C$1000))*1,[1]OUT_TransportEnergyCons!E$3:E$1000)</f>
        <v>1.7442649187500055E-3</v>
      </c>
      <c r="H1224" s="1" cm="1">
        <f t="array" ref="H1224">SUMPRODUCT(("T_C-PEV-DSL-S2"=[1]OUT_TransportEnergyCons!$A$3:$A$1000)*1,("var_fout"=[1]OUT_TransportEnergyCons!$B$3:$B$1000)*1,ISNUMBER(SEARCH("TPCAR",[1]OUT_TransportEnergyCons!$C$3:$C$1000))*1,[1]OUT_TransportEnergyCons!F$3:F$1000)</f>
        <v>3.0095548263106508E-3</v>
      </c>
      <c r="I1224" s="1" cm="1">
        <f t="array" ref="I1224">SUMPRODUCT(("T_C-PEV-DSL-S2"=[1]OUT_TransportEnergyCons!$A$3:$A$1000)*1,("var_fout"=[1]OUT_TransportEnergyCons!$B$3:$B$1000)*1,ISNUMBER(SEARCH("TPCAR",[1]OUT_TransportEnergyCons!$C$3:$C$1000))*1,[1]OUT_TransportEnergyCons!G$3:G$1000)</f>
        <v>1.546628413689459</v>
      </c>
      <c r="J1224" s="1" cm="1">
        <f t="array" ref="J1224">SUMPRODUCT(("T_C-PEV-DSL-S2"=[1]OUT_TransportEnergyCons!$A$3:$A$1000)*1,("var_fout"=[1]OUT_TransportEnergyCons!$B$3:$B$1000)*1,ISNUMBER(SEARCH("TPCAR",[1]OUT_TransportEnergyCons!$C$3:$C$1000))*1,[1]OUT_TransportEnergyCons!H$3:H$1000)</f>
        <v>1.1956916099003234</v>
      </c>
      <c r="K1224" s="1" cm="1">
        <f t="array" ref="K1224">SUMPRODUCT(("T_C-PEV-DSL-S2"=[1]OUT_TransportEnergyCons!$A$3:$A$1000)*1,("var_fout"=[1]OUT_TransportEnergyCons!$B$3:$B$1000)*1,ISNUMBER(SEARCH("TPCAR",[1]OUT_TransportEnergyCons!$C$3:$C$1000))*1,[1]OUT_TransportEnergyCons!I$3:I$1000)</f>
        <v>0.69982929614645839</v>
      </c>
      <c r="L1224" s="1" cm="1">
        <f t="array" ref="L1224">SUMPRODUCT(("T_C-PEV-DSL-S2"=[1]OUT_TransportEnergyCons!$A$3:$A$1000)*1,("var_fout"=[1]OUT_TransportEnergyCons!$B$3:$B$1000)*1,ISNUMBER(SEARCH("TPCAR",[1]OUT_TransportEnergyCons!$C$3:$C$1000))*1,[1]OUT_TransportEnergyCons!J$3:J$1000)</f>
        <v>6.169022591200924E-2</v>
      </c>
      <c r="M1224" s="1" cm="1">
        <f t="array" ref="M1224">SUMPRODUCT(("T_C-PEV-DSL-S2"=[1]OUT_TransportEnergyCons!$A$3:$A$1000)*1,("var_fout"=[1]OUT_TransportEnergyCons!$B$3:$B$1000)*1,ISNUMBER(SEARCH("TPCAR",[1]OUT_TransportEnergyCons!$C$3:$C$1000))*1,[1]OUT_TransportEnergyCons!K$3:K$1000)</f>
        <v>5.1387857160310496E-2</v>
      </c>
      <c r="N1224" s="1" cm="1">
        <f t="array" ref="N1224">SUMPRODUCT(("T_C-PEV-DSL-S2"=[1]OUT_TransportEnergyCons!$A$3:$A$1000)*1,("var_fout"=[1]OUT_TransportEnergyCons!$B$3:$B$1000)*1,ISNUMBER(SEARCH("TPCAR",[1]OUT_TransportEnergyCons!$C$3:$C$1000))*1,[1]OUT_TransportEnergyCons!L$3:L$1000)</f>
        <v>3.4674837854618987E-2</v>
      </c>
      <c r="O1224" s="1" cm="1">
        <f t="array" ref="O1224">SUMPRODUCT(("T_C-PEV-DSL-S2"=[1]OUT_TransportEnergyCons!$A$3:$A$1000)*1,("var_fout"=[1]OUT_TransportEnergyCons!$B$3:$B$1000)*1,ISNUMBER(SEARCH("TPCAR",[1]OUT_TransportEnergyCons!$C$3:$C$1000))*1,[1]OUT_TransportEnergyCons!M$3:M$1000)</f>
        <v>2.1207429163805796E-3</v>
      </c>
      <c r="P1224" s="1" cm="1">
        <f t="array" ref="P1224">SUMPRODUCT(("T_C-PEV-DSL-S2"=[1]OUT_TransportEnergyCons!$A$3:$A$1000)*1,("var_fout"=[1]OUT_TransportEnergyCons!$B$3:$B$1000)*1,ISNUMBER(SEARCH("TPCAR",[1]OUT_TransportEnergyCons!$C$3:$C$1000))*1,[1]OUT_TransportEnergyCons!N$3:N$1000)</f>
        <v>1.8647828709891271E-3</v>
      </c>
      <c r="Q1224" s="1" cm="1">
        <f t="array" ref="Q1224">SUMPRODUCT(("T_C-PEV-DSL-S2"=[1]OUT_TransportEnergyCons!$A$3:$A$1000)*1,("var_fout"=[1]OUT_TransportEnergyCons!$B$3:$B$1000)*1,ISNUMBER(SEARCH("TPCAR",[1]OUT_TransportEnergyCons!$C$3:$C$1000))*1,[1]OUT_TransportEnergyCons!O$3:O$1000)</f>
        <v>1.2149312563387062E-3</v>
      </c>
      <c r="S1224" s="3"/>
    </row>
    <row r="1225" spans="2:19" x14ac:dyDescent="0.5">
      <c r="B1225" s="5" t="str">
        <f t="shared" si="1401"/>
        <v>SPS1</v>
      </c>
      <c r="C1225" s="5" t="str">
        <f t="shared" si="1402"/>
        <v>CH</v>
      </c>
      <c r="D1225" t="s">
        <v>1144</v>
      </c>
      <c r="E1225" t="str">
        <f t="shared" si="1400"/>
        <v>billion km/yr.</v>
      </c>
      <c r="F1225" s="1" cm="1">
        <f t="array" ref="F1225">SUMPRODUCT(("T_C-PEV-DSL-S3"=[1]OUT_TransportEnergyCons!$A$3:$A$1000)*1,("var_fout"=[1]OUT_TransportEnergyCons!$B$3:$B$1000)*1,ISNUMBER(SEARCH("TPCAR",[1]OUT_TransportEnergyCons!$C$3:$C$1000))*1,[1]OUT_TransportEnergyCons!D$3:D$1000)</f>
        <v>1.438083320466579E-4</v>
      </c>
      <c r="G1225" s="1" cm="1">
        <f t="array" ref="G1225">SUMPRODUCT(("T_C-PEV-DSL-S3"=[1]OUT_TransportEnergyCons!$A$3:$A$1000)*1,("var_fout"=[1]OUT_TransportEnergyCons!$B$3:$B$1000)*1,ISNUMBER(SEARCH("TPCAR",[1]OUT_TransportEnergyCons!$C$3:$C$1000))*1,[1]OUT_TransportEnergyCons!E$3:E$1000)</f>
        <v>0.4382107188016815</v>
      </c>
      <c r="H1225" s="1" cm="1">
        <f t="array" ref="H1225">SUMPRODUCT(("T_C-PEV-DSL-S3"=[1]OUT_TransportEnergyCons!$A$3:$A$1000)*1,("var_fout"=[1]OUT_TransportEnergyCons!$B$3:$B$1000)*1,ISNUMBER(SEARCH("TPCAR",[1]OUT_TransportEnergyCons!$C$3:$C$1000))*1,[1]OUT_TransportEnergyCons!F$3:F$1000)</f>
        <v>0.97811168262166914</v>
      </c>
      <c r="I1225" s="1" cm="1">
        <f t="array" ref="I1225">SUMPRODUCT(("T_C-PEV-DSL-S3"=[1]OUT_TransportEnergyCons!$A$3:$A$1000)*1,("var_fout"=[1]OUT_TransportEnergyCons!$B$3:$B$1000)*1,ISNUMBER(SEARCH("TPCAR",[1]OUT_TransportEnergyCons!$C$3:$C$1000))*1,[1]OUT_TransportEnergyCons!G$3:G$1000)</f>
        <v>0.85059664469083018</v>
      </c>
      <c r="J1225" s="1" cm="1">
        <f t="array" ref="J1225">SUMPRODUCT(("T_C-PEV-DSL-S3"=[1]OUT_TransportEnergyCons!$A$3:$A$1000)*1,("var_fout"=[1]OUT_TransportEnergyCons!$B$3:$B$1000)*1,ISNUMBER(SEARCH("TPCAR",[1]OUT_TransportEnergyCons!$C$3:$C$1000))*1,[1]OUT_TransportEnergyCons!H$3:H$1000)</f>
        <v>4.4796877781671807</v>
      </c>
      <c r="K1225" s="1" cm="1">
        <f t="array" ref="K1225">SUMPRODUCT(("T_C-PEV-DSL-S3"=[1]OUT_TransportEnergyCons!$A$3:$A$1000)*1,("var_fout"=[1]OUT_TransportEnergyCons!$B$3:$B$1000)*1,ISNUMBER(SEARCH("TPCAR",[1]OUT_TransportEnergyCons!$C$3:$C$1000))*1,[1]OUT_TransportEnergyCons!I$3:I$1000)</f>
        <v>3.5764947062752843</v>
      </c>
      <c r="L1225" s="1" cm="1">
        <f t="array" ref="L1225">SUMPRODUCT(("T_C-PEV-DSL-S3"=[1]OUT_TransportEnergyCons!$A$3:$A$1000)*1,("var_fout"=[1]OUT_TransportEnergyCons!$B$3:$B$1000)*1,ISNUMBER(SEARCH("TPCAR",[1]OUT_TransportEnergyCons!$C$3:$C$1000))*1,[1]OUT_TransportEnergyCons!J$3:J$1000)</f>
        <v>3.2043336245904381</v>
      </c>
      <c r="M1225" s="1" cm="1">
        <f t="array" ref="M1225">SUMPRODUCT(("T_C-PEV-DSL-S3"=[1]OUT_TransportEnergyCons!$A$3:$A$1000)*1,("var_fout"=[1]OUT_TransportEnergyCons!$B$3:$B$1000)*1,ISNUMBER(SEARCH("TPCAR",[1]OUT_TransportEnergyCons!$C$3:$C$1000))*1,[1]OUT_TransportEnergyCons!K$3:K$1000)</f>
        <v>0.42791159367029957</v>
      </c>
      <c r="N1225" s="1" cm="1">
        <f t="array" ref="N1225">SUMPRODUCT(("T_C-PEV-DSL-S3"=[1]OUT_TransportEnergyCons!$A$3:$A$1000)*1,("var_fout"=[1]OUT_TransportEnergyCons!$B$3:$B$1000)*1,ISNUMBER(SEARCH("TPCAR",[1]OUT_TransportEnergyCons!$C$3:$C$1000))*1,[1]OUT_TransportEnergyCons!L$3:L$1000)</f>
        <v>0.28723484031243829</v>
      </c>
      <c r="O1225" s="1" cm="1">
        <f t="array" ref="O1225">SUMPRODUCT(("T_C-PEV-DSL-S3"=[1]OUT_TransportEnergyCons!$A$3:$A$1000)*1,("var_fout"=[1]OUT_TransportEnergyCons!$B$3:$B$1000)*1,ISNUMBER(SEARCH("TPCAR",[1]OUT_TransportEnergyCons!$C$3:$C$1000))*1,[1]OUT_TransportEnergyCons!M$3:M$1000)</f>
        <v>3.1429953401429151E-3</v>
      </c>
      <c r="P1225" s="1" cm="1">
        <f t="array" ref="P1225">SUMPRODUCT(("T_C-PEV-DSL-S3"=[1]OUT_TransportEnergyCons!$A$3:$A$1000)*1,("var_fout"=[1]OUT_TransportEnergyCons!$B$3:$B$1000)*1,ISNUMBER(SEARCH("TPCAR",[1]OUT_TransportEnergyCons!$C$3:$C$1000))*1,[1]OUT_TransportEnergyCons!N$3:N$1000)</f>
        <v>2.678515557574008E-3</v>
      </c>
      <c r="Q1225" s="1" cm="1">
        <f t="array" ref="Q1225">SUMPRODUCT(("T_C-PEV-DSL-S3"=[1]OUT_TransportEnergyCons!$A$3:$A$1000)*1,("var_fout"=[1]OUT_TransportEnergyCons!$B$3:$B$1000)*1,ISNUMBER(SEARCH("TPCAR",[1]OUT_TransportEnergyCons!$C$3:$C$1000))*1,[1]OUT_TransportEnergyCons!O$3:O$1000)</f>
        <v>1.549245652392524E-3</v>
      </c>
      <c r="S1225" s="3"/>
    </row>
    <row r="1226" spans="2:19" x14ac:dyDescent="0.5">
      <c r="B1226" s="5" t="str">
        <f t="shared" si="1401"/>
        <v>SPS1</v>
      </c>
      <c r="C1226" s="5" t="str">
        <f t="shared" si="1402"/>
        <v>CH</v>
      </c>
      <c r="D1226" t="s">
        <v>1145</v>
      </c>
      <c r="E1226" t="str">
        <f t="shared" si="1400"/>
        <v>billion km/yr.</v>
      </c>
      <c r="F1226" s="1" cm="1">
        <f t="array" ref="F1226">SUMPRODUCT(("T_C-PEV-DSL-S4"=[1]OUT_TransportEnergyCons!$A$3:$A$1000)*1,("var_fout"=[1]OUT_TransportEnergyCons!$B$3:$B$1000)*1,ISNUMBER(SEARCH("TPCAR",[1]OUT_TransportEnergyCons!$C$3:$C$1000))*1,[1]OUT_TransportEnergyCons!D$3:D$1000)</f>
        <v>3.0585400325150404E-3</v>
      </c>
      <c r="G1226" s="1" cm="1">
        <f t="array" ref="G1226">SUMPRODUCT(("T_C-PEV-DSL-S4"=[1]OUT_TransportEnergyCons!$A$3:$A$1000)*1,("var_fout"=[1]OUT_TransportEnergyCons!$B$3:$B$1000)*1,ISNUMBER(SEARCH("TPCAR",[1]OUT_TransportEnergyCons!$C$3:$C$1000))*1,[1]OUT_TransportEnergyCons!E$3:E$1000)</f>
        <v>1.8679492004111588E-2</v>
      </c>
      <c r="H1226" s="1" cm="1">
        <f t="array" ref="H1226">SUMPRODUCT(("T_C-PEV-DSL-S4"=[1]OUT_TransportEnergyCons!$A$3:$A$1000)*1,("var_fout"=[1]OUT_TransportEnergyCons!$B$3:$B$1000)*1,ISNUMBER(SEARCH("TPCAR",[1]OUT_TransportEnergyCons!$C$3:$C$1000))*1,[1]OUT_TransportEnergyCons!F$3:F$1000)</f>
        <v>2.6083866745504471E-2</v>
      </c>
      <c r="I1226" s="1" cm="1">
        <f t="array" ref="I1226">SUMPRODUCT(("T_C-PEV-DSL-S4"=[1]OUT_TransportEnergyCons!$A$3:$A$1000)*1,("var_fout"=[1]OUT_TransportEnergyCons!$B$3:$B$1000)*1,ISNUMBER(SEARCH("TPCAR",[1]OUT_TransportEnergyCons!$C$3:$C$1000))*1,[1]OUT_TransportEnergyCons!G$3:G$1000)</f>
        <v>1.8901993568368589</v>
      </c>
      <c r="J1226" s="1" cm="1">
        <f t="array" ref="J1226">SUMPRODUCT(("T_C-PEV-DSL-S4"=[1]OUT_TransportEnergyCons!$A$3:$A$1000)*1,("var_fout"=[1]OUT_TransportEnergyCons!$B$3:$B$1000)*1,ISNUMBER(SEARCH("TPCAR",[1]OUT_TransportEnergyCons!$C$3:$C$1000))*1,[1]OUT_TransportEnergyCons!H$3:H$1000)</f>
        <v>1.541220259566761</v>
      </c>
      <c r="K1226" s="1" cm="1">
        <f t="array" ref="K1226">SUMPRODUCT(("T_C-PEV-DSL-S4"=[1]OUT_TransportEnergyCons!$A$3:$A$1000)*1,("var_fout"=[1]OUT_TransportEnergyCons!$B$3:$B$1000)*1,ISNUMBER(SEARCH("TPCAR",[1]OUT_TransportEnergyCons!$C$3:$C$1000))*1,[1]OUT_TransportEnergyCons!I$3:I$1000)</f>
        <v>0.63808098342658393</v>
      </c>
      <c r="L1226" s="1" cm="1">
        <f t="array" ref="L1226">SUMPRODUCT(("T_C-PEV-DSL-S4"=[1]OUT_TransportEnergyCons!$A$3:$A$1000)*1,("var_fout"=[1]OUT_TransportEnergyCons!$B$3:$B$1000)*1,ISNUMBER(SEARCH("TPCAR",[1]OUT_TransportEnergyCons!$C$3:$C$1000))*1,[1]OUT_TransportEnergyCons!J$3:J$1000)</f>
        <v>1.4641558935436931</v>
      </c>
      <c r="M1226" s="1" cm="1">
        <f t="array" ref="M1226">SUMPRODUCT(("T_C-PEV-DSL-S4"=[1]OUT_TransportEnergyCons!$A$3:$A$1000)*1,("var_fout"=[1]OUT_TransportEnergyCons!$B$3:$B$1000)*1,ISNUMBER(SEARCH("TPCAR",[1]OUT_TransportEnergyCons!$C$3:$C$1000))*1,[1]OUT_TransportEnergyCons!K$3:K$1000)</f>
        <v>1.2678170732455201</v>
      </c>
      <c r="N1226" s="1" cm="1">
        <f t="array" ref="N1226">SUMPRODUCT(("T_C-PEV-DSL-S4"=[1]OUT_TransportEnergyCons!$A$3:$A$1000)*1,("var_fout"=[1]OUT_TransportEnergyCons!$B$3:$B$1000)*1,ISNUMBER(SEARCH("TPCAR",[1]OUT_TransportEnergyCons!$C$3:$C$1000))*1,[1]OUT_TransportEnergyCons!L$3:L$1000)</f>
        <v>1.3275855980072229</v>
      </c>
      <c r="O1226" s="1" cm="1">
        <f t="array" ref="O1226">SUMPRODUCT(("T_C-PEV-DSL-S4"=[1]OUT_TransportEnergyCons!$A$3:$A$1000)*1,("var_fout"=[1]OUT_TransportEnergyCons!$B$3:$B$1000)*1,ISNUMBER(SEARCH("TPCAR",[1]OUT_TransportEnergyCons!$C$3:$C$1000))*1,[1]OUT_TransportEnergyCons!M$3:M$1000)</f>
        <v>1.5889032145235398</v>
      </c>
      <c r="P1226" s="1" cm="1">
        <f t="array" ref="P1226">SUMPRODUCT(("T_C-PEV-DSL-S4"=[1]OUT_TransportEnergyCons!$A$3:$A$1000)*1,("var_fout"=[1]OUT_TransportEnergyCons!$B$3:$B$1000)*1,ISNUMBER(SEARCH("TPCAR",[1]OUT_TransportEnergyCons!$C$3:$C$1000))*1,[1]OUT_TransportEnergyCons!N$3:N$1000)</f>
        <v>1.5230357465322497</v>
      </c>
      <c r="Q1226" s="1" cm="1">
        <f t="array" ref="Q1226">SUMPRODUCT(("T_C-PEV-DSL-S4"=[1]OUT_TransportEnergyCons!$A$3:$A$1000)*1,("var_fout"=[1]OUT_TransportEnergyCons!$B$3:$B$1000)*1,ISNUMBER(SEARCH("TPCAR",[1]OUT_TransportEnergyCons!$C$3:$C$1000))*1,[1]OUT_TransportEnergyCons!O$3:O$1000)</f>
        <v>1.4569154818925825</v>
      </c>
      <c r="S1226" s="3"/>
    </row>
    <row r="1227" spans="2:19" x14ac:dyDescent="0.5">
      <c r="B1227" s="5" t="str">
        <f t="shared" si="1401"/>
        <v>SPS1</v>
      </c>
      <c r="C1227" s="5" t="str">
        <f t="shared" si="1402"/>
        <v>CH</v>
      </c>
      <c r="D1227" t="s">
        <v>1146</v>
      </c>
      <c r="E1227" t="str">
        <f t="shared" si="1400"/>
        <v>billion km/yr.</v>
      </c>
      <c r="F1227" s="1" cm="1">
        <f t="array" ref="F1227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7" s="1" cm="1">
        <f t="array" ref="G1227">SUMPRODUCT(("T_C-FC-H2O-S1"=[1]OUT_TransportEnergyCons!$A$3:$A$1000)*1,("var_fout"=[1]OUT_TransportEnergyCons!$B$3:$B$1000)*1,ISNUMBER(SEARCH("TPCAR",[1]OUT_TransportEnergyCons!$C$3:$C$1000))*1,[1]OUT_TransportEnergyCons!E$3:E$1000)</f>
        <v>1.262621617698131E-4</v>
      </c>
      <c r="H1227" s="1" cm="1">
        <f t="array" ref="H1227">SUMPRODUCT(("T_C-FC-H2O-S1"=[1]OUT_TransportEnergyCons!$A$3:$A$1000)*1,("var_fout"=[1]OUT_TransportEnergyCons!$B$3:$B$1000)*1,ISNUMBER(SEARCH("TPCAR",[1]OUT_TransportEnergyCons!$C$3:$C$1000))*1,[1]OUT_TransportEnergyCons!F$3:F$1000)</f>
        <v>1.8621534578223105E-4</v>
      </c>
      <c r="I1227" s="1" cm="1">
        <f t="array" ref="I1227">SUMPRODUCT(("T_C-FC-H2O-S1"=[1]OUT_TransportEnergyCons!$A$3:$A$1000)*1,("var_fout"=[1]OUT_TransportEnergyCons!$B$3:$B$1000)*1,ISNUMBER(SEARCH("TPCAR",[1]OUT_TransportEnergyCons!$C$3:$C$1000))*1,[1]OUT_TransportEnergyCons!G$3:G$1000)</f>
        <v>8.8030434179495168E-5</v>
      </c>
      <c r="J1227" s="1" cm="1">
        <f t="array" ref="J1227">SUMPRODUCT(("T_C-FC-H2O-S1"=[1]OUT_TransportEnergyCons!$A$3:$A$1000)*1,("var_fout"=[1]OUT_TransportEnergyCons!$B$3:$B$1000)*1,ISNUMBER(SEARCH("TPCAR",[1]OUT_TransportEnergyCons!$C$3:$C$1000))*1,[1]OUT_TransportEnergyCons!H$3:H$1000)</f>
        <v>1.3278772271522156E-4</v>
      </c>
      <c r="K1227" s="1" cm="1">
        <f t="array" ref="K1227">SUMPRODUCT(("T_C-FC-H2O-S1"=[1]OUT_TransportEnergyCons!$A$3:$A$1000)*1,("var_fout"=[1]OUT_TransportEnergyCons!$B$3:$B$1000)*1,ISNUMBER(SEARCH("TPCAR",[1]OUT_TransportEnergyCons!$C$3:$C$1000))*1,[1]OUT_TransportEnergyCons!I$3:I$1000)</f>
        <v>1.392610456815839E-4</v>
      </c>
      <c r="L1227" s="1" cm="1">
        <f t="array" ref="L1227">SUMPRODUCT(("T_C-FC-H2O-S1"=[1]OUT_TransportEnergyCons!$A$3:$A$1000)*1,("var_fout"=[1]OUT_TransportEnergyCons!$B$3:$B$1000)*1,ISNUMBER(SEARCH("TPCAR",[1]OUT_TransportEnergyCons!$C$3:$C$1000))*1,[1]OUT_TransportEnergyCons!J$3:J$1000)</f>
        <v>1.0564675198798441E-4</v>
      </c>
      <c r="M1227" s="1" cm="1">
        <f t="array" ref="M1227">SUMPRODUCT(("T_C-FC-H2O-S1"=[1]OUT_TransportEnergyCons!$A$3:$A$1000)*1,("var_fout"=[1]OUT_TransportEnergyCons!$B$3:$B$1000)*1,ISNUMBER(SEARCH("TPCAR",[1]OUT_TransportEnergyCons!$C$3:$C$1000))*1,[1]OUT_TransportEnergyCons!K$3:K$1000)</f>
        <v>1.0580293979095914E-4</v>
      </c>
      <c r="N1227" s="1" cm="1">
        <f t="array" ref="N1227">SUMPRODUCT(("T_C-FC-H2O-S1"=[1]OUT_TransportEnergyCons!$A$3:$A$1000)*1,("var_fout"=[1]OUT_TransportEnergyCons!$B$3:$B$1000)*1,ISNUMBER(SEARCH("TPCAR",[1]OUT_TransportEnergyCons!$C$3:$C$1000))*1,[1]OUT_TransportEnergyCons!L$3:L$1000)</f>
        <v>1.325449845317355E-4</v>
      </c>
      <c r="O1227" s="1" cm="1">
        <f t="array" ref="O1227">SUMPRODUCT(("T_C-FC-H2O-S1"=[1]OUT_TransportEnergyCons!$A$3:$A$1000)*1,("var_fout"=[1]OUT_TransportEnergyCons!$B$3:$B$1000)*1,ISNUMBER(SEARCH("TPCAR",[1]OUT_TransportEnergyCons!$C$3:$C$1000))*1,[1]OUT_TransportEnergyCons!M$3:M$1000)</f>
        <v>1.0404991484554981E-4</v>
      </c>
      <c r="P1227" s="1" cm="1">
        <f t="array" ref="P1227">SUMPRODUCT(("T_C-FC-H2O-S1"=[1]OUT_TransportEnergyCons!$A$3:$A$1000)*1,("var_fout"=[1]OUT_TransportEnergyCons!$B$3:$B$1000)*1,ISNUMBER(SEARCH("TPCAR",[1]OUT_TransportEnergyCons!$C$3:$C$1000))*1,[1]OUT_TransportEnergyCons!N$3:N$1000)</f>
        <v>1.3422867183140259E-4</v>
      </c>
      <c r="Q1227" s="1" cm="1">
        <f t="array" ref="Q1227">SUMPRODUCT(("T_C-FC-H2O-S1"=[1]OUT_TransportEnergyCons!$A$3:$A$1000)*1,("var_fout"=[1]OUT_TransportEnergyCons!$B$3:$B$1000)*1,ISNUMBER(SEARCH("TPCAR",[1]OUT_TransportEnergyCons!$C$3:$C$1000))*1,[1]OUT_TransportEnergyCons!O$3:O$1000)</f>
        <v>1.1158403244199338E-4</v>
      </c>
      <c r="S1227" s="3"/>
    </row>
    <row r="1228" spans="2:19" x14ac:dyDescent="0.5">
      <c r="B1228" s="5" t="str">
        <f t="shared" si="1401"/>
        <v>SPS1</v>
      </c>
      <c r="C1228" s="5" t="str">
        <f t="shared" si="1402"/>
        <v>CH</v>
      </c>
      <c r="D1228" t="s">
        <v>1147</v>
      </c>
      <c r="E1228" t="str">
        <f t="shared" si="1400"/>
        <v>billion km/yr.</v>
      </c>
      <c r="F1228" s="1" cm="1">
        <f t="array" ref="F1228">SUMPRODUCT(("T_C-FC-H2O-S2"=[1]OUT_TransportEnergyCons!$A$3:$A$1000)*1,("var_fout"=[1]OUT_TransportEnergyCons!$B$3:$B$1000)*1,ISNUMBER(SEARCH("TPCAR",[1]OUT_TransportEnergyCons!$C$3:$C$1000))*1,[1]OUT_TransportEnergyCons!D$3:D$1000)</f>
        <v>1.3909061278831797E-4</v>
      </c>
      <c r="G1228" s="1" cm="1">
        <f t="array" ref="G1228">SUMPRODUCT(("T_C-FC-H2O-S2"=[1]OUT_TransportEnergyCons!$A$3:$A$1000)*1,("var_fout"=[1]OUT_TransportEnergyCons!$B$3:$B$1000)*1,ISNUMBER(SEARCH("TPCAR",[1]OUT_TransportEnergyCons!$C$3:$C$1000))*1,[1]OUT_TransportEnergyCons!E$3:E$1000)</f>
        <v>2.1962169793916933E-4</v>
      </c>
      <c r="H1228" s="1" cm="1">
        <f t="array" ref="H1228">SUMPRODUCT(("T_C-FC-H2O-S2"=[1]OUT_TransportEnergyCons!$A$3:$A$1000)*1,("var_fout"=[1]OUT_TransportEnergyCons!$B$3:$B$1000)*1,ISNUMBER(SEARCH("TPCAR",[1]OUT_TransportEnergyCons!$C$3:$C$1000))*1,[1]OUT_TransportEnergyCons!F$3:F$1000)</f>
        <v>2.8264835484914847E-4</v>
      </c>
      <c r="I1228" s="1" cm="1">
        <f t="array" ref="I1228">SUMPRODUCT(("T_C-FC-H2O-S2"=[1]OUT_TransportEnergyCons!$A$3:$A$1000)*1,("var_fout"=[1]OUT_TransportEnergyCons!$B$3:$B$1000)*1,ISNUMBER(SEARCH("TPCAR",[1]OUT_TransportEnergyCons!$C$3:$C$1000))*1,[1]OUT_TransportEnergyCons!G$3:G$1000)</f>
        <v>2.1672038586616421E-4</v>
      </c>
      <c r="J1228" s="1" cm="1">
        <f t="array" ref="J1228">SUMPRODUCT(("T_C-FC-H2O-S2"=[1]OUT_TransportEnergyCons!$A$3:$A$1000)*1,("var_fout"=[1]OUT_TransportEnergyCons!$B$3:$B$1000)*1,ISNUMBER(SEARCH("TPCAR",[1]OUT_TransportEnergyCons!$C$3:$C$1000))*1,[1]OUT_TransportEnergyCons!H$3:H$1000)</f>
        <v>1.9048919803326623E-4</v>
      </c>
      <c r="K1228" s="1" cm="1">
        <f t="array" ref="K1228">SUMPRODUCT(("T_C-FC-H2O-S2"=[1]OUT_TransportEnergyCons!$A$3:$A$1000)*1,("var_fout"=[1]OUT_TransportEnergyCons!$B$3:$B$1000)*1,ISNUMBER(SEARCH("TPCAR",[1]OUT_TransportEnergyCons!$C$3:$C$1000))*1,[1]OUT_TransportEnergyCons!I$3:I$1000)</f>
        <v>1.889772659415448E-4</v>
      </c>
      <c r="L1228" s="1" cm="1">
        <f t="array" ref="L1228">SUMPRODUCT(("T_C-FC-H2O-S2"=[1]OUT_TransportEnergyCons!$A$3:$A$1000)*1,("var_fout"=[1]OUT_TransportEnergyCons!$B$3:$B$1000)*1,ISNUMBER(SEARCH("TPCAR",[1]OUT_TransportEnergyCons!$C$3:$C$1000))*1,[1]OUT_TransportEnergyCons!J$3:J$1000)</f>
        <v>1.6269968821238593E-4</v>
      </c>
      <c r="M1228" s="1" cm="1">
        <f t="array" ref="M1228">SUMPRODUCT(("T_C-FC-H2O-S2"=[1]OUT_TransportEnergyCons!$A$3:$A$1000)*1,("var_fout"=[1]OUT_TransportEnergyCons!$B$3:$B$1000)*1,ISNUMBER(SEARCH("TPCAR",[1]OUT_TransportEnergyCons!$C$3:$C$1000))*1,[1]OUT_TransportEnergyCons!K$3:K$1000)</f>
        <v>1.6027977721942937E-4</v>
      </c>
      <c r="N1228" s="1" cm="1">
        <f t="array" ref="N1228">SUMPRODUCT(("T_C-FC-H2O-S2"=[1]OUT_TransportEnergyCons!$A$3:$A$1000)*1,("var_fout"=[1]OUT_TransportEnergyCons!$B$3:$B$1000)*1,ISNUMBER(SEARCH("TPCAR",[1]OUT_TransportEnergyCons!$C$3:$C$1000))*1,[1]OUT_TransportEnergyCons!L$3:L$1000)</f>
        <v>1.8837089554216914E-4</v>
      </c>
      <c r="O1228" s="1" cm="1">
        <f t="array" ref="O1228">SUMPRODUCT(("T_C-FC-H2O-S2"=[1]OUT_TransportEnergyCons!$A$3:$A$1000)*1,("var_fout"=[1]OUT_TransportEnergyCons!$B$3:$B$1000)*1,ISNUMBER(SEARCH("TPCAR",[1]OUT_TransportEnergyCons!$C$3:$C$1000))*1,[1]OUT_TransportEnergyCons!M$3:M$1000)</f>
        <v>1.6099142575589086E-4</v>
      </c>
      <c r="P1228" s="1" cm="1">
        <f t="array" ref="P1228">SUMPRODUCT(("T_C-FC-H2O-S2"=[1]OUT_TransportEnergyCons!$A$3:$A$1000)*1,("var_fout"=[1]OUT_TransportEnergyCons!$B$3:$B$1000)*1,ISNUMBER(SEARCH("TPCAR",[1]OUT_TransportEnergyCons!$C$3:$C$1000))*1,[1]OUT_TransportEnergyCons!N$3:N$1000)</f>
        <v>1.9041957619396864E-4</v>
      </c>
      <c r="Q1228" s="1" cm="1">
        <f t="array" ref="Q1228">SUMPRODUCT(("T_C-FC-H2O-S2"=[1]OUT_TransportEnergyCons!$A$3:$A$1000)*1,("var_fout"=[1]OUT_TransportEnergyCons!$B$3:$B$1000)*1,ISNUMBER(SEARCH("TPCAR",[1]OUT_TransportEnergyCons!$C$3:$C$1000))*1,[1]OUT_TransportEnergyCons!O$3:O$1000)</f>
        <v>1.7096631613128292E-4</v>
      </c>
      <c r="S1228" s="3"/>
    </row>
    <row r="1229" spans="2:19" x14ac:dyDescent="0.5">
      <c r="B1229" s="5" t="str">
        <f t="shared" si="1401"/>
        <v>SPS1</v>
      </c>
      <c r="C1229" s="5" t="str">
        <f t="shared" si="1402"/>
        <v>CH</v>
      </c>
      <c r="D1229" t="s">
        <v>1148</v>
      </c>
      <c r="E1229" t="str">
        <f t="shared" si="1400"/>
        <v>billion km/yr.</v>
      </c>
      <c r="F1229" s="1" cm="1">
        <f t="array" ref="F1229">SUMPRODUCT(("T_C-FC-H2O-S3"=[1]OUT_TransportEnergyCons!$A$3:$A$1000)*1,("var_fout"=[1]OUT_TransportEnergyCons!$B$3:$B$1000)*1,ISNUMBER(SEARCH("TPCAR",[1]OUT_TransportEnergyCons!$C$3:$C$1000))*1,[1]OUT_TransportEnergyCons!D$3:D$1000)</f>
        <v>7.8349559178186661E-4</v>
      </c>
      <c r="G1229" s="1" cm="1">
        <f t="array" ref="G1229">SUMPRODUCT(("T_C-FC-H2O-S3"=[1]OUT_TransportEnergyCons!$A$3:$A$1000)*1,("var_fout"=[1]OUT_TransportEnergyCons!$B$3:$B$1000)*1,ISNUMBER(SEARCH("TPCAR",[1]OUT_TransportEnergyCons!$C$3:$C$1000))*1,[1]OUT_TransportEnergyCons!E$3:E$1000)</f>
        <v>1.7352648660715758E-3</v>
      </c>
      <c r="H1229" s="1" cm="1">
        <f t="array" ref="H1229">SUMPRODUCT(("T_C-FC-H2O-S3"=[1]OUT_TransportEnergyCons!$A$3:$A$1000)*1,("var_fout"=[1]OUT_TransportEnergyCons!$B$3:$B$1000)*1,ISNUMBER(SEARCH("TPCAR",[1]OUT_TransportEnergyCons!$C$3:$C$1000))*1,[1]OUT_TransportEnergyCons!F$3:F$1000)</f>
        <v>1.7734342965967701E-3</v>
      </c>
      <c r="I1229" s="1" cm="1">
        <f t="array" ref="I1229">SUMPRODUCT(("T_C-FC-H2O-S3"=[1]OUT_TransportEnergyCons!$A$3:$A$1000)*1,("var_fout"=[1]OUT_TransportEnergyCons!$B$3:$B$1000)*1,ISNUMBER(SEARCH("TPCAR",[1]OUT_TransportEnergyCons!$C$3:$C$1000))*1,[1]OUT_TransportEnergyCons!G$3:G$1000)</f>
        <v>3.5455391242834151E-4</v>
      </c>
      <c r="J1229" s="1" cm="1">
        <f t="array" ref="J1229">SUMPRODUCT(("T_C-FC-H2O-S3"=[1]OUT_TransportEnergyCons!$A$3:$A$1000)*1,("var_fout"=[1]OUT_TransportEnergyCons!$B$3:$B$1000)*1,ISNUMBER(SEARCH("TPCAR",[1]OUT_TransportEnergyCons!$C$3:$C$1000))*1,[1]OUT_TransportEnergyCons!H$3:H$1000)</f>
        <v>2.7356580175301335E-4</v>
      </c>
      <c r="K1229" s="1" cm="1">
        <f t="array" ref="K1229">SUMPRODUCT(("T_C-FC-H2O-S3"=[1]OUT_TransportEnergyCons!$A$3:$A$1000)*1,("var_fout"=[1]OUT_TransportEnergyCons!$B$3:$B$1000)*1,ISNUMBER(SEARCH("TPCAR",[1]OUT_TransportEnergyCons!$C$3:$C$1000))*1,[1]OUT_TransportEnergyCons!I$3:I$1000)</f>
        <v>2.0183390774405663E-4</v>
      </c>
      <c r="L1229" s="1" cm="1">
        <f t="array" ref="L1229">SUMPRODUCT(("T_C-FC-H2O-S3"=[1]OUT_TransportEnergyCons!$A$3:$A$1000)*1,("var_fout"=[1]OUT_TransportEnergyCons!$B$3:$B$1000)*1,ISNUMBER(SEARCH("TPCAR",[1]OUT_TransportEnergyCons!$C$3:$C$1000))*1,[1]OUT_TransportEnergyCons!J$3:J$1000)</f>
        <v>1.774084194892742E-4</v>
      </c>
      <c r="M1229" s="1" cm="1">
        <f t="array" ref="M1229">SUMPRODUCT(("T_C-FC-H2O-S3"=[1]OUT_TransportEnergyCons!$A$3:$A$1000)*1,("var_fout"=[1]OUT_TransportEnergyCons!$B$3:$B$1000)*1,ISNUMBER(SEARCH("TPCAR",[1]OUT_TransportEnergyCons!$C$3:$C$1000))*1,[1]OUT_TransportEnergyCons!K$3:K$1000)</f>
        <v>1.8092305946940492E-4</v>
      </c>
      <c r="N1229" s="1" cm="1">
        <f t="array" ref="N1229">SUMPRODUCT(("T_C-FC-H2O-S3"=[1]OUT_TransportEnergyCons!$A$3:$A$1000)*1,("var_fout"=[1]OUT_TransportEnergyCons!$B$3:$B$1000)*1,ISNUMBER(SEARCH("TPCAR",[1]OUT_TransportEnergyCons!$C$3:$C$1000))*1,[1]OUT_TransportEnergyCons!L$3:L$1000)</f>
        <v>2.1031628519761707E-4</v>
      </c>
      <c r="O1229" s="1" cm="1">
        <f t="array" ref="O1229">SUMPRODUCT(("T_C-FC-H2O-S3"=[1]OUT_TransportEnergyCons!$A$3:$A$1000)*1,("var_fout"=[1]OUT_TransportEnergyCons!$B$3:$B$1000)*1,ISNUMBER(SEARCH("TPCAR",[1]OUT_TransportEnergyCons!$C$3:$C$1000))*1,[1]OUT_TransportEnergyCons!M$3:M$1000)</f>
        <v>1.8300229257360419E-4</v>
      </c>
      <c r="P1229" s="1" cm="1">
        <f t="array" ref="P1229">SUMPRODUCT(("T_C-FC-H2O-S3"=[1]OUT_TransportEnergyCons!$A$3:$A$1000)*1,("var_fout"=[1]OUT_TransportEnergyCons!$B$3:$B$1000)*1,ISNUMBER(SEARCH("TPCAR",[1]OUT_TransportEnergyCons!$C$3:$C$1000))*1,[1]OUT_TransportEnergyCons!N$3:N$1000)</f>
        <v>2.1097672304499034E-4</v>
      </c>
      <c r="Q1229" s="1" cm="1">
        <f t="array" ref="Q1229">SUMPRODUCT(("T_C-FC-H2O-S3"=[1]OUT_TransportEnergyCons!$A$3:$A$1000)*1,("var_fout"=[1]OUT_TransportEnergyCons!$B$3:$B$1000)*1,ISNUMBER(SEARCH("TPCAR",[1]OUT_TransportEnergyCons!$C$3:$C$1000))*1,[1]OUT_TransportEnergyCons!O$3:O$1000)</f>
        <v>1.8789415303836185E-4</v>
      </c>
      <c r="S1229" s="3"/>
    </row>
    <row r="1230" spans="2:19" x14ac:dyDescent="0.5">
      <c r="B1230" s="5" t="str">
        <f t="shared" si="1401"/>
        <v>SPS1</v>
      </c>
      <c r="C1230" s="5" t="str">
        <f t="shared" si="1402"/>
        <v>CH</v>
      </c>
      <c r="D1230" t="s">
        <v>1149</v>
      </c>
      <c r="E1230" t="str">
        <f t="shared" si="1400"/>
        <v>billion km/yr.</v>
      </c>
      <c r="F1230" s="1" cm="1">
        <f t="array" ref="F1230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30" s="1" cm="1">
        <f t="array" ref="G1230">SUMPRODUCT(("T_C-FC-H2O-S4"=[1]OUT_TransportEnergyCons!$A$3:$A$1000)*1,("var_fout"=[1]OUT_TransportEnergyCons!$B$3:$B$1000)*1,ISNUMBER(SEARCH("TPCAR",[1]OUT_TransportEnergyCons!$C$3:$C$1000))*1,[1]OUT_TransportEnergyCons!E$3:E$1000)</f>
        <v>8.6182383838662673E-5</v>
      </c>
      <c r="H1230" s="1" cm="1">
        <f t="array" ref="H1230">SUMPRODUCT(("T_C-FC-H2O-S4"=[1]OUT_TransportEnergyCons!$A$3:$A$1000)*1,("var_fout"=[1]OUT_TransportEnergyCons!$B$3:$B$1000)*1,ISNUMBER(SEARCH("TPCAR",[1]OUT_TransportEnergyCons!$C$3:$C$1000))*1,[1]OUT_TransportEnergyCons!F$3:F$1000)</f>
        <v>1.4885995119659105E-4</v>
      </c>
      <c r="I1230" s="1" cm="1">
        <f t="array" ref="I1230">SUMPRODUCT(("T_C-FC-H2O-S4"=[1]OUT_TransportEnergyCons!$A$3:$A$1000)*1,("var_fout"=[1]OUT_TransportEnergyCons!$B$3:$B$1000)*1,ISNUMBER(SEARCH("TPCAR",[1]OUT_TransportEnergyCons!$C$3:$C$1000))*1,[1]OUT_TransportEnergyCons!G$3:G$1000)</f>
        <v>1.5437830247841121E-4</v>
      </c>
      <c r="J1230" s="1" cm="1">
        <f t="array" ref="J1230">SUMPRODUCT(("T_C-FC-H2O-S4"=[1]OUT_TransportEnergyCons!$A$3:$A$1000)*1,("var_fout"=[1]OUT_TransportEnergyCons!$B$3:$B$1000)*1,ISNUMBER(SEARCH("TPCAR",[1]OUT_TransportEnergyCons!$C$3:$C$1000))*1,[1]OUT_TransportEnergyCons!H$3:H$1000)</f>
        <v>1.9316638924392321E-4</v>
      </c>
      <c r="K1230" s="1" cm="1">
        <f t="array" ref="K1230">SUMPRODUCT(("T_C-FC-H2O-S4"=[1]OUT_TransportEnergyCons!$A$3:$A$1000)*1,("var_fout"=[1]OUT_TransportEnergyCons!$B$3:$B$1000)*1,ISNUMBER(SEARCH("TPCAR",[1]OUT_TransportEnergyCons!$C$3:$C$1000))*1,[1]OUT_TransportEnergyCons!I$3:I$1000)</f>
        <v>1.9161813184373979E-4</v>
      </c>
      <c r="L1230" s="1" cm="1">
        <f t="array" ref="L1230">SUMPRODUCT(("T_C-FC-H2O-S4"=[1]OUT_TransportEnergyCons!$A$3:$A$1000)*1,("var_fout"=[1]OUT_TransportEnergyCons!$B$3:$B$1000)*1,ISNUMBER(SEARCH("TPCAR",[1]OUT_TransportEnergyCons!$C$3:$C$1000))*1,[1]OUT_TransportEnergyCons!J$3:J$1000)</f>
        <v>1.6673633104502249E-4</v>
      </c>
      <c r="M1230" s="1" cm="1">
        <f t="array" ref="M1230">SUMPRODUCT(("T_C-FC-H2O-S4"=[1]OUT_TransportEnergyCons!$A$3:$A$1000)*1,("var_fout"=[1]OUT_TransportEnergyCons!$B$3:$B$1000)*1,ISNUMBER(SEARCH("TPCAR",[1]OUT_TransportEnergyCons!$C$3:$C$1000))*1,[1]OUT_TransportEnergyCons!K$3:K$1000)</f>
        <v>1.6668000175542653E-4</v>
      </c>
      <c r="N1230" s="1" cm="1">
        <f t="array" ref="N1230">SUMPRODUCT(("T_C-FC-H2O-S4"=[1]OUT_TransportEnergyCons!$A$3:$A$1000)*1,("var_fout"=[1]OUT_TransportEnergyCons!$B$3:$B$1000)*1,ISNUMBER(SEARCH("TPCAR",[1]OUT_TransportEnergyCons!$C$3:$C$1000))*1,[1]OUT_TransportEnergyCons!L$3:L$1000)</f>
        <v>1.9510710760717285E-4</v>
      </c>
      <c r="O1230" s="1" cm="1">
        <f t="array" ref="O1230">SUMPRODUCT(("T_C-FC-H2O-S4"=[1]OUT_TransportEnergyCons!$A$3:$A$1000)*1,("var_fout"=[1]OUT_TransportEnergyCons!$B$3:$B$1000)*1,ISNUMBER(SEARCH("TPCAR",[1]OUT_TransportEnergyCons!$C$3:$C$1000))*1,[1]OUT_TransportEnergyCons!M$3:M$1000)</f>
        <v>1.670835649375043E-4</v>
      </c>
      <c r="P1230" s="1" cm="1">
        <f t="array" ref="P1230">SUMPRODUCT(("T_C-FC-H2O-S4"=[1]OUT_TransportEnergyCons!$A$3:$A$1000)*1,("var_fout"=[1]OUT_TransportEnergyCons!$B$3:$B$1000)*1,ISNUMBER(SEARCH("TPCAR",[1]OUT_TransportEnergyCons!$C$3:$C$1000))*1,[1]OUT_TransportEnergyCons!N$3:N$1000)</f>
        <v>1.9687649685216427E-4</v>
      </c>
      <c r="Q1230" s="1" cm="1">
        <f t="array" ref="Q1230">SUMPRODUCT(("T_C-FC-H2O-S4"=[1]OUT_TransportEnergyCons!$A$3:$A$1000)*1,("var_fout"=[1]OUT_TransportEnergyCons!$B$3:$B$1000)*1,ISNUMBER(SEARCH("TPCAR",[1]OUT_TransportEnergyCons!$C$3:$C$1000))*1,[1]OUT_TransportEnergyCons!O$3:O$1000)</f>
        <v>1.7432932299145038E-4</v>
      </c>
      <c r="S1230" s="3"/>
    </row>
    <row r="1231" spans="2:19" x14ac:dyDescent="0.5">
      <c r="B1231" s="5" t="str">
        <f t="shared" si="1401"/>
        <v>SPS1</v>
      </c>
      <c r="C1231" s="5" t="str">
        <f t="shared" si="1402"/>
        <v>CH</v>
      </c>
      <c r="D1231" t="s">
        <v>1233</v>
      </c>
      <c r="E1231" t="str">
        <f t="shared" si="1400"/>
        <v>billion km/yr.</v>
      </c>
      <c r="F1231" s="1" cm="1">
        <f t="array" ref="F1231">SUMPRODUCT(("T_C-HYBGSLEXT"=[1]OUT_TransportEnergyCons!$A$3:$A$1000)*1,("var_fout"=[1]OUT_TransportEnergyCons!$B$3:$B$1000)*1,ISNUMBER(SEARCH("TPCAR",[1]OUT_TransportEnergyCons!$C$3:$C$1000))*1,[1]OUT_TransportEnergyCons!D$3:D$1000)</f>
        <v>0.61928653059740846</v>
      </c>
      <c r="G1231" s="1" cm="1">
        <f t="array" ref="G1231">SUMPRODUCT(("T_C-HYBGSLEXT"=[1]OUT_TransportEnergyCons!$A$3:$A$1000)*1,("var_fout"=[1]OUT_TransportEnergyCons!$B$3:$B$1000)*1,ISNUMBER(SEARCH("TPCAR",[1]OUT_TransportEnergyCons!$C$3:$C$1000))*1,[1]OUT_TransportEnergyCons!E$3:E$1000)</f>
        <v>0.62772076150681477</v>
      </c>
      <c r="H1231" s="1" cm="1">
        <f t="array" ref="H1231">SUMPRODUCT(("T_C-HYBGSLEXT"=[1]OUT_TransportEnergyCons!$A$3:$A$1000)*1,("var_fout"=[1]OUT_TransportEnergyCons!$B$3:$B$1000)*1,ISNUMBER(SEARCH("TPCAR",[1]OUT_TransportEnergyCons!$C$3:$C$1000))*1,[1]OUT_TransportEnergyCons!F$3:F$1000)</f>
        <v>0.48285875899520242</v>
      </c>
      <c r="I1231" s="1" cm="1">
        <f t="array" ref="I1231">SUMPRODUCT(("T_C-HYBGSLEXT"=[1]OUT_TransportEnergyCons!$A$3:$A$1000)*1,("var_fout"=[1]OUT_TransportEnergyCons!$B$3:$B$1000)*1,ISNUMBER(SEARCH("TPCAR",[1]OUT_TransportEnergyCons!$C$3:$C$1000))*1,[1]OUT_TransportEnergyCons!G$3:G$1000)</f>
        <v>0.24143699700529148</v>
      </c>
      <c r="J1231" s="1" cm="1">
        <f t="array" ref="J1231">SUMPRODUCT(("T_C-HYBGSLEXT"=[1]OUT_TransportEnergyCons!$A$3:$A$1000)*1,("var_fout"=[1]OUT_TransportEnergyCons!$B$3:$B$1000)*1,ISNUMBER(SEARCH("TPCAR",[1]OUT_TransportEnergyCons!$C$3:$C$1000))*1,[1]OUT_TransportEnergyCons!H$3:H$1000)</f>
        <v>0</v>
      </c>
      <c r="K1231" s="1" cm="1">
        <f t="array" ref="K1231">SUMPRODUCT(("T_C-HYBGSLEXT"=[1]OUT_TransportEnergyCons!$A$3:$A$1000)*1,("var_fout"=[1]OUT_TransportEnergyCons!$B$3:$B$1000)*1,ISNUMBER(SEARCH("TPCAR",[1]OUT_TransportEnergyCons!$C$3:$C$1000))*1,[1]OUT_TransportEnergyCons!I$3:I$1000)</f>
        <v>0</v>
      </c>
      <c r="L1231" s="1" cm="1">
        <f t="array" ref="L1231">SUMPRODUCT(("T_C-HYBGSLEXT"=[1]OUT_TransportEnergyCons!$A$3:$A$1000)*1,("var_fout"=[1]OUT_TransportEnergyCons!$B$3:$B$1000)*1,ISNUMBER(SEARCH("TPCAR",[1]OUT_TransportEnergyCons!$C$3:$C$1000))*1,[1]OUT_TransportEnergyCons!J$3:J$1000)</f>
        <v>0</v>
      </c>
      <c r="M1231" s="1" cm="1">
        <f t="array" ref="M1231">SUMPRODUCT(("T_C-HYBGSLEXT"=[1]OUT_TransportEnergyCons!$A$3:$A$1000)*1,("var_fout"=[1]OUT_TransportEnergyCons!$B$3:$B$1000)*1,ISNUMBER(SEARCH("TPCAR",[1]OUT_TransportEnergyCons!$C$3:$C$1000))*1,[1]OUT_TransportEnergyCons!K$3:K$1000)</f>
        <v>0</v>
      </c>
      <c r="N1231" s="1" cm="1">
        <f t="array" ref="N1231">SUMPRODUCT(("T_C-HYBGSLEXT"=[1]OUT_TransportEnergyCons!$A$3:$A$1000)*1,("var_fout"=[1]OUT_TransportEnergyCons!$B$3:$B$1000)*1,ISNUMBER(SEARCH("TPCAR",[1]OUT_TransportEnergyCons!$C$3:$C$1000))*1,[1]OUT_TransportEnergyCons!L$3:L$1000)</f>
        <v>0</v>
      </c>
      <c r="O1231" s="1" cm="1">
        <f t="array" ref="O1231">SUMPRODUCT(("T_C-HYBGSLEXT"=[1]OUT_TransportEnergyCons!$A$3:$A$1000)*1,("var_fout"=[1]OUT_TransportEnergyCons!$B$3:$B$1000)*1,ISNUMBER(SEARCH("TPCAR",[1]OUT_TransportEnergyCons!$C$3:$C$1000))*1,[1]OUT_TransportEnergyCons!M$3:M$1000)</f>
        <v>0</v>
      </c>
      <c r="P1231" s="1" cm="1">
        <f t="array" ref="P1231">SUMPRODUCT(("T_C-HYBGSLEXT"=[1]OUT_TransportEnergyCons!$A$3:$A$1000)*1,("var_fout"=[1]OUT_TransportEnergyCons!$B$3:$B$1000)*1,ISNUMBER(SEARCH("TPCAR",[1]OUT_TransportEnergyCons!$C$3:$C$1000))*1,[1]OUT_TransportEnergyCons!N$3:N$1000)</f>
        <v>0</v>
      </c>
      <c r="Q1231" s="1" cm="1">
        <f t="array" ref="Q1231">SUMPRODUCT(("T_C-HYBGSLEXT"=[1]OUT_TransportEnergyCons!$A$3:$A$1000)*1,("var_fout"=[1]OUT_TransportEnergyCons!$B$3:$B$1000)*1,ISNUMBER(SEARCH("TPCAR",[1]OUT_TransportEnergyCons!$C$3:$C$1000))*1,[1]OUT_TransportEnergyCons!O$3:O$1000)</f>
        <v>0</v>
      </c>
      <c r="S1231" s="3"/>
    </row>
    <row r="1232" spans="2:19" x14ac:dyDescent="0.5">
      <c r="B1232" s="5" t="str">
        <f t="shared" si="1401"/>
        <v>SPS1</v>
      </c>
      <c r="C1232" s="5" t="str">
        <f t="shared" si="1402"/>
        <v>CH</v>
      </c>
      <c r="D1232" t="s">
        <v>1150</v>
      </c>
      <c r="E1232" t="str">
        <f t="shared" si="1400"/>
        <v>billion km/yr.</v>
      </c>
      <c r="F1232" s="1" cm="1">
        <f t="array" ref="F1232">SUMPRODUCT(("T_C-HY-GSL-S1"=[1]OUT_TransportEnergyCons!$A$3:$A$1000)*1,("var_fout"=[1]OUT_TransportEnergyCons!$B$3:$B$1000)*1,ISNUMBER(SEARCH("TPCAR",[1]OUT_TransportEnergyCons!$C$3:$C$1000))*1,[1]OUT_TransportEnergyCons!D$3:D$1000)</f>
        <v>5.0570807124251181E-2</v>
      </c>
      <c r="G1232" s="1" cm="1">
        <f t="array" ref="G1232">SUMPRODUCT(("T_C-HY-GSL-S1"=[1]OUT_TransportEnergyCons!$A$3:$A$1000)*1,("var_fout"=[1]OUT_TransportEnergyCons!$B$3:$B$1000)*1,ISNUMBER(SEARCH("TPCAR",[1]OUT_TransportEnergyCons!$C$3:$C$1000))*1,[1]OUT_TransportEnergyCons!E$3:E$1000)</f>
        <v>6.205093065932709E-2</v>
      </c>
      <c r="H1232" s="1" cm="1">
        <f t="array" ref="H1232">SUMPRODUCT(("T_C-HY-GSL-S1"=[1]OUT_TransportEnergyCons!$A$3:$A$1000)*1,("var_fout"=[1]OUT_TransportEnergyCons!$B$3:$B$1000)*1,ISNUMBER(SEARCH("TPCAR",[1]OUT_TransportEnergyCons!$C$3:$C$1000))*1,[1]OUT_TransportEnergyCons!F$3:F$1000)</f>
        <v>5.1103612430639128E-2</v>
      </c>
      <c r="I1232" s="1" cm="1">
        <f t="array" ref="I1232">SUMPRODUCT(("T_C-HY-GSL-S1"=[1]OUT_TransportEnergyCons!$A$3:$A$1000)*1,("var_fout"=[1]OUT_TransportEnergyCons!$B$3:$B$1000)*1,ISNUMBER(SEARCH("TPCAR",[1]OUT_TransportEnergyCons!$C$3:$C$1000))*1,[1]OUT_TransportEnergyCons!G$3:G$1000)</f>
        <v>3.1407015415599281E-2</v>
      </c>
      <c r="J1232" s="1" cm="1">
        <f t="array" ref="J1232">SUMPRODUCT(("T_C-HY-GSL-S1"=[1]OUT_TransportEnergyCons!$A$3:$A$1000)*1,("var_fout"=[1]OUT_TransportEnergyCons!$B$3:$B$1000)*1,ISNUMBER(SEARCH("TPCAR",[1]OUT_TransportEnergyCons!$C$3:$C$1000))*1,[1]OUT_TransportEnergyCons!H$3:H$1000)</f>
        <v>3.5699954246009385E-3</v>
      </c>
      <c r="K1232" s="1" cm="1">
        <f t="array" ref="K1232">SUMPRODUCT(("T_C-HY-GSL-S1"=[1]OUT_TransportEnergyCons!$A$3:$A$1000)*1,("var_fout"=[1]OUT_TransportEnergyCons!$B$3:$B$1000)*1,ISNUMBER(SEARCH("TPCAR",[1]OUT_TransportEnergyCons!$C$3:$C$1000))*1,[1]OUT_TransportEnergyCons!I$3:I$1000)</f>
        <v>6.0753655386400641E-4</v>
      </c>
      <c r="L1232" s="1" cm="1">
        <f t="array" ref="L1232">SUMPRODUCT(("T_C-HY-GSL-S1"=[1]OUT_TransportEnergyCons!$A$3:$A$1000)*1,("var_fout"=[1]OUT_TransportEnergyCons!$B$3:$B$1000)*1,ISNUMBER(SEARCH("TPCAR",[1]OUT_TransportEnergyCons!$C$3:$C$1000))*1,[1]OUT_TransportEnergyCons!J$3:J$1000)</f>
        <v>0</v>
      </c>
      <c r="M1232" s="1" cm="1">
        <f t="array" ref="M1232">SUMPRODUCT(("T_C-HY-GSL-S1"=[1]OUT_TransportEnergyCons!$A$3:$A$1000)*1,("var_fout"=[1]OUT_TransportEnergyCons!$B$3:$B$1000)*1,ISNUMBER(SEARCH("TPCAR",[1]OUT_TransportEnergyCons!$C$3:$C$1000))*1,[1]OUT_TransportEnergyCons!K$3:K$1000)</f>
        <v>0</v>
      </c>
      <c r="N1232" s="1" cm="1">
        <f t="array" ref="N1232">SUMPRODUCT(("T_C-HY-GSL-S1"=[1]OUT_TransportEnergyCons!$A$3:$A$1000)*1,("var_fout"=[1]OUT_TransportEnergyCons!$B$3:$B$1000)*1,ISNUMBER(SEARCH("TPCAR",[1]OUT_TransportEnergyCons!$C$3:$C$1000))*1,[1]OUT_TransportEnergyCons!L$3:L$1000)</f>
        <v>0</v>
      </c>
      <c r="O1232" s="1" cm="1">
        <f t="array" ref="O1232">SUMPRODUCT(("T_C-HY-GSL-S1"=[1]OUT_TransportEnergyCons!$A$3:$A$1000)*1,("var_fout"=[1]OUT_TransportEnergyCons!$B$3:$B$1000)*1,ISNUMBER(SEARCH("TPCAR",[1]OUT_TransportEnergyCons!$C$3:$C$1000))*1,[1]OUT_TransportEnergyCons!M$3:M$1000)</f>
        <v>0</v>
      </c>
      <c r="P1232" s="1" cm="1">
        <f t="array" ref="P1232">SUMPRODUCT(("T_C-HY-GSL-S1"=[1]OUT_TransportEnergyCons!$A$3:$A$1000)*1,("var_fout"=[1]OUT_TransportEnergyCons!$B$3:$B$1000)*1,ISNUMBER(SEARCH("TPCAR",[1]OUT_TransportEnergyCons!$C$3:$C$1000))*1,[1]OUT_TransportEnergyCons!N$3:N$1000)</f>
        <v>0</v>
      </c>
      <c r="Q1232" s="1" cm="1">
        <f t="array" ref="Q1232">SUMPRODUCT(("T_C-HY-GSL-S1"=[1]OUT_TransportEnergyCons!$A$3:$A$1000)*1,("var_fout"=[1]OUT_TransportEnergyCons!$B$3:$B$1000)*1,ISNUMBER(SEARCH("TPCAR",[1]OUT_TransportEnergyCons!$C$3:$C$1000))*1,[1]OUT_TransportEnergyCons!O$3:O$1000)</f>
        <v>0</v>
      </c>
      <c r="S1232" s="3"/>
    </row>
    <row r="1233" spans="2:19" x14ac:dyDescent="0.5">
      <c r="B1233" s="5" t="str">
        <f t="shared" si="1401"/>
        <v>SPS1</v>
      </c>
      <c r="C1233" s="5" t="str">
        <f t="shared" si="1402"/>
        <v>CH</v>
      </c>
      <c r="D1233" t="s">
        <v>1151</v>
      </c>
      <c r="E1233" t="str">
        <f t="shared" si="1400"/>
        <v>billion km/yr.</v>
      </c>
      <c r="F1233" s="1" cm="1">
        <f t="array" ref="F1233">SUMPRODUCT(("T_C-HY-GSL-S2"=[1]OUT_TransportEnergyCons!$A$3:$A$1000)*1,("var_fout"=[1]OUT_TransportEnergyCons!$B$3:$B$1000)*1,ISNUMBER(SEARCH("TPCAR",[1]OUT_TransportEnergyCons!$C$3:$C$1000))*1,[1]OUT_TransportEnergyCons!D$3:D$1000)</f>
        <v>0.2220545711146697</v>
      </c>
      <c r="G1233" s="1" cm="1">
        <f t="array" ref="G1233">SUMPRODUCT(("T_C-HY-GSL-S2"=[1]OUT_TransportEnergyCons!$A$3:$A$1000)*1,("var_fout"=[1]OUT_TransportEnergyCons!$B$3:$B$1000)*1,ISNUMBER(SEARCH("TPCAR",[1]OUT_TransportEnergyCons!$C$3:$C$1000))*1,[1]OUT_TransportEnergyCons!E$3:E$1000)</f>
        <v>0.71057570410858273</v>
      </c>
      <c r="H1233" s="1" cm="1">
        <f t="array" ref="H1233">SUMPRODUCT(("T_C-HY-GSL-S2"=[1]OUT_TransportEnergyCons!$A$3:$A$1000)*1,("var_fout"=[1]OUT_TransportEnergyCons!$B$3:$B$1000)*1,ISNUMBER(SEARCH("TPCAR",[1]OUT_TransportEnergyCons!$C$3:$C$1000))*1,[1]OUT_TransportEnergyCons!F$3:F$1000)</f>
        <v>1.8801858329247478</v>
      </c>
      <c r="I1233" s="1" cm="1">
        <f t="array" ref="I1233">SUMPRODUCT(("T_C-HY-GSL-S2"=[1]OUT_TransportEnergyCons!$A$3:$A$1000)*1,("var_fout"=[1]OUT_TransportEnergyCons!$B$3:$B$1000)*1,ISNUMBER(SEARCH("TPCAR",[1]OUT_TransportEnergyCons!$C$3:$C$1000))*1,[1]OUT_TransportEnergyCons!G$3:G$1000)</f>
        <v>1.6012280942089603</v>
      </c>
      <c r="J1233" s="1" cm="1">
        <f t="array" ref="J1233">SUMPRODUCT(("T_C-HY-GSL-S2"=[1]OUT_TransportEnergyCons!$A$3:$A$1000)*1,("var_fout"=[1]OUT_TransportEnergyCons!$B$3:$B$1000)*1,ISNUMBER(SEARCH("TPCAR",[1]OUT_TransportEnergyCons!$C$3:$C$1000))*1,[1]OUT_TransportEnergyCons!H$3:H$1000)</f>
        <v>0.68513664760170068</v>
      </c>
      <c r="K1233" s="1" cm="1">
        <f t="array" ref="K1233">SUMPRODUCT(("T_C-HY-GSL-S2"=[1]OUT_TransportEnergyCons!$A$3:$A$1000)*1,("var_fout"=[1]OUT_TransportEnergyCons!$B$3:$B$1000)*1,ISNUMBER(SEARCH("TPCAR",[1]OUT_TransportEnergyCons!$C$3:$C$1000))*1,[1]OUT_TransportEnergyCons!I$3:I$1000)</f>
        <v>8.8134613296116909E-2</v>
      </c>
      <c r="L1233" s="1" cm="1">
        <f t="array" ref="L1233">SUMPRODUCT(("T_C-HY-GSL-S2"=[1]OUT_TransportEnergyCons!$A$3:$A$1000)*1,("var_fout"=[1]OUT_TransportEnergyCons!$B$3:$B$1000)*1,ISNUMBER(SEARCH("TPCAR",[1]OUT_TransportEnergyCons!$C$3:$C$1000))*1,[1]OUT_TransportEnergyCons!J$3:J$1000)</f>
        <v>0</v>
      </c>
      <c r="M1233" s="1" cm="1">
        <f t="array" ref="M1233">SUMPRODUCT(("T_C-HY-GSL-S2"=[1]OUT_TransportEnergyCons!$A$3:$A$1000)*1,("var_fout"=[1]OUT_TransportEnergyCons!$B$3:$B$1000)*1,ISNUMBER(SEARCH("TPCAR",[1]OUT_TransportEnergyCons!$C$3:$C$1000))*1,[1]OUT_TransportEnergyCons!K$3:K$1000)</f>
        <v>0</v>
      </c>
      <c r="N1233" s="1" cm="1">
        <f t="array" ref="N1233">SUMPRODUCT(("T_C-HY-GSL-S2"=[1]OUT_TransportEnergyCons!$A$3:$A$1000)*1,("var_fout"=[1]OUT_TransportEnergyCons!$B$3:$B$1000)*1,ISNUMBER(SEARCH("TPCAR",[1]OUT_TransportEnergyCons!$C$3:$C$1000))*1,[1]OUT_TransportEnergyCons!L$3:L$1000)</f>
        <v>0</v>
      </c>
      <c r="O1233" s="1" cm="1">
        <f t="array" ref="O1233">SUMPRODUCT(("T_C-HY-GSL-S2"=[1]OUT_TransportEnergyCons!$A$3:$A$1000)*1,("var_fout"=[1]OUT_TransportEnergyCons!$B$3:$B$1000)*1,ISNUMBER(SEARCH("TPCAR",[1]OUT_TransportEnergyCons!$C$3:$C$1000))*1,[1]OUT_TransportEnergyCons!M$3:M$1000)</f>
        <v>0</v>
      </c>
      <c r="P1233" s="1" cm="1">
        <f t="array" ref="P1233">SUMPRODUCT(("T_C-HY-GSL-S2"=[1]OUT_TransportEnergyCons!$A$3:$A$1000)*1,("var_fout"=[1]OUT_TransportEnergyCons!$B$3:$B$1000)*1,ISNUMBER(SEARCH("TPCAR",[1]OUT_TransportEnergyCons!$C$3:$C$1000))*1,[1]OUT_TransportEnergyCons!N$3:N$1000)</f>
        <v>0</v>
      </c>
      <c r="Q1233" s="1" cm="1">
        <f t="array" ref="Q1233">SUMPRODUCT(("T_C-HY-GSL-S2"=[1]OUT_TransportEnergyCons!$A$3:$A$1000)*1,("var_fout"=[1]OUT_TransportEnergyCons!$B$3:$B$1000)*1,ISNUMBER(SEARCH("TPCAR",[1]OUT_TransportEnergyCons!$C$3:$C$1000))*1,[1]OUT_TransportEnergyCons!O$3:O$1000)</f>
        <v>0</v>
      </c>
      <c r="S1233" s="3"/>
    </row>
    <row r="1234" spans="2:19" x14ac:dyDescent="0.5">
      <c r="B1234" s="5" t="str">
        <f t="shared" si="1401"/>
        <v>SPS1</v>
      </c>
      <c r="C1234" s="5" t="str">
        <f t="shared" si="1402"/>
        <v>CH</v>
      </c>
      <c r="D1234" t="s">
        <v>1152</v>
      </c>
      <c r="E1234" t="str">
        <f t="shared" si="1400"/>
        <v>billion km/yr.</v>
      </c>
      <c r="F1234" s="1" cm="1">
        <f t="array" ref="F1234">SUMPRODUCT(("T_C-HY-GSL-S3"=[1]OUT_TransportEnergyCons!$A$3:$A$1000)*1,("var_fout"=[1]OUT_TransportEnergyCons!$B$3:$B$1000)*1,ISNUMBER(SEARCH("TPCAR",[1]OUT_TransportEnergyCons!$C$3:$C$1000))*1,[1]OUT_TransportEnergyCons!D$3:D$1000)</f>
        <v>0.20056710434977479</v>
      </c>
      <c r="G1234" s="1" cm="1">
        <f t="array" ref="G1234">SUMPRODUCT(("T_C-HY-GSL-S3"=[1]OUT_TransportEnergyCons!$A$3:$A$1000)*1,("var_fout"=[1]OUT_TransportEnergyCons!$B$3:$B$1000)*1,ISNUMBER(SEARCH("TPCAR",[1]OUT_TransportEnergyCons!$C$3:$C$1000))*1,[1]OUT_TransportEnergyCons!E$3:E$1000)</f>
        <v>2.8379249366466532</v>
      </c>
      <c r="H1234" s="1" cm="1">
        <f t="array" ref="H1234">SUMPRODUCT(("T_C-HY-GSL-S3"=[1]OUT_TransportEnergyCons!$A$3:$A$1000)*1,("var_fout"=[1]OUT_TransportEnergyCons!$B$3:$B$1000)*1,ISNUMBER(SEARCH("TPCAR",[1]OUT_TransportEnergyCons!$C$3:$C$1000))*1,[1]OUT_TransportEnergyCons!F$3:F$1000)</f>
        <v>2.6929590652321664</v>
      </c>
      <c r="I1234" s="1" cm="1">
        <f t="array" ref="I1234">SUMPRODUCT(("T_C-HY-GSL-S3"=[1]OUT_TransportEnergyCons!$A$3:$A$1000)*1,("var_fout"=[1]OUT_TransportEnergyCons!$B$3:$B$1000)*1,ISNUMBER(SEARCH("TPCAR",[1]OUT_TransportEnergyCons!$C$3:$C$1000))*1,[1]OUT_TransportEnergyCons!G$3:G$1000)</f>
        <v>2.1690227251505703</v>
      </c>
      <c r="J1234" s="1" cm="1">
        <f t="array" ref="J1234">SUMPRODUCT(("T_C-HY-GSL-S3"=[1]OUT_TransportEnergyCons!$A$3:$A$1000)*1,("var_fout"=[1]OUT_TransportEnergyCons!$B$3:$B$1000)*1,ISNUMBER(SEARCH("TPCAR",[1]OUT_TransportEnergyCons!$C$3:$C$1000))*1,[1]OUT_TransportEnergyCons!H$3:H$1000)</f>
        <v>0.70271688092562545</v>
      </c>
      <c r="K1234" s="1" cm="1">
        <f t="array" ref="K1234">SUMPRODUCT(("T_C-HY-GSL-S3"=[1]OUT_TransportEnergyCons!$A$3:$A$1000)*1,("var_fout"=[1]OUT_TransportEnergyCons!$B$3:$B$1000)*1,ISNUMBER(SEARCH("TPCAR",[1]OUT_TransportEnergyCons!$C$3:$C$1000))*1,[1]OUT_TransportEnergyCons!I$3:I$1000)</f>
        <v>1.2994045400837313E-3</v>
      </c>
      <c r="L1234" s="1" cm="1">
        <f t="array" ref="L1234">SUMPRODUCT(("T_C-HY-GSL-S3"=[1]OUT_TransportEnergyCons!$A$3:$A$1000)*1,("var_fout"=[1]OUT_TransportEnergyCons!$B$3:$B$1000)*1,ISNUMBER(SEARCH("TPCAR",[1]OUT_TransportEnergyCons!$C$3:$C$1000))*1,[1]OUT_TransportEnergyCons!J$3:J$1000)</f>
        <v>0</v>
      </c>
      <c r="M1234" s="1" cm="1">
        <f t="array" ref="M1234">SUMPRODUCT(("T_C-HY-GSL-S3"=[1]OUT_TransportEnergyCons!$A$3:$A$1000)*1,("var_fout"=[1]OUT_TransportEnergyCons!$B$3:$B$1000)*1,ISNUMBER(SEARCH("TPCAR",[1]OUT_TransportEnergyCons!$C$3:$C$1000))*1,[1]OUT_TransportEnergyCons!K$3:K$1000)</f>
        <v>0</v>
      </c>
      <c r="N1234" s="1" cm="1">
        <f t="array" ref="N1234">SUMPRODUCT(("T_C-HY-GSL-S3"=[1]OUT_TransportEnergyCons!$A$3:$A$1000)*1,("var_fout"=[1]OUT_TransportEnergyCons!$B$3:$B$1000)*1,ISNUMBER(SEARCH("TPCAR",[1]OUT_TransportEnergyCons!$C$3:$C$1000))*1,[1]OUT_TransportEnergyCons!L$3:L$1000)</f>
        <v>0</v>
      </c>
      <c r="O1234" s="1" cm="1">
        <f t="array" ref="O1234">SUMPRODUCT(("T_C-HY-GSL-S3"=[1]OUT_TransportEnergyCons!$A$3:$A$1000)*1,("var_fout"=[1]OUT_TransportEnergyCons!$B$3:$B$1000)*1,ISNUMBER(SEARCH("TPCAR",[1]OUT_TransportEnergyCons!$C$3:$C$1000))*1,[1]OUT_TransportEnergyCons!M$3:M$1000)</f>
        <v>0</v>
      </c>
      <c r="P1234" s="1" cm="1">
        <f t="array" ref="P1234">SUMPRODUCT(("T_C-HY-GSL-S3"=[1]OUT_TransportEnergyCons!$A$3:$A$1000)*1,("var_fout"=[1]OUT_TransportEnergyCons!$B$3:$B$1000)*1,ISNUMBER(SEARCH("TPCAR",[1]OUT_TransportEnergyCons!$C$3:$C$1000))*1,[1]OUT_TransportEnergyCons!N$3:N$1000)</f>
        <v>0</v>
      </c>
      <c r="Q1234" s="1" cm="1">
        <f t="array" ref="Q1234">SUMPRODUCT(("T_C-HY-GSL-S3"=[1]OUT_TransportEnergyCons!$A$3:$A$1000)*1,("var_fout"=[1]OUT_TransportEnergyCons!$B$3:$B$1000)*1,ISNUMBER(SEARCH("TPCAR",[1]OUT_TransportEnergyCons!$C$3:$C$1000))*1,[1]OUT_TransportEnergyCons!O$3:O$1000)</f>
        <v>0</v>
      </c>
      <c r="S1234" s="3"/>
    </row>
    <row r="1235" spans="2:19" x14ac:dyDescent="0.5">
      <c r="B1235" s="5" t="str">
        <f t="shared" si="1401"/>
        <v>SPS1</v>
      </c>
      <c r="C1235" s="5" t="str">
        <f t="shared" si="1402"/>
        <v>CH</v>
      </c>
      <c r="D1235" t="s">
        <v>1153</v>
      </c>
      <c r="E1235" t="str">
        <f t="shared" si="1400"/>
        <v>billion km/yr.</v>
      </c>
      <c r="F1235" s="1" cm="1">
        <f t="array" ref="F1235">SUMPRODUCT(("T_C-HY-GSL-S4"=[1]OUT_TransportEnergyCons!$A$3:$A$1000)*1,("var_fout"=[1]OUT_TransportEnergyCons!$B$3:$B$1000)*1,ISNUMBER(SEARCH("TPCAR",[1]OUT_TransportEnergyCons!$C$3:$C$1000))*1,[1]OUT_TransportEnergyCons!D$3:D$1000)</f>
        <v>0.10300663508620782</v>
      </c>
      <c r="G1235" s="1" cm="1">
        <f t="array" ref="G1235">SUMPRODUCT(("T_C-HY-GSL-S4"=[1]OUT_TransportEnergyCons!$A$3:$A$1000)*1,("var_fout"=[1]OUT_TransportEnergyCons!$B$3:$B$1000)*1,ISNUMBER(SEARCH("TPCAR",[1]OUT_TransportEnergyCons!$C$3:$C$1000))*1,[1]OUT_TransportEnergyCons!E$3:E$1000)</f>
        <v>0.18044700278940073</v>
      </c>
      <c r="H1235" s="1" cm="1">
        <f t="array" ref="H1235">SUMPRODUCT(("T_C-HY-GSL-S4"=[1]OUT_TransportEnergyCons!$A$3:$A$1000)*1,("var_fout"=[1]OUT_TransportEnergyCons!$B$3:$B$1000)*1,ISNUMBER(SEARCH("TPCAR",[1]OUT_TransportEnergyCons!$C$3:$C$1000))*1,[1]OUT_TransportEnergyCons!F$3:F$1000)</f>
        <v>0.17241350047278162</v>
      </c>
      <c r="I1235" s="1" cm="1">
        <f t="array" ref="I1235">SUMPRODUCT(("T_C-HY-GSL-S4"=[1]OUT_TransportEnergyCons!$A$3:$A$1000)*1,("var_fout"=[1]OUT_TransportEnergyCons!$B$3:$B$1000)*1,ISNUMBER(SEARCH("TPCAR",[1]OUT_TransportEnergyCons!$C$3:$C$1000))*1,[1]OUT_TransportEnergyCons!G$3:G$1000)</f>
        <v>0.14484765111491679</v>
      </c>
      <c r="J1235" s="1" cm="1">
        <f t="array" ref="J1235">SUMPRODUCT(("T_C-HY-GSL-S4"=[1]OUT_TransportEnergyCons!$A$3:$A$1000)*1,("var_fout"=[1]OUT_TransportEnergyCons!$B$3:$B$1000)*1,ISNUMBER(SEARCH("TPCAR",[1]OUT_TransportEnergyCons!$C$3:$C$1000))*1,[1]OUT_TransportEnergyCons!H$3:H$1000)</f>
        <v>2.6341825728917863E-2</v>
      </c>
      <c r="K1235" s="1" cm="1">
        <f t="array" ref="K1235">SUMPRODUCT(("T_C-HY-GSL-S4"=[1]OUT_TransportEnergyCons!$A$3:$A$1000)*1,("var_fout"=[1]OUT_TransportEnergyCons!$B$3:$B$1000)*1,ISNUMBER(SEARCH("TPCAR",[1]OUT_TransportEnergyCons!$C$3:$C$1000))*1,[1]OUT_TransportEnergyCons!I$3:I$1000)</f>
        <v>4.2354816471375326E-4</v>
      </c>
      <c r="L1235" s="1" cm="1">
        <f t="array" ref="L1235">SUMPRODUCT(("T_C-HY-GSL-S4"=[1]OUT_TransportEnergyCons!$A$3:$A$1000)*1,("var_fout"=[1]OUT_TransportEnergyCons!$B$3:$B$1000)*1,ISNUMBER(SEARCH("TPCAR",[1]OUT_TransportEnergyCons!$C$3:$C$1000))*1,[1]OUT_TransportEnergyCons!J$3:J$1000)</f>
        <v>0</v>
      </c>
      <c r="M1235" s="1" cm="1">
        <f t="array" ref="M1235">SUMPRODUCT(("T_C-HY-GSL-S4"=[1]OUT_TransportEnergyCons!$A$3:$A$1000)*1,("var_fout"=[1]OUT_TransportEnergyCons!$B$3:$B$1000)*1,ISNUMBER(SEARCH("TPCAR",[1]OUT_TransportEnergyCons!$C$3:$C$1000))*1,[1]OUT_TransportEnergyCons!K$3:K$1000)</f>
        <v>0</v>
      </c>
      <c r="N1235" s="1" cm="1">
        <f t="array" ref="N1235">SUMPRODUCT(("T_C-HY-GSL-S4"=[1]OUT_TransportEnergyCons!$A$3:$A$1000)*1,("var_fout"=[1]OUT_TransportEnergyCons!$B$3:$B$1000)*1,ISNUMBER(SEARCH("TPCAR",[1]OUT_TransportEnergyCons!$C$3:$C$1000))*1,[1]OUT_TransportEnergyCons!L$3:L$1000)</f>
        <v>0</v>
      </c>
      <c r="O1235" s="1" cm="1">
        <f t="array" ref="O1235">SUMPRODUCT(("T_C-HY-GSL-S4"=[1]OUT_TransportEnergyCons!$A$3:$A$1000)*1,("var_fout"=[1]OUT_TransportEnergyCons!$B$3:$B$1000)*1,ISNUMBER(SEARCH("TPCAR",[1]OUT_TransportEnergyCons!$C$3:$C$1000))*1,[1]OUT_TransportEnergyCons!M$3:M$1000)</f>
        <v>0</v>
      </c>
      <c r="P1235" s="1" cm="1">
        <f t="array" ref="P1235">SUMPRODUCT(("T_C-HY-GSL-S4"=[1]OUT_TransportEnergyCons!$A$3:$A$1000)*1,("var_fout"=[1]OUT_TransportEnergyCons!$B$3:$B$1000)*1,ISNUMBER(SEARCH("TPCAR",[1]OUT_TransportEnergyCons!$C$3:$C$1000))*1,[1]OUT_TransportEnergyCons!N$3:N$1000)</f>
        <v>0</v>
      </c>
      <c r="Q1235" s="1" cm="1">
        <f t="array" ref="Q1235">SUMPRODUCT(("T_C-HY-GSL-S4"=[1]OUT_TransportEnergyCons!$A$3:$A$1000)*1,("var_fout"=[1]OUT_TransportEnergyCons!$B$3:$B$1000)*1,ISNUMBER(SEARCH("TPCAR",[1]OUT_TransportEnergyCons!$C$3:$C$1000))*1,[1]OUT_TransportEnergyCons!O$3:O$1000)</f>
        <v>0</v>
      </c>
      <c r="S1235" s="3"/>
    </row>
    <row r="1236" spans="2:19" x14ac:dyDescent="0.5">
      <c r="B1236" s="5" t="str">
        <f t="shared" si="1401"/>
        <v>SPS1</v>
      </c>
      <c r="C1236" s="5" t="str">
        <f t="shared" si="1402"/>
        <v>CH</v>
      </c>
      <c r="D1236" t="s">
        <v>1154</v>
      </c>
      <c r="E1236" t="str">
        <f t="shared" si="1400"/>
        <v>billion km/yr.</v>
      </c>
      <c r="F1236" s="1" cm="1">
        <f t="array" ref="F1236">SUMPRODUCT(("T_C-ICEGSLEXT"=[1]OUT_TransportEnergyCons!$A$3:$A$1000)*1,("var_fout"=[1]OUT_TransportEnergyCons!$B$3:$B$1000)*1,ISNUMBER(SEARCH("TPCAR",[1]OUT_TransportEnergyCons!$C$3:$C$1000))*1,[1]OUT_TransportEnergyCons!D$3:D$1000)</f>
        <v>18.303018778191234</v>
      </c>
      <c r="G1236" s="1" cm="1">
        <f t="array" ref="G1236">SUMPRODUCT(("T_C-ICEGSLEXT"=[1]OUT_TransportEnergyCons!$A$3:$A$1000)*1,("var_fout"=[1]OUT_TransportEnergyCons!$B$3:$B$1000)*1,ISNUMBER(SEARCH("TPCAR",[1]OUT_TransportEnergyCons!$C$3:$C$1000))*1,[1]OUT_TransportEnergyCons!E$3:E$1000)</f>
        <v>15.815145329702643</v>
      </c>
      <c r="H1236" s="1" cm="1">
        <f t="array" ref="H1236">SUMPRODUCT(("T_C-ICEGSLEXT"=[1]OUT_TransportEnergyCons!$A$3:$A$1000)*1,("var_fout"=[1]OUT_TransportEnergyCons!$B$3:$B$1000)*1,ISNUMBER(SEARCH("TPCAR",[1]OUT_TransportEnergyCons!$C$3:$C$1000))*1,[1]OUT_TransportEnergyCons!F$3:F$1000)</f>
        <v>10.216651811085031</v>
      </c>
      <c r="I1236" s="1" cm="1">
        <f t="array" ref="I1236">SUMPRODUCT(("T_C-ICEGSLEXT"=[1]OUT_TransportEnergyCons!$A$3:$A$1000)*1,("var_fout"=[1]OUT_TransportEnergyCons!$B$3:$B$1000)*1,ISNUMBER(SEARCH("TPCAR",[1]OUT_TransportEnergyCons!$C$3:$C$1000))*1,[1]OUT_TransportEnergyCons!G$3:G$1000)</f>
        <v>4.5745885005936335</v>
      </c>
      <c r="J1236" s="1" cm="1">
        <f t="array" ref="J1236">SUMPRODUCT(("T_C-ICEGSLEXT"=[1]OUT_TransportEnergyCons!$A$3:$A$1000)*1,("var_fout"=[1]OUT_TransportEnergyCons!$B$3:$B$1000)*1,ISNUMBER(SEARCH("TPCAR",[1]OUT_TransportEnergyCons!$C$3:$C$1000))*1,[1]OUT_TransportEnergyCons!H$3:H$1000)</f>
        <v>0</v>
      </c>
      <c r="K1236" s="1" cm="1">
        <f t="array" ref="K1236">SUMPRODUCT(("T_C-ICEGSLEXT"=[1]OUT_TransportEnergyCons!$A$3:$A$1000)*1,("var_fout"=[1]OUT_TransportEnergyCons!$B$3:$B$1000)*1,ISNUMBER(SEARCH("TPCAR",[1]OUT_TransportEnergyCons!$C$3:$C$1000))*1,[1]OUT_TransportEnergyCons!I$3:I$1000)</f>
        <v>0</v>
      </c>
      <c r="L1236" s="1" cm="1">
        <f t="array" ref="L1236">SUMPRODUCT(("T_C-ICEGSLEXT"=[1]OUT_TransportEnergyCons!$A$3:$A$1000)*1,("var_fout"=[1]OUT_TransportEnergyCons!$B$3:$B$1000)*1,ISNUMBER(SEARCH("TPCAR",[1]OUT_TransportEnergyCons!$C$3:$C$1000))*1,[1]OUT_TransportEnergyCons!J$3:J$1000)</f>
        <v>0</v>
      </c>
      <c r="M1236" s="1" cm="1">
        <f t="array" ref="M1236">SUMPRODUCT(("T_C-ICEGSLEXT"=[1]OUT_TransportEnergyCons!$A$3:$A$1000)*1,("var_fout"=[1]OUT_TransportEnergyCons!$B$3:$B$1000)*1,ISNUMBER(SEARCH("TPCAR",[1]OUT_TransportEnergyCons!$C$3:$C$1000))*1,[1]OUT_TransportEnergyCons!K$3:K$1000)</f>
        <v>0</v>
      </c>
      <c r="N1236" s="1" cm="1">
        <f t="array" ref="N1236">SUMPRODUCT(("T_C-ICEGSLEXT"=[1]OUT_TransportEnergyCons!$A$3:$A$1000)*1,("var_fout"=[1]OUT_TransportEnergyCons!$B$3:$B$1000)*1,ISNUMBER(SEARCH("TPCAR",[1]OUT_TransportEnergyCons!$C$3:$C$1000))*1,[1]OUT_TransportEnergyCons!L$3:L$1000)</f>
        <v>0</v>
      </c>
      <c r="O1236" s="1" cm="1">
        <f t="array" ref="O1236">SUMPRODUCT(("T_C-ICEGSLEXT"=[1]OUT_TransportEnergyCons!$A$3:$A$1000)*1,("var_fout"=[1]OUT_TransportEnergyCons!$B$3:$B$1000)*1,ISNUMBER(SEARCH("TPCAR",[1]OUT_TransportEnergyCons!$C$3:$C$1000))*1,[1]OUT_TransportEnergyCons!M$3:M$1000)</f>
        <v>0</v>
      </c>
      <c r="P1236" s="1" cm="1">
        <f t="array" ref="P1236">SUMPRODUCT(("T_C-ICEGSLEXT"=[1]OUT_TransportEnergyCons!$A$3:$A$1000)*1,("var_fout"=[1]OUT_TransportEnergyCons!$B$3:$B$1000)*1,ISNUMBER(SEARCH("TPCAR",[1]OUT_TransportEnergyCons!$C$3:$C$1000))*1,[1]OUT_TransportEnergyCons!N$3:N$1000)</f>
        <v>0</v>
      </c>
      <c r="Q1236" s="1" cm="1">
        <f t="array" ref="Q1236">SUMPRODUCT(("T_C-ICEGSLEXT"=[1]OUT_TransportEnergyCons!$A$3:$A$1000)*1,("var_fout"=[1]OUT_TransportEnergyCons!$B$3:$B$1000)*1,ISNUMBER(SEARCH("TPCAR",[1]OUT_TransportEnergyCons!$C$3:$C$1000))*1,[1]OUT_TransportEnergyCons!O$3:O$1000)</f>
        <v>0</v>
      </c>
      <c r="S1236" s="3"/>
    </row>
    <row r="1237" spans="2:19" x14ac:dyDescent="0.5">
      <c r="B1237" s="5" t="str">
        <f t="shared" si="1401"/>
        <v>SPS1</v>
      </c>
      <c r="C1237" s="5" t="str">
        <f t="shared" si="1402"/>
        <v>CH</v>
      </c>
      <c r="D1237" t="s">
        <v>1155</v>
      </c>
      <c r="E1237" t="str">
        <f t="shared" si="1400"/>
        <v>billion km/yr.</v>
      </c>
      <c r="F1237" s="1" cm="1">
        <f t="array" ref="F1237">SUMPRODUCT(("T_C-ICE-GSL-S1"=[1]OUT_TransportEnergyCons!$A$3:$A$1000)*1,("var_fout"=[1]OUT_TransportEnergyCons!$B$3:$B$1000)*1,ISNUMBER(SEARCH("TPCAR",[1]OUT_TransportEnergyCons!$C$3:$C$1000))*1,[1]OUT_TransportEnergyCons!D$3:D$1000)</f>
        <v>0.33244773851556814</v>
      </c>
      <c r="G1237" s="1" cm="1">
        <f t="array" ref="G1237">SUMPRODUCT(("T_C-ICE-GSL-S1"=[1]OUT_TransportEnergyCons!$A$3:$A$1000)*1,("var_fout"=[1]OUT_TransportEnergyCons!$B$3:$B$1000)*1,ISNUMBER(SEARCH("TPCAR",[1]OUT_TransportEnergyCons!$C$3:$C$1000))*1,[1]OUT_TransportEnergyCons!E$3:E$1000)</f>
        <v>0.60647126083285641</v>
      </c>
      <c r="H1237" s="1" cm="1">
        <f t="array" ref="H1237">SUMPRODUCT(("T_C-ICE-GSL-S1"=[1]OUT_TransportEnergyCons!$A$3:$A$1000)*1,("var_fout"=[1]OUT_TransportEnergyCons!$B$3:$B$1000)*1,ISNUMBER(SEARCH("TPCAR",[1]OUT_TransportEnergyCons!$C$3:$C$1000))*1,[1]OUT_TransportEnergyCons!F$3:F$1000)</f>
        <v>1.1501579701261777</v>
      </c>
      <c r="I1237" s="1" cm="1">
        <f t="array" ref="I1237">SUMPRODUCT(("T_C-ICE-GSL-S1"=[1]OUT_TransportEnergyCons!$A$3:$A$1000)*1,("var_fout"=[1]OUT_TransportEnergyCons!$B$3:$B$1000)*1,ISNUMBER(SEARCH("TPCAR",[1]OUT_TransportEnergyCons!$C$3:$C$1000))*1,[1]OUT_TransportEnergyCons!G$3:G$1000)</f>
        <v>0.67169139100490971</v>
      </c>
      <c r="J1237" s="1" cm="1">
        <f t="array" ref="J1237">SUMPRODUCT(("T_C-ICE-GSL-S1"=[1]OUT_TransportEnergyCons!$A$3:$A$1000)*1,("var_fout"=[1]OUT_TransportEnergyCons!$B$3:$B$1000)*1,ISNUMBER(SEARCH("TPCAR",[1]OUT_TransportEnergyCons!$C$3:$C$1000))*1,[1]OUT_TransportEnergyCons!H$3:H$1000)</f>
        <v>0.30070816221905344</v>
      </c>
      <c r="K1237" s="1" cm="1">
        <f t="array" ref="K1237">SUMPRODUCT(("T_C-ICE-GSL-S1"=[1]OUT_TransportEnergyCons!$A$3:$A$1000)*1,("var_fout"=[1]OUT_TransportEnergyCons!$B$3:$B$1000)*1,ISNUMBER(SEARCH("TPCAR",[1]OUT_TransportEnergyCons!$C$3:$C$1000))*1,[1]OUT_TransportEnergyCons!I$3:I$1000)</f>
        <v>4.051196181720769E-2</v>
      </c>
      <c r="L1237" s="1" cm="1">
        <f t="array" ref="L1237">SUMPRODUCT(("T_C-ICE-GSL-S1"=[1]OUT_TransportEnergyCons!$A$3:$A$1000)*1,("var_fout"=[1]OUT_TransportEnergyCons!$B$3:$B$1000)*1,ISNUMBER(SEARCH("TPCAR",[1]OUT_TransportEnergyCons!$C$3:$C$1000))*1,[1]OUT_TransportEnergyCons!J$3:J$1000)</f>
        <v>0</v>
      </c>
      <c r="M1237" s="1" cm="1">
        <f t="array" ref="M1237">SUMPRODUCT(("T_C-ICE-GSL-S1"=[1]OUT_TransportEnergyCons!$A$3:$A$1000)*1,("var_fout"=[1]OUT_TransportEnergyCons!$B$3:$B$1000)*1,ISNUMBER(SEARCH("TPCAR",[1]OUT_TransportEnergyCons!$C$3:$C$1000))*1,[1]OUT_TransportEnergyCons!K$3:K$1000)</f>
        <v>0</v>
      </c>
      <c r="N1237" s="1" cm="1">
        <f t="array" ref="N1237">SUMPRODUCT(("T_C-ICE-GSL-S1"=[1]OUT_TransportEnergyCons!$A$3:$A$1000)*1,("var_fout"=[1]OUT_TransportEnergyCons!$B$3:$B$1000)*1,ISNUMBER(SEARCH("TPCAR",[1]OUT_TransportEnergyCons!$C$3:$C$1000))*1,[1]OUT_TransportEnergyCons!L$3:L$1000)</f>
        <v>0</v>
      </c>
      <c r="O1237" s="1" cm="1">
        <f t="array" ref="O1237">SUMPRODUCT(("T_C-ICE-GSL-S1"=[1]OUT_TransportEnergyCons!$A$3:$A$1000)*1,("var_fout"=[1]OUT_TransportEnergyCons!$B$3:$B$1000)*1,ISNUMBER(SEARCH("TPCAR",[1]OUT_TransportEnergyCons!$C$3:$C$1000))*1,[1]OUT_TransportEnergyCons!M$3:M$1000)</f>
        <v>0</v>
      </c>
      <c r="P1237" s="1" cm="1">
        <f t="array" ref="P1237">SUMPRODUCT(("T_C-ICE-GSL-S1"=[1]OUT_TransportEnergyCons!$A$3:$A$1000)*1,("var_fout"=[1]OUT_TransportEnergyCons!$B$3:$B$1000)*1,ISNUMBER(SEARCH("TPCAR",[1]OUT_TransportEnergyCons!$C$3:$C$1000))*1,[1]OUT_TransportEnergyCons!N$3:N$1000)</f>
        <v>0</v>
      </c>
      <c r="Q1237" s="1" cm="1">
        <f t="array" ref="Q1237">SUMPRODUCT(("T_C-ICE-GSL-S1"=[1]OUT_TransportEnergyCons!$A$3:$A$1000)*1,("var_fout"=[1]OUT_TransportEnergyCons!$B$3:$B$1000)*1,ISNUMBER(SEARCH("TPCAR",[1]OUT_TransportEnergyCons!$C$3:$C$1000))*1,[1]OUT_TransportEnergyCons!O$3:O$1000)</f>
        <v>0</v>
      </c>
      <c r="S1237" s="3"/>
    </row>
    <row r="1238" spans="2:19" x14ac:dyDescent="0.5">
      <c r="B1238" s="5" t="str">
        <f t="shared" si="1401"/>
        <v>SPS1</v>
      </c>
      <c r="C1238" s="5" t="str">
        <f t="shared" si="1402"/>
        <v>CH</v>
      </c>
      <c r="D1238" t="s">
        <v>1156</v>
      </c>
      <c r="E1238" t="str">
        <f t="shared" si="1400"/>
        <v>billion km/yr.</v>
      </c>
      <c r="F1238" s="1" cm="1">
        <f t="array" ref="F1238">SUMPRODUCT(("T_C-ICE-GSL-S2"=[1]OUT_TransportEnergyCons!$A$3:$A$1000)*1,("var_fout"=[1]OUT_TransportEnergyCons!$B$3:$B$1000)*1,ISNUMBER(SEARCH("TPCAR",[1]OUT_TransportEnergyCons!$C$3:$C$1000))*1,[1]OUT_TransportEnergyCons!D$3:D$1000)</f>
        <v>2.2067344806132341</v>
      </c>
      <c r="G1238" s="1" cm="1">
        <f t="array" ref="G1238">SUMPRODUCT(("T_C-ICE-GSL-S2"=[1]OUT_TransportEnergyCons!$A$3:$A$1000)*1,("var_fout"=[1]OUT_TransportEnergyCons!$B$3:$B$1000)*1,ISNUMBER(SEARCH("TPCAR",[1]OUT_TransportEnergyCons!$C$3:$C$1000))*1,[1]OUT_TransportEnergyCons!E$3:E$1000)</f>
        <v>3.2101402265419869</v>
      </c>
      <c r="H1238" s="1" cm="1">
        <f t="array" ref="H1238">SUMPRODUCT(("T_C-ICE-GSL-S2"=[1]OUT_TransportEnergyCons!$A$3:$A$1000)*1,("var_fout"=[1]OUT_TransportEnergyCons!$B$3:$B$1000)*1,ISNUMBER(SEARCH("TPCAR",[1]OUT_TransportEnergyCons!$C$3:$C$1000))*1,[1]OUT_TransportEnergyCons!F$3:F$1000)</f>
        <v>4.3790694626865463</v>
      </c>
      <c r="I1238" s="1" cm="1">
        <f t="array" ref="I1238">SUMPRODUCT(("T_C-ICE-GSL-S2"=[1]OUT_TransportEnergyCons!$A$3:$A$1000)*1,("var_fout"=[1]OUT_TransportEnergyCons!$B$3:$B$1000)*1,ISNUMBER(SEARCH("TPCAR",[1]OUT_TransportEnergyCons!$C$3:$C$1000))*1,[1]OUT_TransportEnergyCons!G$3:G$1000)</f>
        <v>3.569028680329378</v>
      </c>
      <c r="J1238" s="1" cm="1">
        <f t="array" ref="J1238">SUMPRODUCT(("T_C-ICE-GSL-S2"=[1]OUT_TransportEnergyCons!$A$3:$A$1000)*1,("var_fout"=[1]OUT_TransportEnergyCons!$B$3:$B$1000)*1,ISNUMBER(SEARCH("TPCAR",[1]OUT_TransportEnergyCons!$C$3:$C$1000))*1,[1]OUT_TransportEnergyCons!H$3:H$1000)</f>
        <v>0.64992067391329922</v>
      </c>
      <c r="K1238" s="1" cm="1">
        <f t="array" ref="K1238">SUMPRODUCT(("T_C-ICE-GSL-S2"=[1]OUT_TransportEnergyCons!$A$3:$A$1000)*1,("var_fout"=[1]OUT_TransportEnergyCons!$B$3:$B$1000)*1,ISNUMBER(SEARCH("TPCAR",[1]OUT_TransportEnergyCons!$C$3:$C$1000))*1,[1]OUT_TransportEnergyCons!I$3:I$1000)</f>
        <v>8.8782593707809637E-2</v>
      </c>
      <c r="L1238" s="1" cm="1">
        <f t="array" ref="L1238">SUMPRODUCT(("T_C-ICE-GSL-S2"=[1]OUT_TransportEnergyCons!$A$3:$A$1000)*1,("var_fout"=[1]OUT_TransportEnergyCons!$B$3:$B$1000)*1,ISNUMBER(SEARCH("TPCAR",[1]OUT_TransportEnergyCons!$C$3:$C$1000))*1,[1]OUT_TransportEnergyCons!J$3:J$1000)</f>
        <v>0</v>
      </c>
      <c r="M1238" s="1" cm="1">
        <f t="array" ref="M1238">SUMPRODUCT(("T_C-ICE-GSL-S2"=[1]OUT_TransportEnergyCons!$A$3:$A$1000)*1,("var_fout"=[1]OUT_TransportEnergyCons!$B$3:$B$1000)*1,ISNUMBER(SEARCH("TPCAR",[1]OUT_TransportEnergyCons!$C$3:$C$1000))*1,[1]OUT_TransportEnergyCons!K$3:K$1000)</f>
        <v>0</v>
      </c>
      <c r="N1238" s="1" cm="1">
        <f t="array" ref="N1238">SUMPRODUCT(("T_C-ICE-GSL-S2"=[1]OUT_TransportEnergyCons!$A$3:$A$1000)*1,("var_fout"=[1]OUT_TransportEnergyCons!$B$3:$B$1000)*1,ISNUMBER(SEARCH("TPCAR",[1]OUT_TransportEnergyCons!$C$3:$C$1000))*1,[1]OUT_TransportEnergyCons!L$3:L$1000)</f>
        <v>0</v>
      </c>
      <c r="O1238" s="1" cm="1">
        <f t="array" ref="O1238">SUMPRODUCT(("T_C-ICE-GSL-S2"=[1]OUT_TransportEnergyCons!$A$3:$A$1000)*1,("var_fout"=[1]OUT_TransportEnergyCons!$B$3:$B$1000)*1,ISNUMBER(SEARCH("TPCAR",[1]OUT_TransportEnergyCons!$C$3:$C$1000))*1,[1]OUT_TransportEnergyCons!M$3:M$1000)</f>
        <v>0</v>
      </c>
      <c r="P1238" s="1" cm="1">
        <f t="array" ref="P1238">SUMPRODUCT(("T_C-ICE-GSL-S2"=[1]OUT_TransportEnergyCons!$A$3:$A$1000)*1,("var_fout"=[1]OUT_TransportEnergyCons!$B$3:$B$1000)*1,ISNUMBER(SEARCH("TPCAR",[1]OUT_TransportEnergyCons!$C$3:$C$1000))*1,[1]OUT_TransportEnergyCons!N$3:N$1000)</f>
        <v>0</v>
      </c>
      <c r="Q1238" s="1" cm="1">
        <f t="array" ref="Q1238">SUMPRODUCT(("T_C-ICE-GSL-S2"=[1]OUT_TransportEnergyCons!$A$3:$A$1000)*1,("var_fout"=[1]OUT_TransportEnergyCons!$B$3:$B$1000)*1,ISNUMBER(SEARCH("TPCAR",[1]OUT_TransportEnergyCons!$C$3:$C$1000))*1,[1]OUT_TransportEnergyCons!O$3:O$1000)</f>
        <v>0</v>
      </c>
      <c r="S1238" s="3"/>
    </row>
    <row r="1239" spans="2:19" x14ac:dyDescent="0.5">
      <c r="B1239" s="5" t="str">
        <f t="shared" si="1401"/>
        <v>SPS1</v>
      </c>
      <c r="C1239" s="5" t="str">
        <f t="shared" si="1402"/>
        <v>CH</v>
      </c>
      <c r="D1239" t="s">
        <v>1157</v>
      </c>
      <c r="E1239" t="str">
        <f t="shared" si="1400"/>
        <v>billion km/yr.</v>
      </c>
      <c r="F1239" s="1" cm="1">
        <f t="array" ref="F1239">SUMPRODUCT(("T_C-ICE-GSL-S3"=[1]OUT_TransportEnergyCons!$A$3:$A$1000)*1,("var_fout"=[1]OUT_TransportEnergyCons!$B$3:$B$1000)*1,ISNUMBER(SEARCH("TPCAR",[1]OUT_TransportEnergyCons!$C$3:$C$1000))*1,[1]OUT_TransportEnergyCons!D$3:D$1000)</f>
        <v>1.8682310478452837</v>
      </c>
      <c r="G1239" s="1" cm="1">
        <f t="array" ref="G1239">SUMPRODUCT(("T_C-ICE-GSL-S3"=[1]OUT_TransportEnergyCons!$A$3:$A$1000)*1,("var_fout"=[1]OUT_TransportEnergyCons!$B$3:$B$1000)*1,ISNUMBER(SEARCH("TPCAR",[1]OUT_TransportEnergyCons!$C$3:$C$1000))*1,[1]OUT_TransportEnergyCons!E$3:E$1000)</f>
        <v>2.9635600088352727</v>
      </c>
      <c r="H1239" s="1" cm="1">
        <f t="array" ref="H1239">SUMPRODUCT(("T_C-ICE-GSL-S3"=[1]OUT_TransportEnergyCons!$A$3:$A$1000)*1,("var_fout"=[1]OUT_TransportEnergyCons!$B$3:$B$1000)*1,ISNUMBER(SEARCH("TPCAR",[1]OUT_TransportEnergyCons!$C$3:$C$1000))*1,[1]OUT_TransportEnergyCons!F$3:F$1000)</f>
        <v>5.4754613650421424</v>
      </c>
      <c r="I1239" s="1" cm="1">
        <f t="array" ref="I1239">SUMPRODUCT(("T_C-ICE-GSL-S3"=[1]OUT_TransportEnergyCons!$A$3:$A$1000)*1,("var_fout"=[1]OUT_TransportEnergyCons!$B$3:$B$1000)*1,ISNUMBER(SEARCH("TPCAR",[1]OUT_TransportEnergyCons!$C$3:$C$1000))*1,[1]OUT_TransportEnergyCons!G$3:G$1000)</f>
        <v>4.6177693243004319</v>
      </c>
      <c r="J1239" s="1" cm="1">
        <f t="array" ref="J1239">SUMPRODUCT(("T_C-ICE-GSL-S3"=[1]OUT_TransportEnergyCons!$A$3:$A$1000)*1,("var_fout"=[1]OUT_TransportEnergyCons!$B$3:$B$1000)*1,ISNUMBER(SEARCH("TPCAR",[1]OUT_TransportEnergyCons!$C$3:$C$1000))*1,[1]OUT_TransportEnergyCons!H$3:H$1000)</f>
        <v>1.7359884948188866</v>
      </c>
      <c r="K1239" s="1" cm="1">
        <f t="array" ref="K1239">SUMPRODUCT(("T_C-ICE-GSL-S3"=[1]OUT_TransportEnergyCons!$A$3:$A$1000)*1,("var_fout"=[1]OUT_TransportEnergyCons!$B$3:$B$1000)*1,ISNUMBER(SEARCH("TPCAR",[1]OUT_TransportEnergyCons!$C$3:$C$1000))*1,[1]OUT_TransportEnergyCons!I$3:I$1000)</f>
        <v>0.23226837944573619</v>
      </c>
      <c r="L1239" s="1" cm="1">
        <f t="array" ref="L1239">SUMPRODUCT(("T_C-ICE-GSL-S3"=[1]OUT_TransportEnergyCons!$A$3:$A$1000)*1,("var_fout"=[1]OUT_TransportEnergyCons!$B$3:$B$1000)*1,ISNUMBER(SEARCH("TPCAR",[1]OUT_TransportEnergyCons!$C$3:$C$1000))*1,[1]OUT_TransportEnergyCons!J$3:J$1000)</f>
        <v>0</v>
      </c>
      <c r="M1239" s="1" cm="1">
        <f t="array" ref="M1239">SUMPRODUCT(("T_C-ICE-GSL-S3"=[1]OUT_TransportEnergyCons!$A$3:$A$1000)*1,("var_fout"=[1]OUT_TransportEnergyCons!$B$3:$B$1000)*1,ISNUMBER(SEARCH("TPCAR",[1]OUT_TransportEnergyCons!$C$3:$C$1000))*1,[1]OUT_TransportEnergyCons!K$3:K$1000)</f>
        <v>0</v>
      </c>
      <c r="N1239" s="1" cm="1">
        <f t="array" ref="N1239">SUMPRODUCT(("T_C-ICE-GSL-S3"=[1]OUT_TransportEnergyCons!$A$3:$A$1000)*1,("var_fout"=[1]OUT_TransportEnergyCons!$B$3:$B$1000)*1,ISNUMBER(SEARCH("TPCAR",[1]OUT_TransportEnergyCons!$C$3:$C$1000))*1,[1]OUT_TransportEnergyCons!L$3:L$1000)</f>
        <v>0</v>
      </c>
      <c r="O1239" s="1" cm="1">
        <f t="array" ref="O1239">SUMPRODUCT(("T_C-ICE-GSL-S3"=[1]OUT_TransportEnergyCons!$A$3:$A$1000)*1,("var_fout"=[1]OUT_TransportEnergyCons!$B$3:$B$1000)*1,ISNUMBER(SEARCH("TPCAR",[1]OUT_TransportEnergyCons!$C$3:$C$1000))*1,[1]OUT_TransportEnergyCons!M$3:M$1000)</f>
        <v>0</v>
      </c>
      <c r="P1239" s="1" cm="1">
        <f t="array" ref="P1239">SUMPRODUCT(("T_C-ICE-GSL-S3"=[1]OUT_TransportEnergyCons!$A$3:$A$1000)*1,("var_fout"=[1]OUT_TransportEnergyCons!$B$3:$B$1000)*1,ISNUMBER(SEARCH("TPCAR",[1]OUT_TransportEnergyCons!$C$3:$C$1000))*1,[1]OUT_TransportEnergyCons!N$3:N$1000)</f>
        <v>0</v>
      </c>
      <c r="Q1239" s="1" cm="1">
        <f t="array" ref="Q1239">SUMPRODUCT(("T_C-ICE-GSL-S3"=[1]OUT_TransportEnergyCons!$A$3:$A$1000)*1,("var_fout"=[1]OUT_TransportEnergyCons!$B$3:$B$1000)*1,ISNUMBER(SEARCH("TPCAR",[1]OUT_TransportEnergyCons!$C$3:$C$1000))*1,[1]OUT_TransportEnergyCons!O$3:O$1000)</f>
        <v>0</v>
      </c>
      <c r="S1239" s="3"/>
    </row>
    <row r="1240" spans="2:19" x14ac:dyDescent="0.5">
      <c r="B1240" s="5" t="str">
        <f t="shared" si="1401"/>
        <v>SPS1</v>
      </c>
      <c r="C1240" s="5" t="str">
        <f t="shared" si="1402"/>
        <v>CH</v>
      </c>
      <c r="D1240" t="s">
        <v>1158</v>
      </c>
      <c r="E1240" t="str">
        <f t="shared" si="1400"/>
        <v>billion km/yr.</v>
      </c>
      <c r="F1240" s="1" cm="1">
        <f t="array" ref="F1240">SUMPRODUCT(("T_C-ICE-GSL-S4"=[1]OUT_TransportEnergyCons!$A$3:$A$1000)*1,("var_fout"=[1]OUT_TransportEnergyCons!$B$3:$B$1000)*1,ISNUMBER(SEARCH("TPCAR",[1]OUT_TransportEnergyCons!$C$3:$C$1000))*1,[1]OUT_TransportEnergyCons!D$3:D$1000)</f>
        <v>1.6631205308935768</v>
      </c>
      <c r="G1240" s="1" cm="1">
        <f t="array" ref="G1240">SUMPRODUCT(("T_C-ICE-GSL-S4"=[1]OUT_TransportEnergyCons!$A$3:$A$1000)*1,("var_fout"=[1]OUT_TransportEnergyCons!$B$3:$B$1000)*1,ISNUMBER(SEARCH("TPCAR",[1]OUT_TransportEnergyCons!$C$3:$C$1000))*1,[1]OUT_TransportEnergyCons!E$3:E$1000)</f>
        <v>2.2771236090982652</v>
      </c>
      <c r="H1240" s="1" cm="1">
        <f t="array" ref="H1240">SUMPRODUCT(("T_C-ICE-GSL-S4"=[1]OUT_TransportEnergyCons!$A$3:$A$1000)*1,("var_fout"=[1]OUT_TransportEnergyCons!$B$3:$B$1000)*1,ISNUMBER(SEARCH("TPCAR",[1]OUT_TransportEnergyCons!$C$3:$C$1000))*1,[1]OUT_TransportEnergyCons!F$3:F$1000)</f>
        <v>4.0906607538821484</v>
      </c>
      <c r="I1240" s="1" cm="1">
        <f t="array" ref="I1240">SUMPRODUCT(("T_C-ICE-GSL-S4"=[1]OUT_TransportEnergyCons!$A$3:$A$1000)*1,("var_fout"=[1]OUT_TransportEnergyCons!$B$3:$B$1000)*1,ISNUMBER(SEARCH("TPCAR",[1]OUT_TransportEnergyCons!$C$3:$C$1000))*1,[1]OUT_TransportEnergyCons!G$3:G$1000)</f>
        <v>3.4287067786118</v>
      </c>
      <c r="J1240" s="1" cm="1">
        <f t="array" ref="J1240">SUMPRODUCT(("T_C-ICE-GSL-S4"=[1]OUT_TransportEnergyCons!$A$3:$A$1000)*1,("var_fout"=[1]OUT_TransportEnergyCons!$B$3:$B$1000)*1,ISNUMBER(SEARCH("TPCAR",[1]OUT_TransportEnergyCons!$C$3:$C$1000))*1,[1]OUT_TransportEnergyCons!H$3:H$1000)</f>
        <v>1.2470675053800708</v>
      </c>
      <c r="K1240" s="1" cm="1">
        <f t="array" ref="K1240">SUMPRODUCT(("T_C-ICE-GSL-S4"=[1]OUT_TransportEnergyCons!$A$3:$A$1000)*1,("var_fout"=[1]OUT_TransportEnergyCons!$B$3:$B$1000)*1,ISNUMBER(SEARCH("TPCAR",[1]OUT_TransportEnergyCons!$C$3:$C$1000))*1,[1]OUT_TransportEnergyCons!I$3:I$1000)</f>
        <v>0.13198550453130564</v>
      </c>
      <c r="L1240" s="1" cm="1">
        <f t="array" ref="L1240">SUMPRODUCT(("T_C-ICE-GSL-S4"=[1]OUT_TransportEnergyCons!$A$3:$A$1000)*1,("var_fout"=[1]OUT_TransportEnergyCons!$B$3:$B$1000)*1,ISNUMBER(SEARCH("TPCAR",[1]OUT_TransportEnergyCons!$C$3:$C$1000))*1,[1]OUT_TransportEnergyCons!J$3:J$1000)</f>
        <v>0</v>
      </c>
      <c r="M1240" s="1" cm="1">
        <f t="array" ref="M1240">SUMPRODUCT(("T_C-ICE-GSL-S4"=[1]OUT_TransportEnergyCons!$A$3:$A$1000)*1,("var_fout"=[1]OUT_TransportEnergyCons!$B$3:$B$1000)*1,ISNUMBER(SEARCH("TPCAR",[1]OUT_TransportEnergyCons!$C$3:$C$1000))*1,[1]OUT_TransportEnergyCons!K$3:K$1000)</f>
        <v>0</v>
      </c>
      <c r="N1240" s="1" cm="1">
        <f t="array" ref="N1240">SUMPRODUCT(("T_C-ICE-GSL-S4"=[1]OUT_TransportEnergyCons!$A$3:$A$1000)*1,("var_fout"=[1]OUT_TransportEnergyCons!$B$3:$B$1000)*1,ISNUMBER(SEARCH("TPCAR",[1]OUT_TransportEnergyCons!$C$3:$C$1000))*1,[1]OUT_TransportEnergyCons!L$3:L$1000)</f>
        <v>0</v>
      </c>
      <c r="O1240" s="1" cm="1">
        <f t="array" ref="O1240">SUMPRODUCT(("T_C-ICE-GSL-S4"=[1]OUT_TransportEnergyCons!$A$3:$A$1000)*1,("var_fout"=[1]OUT_TransportEnergyCons!$B$3:$B$1000)*1,ISNUMBER(SEARCH("TPCAR",[1]OUT_TransportEnergyCons!$C$3:$C$1000))*1,[1]OUT_TransportEnergyCons!M$3:M$1000)</f>
        <v>0</v>
      </c>
      <c r="P1240" s="1" cm="1">
        <f t="array" ref="P1240">SUMPRODUCT(("T_C-ICE-GSL-S4"=[1]OUT_TransportEnergyCons!$A$3:$A$1000)*1,("var_fout"=[1]OUT_TransportEnergyCons!$B$3:$B$1000)*1,ISNUMBER(SEARCH("TPCAR",[1]OUT_TransportEnergyCons!$C$3:$C$1000))*1,[1]OUT_TransportEnergyCons!N$3:N$1000)</f>
        <v>0</v>
      </c>
      <c r="Q1240" s="1" cm="1">
        <f t="array" ref="Q1240">SUMPRODUCT(("T_C-ICE-GSL-S4"=[1]OUT_TransportEnergyCons!$A$3:$A$1000)*1,("var_fout"=[1]OUT_TransportEnergyCons!$B$3:$B$1000)*1,ISNUMBER(SEARCH("TPCAR",[1]OUT_TransportEnergyCons!$C$3:$C$1000))*1,[1]OUT_TransportEnergyCons!O$3:O$1000)</f>
        <v>0</v>
      </c>
      <c r="S1240" s="3"/>
    </row>
    <row r="1241" spans="2:19" x14ac:dyDescent="0.5">
      <c r="B1241" s="5" t="str">
        <f t="shared" si="1401"/>
        <v>SPS1</v>
      </c>
      <c r="C1241" s="5" t="str">
        <f t="shared" si="1402"/>
        <v>CH</v>
      </c>
      <c r="D1241" t="s">
        <v>1159</v>
      </c>
      <c r="E1241" t="str">
        <f t="shared" si="1400"/>
        <v>billion km/yr.</v>
      </c>
      <c r="F1241" s="1" cm="1">
        <f t="array" ref="F1241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SUMPRODUCT(("T_C-MHY-GSL-S1"=[1]OUT_TransportEnergyCons!$A$3:$A$1000)*1,("var_fout"=[1]OUT_TransportEnergyCons!$B$3:$B$1000)*1,ISNUMBER(SEARCH("TPCAR",[1]OUT_TransportEnergyCons!$C$3:$C$1000))*1,[1]OUT_TransportEnergyCons!E$3:E$1000)</f>
        <v>1.5340441805615919E-4</v>
      </c>
      <c r="H1241" s="1" cm="1">
        <f t="array" ref="H1241">SUMPRODUCT(("T_C-MHY-GSL-S1"=[1]OUT_TransportEnergyCons!$A$3:$A$1000)*1,("var_fout"=[1]OUT_TransportEnergyCons!$B$3:$B$1000)*1,ISNUMBER(SEARCH("TPCAR",[1]OUT_TransportEnergyCons!$C$3:$C$1000))*1,[1]OUT_TransportEnergyCons!F$3:F$1000)</f>
        <v>3.3791360535241583E-4</v>
      </c>
      <c r="I1241" s="1" cm="1">
        <f t="array" ref="I1241">SUMPRODUCT(("T_C-MHY-GSL-S1"=[1]OUT_TransportEnergyCons!$A$3:$A$1000)*1,("var_fout"=[1]OUT_TransportEnergyCons!$B$3:$B$1000)*1,ISNUMBER(SEARCH("TPCAR",[1]OUT_TransportEnergyCons!$C$3:$C$1000))*1,[1]OUT_TransportEnergyCons!G$3:G$1000)</f>
        <v>1.1152819628575397E-3</v>
      </c>
      <c r="J1241" s="1" cm="1">
        <f t="array" ref="J1241">SUMPRODUCT(("T_C-MHY-GSL-S1"=[1]OUT_TransportEnergyCons!$A$3:$A$1000)*1,("var_fout"=[1]OUT_TransportEnergyCons!$B$3:$B$1000)*1,ISNUMBER(SEARCH("TPCAR",[1]OUT_TransportEnergyCons!$C$3:$C$1000))*1,[1]OUT_TransportEnergyCons!H$3:H$1000)</f>
        <v>8.9802335938140969E-4</v>
      </c>
      <c r="K1241" s="1" cm="1">
        <f t="array" ref="K1241">SUMPRODUCT(("T_C-MHY-GSL-S1"=[1]OUT_TransportEnergyCons!$A$3:$A$1000)*1,("var_fout"=[1]OUT_TransportEnergyCons!$B$3:$B$1000)*1,ISNUMBER(SEARCH("TPCAR",[1]OUT_TransportEnergyCons!$C$3:$C$1000))*1,[1]OUT_TransportEnergyCons!I$3:I$1000)</f>
        <v>4.8330135974203515E-4</v>
      </c>
      <c r="L1241" s="1" cm="1">
        <f t="array" ref="L1241">SUMPRODUCT(("T_C-MHY-GSL-S1"=[1]OUT_TransportEnergyCons!$A$3:$A$1000)*1,("var_fout"=[1]OUT_TransportEnergyCons!$B$3:$B$1000)*1,ISNUMBER(SEARCH("TPCAR",[1]OUT_TransportEnergyCons!$C$3:$C$1000))*1,[1]OUT_TransportEnergyCons!J$3:J$1000)</f>
        <v>0</v>
      </c>
      <c r="M1241" s="1" cm="1">
        <f t="array" ref="M1241">SUMPRODUCT(("T_C-MHY-GSL-S1"=[1]OUT_TransportEnergyCons!$A$3:$A$1000)*1,("var_fout"=[1]OUT_TransportEnergyCons!$B$3:$B$1000)*1,ISNUMBER(SEARCH("TPCAR",[1]OUT_TransportEnergyCons!$C$3:$C$1000))*1,[1]OUT_TransportEnergyCons!K$3:K$1000)</f>
        <v>0</v>
      </c>
      <c r="N1241" s="1" cm="1">
        <f t="array" ref="N1241">SUMPRODUCT(("T_C-MHY-GSL-S1"=[1]OUT_TransportEnergyCons!$A$3:$A$1000)*1,("var_fout"=[1]OUT_TransportEnergyCons!$B$3:$B$1000)*1,ISNUMBER(SEARCH("TPCAR",[1]OUT_TransportEnergyCons!$C$3:$C$1000))*1,[1]OUT_TransportEnergyCons!L$3:L$1000)</f>
        <v>0</v>
      </c>
      <c r="O1241" s="1" cm="1">
        <f t="array" ref="O1241">SUMPRODUCT(("T_C-MHY-GSL-S1"=[1]OUT_TransportEnergyCons!$A$3:$A$1000)*1,("var_fout"=[1]OUT_TransportEnergyCons!$B$3:$B$1000)*1,ISNUMBER(SEARCH("TPCAR",[1]OUT_TransportEnergyCons!$C$3:$C$1000))*1,[1]OUT_TransportEnergyCons!M$3:M$1000)</f>
        <v>0</v>
      </c>
      <c r="P1241" s="1" cm="1">
        <f t="array" ref="P1241">SUMPRODUCT(("T_C-MHY-GSL-S1"=[1]OUT_TransportEnergyCons!$A$3:$A$1000)*1,("var_fout"=[1]OUT_TransportEnergyCons!$B$3:$B$1000)*1,ISNUMBER(SEARCH("TPCAR",[1]OUT_TransportEnergyCons!$C$3:$C$1000))*1,[1]OUT_TransportEnergyCons!N$3:N$1000)</f>
        <v>0</v>
      </c>
      <c r="Q1241" s="1" cm="1">
        <f t="array" ref="Q1241">SUMPRODUCT(("T_C-MHY-GSL-S1"=[1]OUT_TransportEnergyCons!$A$3:$A$1000)*1,("var_fout"=[1]OUT_TransportEnergyCons!$B$3:$B$1000)*1,ISNUMBER(SEARCH("TPCAR",[1]OUT_TransportEnergyCons!$C$3:$C$1000))*1,[1]OUT_TransportEnergyCons!O$3:O$1000)</f>
        <v>0</v>
      </c>
      <c r="S1241" s="3"/>
    </row>
    <row r="1242" spans="2:19" x14ac:dyDescent="0.5">
      <c r="B1242" s="5" t="str">
        <f t="shared" si="1401"/>
        <v>SPS1</v>
      </c>
      <c r="C1242" s="5" t="str">
        <f t="shared" si="1402"/>
        <v>CH</v>
      </c>
      <c r="D1242" t="s">
        <v>1160</v>
      </c>
      <c r="E1242" t="str">
        <f t="shared" si="1400"/>
        <v>billion km/yr.</v>
      </c>
      <c r="F1242" s="1" cm="1">
        <f t="array" ref="F1242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SUMPRODUCT(("T_C-MHY-GSL-S2"=[1]OUT_TransportEnergyCons!$A$3:$A$1000)*1,("var_fout"=[1]OUT_TransportEnergyCons!$B$3:$B$1000)*1,ISNUMBER(SEARCH("TPCAR",[1]OUT_TransportEnergyCons!$C$3:$C$1000))*1,[1]OUT_TransportEnergyCons!E$3:E$1000)</f>
        <v>1.4515920907159897E-4</v>
      </c>
      <c r="H1242" s="1" cm="1">
        <f t="array" ref="H1242">SUMPRODUCT(("T_C-MHY-GSL-S2"=[1]OUT_TransportEnergyCons!$A$3:$A$1000)*1,("var_fout"=[1]OUT_TransportEnergyCons!$B$3:$B$1000)*1,ISNUMBER(SEARCH("TPCAR",[1]OUT_TransportEnergyCons!$C$3:$C$1000))*1,[1]OUT_TransportEnergyCons!F$3:F$1000)</f>
        <v>3.7778491752424933E-4</v>
      </c>
      <c r="I1242" s="1" cm="1">
        <f t="array" ref="I1242">SUMPRODUCT(("T_C-MHY-GSL-S2"=[1]OUT_TransportEnergyCons!$A$3:$A$1000)*1,("var_fout"=[1]OUT_TransportEnergyCons!$B$3:$B$1000)*1,ISNUMBER(SEARCH("TPCAR",[1]OUT_TransportEnergyCons!$C$3:$C$1000))*1,[1]OUT_TransportEnergyCons!G$3:G$1000)</f>
        <v>1.2488181781964796E-3</v>
      </c>
      <c r="J1242" s="1" cm="1">
        <f t="array" ref="J1242">SUMPRODUCT(("T_C-MHY-GSL-S2"=[1]OUT_TransportEnergyCons!$A$3:$A$1000)*1,("var_fout"=[1]OUT_TransportEnergyCons!$B$3:$B$1000)*1,ISNUMBER(SEARCH("TPCAR",[1]OUT_TransportEnergyCons!$C$3:$C$1000))*1,[1]OUT_TransportEnergyCons!H$3:H$1000)</f>
        <v>9.4325818314195862E-4</v>
      </c>
      <c r="K1242" s="1" cm="1">
        <f t="array" ref="K1242">SUMPRODUCT(("T_C-MHY-GSL-S2"=[1]OUT_TransportEnergyCons!$A$3:$A$1000)*1,("var_fout"=[1]OUT_TransportEnergyCons!$B$3:$B$1000)*1,ISNUMBER(SEARCH("TPCAR",[1]OUT_TransportEnergyCons!$C$3:$C$1000))*1,[1]OUT_TransportEnergyCons!I$3:I$1000)</f>
        <v>4.7976411083605684E-4</v>
      </c>
      <c r="L1242" s="1" cm="1">
        <f t="array" ref="L1242">SUMPRODUCT(("T_C-MHY-GSL-S2"=[1]OUT_TransportEnergyCons!$A$3:$A$1000)*1,("var_fout"=[1]OUT_TransportEnergyCons!$B$3:$B$1000)*1,ISNUMBER(SEARCH("TPCAR",[1]OUT_TransportEnergyCons!$C$3:$C$1000))*1,[1]OUT_TransportEnergyCons!J$3:J$1000)</f>
        <v>0</v>
      </c>
      <c r="M1242" s="1" cm="1">
        <f t="array" ref="M1242">SUMPRODUCT(("T_C-MHY-GSL-S2"=[1]OUT_TransportEnergyCons!$A$3:$A$1000)*1,("var_fout"=[1]OUT_TransportEnergyCons!$B$3:$B$1000)*1,ISNUMBER(SEARCH("TPCAR",[1]OUT_TransportEnergyCons!$C$3:$C$1000))*1,[1]OUT_TransportEnergyCons!K$3:K$1000)</f>
        <v>0</v>
      </c>
      <c r="N1242" s="1" cm="1">
        <f t="array" ref="N1242">SUMPRODUCT(("T_C-MHY-GSL-S2"=[1]OUT_TransportEnergyCons!$A$3:$A$1000)*1,("var_fout"=[1]OUT_TransportEnergyCons!$B$3:$B$1000)*1,ISNUMBER(SEARCH("TPCAR",[1]OUT_TransportEnergyCons!$C$3:$C$1000))*1,[1]OUT_TransportEnergyCons!L$3:L$1000)</f>
        <v>0</v>
      </c>
      <c r="O1242" s="1" cm="1">
        <f t="array" ref="O1242">SUMPRODUCT(("T_C-MHY-GSL-S2"=[1]OUT_TransportEnergyCons!$A$3:$A$1000)*1,("var_fout"=[1]OUT_TransportEnergyCons!$B$3:$B$1000)*1,ISNUMBER(SEARCH("TPCAR",[1]OUT_TransportEnergyCons!$C$3:$C$1000))*1,[1]OUT_TransportEnergyCons!M$3:M$1000)</f>
        <v>0</v>
      </c>
      <c r="P1242" s="1" cm="1">
        <f t="array" ref="P1242">SUMPRODUCT(("T_C-MHY-GSL-S2"=[1]OUT_TransportEnergyCons!$A$3:$A$1000)*1,("var_fout"=[1]OUT_TransportEnergyCons!$B$3:$B$1000)*1,ISNUMBER(SEARCH("TPCAR",[1]OUT_TransportEnergyCons!$C$3:$C$1000))*1,[1]OUT_TransportEnergyCons!N$3:N$1000)</f>
        <v>0</v>
      </c>
      <c r="Q1242" s="1" cm="1">
        <f t="array" ref="Q1242">SUMPRODUCT(("T_C-MHY-GSL-S2"=[1]OUT_TransportEnergyCons!$A$3:$A$1000)*1,("var_fout"=[1]OUT_TransportEnergyCons!$B$3:$B$1000)*1,ISNUMBER(SEARCH("TPCAR",[1]OUT_TransportEnergyCons!$C$3:$C$1000))*1,[1]OUT_TransportEnergyCons!O$3:O$1000)</f>
        <v>0</v>
      </c>
      <c r="S1242" s="3"/>
    </row>
    <row r="1243" spans="2:19" x14ac:dyDescent="0.5">
      <c r="B1243" s="5" t="str">
        <f t="shared" si="1401"/>
        <v>SPS1</v>
      </c>
      <c r="C1243" s="5" t="str">
        <f t="shared" si="1402"/>
        <v>CH</v>
      </c>
      <c r="D1243" t="s">
        <v>1161</v>
      </c>
      <c r="E1243" t="str">
        <f t="shared" si="1400"/>
        <v>billion km/yr.</v>
      </c>
      <c r="F1243" s="1" cm="1">
        <f t="array" ref="F1243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SUMPRODUCT(("T_C-MHY-GSL-S3"=[1]OUT_TransportEnergyCons!$A$3:$A$1000)*1,("var_fout"=[1]OUT_TransportEnergyCons!$B$3:$B$1000)*1,ISNUMBER(SEARCH("TPCAR",[1]OUT_TransportEnergyCons!$C$3:$C$1000))*1,[1]OUT_TransportEnergyCons!E$3:E$1000)</f>
        <v>1.5626073590295977E-4</v>
      </c>
      <c r="H1243" s="1" cm="1">
        <f t="array" ref="H1243">SUMPRODUCT(("T_C-MHY-GSL-S3"=[1]OUT_TransportEnergyCons!$A$3:$A$1000)*1,("var_fout"=[1]OUT_TransportEnergyCons!$B$3:$B$1000)*1,ISNUMBER(SEARCH("TPCAR",[1]OUT_TransportEnergyCons!$C$3:$C$1000))*1,[1]OUT_TransportEnergyCons!F$3:F$1000)</f>
        <v>4.1178396867862726E-4</v>
      </c>
      <c r="I1243" s="1" cm="1">
        <f t="array" ref="I1243">SUMPRODUCT(("T_C-MHY-GSL-S3"=[1]OUT_TransportEnergyCons!$A$3:$A$1000)*1,("var_fout"=[1]OUT_TransportEnergyCons!$B$3:$B$1000)*1,ISNUMBER(SEARCH("TPCAR",[1]OUT_TransportEnergyCons!$C$3:$C$1000))*1,[1]OUT_TransportEnergyCons!G$3:G$1000)</f>
        <v>9.8653074977031224E-4</v>
      </c>
      <c r="J1243" s="1" cm="1">
        <f t="array" ref="J1243">SUMPRODUCT(("T_C-MHY-GSL-S3"=[1]OUT_TransportEnergyCons!$A$3:$A$1000)*1,("var_fout"=[1]OUT_TransportEnergyCons!$B$3:$B$1000)*1,ISNUMBER(SEARCH("TPCAR",[1]OUT_TransportEnergyCons!$C$3:$C$1000))*1,[1]OUT_TransportEnergyCons!H$3:H$1000)</f>
        <v>7.4745457657829091E-4</v>
      </c>
      <c r="K1243" s="1" cm="1">
        <f t="array" ref="K1243">SUMPRODUCT(("T_C-MHY-GSL-S3"=[1]OUT_TransportEnergyCons!$A$3:$A$1000)*1,("var_fout"=[1]OUT_TransportEnergyCons!$B$3:$B$1000)*1,ISNUMBER(SEARCH("TPCAR",[1]OUT_TransportEnergyCons!$C$3:$C$1000))*1,[1]OUT_TransportEnergyCons!I$3:I$1000)</f>
        <v>3.5923834431921941E-4</v>
      </c>
      <c r="L1243" s="1" cm="1">
        <f t="array" ref="L1243">SUMPRODUCT(("T_C-MHY-GSL-S3"=[1]OUT_TransportEnergyCons!$A$3:$A$1000)*1,("var_fout"=[1]OUT_TransportEnergyCons!$B$3:$B$1000)*1,ISNUMBER(SEARCH("TPCAR",[1]OUT_TransportEnergyCons!$C$3:$C$1000))*1,[1]OUT_TransportEnergyCons!J$3:J$1000)</f>
        <v>0</v>
      </c>
      <c r="M1243" s="1" cm="1">
        <f t="array" ref="M1243">SUMPRODUCT(("T_C-MHY-GSL-S3"=[1]OUT_TransportEnergyCons!$A$3:$A$1000)*1,("var_fout"=[1]OUT_TransportEnergyCons!$B$3:$B$1000)*1,ISNUMBER(SEARCH("TPCAR",[1]OUT_TransportEnergyCons!$C$3:$C$1000))*1,[1]OUT_TransportEnergyCons!K$3:K$1000)</f>
        <v>0</v>
      </c>
      <c r="N1243" s="1" cm="1">
        <f t="array" ref="N1243">SUMPRODUCT(("T_C-MHY-GSL-S3"=[1]OUT_TransportEnergyCons!$A$3:$A$1000)*1,("var_fout"=[1]OUT_TransportEnergyCons!$B$3:$B$1000)*1,ISNUMBER(SEARCH("TPCAR",[1]OUT_TransportEnergyCons!$C$3:$C$1000))*1,[1]OUT_TransportEnergyCons!L$3:L$1000)</f>
        <v>0</v>
      </c>
      <c r="O1243" s="1" cm="1">
        <f t="array" ref="O1243">SUMPRODUCT(("T_C-MHY-GSL-S3"=[1]OUT_TransportEnergyCons!$A$3:$A$1000)*1,("var_fout"=[1]OUT_TransportEnergyCons!$B$3:$B$1000)*1,ISNUMBER(SEARCH("TPCAR",[1]OUT_TransportEnergyCons!$C$3:$C$1000))*1,[1]OUT_TransportEnergyCons!M$3:M$1000)</f>
        <v>0</v>
      </c>
      <c r="P1243" s="1" cm="1">
        <f t="array" ref="P1243">SUMPRODUCT(("T_C-MHY-GSL-S3"=[1]OUT_TransportEnergyCons!$A$3:$A$1000)*1,("var_fout"=[1]OUT_TransportEnergyCons!$B$3:$B$1000)*1,ISNUMBER(SEARCH("TPCAR",[1]OUT_TransportEnergyCons!$C$3:$C$1000))*1,[1]OUT_TransportEnergyCons!N$3:N$1000)</f>
        <v>0</v>
      </c>
      <c r="Q1243" s="1" cm="1">
        <f t="array" ref="Q1243">SUMPRODUCT(("T_C-MHY-GSL-S3"=[1]OUT_TransportEnergyCons!$A$3:$A$1000)*1,("var_fout"=[1]OUT_TransportEnergyCons!$B$3:$B$1000)*1,ISNUMBER(SEARCH("TPCAR",[1]OUT_TransportEnergyCons!$C$3:$C$1000))*1,[1]OUT_TransportEnergyCons!O$3:O$1000)</f>
        <v>0</v>
      </c>
      <c r="S1243" s="3"/>
    </row>
    <row r="1244" spans="2:19" x14ac:dyDescent="0.5">
      <c r="B1244" s="5" t="str">
        <f t="shared" si="1401"/>
        <v>SPS1</v>
      </c>
      <c r="C1244" s="5" t="str">
        <f t="shared" si="1402"/>
        <v>CH</v>
      </c>
      <c r="D1244" t="s">
        <v>1162</v>
      </c>
      <c r="E1244" t="str">
        <f t="shared" si="1400"/>
        <v>billion km/yr.</v>
      </c>
      <c r="F1244" s="1" cm="1">
        <f t="array" ref="F1244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4" s="1" cm="1">
        <f t="array" ref="G1244">SUMPRODUCT(("T_C-MHY-GSL-S4"=[1]OUT_TransportEnergyCons!$A$3:$A$1000)*1,("var_fout"=[1]OUT_TransportEnergyCons!$B$3:$B$1000)*1,ISNUMBER(SEARCH("TPCAR",[1]OUT_TransportEnergyCons!$C$3:$C$1000))*1,[1]OUT_TransportEnergyCons!E$3:E$1000)</f>
        <v>1.7263837958355125E-4</v>
      </c>
      <c r="H1244" s="1" cm="1">
        <f t="array" ref="H1244">SUMPRODUCT(("T_C-MHY-GSL-S4"=[1]OUT_TransportEnergyCons!$A$3:$A$1000)*1,("var_fout"=[1]OUT_TransportEnergyCons!$B$3:$B$1000)*1,ISNUMBER(SEARCH("TPCAR",[1]OUT_TransportEnergyCons!$C$3:$C$1000))*1,[1]OUT_TransportEnergyCons!F$3:F$1000)</f>
        <v>4.793665068819063E-4</v>
      </c>
      <c r="I1244" s="1" cm="1">
        <f t="array" ref="I1244">SUMPRODUCT(("T_C-MHY-GSL-S4"=[1]OUT_TransportEnergyCons!$A$3:$A$1000)*1,("var_fout"=[1]OUT_TransportEnergyCons!$B$3:$B$1000)*1,ISNUMBER(SEARCH("TPCAR",[1]OUT_TransportEnergyCons!$C$3:$C$1000))*1,[1]OUT_TransportEnergyCons!G$3:G$1000)</f>
        <v>1.6920979144530147E-3</v>
      </c>
      <c r="J1244" s="1" cm="1">
        <f t="array" ref="J1244">SUMPRODUCT(("T_C-MHY-GSL-S4"=[1]OUT_TransportEnergyCons!$A$3:$A$1000)*1,("var_fout"=[1]OUT_TransportEnergyCons!$B$3:$B$1000)*1,ISNUMBER(SEARCH("TPCAR",[1]OUT_TransportEnergyCons!$C$3:$C$1000))*1,[1]OUT_TransportEnergyCons!H$3:H$1000)</f>
        <v>1.2632691631551251E-3</v>
      </c>
      <c r="K1244" s="1" cm="1">
        <f t="array" ref="K1244">SUMPRODUCT(("T_C-MHY-GSL-S4"=[1]OUT_TransportEnergyCons!$A$3:$A$1000)*1,("var_fout"=[1]OUT_TransportEnergyCons!$B$3:$B$1000)*1,ISNUMBER(SEARCH("TPCAR",[1]OUT_TransportEnergyCons!$C$3:$C$1000))*1,[1]OUT_TransportEnergyCons!I$3:I$1000)</f>
        <v>6.2463218824257254E-4</v>
      </c>
      <c r="L1244" s="1" cm="1">
        <f t="array" ref="L1244">SUMPRODUCT(("T_C-MHY-GSL-S4"=[1]OUT_TransportEnergyCons!$A$3:$A$1000)*1,("var_fout"=[1]OUT_TransportEnergyCons!$B$3:$B$1000)*1,ISNUMBER(SEARCH("TPCAR",[1]OUT_TransportEnergyCons!$C$3:$C$1000))*1,[1]OUT_TransportEnergyCons!J$3:J$1000)</f>
        <v>0</v>
      </c>
      <c r="M1244" s="1" cm="1">
        <f t="array" ref="M1244">SUMPRODUCT(("T_C-MHY-GSL-S4"=[1]OUT_TransportEnergyCons!$A$3:$A$1000)*1,("var_fout"=[1]OUT_TransportEnergyCons!$B$3:$B$1000)*1,ISNUMBER(SEARCH("TPCAR",[1]OUT_TransportEnergyCons!$C$3:$C$1000))*1,[1]OUT_TransportEnergyCons!K$3:K$1000)</f>
        <v>0</v>
      </c>
      <c r="N1244" s="1" cm="1">
        <f t="array" ref="N1244">SUMPRODUCT(("T_C-MHY-GSL-S4"=[1]OUT_TransportEnergyCons!$A$3:$A$1000)*1,("var_fout"=[1]OUT_TransportEnergyCons!$B$3:$B$1000)*1,ISNUMBER(SEARCH("TPCAR",[1]OUT_TransportEnergyCons!$C$3:$C$1000))*1,[1]OUT_TransportEnergyCons!L$3:L$1000)</f>
        <v>0</v>
      </c>
      <c r="O1244" s="1" cm="1">
        <f t="array" ref="O1244">SUMPRODUCT(("T_C-MHY-GSL-S4"=[1]OUT_TransportEnergyCons!$A$3:$A$1000)*1,("var_fout"=[1]OUT_TransportEnergyCons!$B$3:$B$1000)*1,ISNUMBER(SEARCH("TPCAR",[1]OUT_TransportEnergyCons!$C$3:$C$1000))*1,[1]OUT_TransportEnergyCons!M$3:M$1000)</f>
        <v>0</v>
      </c>
      <c r="P1244" s="1" cm="1">
        <f t="array" ref="P1244">SUMPRODUCT(("T_C-MHY-GSL-S4"=[1]OUT_TransportEnergyCons!$A$3:$A$1000)*1,("var_fout"=[1]OUT_TransportEnergyCons!$B$3:$B$1000)*1,ISNUMBER(SEARCH("TPCAR",[1]OUT_TransportEnergyCons!$C$3:$C$1000))*1,[1]OUT_TransportEnergyCons!N$3:N$1000)</f>
        <v>0</v>
      </c>
      <c r="Q1244" s="1" cm="1">
        <f t="array" ref="Q1244">SUMPRODUCT(("T_C-MHY-GSL-S4"=[1]OUT_TransportEnergyCons!$A$3:$A$1000)*1,("var_fout"=[1]OUT_TransportEnergyCons!$B$3:$B$1000)*1,ISNUMBER(SEARCH("TPCAR",[1]OUT_TransportEnergyCons!$C$3:$C$1000))*1,[1]OUT_TransportEnergyCons!O$3:O$1000)</f>
        <v>0</v>
      </c>
      <c r="S1244" s="3"/>
    </row>
    <row r="1245" spans="2:19" x14ac:dyDescent="0.5">
      <c r="B1245" s="5" t="str">
        <f t="shared" si="1401"/>
        <v>SPS1</v>
      </c>
      <c r="C1245" s="5" t="str">
        <f t="shared" si="1402"/>
        <v>CH</v>
      </c>
      <c r="D1245" t="s">
        <v>1235</v>
      </c>
      <c r="E1245" t="str">
        <f t="shared" si="1400"/>
        <v>billion km/yr.</v>
      </c>
      <c r="F1245" s="1" cm="1">
        <f t="array" ref="F1245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5" s="1" cm="1">
        <f t="array" ref="G1245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5" s="1" cm="1">
        <f t="array" ref="H1245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5" s="1" cm="1">
        <f t="array" ref="I1245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5" s="1" cm="1">
        <f t="array" ref="J1245">SUMPRODUCT(("T_C-HYBDSLEXT"=[1]OUT_TransportEnergyCons!$A$3:$A$1000)*1,("var_fout"=[1]OUT_TransportEnergyCons!$B$3:$B$1000)*1,ISNUMBER(SEARCH("TPCAR",[1]OUT_TransportEnergyCons!$C$3:$C$1000))*1,[1]OUT_TransportEnergyCons!H$3:H$1000)</f>
        <v>0</v>
      </c>
      <c r="K1245" s="1" cm="1">
        <f t="array" ref="K1245">SUMPRODUCT(("T_C-HYBDSLEXT"=[1]OUT_TransportEnergyCons!$A$3:$A$1000)*1,("var_fout"=[1]OUT_TransportEnergyCons!$B$3:$B$1000)*1,ISNUMBER(SEARCH("TPCAR",[1]OUT_TransportEnergyCons!$C$3:$C$1000))*1,[1]OUT_TransportEnergyCons!I$3:I$1000)</f>
        <v>0</v>
      </c>
      <c r="L1245" s="1" cm="1">
        <f t="array" ref="L1245">SUMPRODUCT(("T_C-HYBDSLEXT"=[1]OUT_TransportEnergyCons!$A$3:$A$1000)*1,("var_fout"=[1]OUT_TransportEnergyCons!$B$3:$B$1000)*1,ISNUMBER(SEARCH("TPCAR",[1]OUT_TransportEnergyCons!$C$3:$C$1000))*1,[1]OUT_TransportEnergyCons!J$3:J$1000)</f>
        <v>0</v>
      </c>
      <c r="M1245" s="1" cm="1">
        <f t="array" ref="M1245">SUMPRODUCT(("T_C-HYBDSLEXT"=[1]OUT_TransportEnergyCons!$A$3:$A$1000)*1,("var_fout"=[1]OUT_TransportEnergyCons!$B$3:$B$1000)*1,ISNUMBER(SEARCH("TPCAR",[1]OUT_TransportEnergyCons!$C$3:$C$1000))*1,[1]OUT_TransportEnergyCons!K$3:K$1000)</f>
        <v>0</v>
      </c>
      <c r="N1245" s="1" cm="1">
        <f t="array" ref="N1245">SUMPRODUCT(("T_C-HYBDSLEXT"=[1]OUT_TransportEnergyCons!$A$3:$A$1000)*1,("var_fout"=[1]OUT_TransportEnergyCons!$B$3:$B$1000)*1,ISNUMBER(SEARCH("TPCAR",[1]OUT_TransportEnergyCons!$C$3:$C$1000))*1,[1]OUT_TransportEnergyCons!L$3:L$1000)</f>
        <v>0</v>
      </c>
      <c r="O1245" s="1" cm="1">
        <f t="array" ref="O1245">SUMPRODUCT(("T_C-HYBDSLEXT"=[1]OUT_TransportEnergyCons!$A$3:$A$1000)*1,("var_fout"=[1]OUT_TransportEnergyCons!$B$3:$B$1000)*1,ISNUMBER(SEARCH("TPCAR",[1]OUT_TransportEnergyCons!$C$3:$C$1000))*1,[1]OUT_TransportEnergyCons!M$3:M$1000)</f>
        <v>0</v>
      </c>
      <c r="P1245" s="1" cm="1">
        <f t="array" ref="P1245">SUMPRODUCT(("T_C-HYBDSLEXT"=[1]OUT_TransportEnergyCons!$A$3:$A$1000)*1,("var_fout"=[1]OUT_TransportEnergyCons!$B$3:$B$1000)*1,ISNUMBER(SEARCH("TPCAR",[1]OUT_TransportEnergyCons!$C$3:$C$1000))*1,[1]OUT_TransportEnergyCons!N$3:N$1000)</f>
        <v>0</v>
      </c>
      <c r="Q1245" s="1" cm="1">
        <f t="array" ref="Q1245">SUMPRODUCT(("T_C-HYBDSLEXT"=[1]OUT_TransportEnergyCons!$A$3:$A$1000)*1,("var_fout"=[1]OUT_TransportEnergyCons!$B$3:$B$1000)*1,ISNUMBER(SEARCH("TPCAR",[1]OUT_TransportEnergyCons!$C$3:$C$1000))*1,[1]OUT_TransportEnergyCons!O$3:O$1000)</f>
        <v>0</v>
      </c>
      <c r="S1245" s="3"/>
    </row>
    <row r="1246" spans="2:19" x14ac:dyDescent="0.5">
      <c r="B1246" s="5" t="str">
        <f t="shared" si="1401"/>
        <v>SPS1</v>
      </c>
      <c r="C1246" s="5" t="str">
        <f t="shared" si="1402"/>
        <v>CH</v>
      </c>
      <c r="D1246" t="s">
        <v>1163</v>
      </c>
      <c r="E1246" t="str">
        <f t="shared" si="1400"/>
        <v>billion km/yr.</v>
      </c>
      <c r="F1246" s="1" cm="1">
        <f t="array" ref="F1246">SUMPRODUCT(("T_C-HY-DSL-S1"=[1]OUT_TransportEnergyCons!$A$3:$A$1000)*1,("var_fout"=[1]OUT_TransportEnergyCons!$B$3:$B$1000)*1,ISNUMBER(SEARCH("TPCAR",[1]OUT_TransportEnergyCons!$C$3:$C$1000))*1,[1]OUT_TransportEnergyCons!D$3:D$1000)</f>
        <v>4.4197096093614806E-5</v>
      </c>
      <c r="G1246" s="1" cm="1">
        <f t="array" ref="G1246">SUMPRODUCT(("T_C-HY-DSL-S1"=[1]OUT_TransportEnergyCons!$A$3:$A$1000)*1,("var_fout"=[1]OUT_TransportEnergyCons!$B$3:$B$1000)*1,ISNUMBER(SEARCH("TPCAR",[1]OUT_TransportEnergyCons!$C$3:$C$1000))*1,[1]OUT_TransportEnergyCons!E$3:E$1000)</f>
        <v>9.7286694393062352E-4</v>
      </c>
      <c r="H1246" s="1" cm="1">
        <f t="array" ref="H1246">SUMPRODUCT(("T_C-HY-DSL-S1"=[1]OUT_TransportEnergyCons!$A$3:$A$1000)*1,("var_fout"=[1]OUT_TransportEnergyCons!$B$3:$B$1000)*1,ISNUMBER(SEARCH("TPCAR",[1]OUT_TransportEnergyCons!$C$3:$C$1000))*1,[1]OUT_TransportEnergyCons!F$3:F$1000)</f>
        <v>1.4811309549660082E-3</v>
      </c>
      <c r="I1246" s="1" cm="1">
        <f t="array" ref="I1246">SUMPRODUCT(("T_C-HY-DSL-S1"=[1]OUT_TransportEnergyCons!$A$3:$A$1000)*1,("var_fout"=[1]OUT_TransportEnergyCons!$B$3:$B$1000)*1,ISNUMBER(SEARCH("TPCAR",[1]OUT_TransportEnergyCons!$C$3:$C$1000))*1,[1]OUT_TransportEnergyCons!G$3:G$1000)</f>
        <v>2.7366666442144197E-3</v>
      </c>
      <c r="J1246" s="1" cm="1">
        <f t="array" ref="J1246">SUMPRODUCT(("T_C-HY-DSL-S1"=[1]OUT_TransportEnergyCons!$A$3:$A$1000)*1,("var_fout"=[1]OUT_TransportEnergyCons!$B$3:$B$1000)*1,ISNUMBER(SEARCH("TPCAR",[1]OUT_TransportEnergyCons!$C$3:$C$1000))*1,[1]OUT_TransportEnergyCons!H$3:H$1000)</f>
        <v>1.9812883368676253E-3</v>
      </c>
      <c r="K1246" s="1" cm="1">
        <f t="array" ref="K1246">SUMPRODUCT(("T_C-HY-DSL-S1"=[1]OUT_TransportEnergyCons!$A$3:$A$1000)*1,("var_fout"=[1]OUT_TransportEnergyCons!$B$3:$B$1000)*1,ISNUMBER(SEARCH("TPCAR",[1]OUT_TransportEnergyCons!$C$3:$C$1000))*1,[1]OUT_TransportEnergyCons!I$3:I$1000)</f>
        <v>9.6065652329284997E-4</v>
      </c>
      <c r="L1246" s="1" cm="1">
        <f t="array" ref="L1246">SUMPRODUCT(("T_C-HY-DSL-S1"=[1]OUT_TransportEnergyCons!$A$3:$A$1000)*1,("var_fout"=[1]OUT_TransportEnergyCons!$B$3:$B$1000)*1,ISNUMBER(SEARCH("TPCAR",[1]OUT_TransportEnergyCons!$C$3:$C$1000))*1,[1]OUT_TransportEnergyCons!J$3:J$1000)</f>
        <v>0</v>
      </c>
      <c r="M1246" s="1" cm="1">
        <f t="array" ref="M1246">SUMPRODUCT(("T_C-HY-DSL-S1"=[1]OUT_TransportEnergyCons!$A$3:$A$1000)*1,("var_fout"=[1]OUT_TransportEnergyCons!$B$3:$B$1000)*1,ISNUMBER(SEARCH("TPCAR",[1]OUT_TransportEnergyCons!$C$3:$C$1000))*1,[1]OUT_TransportEnergyCons!K$3:K$1000)</f>
        <v>0</v>
      </c>
      <c r="N1246" s="1" cm="1">
        <f t="array" ref="N1246">SUMPRODUCT(("T_C-HY-DSL-S1"=[1]OUT_TransportEnergyCons!$A$3:$A$1000)*1,("var_fout"=[1]OUT_TransportEnergyCons!$B$3:$B$1000)*1,ISNUMBER(SEARCH("TPCAR",[1]OUT_TransportEnergyCons!$C$3:$C$1000))*1,[1]OUT_TransportEnergyCons!L$3:L$1000)</f>
        <v>0</v>
      </c>
      <c r="O1246" s="1" cm="1">
        <f t="array" ref="O1246">SUMPRODUCT(("T_C-HY-DSL-S1"=[1]OUT_TransportEnergyCons!$A$3:$A$1000)*1,("var_fout"=[1]OUT_TransportEnergyCons!$B$3:$B$1000)*1,ISNUMBER(SEARCH("TPCAR",[1]OUT_TransportEnergyCons!$C$3:$C$1000))*1,[1]OUT_TransportEnergyCons!M$3:M$1000)</f>
        <v>0</v>
      </c>
      <c r="P1246" s="1" cm="1">
        <f t="array" ref="P1246">SUMPRODUCT(("T_C-HY-DSL-S1"=[1]OUT_TransportEnergyCons!$A$3:$A$1000)*1,("var_fout"=[1]OUT_TransportEnergyCons!$B$3:$B$1000)*1,ISNUMBER(SEARCH("TPCAR",[1]OUT_TransportEnergyCons!$C$3:$C$1000))*1,[1]OUT_TransportEnergyCons!N$3:N$1000)</f>
        <v>0</v>
      </c>
      <c r="Q1246" s="1" cm="1">
        <f t="array" ref="Q1246">SUMPRODUCT(("T_C-HY-DSL-S1"=[1]OUT_TransportEnergyCons!$A$3:$A$1000)*1,("var_fout"=[1]OUT_TransportEnergyCons!$B$3:$B$1000)*1,ISNUMBER(SEARCH("TPCAR",[1]OUT_TransportEnergyCons!$C$3:$C$1000))*1,[1]OUT_TransportEnergyCons!O$3:O$1000)</f>
        <v>0</v>
      </c>
      <c r="S1246" s="3"/>
    </row>
    <row r="1247" spans="2:19" x14ac:dyDescent="0.5">
      <c r="B1247" s="5" t="str">
        <f t="shared" si="1401"/>
        <v>SPS1</v>
      </c>
      <c r="C1247" s="5" t="str">
        <f t="shared" si="1402"/>
        <v>CH</v>
      </c>
      <c r="D1247" t="s">
        <v>1164</v>
      </c>
      <c r="E1247" t="str">
        <f t="shared" si="1400"/>
        <v>billion km/yr.</v>
      </c>
      <c r="F1247" s="1" cm="1">
        <f t="array" ref="F1247">SUMPRODUCT(("T_C-HY-DSL-S2"=[1]OUT_TransportEnergyCons!$A$3:$A$1000)*1,("var_fout"=[1]OUT_TransportEnergyCons!$B$3:$B$1000)*1,ISNUMBER(SEARCH("TPCAR",[1]OUT_TransportEnergyCons!$C$3:$C$1000))*1,[1]OUT_TransportEnergyCons!D$3:D$1000)</f>
        <v>3.2525410056829782E-3</v>
      </c>
      <c r="G1247" s="1" cm="1">
        <f t="array" ref="G1247">SUMPRODUCT(("T_C-HY-DSL-S2"=[1]OUT_TransportEnergyCons!$A$3:$A$1000)*1,("var_fout"=[1]OUT_TransportEnergyCons!$B$3:$B$1000)*1,ISNUMBER(SEARCH("TPCAR",[1]OUT_TransportEnergyCons!$C$3:$C$1000))*1,[1]OUT_TransportEnergyCons!E$3:E$1000)</f>
        <v>1.2614121386176567</v>
      </c>
      <c r="H1247" s="1" cm="1">
        <f t="array" ref="H1247">SUMPRODUCT(("T_C-HY-DSL-S2"=[1]OUT_TransportEnergyCons!$A$3:$A$1000)*1,("var_fout"=[1]OUT_TransportEnergyCons!$B$3:$B$1000)*1,ISNUMBER(SEARCH("TPCAR",[1]OUT_TransportEnergyCons!$C$3:$C$1000))*1,[1]OUT_TransportEnergyCons!F$3:F$1000)</f>
        <v>3.1812561783158642</v>
      </c>
      <c r="I1247" s="1" cm="1">
        <f t="array" ref="I1247">SUMPRODUCT(("T_C-HY-DSL-S2"=[1]OUT_TransportEnergyCons!$A$3:$A$1000)*1,("var_fout"=[1]OUT_TransportEnergyCons!$B$3:$B$1000)*1,ISNUMBER(SEARCH("TPCAR",[1]OUT_TransportEnergyCons!$C$3:$C$1000))*1,[1]OUT_TransportEnergyCons!G$3:G$1000)</f>
        <v>2.7071742923441264</v>
      </c>
      <c r="J1247" s="1" cm="1">
        <f t="array" ref="J1247">SUMPRODUCT(("T_C-HY-DSL-S2"=[1]OUT_TransportEnergyCons!$A$3:$A$1000)*1,("var_fout"=[1]OUT_TransportEnergyCons!$B$3:$B$1000)*1,ISNUMBER(SEARCH("TPCAR",[1]OUT_TransportEnergyCons!$C$3:$C$1000))*1,[1]OUT_TransportEnergyCons!H$3:H$1000)</f>
        <v>1.3092012657900252</v>
      </c>
      <c r="K1247" s="1" cm="1">
        <f t="array" ref="K1247">SUMPRODUCT(("T_C-HY-DSL-S2"=[1]OUT_TransportEnergyCons!$A$3:$A$1000)*1,("var_fout"=[1]OUT_TransportEnergyCons!$B$3:$B$1000)*1,ISNUMBER(SEARCH("TPCAR",[1]OUT_TransportEnergyCons!$C$3:$C$1000))*1,[1]OUT_TransportEnergyCons!I$3:I$1000)</f>
        <v>0.14518286751258813</v>
      </c>
      <c r="L1247" s="1" cm="1">
        <f t="array" ref="L1247">SUMPRODUCT(("T_C-HY-DSL-S2"=[1]OUT_TransportEnergyCons!$A$3:$A$1000)*1,("var_fout"=[1]OUT_TransportEnergyCons!$B$3:$B$1000)*1,ISNUMBER(SEARCH("TPCAR",[1]OUT_TransportEnergyCons!$C$3:$C$1000))*1,[1]OUT_TransportEnergyCons!J$3:J$1000)</f>
        <v>0</v>
      </c>
      <c r="M1247" s="1" cm="1">
        <f t="array" ref="M1247">SUMPRODUCT(("T_C-HY-DSL-S2"=[1]OUT_TransportEnergyCons!$A$3:$A$1000)*1,("var_fout"=[1]OUT_TransportEnergyCons!$B$3:$B$1000)*1,ISNUMBER(SEARCH("TPCAR",[1]OUT_TransportEnergyCons!$C$3:$C$1000))*1,[1]OUT_TransportEnergyCons!K$3:K$1000)</f>
        <v>0</v>
      </c>
      <c r="N1247" s="1" cm="1">
        <f t="array" ref="N1247">SUMPRODUCT(("T_C-HY-DSL-S2"=[1]OUT_TransportEnergyCons!$A$3:$A$1000)*1,("var_fout"=[1]OUT_TransportEnergyCons!$B$3:$B$1000)*1,ISNUMBER(SEARCH("TPCAR",[1]OUT_TransportEnergyCons!$C$3:$C$1000))*1,[1]OUT_TransportEnergyCons!L$3:L$1000)</f>
        <v>0</v>
      </c>
      <c r="O1247" s="1" cm="1">
        <f t="array" ref="O1247">SUMPRODUCT(("T_C-HY-DSL-S2"=[1]OUT_TransportEnergyCons!$A$3:$A$1000)*1,("var_fout"=[1]OUT_TransportEnergyCons!$B$3:$B$1000)*1,ISNUMBER(SEARCH("TPCAR",[1]OUT_TransportEnergyCons!$C$3:$C$1000))*1,[1]OUT_TransportEnergyCons!M$3:M$1000)</f>
        <v>0</v>
      </c>
      <c r="P1247" s="1" cm="1">
        <f t="array" ref="P1247">SUMPRODUCT(("T_C-HY-DSL-S2"=[1]OUT_TransportEnergyCons!$A$3:$A$1000)*1,("var_fout"=[1]OUT_TransportEnergyCons!$B$3:$B$1000)*1,ISNUMBER(SEARCH("TPCAR",[1]OUT_TransportEnergyCons!$C$3:$C$1000))*1,[1]OUT_TransportEnergyCons!N$3:N$1000)</f>
        <v>0</v>
      </c>
      <c r="Q1247" s="1" cm="1">
        <f t="array" ref="Q1247">SUMPRODUCT(("T_C-HY-DSL-S2"=[1]OUT_TransportEnergyCons!$A$3:$A$1000)*1,("var_fout"=[1]OUT_TransportEnergyCons!$B$3:$B$1000)*1,ISNUMBER(SEARCH("TPCAR",[1]OUT_TransportEnergyCons!$C$3:$C$1000))*1,[1]OUT_TransportEnergyCons!O$3:O$1000)</f>
        <v>0</v>
      </c>
      <c r="S1247" s="3"/>
    </row>
    <row r="1248" spans="2:19" x14ac:dyDescent="0.5">
      <c r="B1248" s="5" t="str">
        <f t="shared" si="1401"/>
        <v>SPS1</v>
      </c>
      <c r="C1248" s="5" t="str">
        <f t="shared" si="1402"/>
        <v>CH</v>
      </c>
      <c r="D1248" t="s">
        <v>1165</v>
      </c>
      <c r="E1248" t="str">
        <f t="shared" si="1400"/>
        <v>billion km/yr.</v>
      </c>
      <c r="F1248" s="1" cm="1">
        <f t="array" ref="F1248">SUMPRODUCT(("T_C-HY-DSL-S3"=[1]OUT_TransportEnergyCons!$A$3:$A$1000)*1,("var_fout"=[1]OUT_TransportEnergyCons!$B$3:$B$1000)*1,ISNUMBER(SEARCH("TPCAR",[1]OUT_TransportEnergyCons!$C$3:$C$1000))*1,[1]OUT_TransportEnergyCons!D$3:D$1000)</f>
        <v>2.5558365740777113E-2</v>
      </c>
      <c r="G1248" s="1" cm="1">
        <f t="array" ref="G1248">SUMPRODUCT(("T_C-HY-DSL-S3"=[1]OUT_TransportEnergyCons!$A$3:$A$1000)*1,("var_fout"=[1]OUT_TransportEnergyCons!$B$3:$B$1000)*1,ISNUMBER(SEARCH("TPCAR",[1]OUT_TransportEnergyCons!$C$3:$C$1000))*1,[1]OUT_TransportEnergyCons!E$3:E$1000)</f>
        <v>5.5523849422403744E-2</v>
      </c>
      <c r="H1248" s="1" cm="1">
        <f t="array" ref="H1248">SUMPRODUCT(("T_C-HY-DSL-S3"=[1]OUT_TransportEnergyCons!$A$3:$A$1000)*1,("var_fout"=[1]OUT_TransportEnergyCons!$B$3:$B$1000)*1,ISNUMBER(SEARCH("TPCAR",[1]OUT_TransportEnergyCons!$C$3:$C$1000))*1,[1]OUT_TransportEnergyCons!F$3:F$1000)</f>
        <v>5.4545735011206589E-2</v>
      </c>
      <c r="I1248" s="1" cm="1">
        <f t="array" ref="I1248">SUMPRODUCT(("T_C-HY-DSL-S3"=[1]OUT_TransportEnergyCons!$A$3:$A$1000)*1,("var_fout"=[1]OUT_TransportEnergyCons!$B$3:$B$1000)*1,ISNUMBER(SEARCH("TPCAR",[1]OUT_TransportEnergyCons!$C$3:$C$1000))*1,[1]OUT_TransportEnergyCons!G$3:G$1000)</f>
        <v>4.3433182410286708E-2</v>
      </c>
      <c r="J1248" s="1" cm="1">
        <f t="array" ref="J1248">SUMPRODUCT(("T_C-HY-DSL-S3"=[1]OUT_TransportEnergyCons!$A$3:$A$1000)*1,("var_fout"=[1]OUT_TransportEnergyCons!$B$3:$B$1000)*1,ISNUMBER(SEARCH("TPCAR",[1]OUT_TransportEnergyCons!$C$3:$C$1000))*1,[1]OUT_TransportEnergyCons!H$3:H$1000)</f>
        <v>1.0513197474601889E-2</v>
      </c>
      <c r="K1248" s="1" cm="1">
        <f t="array" ref="K1248">SUMPRODUCT(("T_C-HY-DSL-S3"=[1]OUT_TransportEnergyCons!$A$3:$A$1000)*1,("var_fout"=[1]OUT_TransportEnergyCons!$B$3:$B$1000)*1,ISNUMBER(SEARCH("TPCAR",[1]OUT_TransportEnergyCons!$C$3:$C$1000))*1,[1]OUT_TransportEnergyCons!I$3:I$1000)</f>
        <v>3.6411444078950946E-4</v>
      </c>
      <c r="L1248" s="1" cm="1">
        <f t="array" ref="L1248">SUMPRODUCT(("T_C-HY-DSL-S3"=[1]OUT_TransportEnergyCons!$A$3:$A$1000)*1,("var_fout"=[1]OUT_TransportEnergyCons!$B$3:$B$1000)*1,ISNUMBER(SEARCH("TPCAR",[1]OUT_TransportEnergyCons!$C$3:$C$1000))*1,[1]OUT_TransportEnergyCons!J$3:J$1000)</f>
        <v>0</v>
      </c>
      <c r="M1248" s="1" cm="1">
        <f t="array" ref="M1248">SUMPRODUCT(("T_C-HY-DSL-S3"=[1]OUT_TransportEnergyCons!$A$3:$A$1000)*1,("var_fout"=[1]OUT_TransportEnergyCons!$B$3:$B$1000)*1,ISNUMBER(SEARCH("TPCAR",[1]OUT_TransportEnergyCons!$C$3:$C$1000))*1,[1]OUT_TransportEnergyCons!K$3:K$1000)</f>
        <v>0</v>
      </c>
      <c r="N1248" s="1" cm="1">
        <f t="array" ref="N1248">SUMPRODUCT(("T_C-HY-DSL-S3"=[1]OUT_TransportEnergyCons!$A$3:$A$1000)*1,("var_fout"=[1]OUT_TransportEnergyCons!$B$3:$B$1000)*1,ISNUMBER(SEARCH("TPCAR",[1]OUT_TransportEnergyCons!$C$3:$C$1000))*1,[1]OUT_TransportEnergyCons!L$3:L$1000)</f>
        <v>0</v>
      </c>
      <c r="O1248" s="1" cm="1">
        <f t="array" ref="O1248">SUMPRODUCT(("T_C-HY-DSL-S3"=[1]OUT_TransportEnergyCons!$A$3:$A$1000)*1,("var_fout"=[1]OUT_TransportEnergyCons!$B$3:$B$1000)*1,ISNUMBER(SEARCH("TPCAR",[1]OUT_TransportEnergyCons!$C$3:$C$1000))*1,[1]OUT_TransportEnergyCons!M$3:M$1000)</f>
        <v>0</v>
      </c>
      <c r="P1248" s="1" cm="1">
        <f t="array" ref="P1248">SUMPRODUCT(("T_C-HY-DSL-S3"=[1]OUT_TransportEnergyCons!$A$3:$A$1000)*1,("var_fout"=[1]OUT_TransportEnergyCons!$B$3:$B$1000)*1,ISNUMBER(SEARCH("TPCAR",[1]OUT_TransportEnergyCons!$C$3:$C$1000))*1,[1]OUT_TransportEnergyCons!N$3:N$1000)</f>
        <v>0</v>
      </c>
      <c r="Q1248" s="1" cm="1">
        <f t="array" ref="Q1248">SUMPRODUCT(("T_C-HY-DSL-S3"=[1]OUT_TransportEnergyCons!$A$3:$A$1000)*1,("var_fout"=[1]OUT_TransportEnergyCons!$B$3:$B$1000)*1,ISNUMBER(SEARCH("TPCAR",[1]OUT_TransportEnergyCons!$C$3:$C$1000))*1,[1]OUT_TransportEnergyCons!O$3:O$1000)</f>
        <v>0</v>
      </c>
      <c r="S1248" s="3"/>
    </row>
    <row r="1249" spans="2:19" x14ac:dyDescent="0.5">
      <c r="B1249" s="5" t="str">
        <f t="shared" si="1401"/>
        <v>SPS1</v>
      </c>
      <c r="C1249" s="5" t="str">
        <f t="shared" si="1402"/>
        <v>CH</v>
      </c>
      <c r="D1249" t="s">
        <v>1166</v>
      </c>
      <c r="E1249" t="str">
        <f t="shared" si="1400"/>
        <v>billion km/yr.</v>
      </c>
      <c r="F1249" s="1" cm="1">
        <f t="array" ref="F1249">SUMPRODUCT(("T_C-HY-DSL-S4"=[1]OUT_TransportEnergyCons!$A$3:$A$1000)*1,("var_fout"=[1]OUT_TransportEnergyCons!$B$3:$B$1000)*1,ISNUMBER(SEARCH("TPCAR",[1]OUT_TransportEnergyCons!$C$3:$C$1000))*1,[1]OUT_TransportEnergyCons!D$3:D$1000)</f>
        <v>4.6883732598012887E-2</v>
      </c>
      <c r="G1249" s="1" cm="1">
        <f t="array" ref="G1249">SUMPRODUCT(("T_C-HY-DSL-S4"=[1]OUT_TransportEnergyCons!$A$3:$A$1000)*1,("var_fout"=[1]OUT_TransportEnergyCons!$B$3:$B$1000)*1,ISNUMBER(SEARCH("TPCAR",[1]OUT_TransportEnergyCons!$C$3:$C$1000))*1,[1]OUT_TransportEnergyCons!E$3:E$1000)</f>
        <v>0.1138344493876017</v>
      </c>
      <c r="H1249" s="1" cm="1">
        <f t="array" ref="H1249">SUMPRODUCT(("T_C-HY-DSL-S4"=[1]OUT_TransportEnergyCons!$A$3:$A$1000)*1,("var_fout"=[1]OUT_TransportEnergyCons!$B$3:$B$1000)*1,ISNUMBER(SEARCH("TPCAR",[1]OUT_TransportEnergyCons!$C$3:$C$1000))*1,[1]OUT_TransportEnergyCons!F$3:F$1000)</f>
        <v>0.11056539152701104</v>
      </c>
      <c r="I1249" s="1" cm="1">
        <f t="array" ref="I1249">SUMPRODUCT(("T_C-HY-DSL-S4"=[1]OUT_TransportEnergyCons!$A$3:$A$1000)*1,("var_fout"=[1]OUT_TransportEnergyCons!$B$3:$B$1000)*1,ISNUMBER(SEARCH("TPCAR",[1]OUT_TransportEnergyCons!$C$3:$C$1000))*1,[1]OUT_TransportEnergyCons!G$3:G$1000)</f>
        <v>9.2627170510424447E-2</v>
      </c>
      <c r="J1249" s="1" cm="1">
        <f t="array" ref="J1249">SUMPRODUCT(("T_C-HY-DSL-S4"=[1]OUT_TransportEnergyCons!$A$3:$A$1000)*1,("var_fout"=[1]OUT_TransportEnergyCons!$B$3:$B$1000)*1,ISNUMBER(SEARCH("TPCAR",[1]OUT_TransportEnergyCons!$C$3:$C$1000))*1,[1]OUT_TransportEnergyCons!H$3:H$1000)</f>
        <v>2.1178919207985529E-2</v>
      </c>
      <c r="K1249" s="1" cm="1">
        <f t="array" ref="K1249">SUMPRODUCT(("T_C-HY-DSL-S4"=[1]OUT_TransportEnergyCons!$A$3:$A$1000)*1,("var_fout"=[1]OUT_TransportEnergyCons!$B$3:$B$1000)*1,ISNUMBER(SEARCH("TPCAR",[1]OUT_TransportEnergyCons!$C$3:$C$1000))*1,[1]OUT_TransportEnergyCons!I$3:I$1000)</f>
        <v>4.3800652910632533E-4</v>
      </c>
      <c r="L1249" s="1" cm="1">
        <f t="array" ref="L1249">SUMPRODUCT(("T_C-HY-DSL-S4"=[1]OUT_TransportEnergyCons!$A$3:$A$1000)*1,("var_fout"=[1]OUT_TransportEnergyCons!$B$3:$B$1000)*1,ISNUMBER(SEARCH("TPCAR",[1]OUT_TransportEnergyCons!$C$3:$C$1000))*1,[1]OUT_TransportEnergyCons!J$3:J$1000)</f>
        <v>0</v>
      </c>
      <c r="M1249" s="1" cm="1">
        <f t="array" ref="M1249">SUMPRODUCT(("T_C-HY-DSL-S4"=[1]OUT_TransportEnergyCons!$A$3:$A$1000)*1,("var_fout"=[1]OUT_TransportEnergyCons!$B$3:$B$1000)*1,ISNUMBER(SEARCH("TPCAR",[1]OUT_TransportEnergyCons!$C$3:$C$1000))*1,[1]OUT_TransportEnergyCons!K$3:K$1000)</f>
        <v>0</v>
      </c>
      <c r="N1249" s="1" cm="1">
        <f t="array" ref="N1249">SUMPRODUCT(("T_C-HY-DSL-S4"=[1]OUT_TransportEnergyCons!$A$3:$A$1000)*1,("var_fout"=[1]OUT_TransportEnergyCons!$B$3:$B$1000)*1,ISNUMBER(SEARCH("TPCAR",[1]OUT_TransportEnergyCons!$C$3:$C$1000))*1,[1]OUT_TransportEnergyCons!L$3:L$1000)</f>
        <v>0</v>
      </c>
      <c r="O1249" s="1" cm="1">
        <f t="array" ref="O1249">SUMPRODUCT(("T_C-HY-DSL-S4"=[1]OUT_TransportEnergyCons!$A$3:$A$1000)*1,("var_fout"=[1]OUT_TransportEnergyCons!$B$3:$B$1000)*1,ISNUMBER(SEARCH("TPCAR",[1]OUT_TransportEnergyCons!$C$3:$C$1000))*1,[1]OUT_TransportEnergyCons!M$3:M$1000)</f>
        <v>0</v>
      </c>
      <c r="P1249" s="1" cm="1">
        <f t="array" ref="P1249">SUMPRODUCT(("T_C-HY-DSL-S4"=[1]OUT_TransportEnergyCons!$A$3:$A$1000)*1,("var_fout"=[1]OUT_TransportEnergyCons!$B$3:$B$1000)*1,ISNUMBER(SEARCH("TPCAR",[1]OUT_TransportEnergyCons!$C$3:$C$1000))*1,[1]OUT_TransportEnergyCons!N$3:N$1000)</f>
        <v>0</v>
      </c>
      <c r="Q1249" s="1" cm="1">
        <f t="array" ref="Q1249">SUMPRODUCT(("T_C-HY-DSL-S4"=[1]OUT_TransportEnergyCons!$A$3:$A$1000)*1,("var_fout"=[1]OUT_TransportEnergyCons!$B$3:$B$1000)*1,ISNUMBER(SEARCH("TPCAR",[1]OUT_TransportEnergyCons!$C$3:$C$1000))*1,[1]OUT_TransportEnergyCons!O$3:O$1000)</f>
        <v>0</v>
      </c>
      <c r="S1249" s="3"/>
    </row>
    <row r="1250" spans="2:19" x14ac:dyDescent="0.5">
      <c r="B1250" s="5" t="str">
        <f t="shared" si="1401"/>
        <v>SPS1</v>
      </c>
      <c r="C1250" s="5" t="str">
        <f t="shared" si="1402"/>
        <v>CH</v>
      </c>
      <c r="D1250" t="s">
        <v>1167</v>
      </c>
      <c r="E1250" t="str">
        <f t="shared" si="1400"/>
        <v>billion km/yr.</v>
      </c>
      <c r="F1250" s="1" cm="1">
        <f t="array" ref="F1250">SUMPRODUCT(("T_C-ICEDSLEXT"=[1]OUT_TransportEnergyCons!$A$3:$A$1000)*1,("var_fout"=[1]OUT_TransportEnergyCons!$B$3:$B$1000)*1,ISNUMBER(SEARCH("TPCAR",[1]OUT_TransportEnergyCons!$C$3:$C$1000))*1,[1]OUT_TransportEnergyCons!D$3:D$1000)</f>
        <v>17.918393209178763</v>
      </c>
      <c r="G1250" s="1" cm="1">
        <f t="array" ref="G1250">SUMPRODUCT(("T_C-ICEDSLEXT"=[1]OUT_TransportEnergyCons!$A$3:$A$1000)*1,("var_fout"=[1]OUT_TransportEnergyCons!$B$3:$B$1000)*1,ISNUMBER(SEARCH("TPCAR",[1]OUT_TransportEnergyCons!$C$3:$C$1000))*1,[1]OUT_TransportEnergyCons!E$3:E$1000)</f>
        <v>17.235978015738393</v>
      </c>
      <c r="H1250" s="1" cm="1">
        <f t="array" ref="H1250">SUMPRODUCT(("T_C-ICEDSLEXT"=[1]OUT_TransportEnergyCons!$A$3:$A$1000)*1,("var_fout"=[1]OUT_TransportEnergyCons!$B$3:$B$1000)*1,ISNUMBER(SEARCH("TPCAR",[1]OUT_TransportEnergyCons!$C$3:$C$1000))*1,[1]OUT_TransportEnergyCons!F$3:F$1000)</f>
        <v>13.258445946376822</v>
      </c>
      <c r="I1250" s="1" cm="1">
        <f t="array" ref="I1250">SUMPRODUCT(("T_C-ICEDSLEXT"=[1]OUT_TransportEnergyCons!$A$3:$A$1000)*1,("var_fout"=[1]OUT_TransportEnergyCons!$B$3:$B$1000)*1,ISNUMBER(SEARCH("TPCAR",[1]OUT_TransportEnergyCons!$C$3:$C$1000))*1,[1]OUT_TransportEnergyCons!G$3:G$1000)</f>
        <v>6.304245642804073</v>
      </c>
      <c r="J1250" s="1" cm="1">
        <f t="array" ref="J1250">SUMPRODUCT(("T_C-ICEDSLEXT"=[1]OUT_TransportEnergyCons!$A$3:$A$1000)*1,("var_fout"=[1]OUT_TransportEnergyCons!$B$3:$B$1000)*1,ISNUMBER(SEARCH("TPCAR",[1]OUT_TransportEnergyCons!$C$3:$C$1000))*1,[1]OUT_TransportEnergyCons!H$3:H$1000)</f>
        <v>0</v>
      </c>
      <c r="K1250" s="1" cm="1">
        <f t="array" ref="K1250">SUMPRODUCT(("T_C-ICEDSLEXT"=[1]OUT_TransportEnergyCons!$A$3:$A$1000)*1,("var_fout"=[1]OUT_TransportEnergyCons!$B$3:$B$1000)*1,ISNUMBER(SEARCH("TPCAR",[1]OUT_TransportEnergyCons!$C$3:$C$1000))*1,[1]OUT_TransportEnergyCons!I$3:I$1000)</f>
        <v>0</v>
      </c>
      <c r="L1250" s="1" cm="1">
        <f t="array" ref="L1250">SUMPRODUCT(("T_C-ICEDSLEXT"=[1]OUT_TransportEnergyCons!$A$3:$A$1000)*1,("var_fout"=[1]OUT_TransportEnergyCons!$B$3:$B$1000)*1,ISNUMBER(SEARCH("TPCAR",[1]OUT_TransportEnergyCons!$C$3:$C$1000))*1,[1]OUT_TransportEnergyCons!J$3:J$1000)</f>
        <v>0</v>
      </c>
      <c r="M1250" s="1" cm="1">
        <f t="array" ref="M1250">SUMPRODUCT(("T_C-ICEDSLEXT"=[1]OUT_TransportEnergyCons!$A$3:$A$1000)*1,("var_fout"=[1]OUT_TransportEnergyCons!$B$3:$B$1000)*1,ISNUMBER(SEARCH("TPCAR",[1]OUT_TransportEnergyCons!$C$3:$C$1000))*1,[1]OUT_TransportEnergyCons!K$3:K$1000)</f>
        <v>0</v>
      </c>
      <c r="N1250" s="1" cm="1">
        <f t="array" ref="N1250">SUMPRODUCT(("T_C-ICEDSLEXT"=[1]OUT_TransportEnergyCons!$A$3:$A$1000)*1,("var_fout"=[1]OUT_TransportEnergyCons!$B$3:$B$1000)*1,ISNUMBER(SEARCH("TPCAR",[1]OUT_TransportEnergyCons!$C$3:$C$1000))*1,[1]OUT_TransportEnergyCons!L$3:L$1000)</f>
        <v>0</v>
      </c>
      <c r="O1250" s="1" cm="1">
        <f t="array" ref="O1250">SUMPRODUCT(("T_C-ICEDSLEXT"=[1]OUT_TransportEnergyCons!$A$3:$A$1000)*1,("var_fout"=[1]OUT_TransportEnergyCons!$B$3:$B$1000)*1,ISNUMBER(SEARCH("TPCAR",[1]OUT_TransportEnergyCons!$C$3:$C$1000))*1,[1]OUT_TransportEnergyCons!M$3:M$1000)</f>
        <v>0</v>
      </c>
      <c r="P1250" s="1" cm="1">
        <f t="array" ref="P1250">SUMPRODUCT(("T_C-ICEDSLEXT"=[1]OUT_TransportEnergyCons!$A$3:$A$1000)*1,("var_fout"=[1]OUT_TransportEnergyCons!$B$3:$B$1000)*1,ISNUMBER(SEARCH("TPCAR",[1]OUT_TransportEnergyCons!$C$3:$C$1000))*1,[1]OUT_TransportEnergyCons!N$3:N$1000)</f>
        <v>0</v>
      </c>
      <c r="Q1250" s="1" cm="1">
        <f t="array" ref="Q1250">SUMPRODUCT(("T_C-ICEDSLEXT"=[1]OUT_TransportEnergyCons!$A$3:$A$1000)*1,("var_fout"=[1]OUT_TransportEnergyCons!$B$3:$B$1000)*1,ISNUMBER(SEARCH("TPCAR",[1]OUT_TransportEnergyCons!$C$3:$C$1000))*1,[1]OUT_TransportEnergyCons!O$3:O$1000)</f>
        <v>0</v>
      </c>
      <c r="S1250" s="3"/>
    </row>
    <row r="1251" spans="2:19" x14ac:dyDescent="0.5">
      <c r="B1251" s="5" t="str">
        <f t="shared" si="1401"/>
        <v>SPS1</v>
      </c>
      <c r="C1251" s="5" t="str">
        <f t="shared" si="1402"/>
        <v>CH</v>
      </c>
      <c r="D1251" t="s">
        <v>1168</v>
      </c>
      <c r="E1251" t="str">
        <f t="shared" si="1400"/>
        <v>billion km/yr.</v>
      </c>
      <c r="F1251" s="1" cm="1">
        <f t="array" ref="F1251">SUMPRODUCT(("T_C-ICE-DSL-S1"=[1]OUT_TransportEnergyCons!$A$3:$A$1000)*1,("var_fout"=[1]OUT_TransportEnergyCons!$B$3:$B$1000)*1,ISNUMBER(SEARCH("TPCAR",[1]OUT_TransportEnergyCons!$C$3:$C$1000))*1,[1]OUT_TransportEnergyCons!D$3:D$1000)</f>
        <v>3.8786468960126199E-3</v>
      </c>
      <c r="G1251" s="1" cm="1">
        <f t="array" ref="G1251">SUMPRODUCT(("T_C-ICE-DSL-S1"=[1]OUT_TransportEnergyCons!$A$3:$A$1000)*1,("var_fout"=[1]OUT_TransportEnergyCons!$B$3:$B$1000)*1,ISNUMBER(SEARCH("TPCAR",[1]OUT_TransportEnergyCons!$C$3:$C$1000))*1,[1]OUT_TransportEnergyCons!E$3:E$1000)</f>
        <v>4.907022804816398E-2</v>
      </c>
      <c r="H1251" s="1" cm="1">
        <f t="array" ref="H1251">SUMPRODUCT(("T_C-ICE-DSL-S1"=[1]OUT_TransportEnergyCons!$A$3:$A$1000)*1,("var_fout"=[1]OUT_TransportEnergyCons!$B$3:$B$1000)*1,ISNUMBER(SEARCH("TPCAR",[1]OUT_TransportEnergyCons!$C$3:$C$1000))*1,[1]OUT_TransportEnergyCons!F$3:F$1000)</f>
        <v>4.7400474026029926E-2</v>
      </c>
      <c r="I1251" s="1" cm="1">
        <f t="array" ref="I1251">SUMPRODUCT(("T_C-ICE-DSL-S1"=[1]OUT_TransportEnergyCons!$A$3:$A$1000)*1,("var_fout"=[1]OUT_TransportEnergyCons!$B$3:$B$1000)*1,ISNUMBER(SEARCH("TPCAR",[1]OUT_TransportEnergyCons!$C$3:$C$1000))*1,[1]OUT_TransportEnergyCons!G$3:G$1000)</f>
        <v>2.7517024849665377E-2</v>
      </c>
      <c r="J1251" s="1" cm="1">
        <f t="array" ref="J1251">SUMPRODUCT(("T_C-ICE-DSL-S1"=[1]OUT_TransportEnergyCons!$A$3:$A$1000)*1,("var_fout"=[1]OUT_TransportEnergyCons!$B$3:$B$1000)*1,ISNUMBER(SEARCH("TPCAR",[1]OUT_TransportEnergyCons!$C$3:$C$1000))*1,[1]OUT_TransportEnergyCons!H$3:H$1000)</f>
        <v>9.4382011346708823E-3</v>
      </c>
      <c r="K1251" s="1" cm="1">
        <f t="array" ref="K1251">SUMPRODUCT(("T_C-ICE-DSL-S1"=[1]OUT_TransportEnergyCons!$A$3:$A$1000)*1,("var_fout"=[1]OUT_TransportEnergyCons!$B$3:$B$1000)*1,ISNUMBER(SEARCH("TPCAR",[1]OUT_TransportEnergyCons!$C$3:$C$1000))*1,[1]OUT_TransportEnergyCons!I$3:I$1000)</f>
        <v>5.0122418252387111E-4</v>
      </c>
      <c r="L1251" s="1" cm="1">
        <f t="array" ref="L1251">SUMPRODUCT(("T_C-ICE-DSL-S1"=[1]OUT_TransportEnergyCons!$A$3:$A$1000)*1,("var_fout"=[1]OUT_TransportEnergyCons!$B$3:$B$1000)*1,ISNUMBER(SEARCH("TPCAR",[1]OUT_TransportEnergyCons!$C$3:$C$1000))*1,[1]OUT_TransportEnergyCons!J$3:J$1000)</f>
        <v>0</v>
      </c>
      <c r="M1251" s="1" cm="1">
        <f t="array" ref="M1251">SUMPRODUCT(("T_C-ICE-DSL-S1"=[1]OUT_TransportEnergyCons!$A$3:$A$1000)*1,("var_fout"=[1]OUT_TransportEnergyCons!$B$3:$B$1000)*1,ISNUMBER(SEARCH("TPCAR",[1]OUT_TransportEnergyCons!$C$3:$C$1000))*1,[1]OUT_TransportEnergyCons!K$3:K$1000)</f>
        <v>0</v>
      </c>
      <c r="N1251" s="1" cm="1">
        <f t="array" ref="N1251">SUMPRODUCT(("T_C-ICE-DSL-S1"=[1]OUT_TransportEnergyCons!$A$3:$A$1000)*1,("var_fout"=[1]OUT_TransportEnergyCons!$B$3:$B$1000)*1,ISNUMBER(SEARCH("TPCAR",[1]OUT_TransportEnergyCons!$C$3:$C$1000))*1,[1]OUT_TransportEnergyCons!L$3:L$1000)</f>
        <v>0</v>
      </c>
      <c r="O1251" s="1" cm="1">
        <f t="array" ref="O1251">SUMPRODUCT(("T_C-ICE-DSL-S1"=[1]OUT_TransportEnergyCons!$A$3:$A$1000)*1,("var_fout"=[1]OUT_TransportEnergyCons!$B$3:$B$1000)*1,ISNUMBER(SEARCH("TPCAR",[1]OUT_TransportEnergyCons!$C$3:$C$1000))*1,[1]OUT_TransportEnergyCons!M$3:M$1000)</f>
        <v>0</v>
      </c>
      <c r="P1251" s="1" cm="1">
        <f t="array" ref="P1251">SUMPRODUCT(("T_C-ICE-DSL-S1"=[1]OUT_TransportEnergyCons!$A$3:$A$1000)*1,("var_fout"=[1]OUT_TransportEnergyCons!$B$3:$B$1000)*1,ISNUMBER(SEARCH("TPCAR",[1]OUT_TransportEnergyCons!$C$3:$C$1000))*1,[1]OUT_TransportEnergyCons!N$3:N$1000)</f>
        <v>0</v>
      </c>
      <c r="Q1251" s="1" cm="1">
        <f t="array" ref="Q1251">SUMPRODUCT(("T_C-ICE-DSL-S1"=[1]OUT_TransportEnergyCons!$A$3:$A$1000)*1,("var_fout"=[1]OUT_TransportEnergyCons!$B$3:$B$1000)*1,ISNUMBER(SEARCH("TPCAR",[1]OUT_TransportEnergyCons!$C$3:$C$1000))*1,[1]OUT_TransportEnergyCons!O$3:O$1000)</f>
        <v>0</v>
      </c>
      <c r="S1251" s="3"/>
    </row>
    <row r="1252" spans="2:19" x14ac:dyDescent="0.5">
      <c r="B1252" s="5" t="str">
        <f t="shared" si="1401"/>
        <v>SPS1</v>
      </c>
      <c r="C1252" s="5" t="str">
        <f t="shared" si="1402"/>
        <v>CH</v>
      </c>
      <c r="D1252" t="s">
        <v>1169</v>
      </c>
      <c r="E1252" t="str">
        <f t="shared" si="1400"/>
        <v>billion km/yr.</v>
      </c>
      <c r="F1252" s="1" cm="1">
        <f t="array" ref="F1252">SUMPRODUCT(("T_C-ICE-DSL-S2"=[1]OUT_TransportEnergyCons!$A$3:$A$1000)*1,("var_fout"=[1]OUT_TransportEnergyCons!$B$3:$B$1000)*1,ISNUMBER(SEARCH("TPCAR",[1]OUT_TransportEnergyCons!$C$3:$C$1000))*1,[1]OUT_TransportEnergyCons!D$3:D$1000)</f>
        <v>0.85014963059956816</v>
      </c>
      <c r="G1252" s="1" cm="1">
        <f t="array" ref="G1252">SUMPRODUCT(("T_C-ICE-DSL-S2"=[1]OUT_TransportEnergyCons!$A$3:$A$1000)*1,("var_fout"=[1]OUT_TransportEnergyCons!$B$3:$B$1000)*1,ISNUMBER(SEARCH("TPCAR",[1]OUT_TransportEnergyCons!$C$3:$C$1000))*1,[1]OUT_TransportEnergyCons!E$3:E$1000)</f>
        <v>0.90389386500807345</v>
      </c>
      <c r="H1252" s="1" cm="1">
        <f t="array" ref="H1252">SUMPRODUCT(("T_C-ICE-DSL-S2"=[1]OUT_TransportEnergyCons!$A$3:$A$1000)*1,("var_fout"=[1]OUT_TransportEnergyCons!$B$3:$B$1000)*1,ISNUMBER(SEARCH("TPCAR",[1]OUT_TransportEnergyCons!$C$3:$C$1000))*1,[1]OUT_TransportEnergyCons!F$3:F$1000)</f>
        <v>0.89653841580156646</v>
      </c>
      <c r="I1252" s="1" cm="1">
        <f t="array" ref="I1252">SUMPRODUCT(("T_C-ICE-DSL-S2"=[1]OUT_TransportEnergyCons!$A$3:$A$1000)*1,("var_fout"=[1]OUT_TransportEnergyCons!$B$3:$B$1000)*1,ISNUMBER(SEARCH("TPCAR",[1]OUT_TransportEnergyCons!$C$3:$C$1000))*1,[1]OUT_TransportEnergyCons!G$3:G$1000)</f>
        <v>0.63454648302368932</v>
      </c>
      <c r="J1252" s="1" cm="1">
        <f t="array" ref="J1252">SUMPRODUCT(("T_C-ICE-DSL-S2"=[1]OUT_TransportEnergyCons!$A$3:$A$1000)*1,("var_fout"=[1]OUT_TransportEnergyCons!$B$3:$B$1000)*1,ISNUMBER(SEARCH("TPCAR",[1]OUT_TransportEnergyCons!$C$3:$C$1000))*1,[1]OUT_TransportEnergyCons!H$3:H$1000)</f>
        <v>1.8943221628135887E-2</v>
      </c>
      <c r="K1252" s="1" cm="1">
        <f t="array" ref="K1252">SUMPRODUCT(("T_C-ICE-DSL-S2"=[1]OUT_TransportEnergyCons!$A$3:$A$1000)*1,("var_fout"=[1]OUT_TransportEnergyCons!$B$3:$B$1000)*1,ISNUMBER(SEARCH("TPCAR",[1]OUT_TransportEnergyCons!$C$3:$C$1000))*1,[1]OUT_TransportEnergyCons!I$3:I$1000)</f>
        <v>4.2201495384569407E-4</v>
      </c>
      <c r="L1252" s="1" cm="1">
        <f t="array" ref="L1252">SUMPRODUCT(("T_C-ICE-DSL-S2"=[1]OUT_TransportEnergyCons!$A$3:$A$1000)*1,("var_fout"=[1]OUT_TransportEnergyCons!$B$3:$B$1000)*1,ISNUMBER(SEARCH("TPCAR",[1]OUT_TransportEnergyCons!$C$3:$C$1000))*1,[1]OUT_TransportEnergyCons!J$3:J$1000)</f>
        <v>0</v>
      </c>
      <c r="M1252" s="1" cm="1">
        <f t="array" ref="M1252">SUMPRODUCT(("T_C-ICE-DSL-S2"=[1]OUT_TransportEnergyCons!$A$3:$A$1000)*1,("var_fout"=[1]OUT_TransportEnergyCons!$B$3:$B$1000)*1,ISNUMBER(SEARCH("TPCAR",[1]OUT_TransportEnergyCons!$C$3:$C$1000))*1,[1]OUT_TransportEnergyCons!K$3:K$1000)</f>
        <v>0</v>
      </c>
      <c r="N1252" s="1" cm="1">
        <f t="array" ref="N1252">SUMPRODUCT(("T_C-ICE-DSL-S2"=[1]OUT_TransportEnergyCons!$A$3:$A$1000)*1,("var_fout"=[1]OUT_TransportEnergyCons!$B$3:$B$1000)*1,ISNUMBER(SEARCH("TPCAR",[1]OUT_TransportEnergyCons!$C$3:$C$1000))*1,[1]OUT_TransportEnergyCons!L$3:L$1000)</f>
        <v>0</v>
      </c>
      <c r="O1252" s="1" cm="1">
        <f t="array" ref="O1252">SUMPRODUCT(("T_C-ICE-DSL-S2"=[1]OUT_TransportEnergyCons!$A$3:$A$1000)*1,("var_fout"=[1]OUT_TransportEnergyCons!$B$3:$B$1000)*1,ISNUMBER(SEARCH("TPCAR",[1]OUT_TransportEnergyCons!$C$3:$C$1000))*1,[1]OUT_TransportEnergyCons!M$3:M$1000)</f>
        <v>0</v>
      </c>
      <c r="P1252" s="1" cm="1">
        <f t="array" ref="P1252">SUMPRODUCT(("T_C-ICE-DSL-S2"=[1]OUT_TransportEnergyCons!$A$3:$A$1000)*1,("var_fout"=[1]OUT_TransportEnergyCons!$B$3:$B$1000)*1,ISNUMBER(SEARCH("TPCAR",[1]OUT_TransportEnergyCons!$C$3:$C$1000))*1,[1]OUT_TransportEnergyCons!N$3:N$1000)</f>
        <v>0</v>
      </c>
      <c r="Q1252" s="1" cm="1">
        <f t="array" ref="Q1252">SUMPRODUCT(("T_C-ICE-DSL-S2"=[1]OUT_TransportEnergyCons!$A$3:$A$1000)*1,("var_fout"=[1]OUT_TransportEnergyCons!$B$3:$B$1000)*1,ISNUMBER(SEARCH("TPCAR",[1]OUT_TransportEnergyCons!$C$3:$C$1000))*1,[1]OUT_TransportEnergyCons!O$3:O$1000)</f>
        <v>0</v>
      </c>
      <c r="S1252" s="3"/>
    </row>
    <row r="1253" spans="2:19" x14ac:dyDescent="0.5">
      <c r="B1253" s="5" t="str">
        <f t="shared" si="1401"/>
        <v>SPS1</v>
      </c>
      <c r="C1253" s="5" t="str">
        <f t="shared" si="1402"/>
        <v>CH</v>
      </c>
      <c r="D1253" t="s">
        <v>1170</v>
      </c>
      <c r="E1253" t="str">
        <f t="shared" si="1400"/>
        <v>billion km/yr.</v>
      </c>
      <c r="F1253" s="1" cm="1">
        <f t="array" ref="F1253">SUMPRODUCT(("T_C-ICE-DSL-S3"=[1]OUT_TransportEnergyCons!$A$3:$A$1000)*1,("var_fout"=[1]OUT_TransportEnergyCons!$B$3:$B$1000)*1,ISNUMBER(SEARCH("TPCAR",[1]OUT_TransportEnergyCons!$C$3:$C$1000))*1,[1]OUT_TransportEnergyCons!D$3:D$1000)</f>
        <v>2.6467080281631872</v>
      </c>
      <c r="G1253" s="1" cm="1">
        <f t="array" ref="G1253">SUMPRODUCT(("T_C-ICE-DSL-S3"=[1]OUT_TransportEnergyCons!$A$3:$A$1000)*1,("var_fout"=[1]OUT_TransportEnergyCons!$B$3:$B$1000)*1,ISNUMBER(SEARCH("TPCAR",[1]OUT_TransportEnergyCons!$C$3:$C$1000))*1,[1]OUT_TransportEnergyCons!E$3:E$1000)</f>
        <v>2.8363543671536839</v>
      </c>
      <c r="H1253" s="1" cm="1">
        <f t="array" ref="H1253">SUMPRODUCT(("T_C-ICE-DSL-S3"=[1]OUT_TransportEnergyCons!$A$3:$A$1000)*1,("var_fout"=[1]OUT_TransportEnergyCons!$B$3:$B$1000)*1,ISNUMBER(SEARCH("TPCAR",[1]OUT_TransportEnergyCons!$C$3:$C$1000))*1,[1]OUT_TransportEnergyCons!F$3:F$1000)</f>
        <v>2.8075263066103857</v>
      </c>
      <c r="I1253" s="1" cm="1">
        <f t="array" ref="I1253">SUMPRODUCT(("T_C-ICE-DSL-S3"=[1]OUT_TransportEnergyCons!$A$3:$A$1000)*1,("var_fout"=[1]OUT_TransportEnergyCons!$B$3:$B$1000)*1,ISNUMBER(SEARCH("TPCAR",[1]OUT_TransportEnergyCons!$C$3:$C$1000))*1,[1]OUT_TransportEnergyCons!G$3:G$1000)</f>
        <v>2.1808360207358586</v>
      </c>
      <c r="J1253" s="1" cm="1">
        <f t="array" ref="J1253">SUMPRODUCT(("T_C-ICE-DSL-S3"=[1]OUT_TransportEnergyCons!$A$3:$A$1000)*1,("var_fout"=[1]OUT_TransportEnergyCons!$B$3:$B$1000)*1,ISNUMBER(SEARCH("TPCAR",[1]OUT_TransportEnergyCons!$C$3:$C$1000))*1,[1]OUT_TransportEnergyCons!H$3:H$1000)</f>
        <v>8.2187037660173573E-2</v>
      </c>
      <c r="K1253" s="1" cm="1">
        <f t="array" ref="K1253">SUMPRODUCT(("T_C-ICE-DSL-S3"=[1]OUT_TransportEnergyCons!$A$3:$A$1000)*1,("var_fout"=[1]OUT_TransportEnergyCons!$B$3:$B$1000)*1,ISNUMBER(SEARCH("TPCAR",[1]OUT_TransportEnergyCons!$C$3:$C$1000))*1,[1]OUT_TransportEnergyCons!I$3:I$1000)</f>
        <v>3.1322307594008149E-4</v>
      </c>
      <c r="L1253" s="1" cm="1">
        <f t="array" ref="L1253">SUMPRODUCT(("T_C-ICE-DSL-S3"=[1]OUT_TransportEnergyCons!$A$3:$A$1000)*1,("var_fout"=[1]OUT_TransportEnergyCons!$B$3:$B$1000)*1,ISNUMBER(SEARCH("TPCAR",[1]OUT_TransportEnergyCons!$C$3:$C$1000))*1,[1]OUT_TransportEnergyCons!J$3:J$1000)</f>
        <v>0</v>
      </c>
      <c r="M1253" s="1" cm="1">
        <f t="array" ref="M1253">SUMPRODUCT(("T_C-ICE-DSL-S3"=[1]OUT_TransportEnergyCons!$A$3:$A$1000)*1,("var_fout"=[1]OUT_TransportEnergyCons!$B$3:$B$1000)*1,ISNUMBER(SEARCH("TPCAR",[1]OUT_TransportEnergyCons!$C$3:$C$1000))*1,[1]OUT_TransportEnergyCons!K$3:K$1000)</f>
        <v>0</v>
      </c>
      <c r="N1253" s="1" cm="1">
        <f t="array" ref="N1253">SUMPRODUCT(("T_C-ICE-DSL-S3"=[1]OUT_TransportEnergyCons!$A$3:$A$1000)*1,("var_fout"=[1]OUT_TransportEnergyCons!$B$3:$B$1000)*1,ISNUMBER(SEARCH("TPCAR",[1]OUT_TransportEnergyCons!$C$3:$C$1000))*1,[1]OUT_TransportEnergyCons!L$3:L$1000)</f>
        <v>0</v>
      </c>
      <c r="O1253" s="1" cm="1">
        <f t="array" ref="O1253">SUMPRODUCT(("T_C-ICE-DSL-S3"=[1]OUT_TransportEnergyCons!$A$3:$A$1000)*1,("var_fout"=[1]OUT_TransportEnergyCons!$B$3:$B$1000)*1,ISNUMBER(SEARCH("TPCAR",[1]OUT_TransportEnergyCons!$C$3:$C$1000))*1,[1]OUT_TransportEnergyCons!M$3:M$1000)</f>
        <v>0</v>
      </c>
      <c r="P1253" s="1" cm="1">
        <f t="array" ref="P1253">SUMPRODUCT(("T_C-ICE-DSL-S3"=[1]OUT_TransportEnergyCons!$A$3:$A$1000)*1,("var_fout"=[1]OUT_TransportEnergyCons!$B$3:$B$1000)*1,ISNUMBER(SEARCH("TPCAR",[1]OUT_TransportEnergyCons!$C$3:$C$1000))*1,[1]OUT_TransportEnergyCons!N$3:N$1000)</f>
        <v>0</v>
      </c>
      <c r="Q1253" s="1" cm="1">
        <f t="array" ref="Q1253">SUMPRODUCT(("T_C-ICE-DSL-S3"=[1]OUT_TransportEnergyCons!$A$3:$A$1000)*1,("var_fout"=[1]OUT_TransportEnergyCons!$B$3:$B$1000)*1,ISNUMBER(SEARCH("TPCAR",[1]OUT_TransportEnergyCons!$C$3:$C$1000))*1,[1]OUT_TransportEnergyCons!O$3:O$1000)</f>
        <v>0</v>
      </c>
      <c r="S1253" s="3"/>
    </row>
    <row r="1254" spans="2:19" x14ac:dyDescent="0.5">
      <c r="B1254" s="5" t="str">
        <f t="shared" si="1401"/>
        <v>SPS1</v>
      </c>
      <c r="C1254" s="5" t="str">
        <f t="shared" si="1402"/>
        <v>CH</v>
      </c>
      <c r="D1254" t="s">
        <v>1171</v>
      </c>
      <c r="E1254" t="str">
        <f t="shared" si="1400"/>
        <v>billion km/yr.</v>
      </c>
      <c r="F1254" s="1" cm="1">
        <f t="array" ref="F1254">SUMPRODUCT(("T_C-ICE-DSL-S4"=[1]OUT_TransportEnergyCons!$A$3:$A$1000)*1,("var_fout"=[1]OUT_TransportEnergyCons!$B$3:$B$1000)*1,ISNUMBER(SEARCH("TPCAR",[1]OUT_TransportEnergyCons!$C$3:$C$1000))*1,[1]OUT_TransportEnergyCons!D$3:D$1000)</f>
        <v>0.89922060437544404</v>
      </c>
      <c r="G1254" s="1" cm="1">
        <f t="array" ref="G1254">SUMPRODUCT(("T_C-ICE-DSL-S4"=[1]OUT_TransportEnergyCons!$A$3:$A$1000)*1,("var_fout"=[1]OUT_TransportEnergyCons!$B$3:$B$1000)*1,ISNUMBER(SEARCH("TPCAR",[1]OUT_TransportEnergyCons!$C$3:$C$1000))*1,[1]OUT_TransportEnergyCons!E$3:E$1000)</f>
        <v>1.0074315849846978</v>
      </c>
      <c r="H1254" s="1" cm="1">
        <f t="array" ref="H1254">SUMPRODUCT(("T_C-ICE-DSL-S4"=[1]OUT_TransportEnergyCons!$A$3:$A$1000)*1,("var_fout"=[1]OUT_TransportEnergyCons!$B$3:$B$1000)*1,ISNUMBER(SEARCH("TPCAR",[1]OUT_TransportEnergyCons!$C$3:$C$1000))*1,[1]OUT_TransportEnergyCons!F$3:F$1000)</f>
        <v>0.99340698156667107</v>
      </c>
      <c r="I1254" s="1" cm="1">
        <f t="array" ref="I1254">SUMPRODUCT(("T_C-ICE-DSL-S4"=[1]OUT_TransportEnergyCons!$A$3:$A$1000)*1,("var_fout"=[1]OUT_TransportEnergyCons!$B$3:$B$1000)*1,ISNUMBER(SEARCH("TPCAR",[1]OUT_TransportEnergyCons!$C$3:$C$1000))*1,[1]OUT_TransportEnergyCons!G$3:G$1000)</f>
        <v>0.77364553105168576</v>
      </c>
      <c r="J1254" s="1" cm="1">
        <f t="array" ref="J1254">SUMPRODUCT(("T_C-ICE-DSL-S4"=[1]OUT_TransportEnergyCons!$A$3:$A$1000)*1,("var_fout"=[1]OUT_TransportEnergyCons!$B$3:$B$1000)*1,ISNUMBER(SEARCH("TPCAR",[1]OUT_TransportEnergyCons!$C$3:$C$1000))*1,[1]OUT_TransportEnergyCons!H$3:H$1000)</f>
        <v>3.8742028424216562E-2</v>
      </c>
      <c r="K1254" s="1" cm="1">
        <f t="array" ref="K1254">SUMPRODUCT(("T_C-ICE-DSL-S4"=[1]OUT_TransportEnergyCons!$A$3:$A$1000)*1,("var_fout"=[1]OUT_TransportEnergyCons!$B$3:$B$1000)*1,ISNUMBER(SEARCH("TPCAR",[1]OUT_TransportEnergyCons!$C$3:$C$1000))*1,[1]OUT_TransportEnergyCons!I$3:I$1000)</f>
        <v>2.1804416366197604E-4</v>
      </c>
      <c r="L1254" s="1" cm="1">
        <f t="array" ref="L1254">SUMPRODUCT(("T_C-ICE-DSL-S4"=[1]OUT_TransportEnergyCons!$A$3:$A$1000)*1,("var_fout"=[1]OUT_TransportEnergyCons!$B$3:$B$1000)*1,ISNUMBER(SEARCH("TPCAR",[1]OUT_TransportEnergyCons!$C$3:$C$1000))*1,[1]OUT_TransportEnergyCons!J$3:J$1000)</f>
        <v>0</v>
      </c>
      <c r="M1254" s="1" cm="1">
        <f t="array" ref="M1254">SUMPRODUCT(("T_C-ICE-DSL-S4"=[1]OUT_TransportEnergyCons!$A$3:$A$1000)*1,("var_fout"=[1]OUT_TransportEnergyCons!$B$3:$B$1000)*1,ISNUMBER(SEARCH("TPCAR",[1]OUT_TransportEnergyCons!$C$3:$C$1000))*1,[1]OUT_TransportEnergyCons!K$3:K$1000)</f>
        <v>0</v>
      </c>
      <c r="N1254" s="1" cm="1">
        <f t="array" ref="N1254">SUMPRODUCT(("T_C-ICE-DSL-S4"=[1]OUT_TransportEnergyCons!$A$3:$A$1000)*1,("var_fout"=[1]OUT_TransportEnergyCons!$B$3:$B$1000)*1,ISNUMBER(SEARCH("TPCAR",[1]OUT_TransportEnergyCons!$C$3:$C$1000))*1,[1]OUT_TransportEnergyCons!L$3:L$1000)</f>
        <v>0</v>
      </c>
      <c r="O1254" s="1" cm="1">
        <f t="array" ref="O1254">SUMPRODUCT(("T_C-ICE-DSL-S4"=[1]OUT_TransportEnergyCons!$A$3:$A$1000)*1,("var_fout"=[1]OUT_TransportEnergyCons!$B$3:$B$1000)*1,ISNUMBER(SEARCH("TPCAR",[1]OUT_TransportEnergyCons!$C$3:$C$1000))*1,[1]OUT_TransportEnergyCons!M$3:M$1000)</f>
        <v>0</v>
      </c>
      <c r="P1254" s="1" cm="1">
        <f t="array" ref="P1254">SUMPRODUCT(("T_C-ICE-DSL-S4"=[1]OUT_TransportEnergyCons!$A$3:$A$1000)*1,("var_fout"=[1]OUT_TransportEnergyCons!$B$3:$B$1000)*1,ISNUMBER(SEARCH("TPCAR",[1]OUT_TransportEnergyCons!$C$3:$C$1000))*1,[1]OUT_TransportEnergyCons!N$3:N$1000)</f>
        <v>0</v>
      </c>
      <c r="Q1254" s="1" cm="1">
        <f t="array" ref="Q1254">SUMPRODUCT(("T_C-ICE-DSL-S4"=[1]OUT_TransportEnergyCons!$A$3:$A$1000)*1,("var_fout"=[1]OUT_TransportEnergyCons!$B$3:$B$1000)*1,ISNUMBER(SEARCH("TPCAR",[1]OUT_TransportEnergyCons!$C$3:$C$1000))*1,[1]OUT_TransportEnergyCons!O$3:O$1000)</f>
        <v>0</v>
      </c>
      <c r="S1254" s="3"/>
    </row>
    <row r="1255" spans="2:19" x14ac:dyDescent="0.5">
      <c r="B1255" s="5" t="str">
        <f t="shared" si="1401"/>
        <v>SPS1</v>
      </c>
      <c r="C1255" s="5" t="str">
        <f t="shared" si="1402"/>
        <v>CH</v>
      </c>
      <c r="D1255" t="s">
        <v>1172</v>
      </c>
      <c r="E1255" t="str">
        <f t="shared" si="1400"/>
        <v>billion km/yr.</v>
      </c>
      <c r="F1255" s="1" cm="1">
        <f t="array" ref="F1255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SUMPRODUCT(("T_C-MHY-DSL-S1"=[1]OUT_TransportEnergyCons!$A$3:$A$1000)*1,("var_fout"=[1]OUT_TransportEnergyCons!$B$3:$B$1000)*1,ISNUMBER(SEARCH("TPCAR",[1]OUT_TransportEnergyCons!$C$3:$C$1000))*1,[1]OUT_TransportEnergyCons!E$3:E$1000)</f>
        <v>1.3676679363346835E-4</v>
      </c>
      <c r="H1255" s="1" cm="1">
        <f t="array" ref="H1255">SUMPRODUCT(("T_C-MHY-DSL-S1"=[1]OUT_TransportEnergyCons!$A$3:$A$1000)*1,("var_fout"=[1]OUT_TransportEnergyCons!$B$3:$B$1000)*1,ISNUMBER(SEARCH("TPCAR",[1]OUT_TransportEnergyCons!$C$3:$C$1000))*1,[1]OUT_TransportEnergyCons!F$3:F$1000)</f>
        <v>2.7724400318653492E-4</v>
      </c>
      <c r="I1255" s="1" cm="1">
        <f t="array" ref="I1255">SUMPRODUCT(("T_C-MHY-DSL-S1"=[1]OUT_TransportEnergyCons!$A$3:$A$1000)*1,("var_fout"=[1]OUT_TransportEnergyCons!$B$3:$B$1000)*1,ISNUMBER(SEARCH("TPCAR",[1]OUT_TransportEnergyCons!$C$3:$C$1000))*1,[1]OUT_TransportEnergyCons!G$3:G$1000)</f>
        <v>1.1588323498955087E-3</v>
      </c>
      <c r="J1255" s="1" cm="1">
        <f t="array" ref="J1255">SUMPRODUCT(("T_C-MHY-DSL-S1"=[1]OUT_TransportEnergyCons!$A$3:$A$1000)*1,("var_fout"=[1]OUT_TransportEnergyCons!$B$3:$B$1000)*1,ISNUMBER(SEARCH("TPCAR",[1]OUT_TransportEnergyCons!$C$3:$C$1000))*1,[1]OUT_TransportEnergyCons!H$3:H$1000)</f>
        <v>9.4023105148097587E-4</v>
      </c>
      <c r="K1255" s="1" cm="1">
        <f t="array" ref="K1255">SUMPRODUCT(("T_C-MHY-DSL-S1"=[1]OUT_TransportEnergyCons!$A$3:$A$1000)*1,("var_fout"=[1]OUT_TransportEnergyCons!$B$3:$B$1000)*1,ISNUMBER(SEARCH("TPCAR",[1]OUT_TransportEnergyCons!$C$3:$C$1000))*1,[1]OUT_TransportEnergyCons!I$3:I$1000)</f>
        <v>5.1692662317008456E-4</v>
      </c>
      <c r="L1255" s="1" cm="1">
        <f t="array" ref="L1255">SUMPRODUCT(("T_C-MHY-DSL-S1"=[1]OUT_TransportEnergyCons!$A$3:$A$1000)*1,("var_fout"=[1]OUT_TransportEnergyCons!$B$3:$B$1000)*1,ISNUMBER(SEARCH("TPCAR",[1]OUT_TransportEnergyCons!$C$3:$C$1000))*1,[1]OUT_TransportEnergyCons!J$3:J$1000)</f>
        <v>0</v>
      </c>
      <c r="M1255" s="1" cm="1">
        <f t="array" ref="M1255">SUMPRODUCT(("T_C-MHY-DSL-S1"=[1]OUT_TransportEnergyCons!$A$3:$A$1000)*1,("var_fout"=[1]OUT_TransportEnergyCons!$B$3:$B$1000)*1,ISNUMBER(SEARCH("TPCAR",[1]OUT_TransportEnergyCons!$C$3:$C$1000))*1,[1]OUT_TransportEnergyCons!K$3:K$1000)</f>
        <v>0</v>
      </c>
      <c r="N1255" s="1" cm="1">
        <f t="array" ref="N1255">SUMPRODUCT(("T_C-MHY-DSL-S1"=[1]OUT_TransportEnergyCons!$A$3:$A$1000)*1,("var_fout"=[1]OUT_TransportEnergyCons!$B$3:$B$1000)*1,ISNUMBER(SEARCH("TPCAR",[1]OUT_TransportEnergyCons!$C$3:$C$1000))*1,[1]OUT_TransportEnergyCons!L$3:L$1000)</f>
        <v>0</v>
      </c>
      <c r="O1255" s="1" cm="1">
        <f t="array" ref="O1255">SUMPRODUCT(("T_C-MHY-DSL-S1"=[1]OUT_TransportEnergyCons!$A$3:$A$1000)*1,("var_fout"=[1]OUT_TransportEnergyCons!$B$3:$B$1000)*1,ISNUMBER(SEARCH("TPCAR",[1]OUT_TransportEnergyCons!$C$3:$C$1000))*1,[1]OUT_TransportEnergyCons!M$3:M$1000)</f>
        <v>0</v>
      </c>
      <c r="P1255" s="1" cm="1">
        <f t="array" ref="P1255">SUMPRODUCT(("T_C-MHY-DSL-S1"=[1]OUT_TransportEnergyCons!$A$3:$A$1000)*1,("var_fout"=[1]OUT_TransportEnergyCons!$B$3:$B$1000)*1,ISNUMBER(SEARCH("TPCAR",[1]OUT_TransportEnergyCons!$C$3:$C$1000))*1,[1]OUT_TransportEnergyCons!N$3:N$1000)</f>
        <v>0</v>
      </c>
      <c r="Q1255" s="1" cm="1">
        <f t="array" ref="Q1255">SUMPRODUCT(("T_C-MHY-DSL-S1"=[1]OUT_TransportEnergyCons!$A$3:$A$1000)*1,("var_fout"=[1]OUT_TransportEnergyCons!$B$3:$B$1000)*1,ISNUMBER(SEARCH("TPCAR",[1]OUT_TransportEnergyCons!$C$3:$C$1000))*1,[1]OUT_TransportEnergyCons!O$3:O$1000)</f>
        <v>0</v>
      </c>
      <c r="S1255" s="3"/>
    </row>
    <row r="1256" spans="2:19" x14ac:dyDescent="0.5">
      <c r="B1256" s="5" t="str">
        <f t="shared" si="1401"/>
        <v>SPS1</v>
      </c>
      <c r="C1256" s="5" t="str">
        <f t="shared" si="1402"/>
        <v>CH</v>
      </c>
      <c r="D1256" t="s">
        <v>1173</v>
      </c>
      <c r="E1256" t="str">
        <f t="shared" si="1400"/>
        <v>billion km/yr.</v>
      </c>
      <c r="F1256" s="1" cm="1">
        <f t="array" ref="F1256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SUMPRODUCT(("T_C-MHY-DSL-S2"=[1]OUT_TransportEnergyCons!$A$3:$A$1000)*1,("var_fout"=[1]OUT_TransportEnergyCons!$B$3:$B$1000)*1,ISNUMBER(SEARCH("TPCAR",[1]OUT_TransportEnergyCons!$C$3:$C$1000))*1,[1]OUT_TransportEnergyCons!E$3:E$1000)</f>
        <v>1.3375558182490506E-4</v>
      </c>
      <c r="H1256" s="1" cm="1">
        <f t="array" ref="H1256">SUMPRODUCT(("T_C-MHY-DSL-S2"=[1]OUT_TransportEnergyCons!$A$3:$A$1000)*1,("var_fout"=[1]OUT_TransportEnergyCons!$B$3:$B$1000)*1,ISNUMBER(SEARCH("TPCAR",[1]OUT_TransportEnergyCons!$C$3:$C$1000))*1,[1]OUT_TransportEnergyCons!F$3:F$1000)</f>
        <v>3.1652477281365871E-4</v>
      </c>
      <c r="I1256" s="1" cm="1">
        <f t="array" ref="I1256">SUMPRODUCT(("T_C-MHY-DSL-S2"=[1]OUT_TransportEnergyCons!$A$3:$A$1000)*1,("var_fout"=[1]OUT_TransportEnergyCons!$B$3:$B$1000)*1,ISNUMBER(SEARCH("TPCAR",[1]OUT_TransportEnergyCons!$C$3:$C$1000))*1,[1]OUT_TransportEnergyCons!G$3:G$1000)</f>
        <v>1.0664536077835778E-3</v>
      </c>
      <c r="J1256" s="1" cm="1">
        <f t="array" ref="J1256">SUMPRODUCT(("T_C-MHY-DSL-S2"=[1]OUT_TransportEnergyCons!$A$3:$A$1000)*1,("var_fout"=[1]OUT_TransportEnergyCons!$B$3:$B$1000)*1,ISNUMBER(SEARCH("TPCAR",[1]OUT_TransportEnergyCons!$C$3:$C$1000))*1,[1]OUT_TransportEnergyCons!H$3:H$1000)</f>
        <v>8.0197924629368908E-4</v>
      </c>
      <c r="K1256" s="1" cm="1">
        <f t="array" ref="K1256">SUMPRODUCT(("T_C-MHY-DSL-S2"=[1]OUT_TransportEnergyCons!$A$3:$A$1000)*1,("var_fout"=[1]OUT_TransportEnergyCons!$B$3:$B$1000)*1,ISNUMBER(SEARCH("TPCAR",[1]OUT_TransportEnergyCons!$C$3:$C$1000))*1,[1]OUT_TransportEnergyCons!I$3:I$1000)</f>
        <v>4.0547439461542856E-4</v>
      </c>
      <c r="L1256" s="1" cm="1">
        <f t="array" ref="L1256">SUMPRODUCT(("T_C-MHY-DSL-S2"=[1]OUT_TransportEnergyCons!$A$3:$A$1000)*1,("var_fout"=[1]OUT_TransportEnergyCons!$B$3:$B$1000)*1,ISNUMBER(SEARCH("TPCAR",[1]OUT_TransportEnergyCons!$C$3:$C$1000))*1,[1]OUT_TransportEnergyCons!J$3:J$1000)</f>
        <v>0</v>
      </c>
      <c r="M1256" s="1" cm="1">
        <f t="array" ref="M1256">SUMPRODUCT(("T_C-MHY-DSL-S2"=[1]OUT_TransportEnergyCons!$A$3:$A$1000)*1,("var_fout"=[1]OUT_TransportEnergyCons!$B$3:$B$1000)*1,ISNUMBER(SEARCH("TPCAR",[1]OUT_TransportEnergyCons!$C$3:$C$1000))*1,[1]OUT_TransportEnergyCons!K$3:K$1000)</f>
        <v>0</v>
      </c>
      <c r="N1256" s="1" cm="1">
        <f t="array" ref="N1256">SUMPRODUCT(("T_C-MHY-DSL-S2"=[1]OUT_TransportEnergyCons!$A$3:$A$1000)*1,("var_fout"=[1]OUT_TransportEnergyCons!$B$3:$B$1000)*1,ISNUMBER(SEARCH("TPCAR",[1]OUT_TransportEnergyCons!$C$3:$C$1000))*1,[1]OUT_TransportEnergyCons!L$3:L$1000)</f>
        <v>0</v>
      </c>
      <c r="O1256" s="1" cm="1">
        <f t="array" ref="O1256">SUMPRODUCT(("T_C-MHY-DSL-S2"=[1]OUT_TransportEnergyCons!$A$3:$A$1000)*1,("var_fout"=[1]OUT_TransportEnergyCons!$B$3:$B$1000)*1,ISNUMBER(SEARCH("TPCAR",[1]OUT_TransportEnergyCons!$C$3:$C$1000))*1,[1]OUT_TransportEnergyCons!M$3:M$1000)</f>
        <v>0</v>
      </c>
      <c r="P1256" s="1" cm="1">
        <f t="array" ref="P1256">SUMPRODUCT(("T_C-MHY-DSL-S2"=[1]OUT_TransportEnergyCons!$A$3:$A$1000)*1,("var_fout"=[1]OUT_TransportEnergyCons!$B$3:$B$1000)*1,ISNUMBER(SEARCH("TPCAR",[1]OUT_TransportEnergyCons!$C$3:$C$1000))*1,[1]OUT_TransportEnergyCons!N$3:N$1000)</f>
        <v>0</v>
      </c>
      <c r="Q1256" s="1" cm="1">
        <f t="array" ref="Q1256">SUMPRODUCT(("T_C-MHY-DSL-S2"=[1]OUT_TransportEnergyCons!$A$3:$A$1000)*1,("var_fout"=[1]OUT_TransportEnergyCons!$B$3:$B$1000)*1,ISNUMBER(SEARCH("TPCAR",[1]OUT_TransportEnergyCons!$C$3:$C$1000))*1,[1]OUT_TransportEnergyCons!O$3:O$1000)</f>
        <v>0</v>
      </c>
      <c r="S1256" s="3"/>
    </row>
    <row r="1257" spans="2:19" x14ac:dyDescent="0.5">
      <c r="B1257" s="5" t="str">
        <f t="shared" si="1401"/>
        <v>SPS1</v>
      </c>
      <c r="C1257" s="5" t="str">
        <f t="shared" si="1402"/>
        <v>CH</v>
      </c>
      <c r="D1257" t="s">
        <v>1174</v>
      </c>
      <c r="E1257" t="str">
        <f t="shared" si="1400"/>
        <v>billion km/yr.</v>
      </c>
      <c r="F1257" s="1" cm="1">
        <f t="array" ref="F1257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SUMPRODUCT(("T_C-MHY-DSL-S3"=[1]OUT_TransportEnergyCons!$A$3:$A$1000)*1,("var_fout"=[1]OUT_TransportEnergyCons!$B$3:$B$1000)*1,ISNUMBER(SEARCH("TPCAR",[1]OUT_TransportEnergyCons!$C$3:$C$1000))*1,[1]OUT_TransportEnergyCons!E$3:E$1000)</f>
        <v>1.4278056977685109E-4</v>
      </c>
      <c r="H1257" s="1" cm="1">
        <f t="array" ref="H1257">SUMPRODUCT(("T_C-MHY-DSL-S3"=[1]OUT_TransportEnergyCons!$A$3:$A$1000)*1,("var_fout"=[1]OUT_TransportEnergyCons!$B$3:$B$1000)*1,ISNUMBER(SEARCH("TPCAR",[1]OUT_TransportEnergyCons!$C$3:$C$1000))*1,[1]OUT_TransportEnergyCons!F$3:F$1000)</f>
        <v>3.4124881968310383E-4</v>
      </c>
      <c r="I1257" s="1" cm="1">
        <f t="array" ref="I1257">SUMPRODUCT(("T_C-MHY-DSL-S3"=[1]OUT_TransportEnergyCons!$A$3:$A$1000)*1,("var_fout"=[1]OUT_TransportEnergyCons!$B$3:$B$1000)*1,ISNUMBER(SEARCH("TPCAR",[1]OUT_TransportEnergyCons!$C$3:$C$1000))*1,[1]OUT_TransportEnergyCons!G$3:G$1000)</f>
        <v>8.1284178801702481E-4</v>
      </c>
      <c r="J1257" s="1" cm="1">
        <f t="array" ref="J1257">SUMPRODUCT(("T_C-MHY-DSL-S3"=[1]OUT_TransportEnergyCons!$A$3:$A$1000)*1,("var_fout"=[1]OUT_TransportEnergyCons!$B$3:$B$1000)*1,ISNUMBER(SEARCH("TPCAR",[1]OUT_TransportEnergyCons!$C$3:$C$1000))*1,[1]OUT_TransportEnergyCons!H$3:H$1000)</f>
        <v>6.1607834184829212E-4</v>
      </c>
      <c r="K1257" s="1" cm="1">
        <f t="array" ref="K1257">SUMPRODUCT(("T_C-MHY-DSL-S3"=[1]OUT_TransportEnergyCons!$A$3:$A$1000)*1,("var_fout"=[1]OUT_TransportEnergyCons!$B$3:$B$1000)*1,ISNUMBER(SEARCH("TPCAR",[1]OUT_TransportEnergyCons!$C$3:$C$1000))*1,[1]OUT_TransportEnergyCons!I$3:I$1000)</f>
        <v>2.9800589071520776E-4</v>
      </c>
      <c r="L1257" s="1" cm="1">
        <f t="array" ref="L1257">SUMPRODUCT(("T_C-MHY-DSL-S3"=[1]OUT_TransportEnergyCons!$A$3:$A$1000)*1,("var_fout"=[1]OUT_TransportEnergyCons!$B$3:$B$1000)*1,ISNUMBER(SEARCH("TPCAR",[1]OUT_TransportEnergyCons!$C$3:$C$1000))*1,[1]OUT_TransportEnergyCons!J$3:J$1000)</f>
        <v>0</v>
      </c>
      <c r="M1257" s="1" cm="1">
        <f t="array" ref="M1257">SUMPRODUCT(("T_C-MHY-DSL-S3"=[1]OUT_TransportEnergyCons!$A$3:$A$1000)*1,("var_fout"=[1]OUT_TransportEnergyCons!$B$3:$B$1000)*1,ISNUMBER(SEARCH("TPCAR",[1]OUT_TransportEnergyCons!$C$3:$C$1000))*1,[1]OUT_TransportEnergyCons!K$3:K$1000)</f>
        <v>0</v>
      </c>
      <c r="N1257" s="1" cm="1">
        <f t="array" ref="N1257">SUMPRODUCT(("T_C-MHY-DSL-S3"=[1]OUT_TransportEnergyCons!$A$3:$A$1000)*1,("var_fout"=[1]OUT_TransportEnergyCons!$B$3:$B$1000)*1,ISNUMBER(SEARCH("TPCAR",[1]OUT_TransportEnergyCons!$C$3:$C$1000))*1,[1]OUT_TransportEnergyCons!L$3:L$1000)</f>
        <v>0</v>
      </c>
      <c r="O1257" s="1" cm="1">
        <f t="array" ref="O1257">SUMPRODUCT(("T_C-MHY-DSL-S3"=[1]OUT_TransportEnergyCons!$A$3:$A$1000)*1,("var_fout"=[1]OUT_TransportEnergyCons!$B$3:$B$1000)*1,ISNUMBER(SEARCH("TPCAR",[1]OUT_TransportEnergyCons!$C$3:$C$1000))*1,[1]OUT_TransportEnergyCons!M$3:M$1000)</f>
        <v>0</v>
      </c>
      <c r="P1257" s="1" cm="1">
        <f t="array" ref="P1257">SUMPRODUCT(("T_C-MHY-DSL-S3"=[1]OUT_TransportEnergyCons!$A$3:$A$1000)*1,("var_fout"=[1]OUT_TransportEnergyCons!$B$3:$B$1000)*1,ISNUMBER(SEARCH("TPCAR",[1]OUT_TransportEnergyCons!$C$3:$C$1000))*1,[1]OUT_TransportEnergyCons!N$3:N$1000)</f>
        <v>0</v>
      </c>
      <c r="Q1257" s="1" cm="1">
        <f t="array" ref="Q1257">SUMPRODUCT(("T_C-MHY-DSL-S3"=[1]OUT_TransportEnergyCons!$A$3:$A$1000)*1,("var_fout"=[1]OUT_TransportEnergyCons!$B$3:$B$1000)*1,ISNUMBER(SEARCH("TPCAR",[1]OUT_TransportEnergyCons!$C$3:$C$1000))*1,[1]OUT_TransportEnergyCons!O$3:O$1000)</f>
        <v>0</v>
      </c>
      <c r="S1257" s="3"/>
    </row>
    <row r="1258" spans="2:19" x14ac:dyDescent="0.5">
      <c r="B1258" s="5" t="str">
        <f t="shared" si="1401"/>
        <v>SPS1</v>
      </c>
      <c r="C1258" s="5" t="str">
        <f t="shared" si="1402"/>
        <v>CH</v>
      </c>
      <c r="D1258" t="s">
        <v>1175</v>
      </c>
      <c r="E1258" t="str">
        <f t="shared" si="1400"/>
        <v>billion km/yr.</v>
      </c>
      <c r="F1258" s="1" cm="1">
        <f t="array" ref="F1258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8" s="1" cm="1">
        <f t="array" ref="G1258">SUMPRODUCT(("T_C-MHY-DSL-S4"=[1]OUT_TransportEnergyCons!$A$3:$A$1000)*1,("var_fout"=[1]OUT_TransportEnergyCons!$B$3:$B$1000)*1,ISNUMBER(SEARCH("TPCAR",[1]OUT_TransportEnergyCons!$C$3:$C$1000))*1,[1]OUT_TransportEnergyCons!E$3:E$1000)</f>
        <v>1.121771787831196E-4</v>
      </c>
      <c r="H1258" s="1" cm="1">
        <f t="array" ref="H1258">SUMPRODUCT(("T_C-MHY-DSL-S4"=[1]OUT_TransportEnergyCons!$A$3:$A$1000)*1,("var_fout"=[1]OUT_TransportEnergyCons!$B$3:$B$1000)*1,ISNUMBER(SEARCH("TPCAR",[1]OUT_TransportEnergyCons!$C$3:$C$1000))*1,[1]OUT_TransportEnergyCons!F$3:F$1000)</f>
        <v>2.574679710623418E-4</v>
      </c>
      <c r="I1258" s="1" cm="1">
        <f t="array" ref="I1258">SUMPRODUCT(("T_C-MHY-DSL-S4"=[1]OUT_TransportEnergyCons!$A$3:$A$1000)*1,("var_fout"=[1]OUT_TransportEnergyCons!$B$3:$B$1000)*1,ISNUMBER(SEARCH("TPCAR",[1]OUT_TransportEnergyCons!$C$3:$C$1000))*1,[1]OUT_TransportEnergyCons!G$3:G$1000)</f>
        <v>5.8742270654600561E-4</v>
      </c>
      <c r="J1258" s="1" cm="1">
        <f t="array" ref="J1258">SUMPRODUCT(("T_C-MHY-DSL-S4"=[1]OUT_TransportEnergyCons!$A$3:$A$1000)*1,("var_fout"=[1]OUT_TransportEnergyCons!$B$3:$B$1000)*1,ISNUMBER(SEARCH("TPCAR",[1]OUT_TransportEnergyCons!$C$3:$C$1000))*1,[1]OUT_TransportEnergyCons!H$3:H$1000)</f>
        <v>4.4762147803955709E-4</v>
      </c>
      <c r="K1258" s="1" cm="1">
        <f t="array" ref="K1258">SUMPRODUCT(("T_C-MHY-DSL-S4"=[1]OUT_TransportEnergyCons!$A$3:$A$1000)*1,("var_fout"=[1]OUT_TransportEnergyCons!$B$3:$B$1000)*1,ISNUMBER(SEARCH("TPCAR",[1]OUT_TransportEnergyCons!$C$3:$C$1000))*1,[1]OUT_TransportEnergyCons!I$3:I$1000)</f>
        <v>2.2166605691606886E-4</v>
      </c>
      <c r="L1258" s="1" cm="1">
        <f t="array" ref="L1258">SUMPRODUCT(("T_C-MHY-DSL-S4"=[1]OUT_TransportEnergyCons!$A$3:$A$1000)*1,("var_fout"=[1]OUT_TransportEnergyCons!$B$3:$B$1000)*1,ISNUMBER(SEARCH("TPCAR",[1]OUT_TransportEnergyCons!$C$3:$C$1000))*1,[1]OUT_TransportEnergyCons!J$3:J$1000)</f>
        <v>0</v>
      </c>
      <c r="M1258" s="1" cm="1">
        <f t="array" ref="M1258">SUMPRODUCT(("T_C-MHY-DSL-S4"=[1]OUT_TransportEnergyCons!$A$3:$A$1000)*1,("var_fout"=[1]OUT_TransportEnergyCons!$B$3:$B$1000)*1,ISNUMBER(SEARCH("TPCAR",[1]OUT_TransportEnergyCons!$C$3:$C$1000))*1,[1]OUT_TransportEnergyCons!K$3:K$1000)</f>
        <v>0</v>
      </c>
      <c r="N1258" s="1" cm="1">
        <f t="array" ref="N1258">SUMPRODUCT(("T_C-MHY-DSL-S4"=[1]OUT_TransportEnergyCons!$A$3:$A$1000)*1,("var_fout"=[1]OUT_TransportEnergyCons!$B$3:$B$1000)*1,ISNUMBER(SEARCH("TPCAR",[1]OUT_TransportEnergyCons!$C$3:$C$1000))*1,[1]OUT_TransportEnergyCons!L$3:L$1000)</f>
        <v>0</v>
      </c>
      <c r="O1258" s="1" cm="1">
        <f t="array" ref="O1258">SUMPRODUCT(("T_C-MHY-DSL-S4"=[1]OUT_TransportEnergyCons!$A$3:$A$1000)*1,("var_fout"=[1]OUT_TransportEnergyCons!$B$3:$B$1000)*1,ISNUMBER(SEARCH("TPCAR",[1]OUT_TransportEnergyCons!$C$3:$C$1000))*1,[1]OUT_TransportEnergyCons!M$3:M$1000)</f>
        <v>0</v>
      </c>
      <c r="P1258" s="1" cm="1">
        <f t="array" ref="P1258">SUMPRODUCT(("T_C-MHY-DSL-S4"=[1]OUT_TransportEnergyCons!$A$3:$A$1000)*1,("var_fout"=[1]OUT_TransportEnergyCons!$B$3:$B$1000)*1,ISNUMBER(SEARCH("TPCAR",[1]OUT_TransportEnergyCons!$C$3:$C$1000))*1,[1]OUT_TransportEnergyCons!N$3:N$1000)</f>
        <v>0</v>
      </c>
      <c r="Q1258" s="1" cm="1">
        <f t="array" ref="Q1258">SUMPRODUCT(("T_C-MHY-DSL-S4"=[1]OUT_TransportEnergyCons!$A$3:$A$1000)*1,("var_fout"=[1]OUT_TransportEnergyCons!$B$3:$B$1000)*1,ISNUMBER(SEARCH("TPCAR",[1]OUT_TransportEnergyCons!$C$3:$C$1000))*1,[1]OUT_TransportEnergyCons!O$3:O$1000)</f>
        <v>0</v>
      </c>
      <c r="S1258" s="3"/>
    </row>
    <row r="1259" spans="2:19" x14ac:dyDescent="0.5">
      <c r="B1259" s="5" t="str">
        <f t="shared" si="1401"/>
        <v>SPS1</v>
      </c>
      <c r="C1259" s="5" t="str">
        <f t="shared" si="1402"/>
        <v>CH</v>
      </c>
      <c r="D1259" t="s">
        <v>1176</v>
      </c>
      <c r="E1259" t="str">
        <f t="shared" si="1400"/>
        <v>billion km/yr.</v>
      </c>
      <c r="F1259" s="1" cm="1">
        <f t="array" ref="F1259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9" s="1" cm="1">
        <f t="array" ref="G1259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9" s="1" cm="1">
        <f t="array" ref="H1259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9" s="1" cm="1">
        <f t="array" ref="I1259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9" s="1" cm="1">
        <f t="array" ref="J1259">SUMPRODUCT(("T_C-ICENGAEXT"=[1]OUT_TransportEnergyCons!$A$3:$A$1000)*1,("var_fout"=[1]OUT_TransportEnergyCons!$B$3:$B$1000)*1,ISNUMBER(SEARCH("TPCAR",[1]OUT_TransportEnergyCons!$C$3:$C$1000))*1,[1]OUT_TransportEnergyCons!H$3:H$1000)</f>
        <v>0</v>
      </c>
      <c r="K1259" s="1" cm="1">
        <f t="array" ref="K1259">SUMPRODUCT(("T_C-ICENGAEXT"=[1]OUT_TransportEnergyCons!$A$3:$A$1000)*1,("var_fout"=[1]OUT_TransportEnergyCons!$B$3:$B$1000)*1,ISNUMBER(SEARCH("TPCAR",[1]OUT_TransportEnergyCons!$C$3:$C$1000))*1,[1]OUT_TransportEnergyCons!I$3:I$1000)</f>
        <v>0</v>
      </c>
      <c r="L1259" s="1" cm="1">
        <f t="array" ref="L1259">SUMPRODUCT(("T_C-ICENGAEXT"=[1]OUT_TransportEnergyCons!$A$3:$A$1000)*1,("var_fout"=[1]OUT_TransportEnergyCons!$B$3:$B$1000)*1,ISNUMBER(SEARCH("TPCAR",[1]OUT_TransportEnergyCons!$C$3:$C$1000))*1,[1]OUT_TransportEnergyCons!J$3:J$1000)</f>
        <v>0</v>
      </c>
      <c r="M1259" s="1" cm="1">
        <f t="array" ref="M1259">SUMPRODUCT(("T_C-ICENGAEXT"=[1]OUT_TransportEnergyCons!$A$3:$A$1000)*1,("var_fout"=[1]OUT_TransportEnergyCons!$B$3:$B$1000)*1,ISNUMBER(SEARCH("TPCAR",[1]OUT_TransportEnergyCons!$C$3:$C$1000))*1,[1]OUT_TransportEnergyCons!K$3:K$1000)</f>
        <v>0</v>
      </c>
      <c r="N1259" s="1" cm="1">
        <f t="array" ref="N1259">SUMPRODUCT(("T_C-ICENGAEXT"=[1]OUT_TransportEnergyCons!$A$3:$A$1000)*1,("var_fout"=[1]OUT_TransportEnergyCons!$B$3:$B$1000)*1,ISNUMBER(SEARCH("TPCAR",[1]OUT_TransportEnergyCons!$C$3:$C$1000))*1,[1]OUT_TransportEnergyCons!L$3:L$1000)</f>
        <v>0</v>
      </c>
      <c r="O1259" s="1" cm="1">
        <f t="array" ref="O1259">SUMPRODUCT(("T_C-ICENGAEXT"=[1]OUT_TransportEnergyCons!$A$3:$A$1000)*1,("var_fout"=[1]OUT_TransportEnergyCons!$B$3:$B$1000)*1,ISNUMBER(SEARCH("TPCAR",[1]OUT_TransportEnergyCons!$C$3:$C$1000))*1,[1]OUT_TransportEnergyCons!M$3:M$1000)</f>
        <v>0</v>
      </c>
      <c r="P1259" s="1" cm="1">
        <f t="array" ref="P1259">SUMPRODUCT(("T_C-ICENGAEXT"=[1]OUT_TransportEnergyCons!$A$3:$A$1000)*1,("var_fout"=[1]OUT_TransportEnergyCons!$B$3:$B$1000)*1,ISNUMBER(SEARCH("TPCAR",[1]OUT_TransportEnergyCons!$C$3:$C$1000))*1,[1]OUT_TransportEnergyCons!N$3:N$1000)</f>
        <v>0</v>
      </c>
      <c r="Q1259" s="1" cm="1">
        <f t="array" ref="Q1259">SUMPRODUCT(("T_C-ICENGAEXT"=[1]OUT_TransportEnergyCons!$A$3:$A$1000)*1,("var_fout"=[1]OUT_TransportEnergyCons!$B$3:$B$1000)*1,ISNUMBER(SEARCH("TPCAR",[1]OUT_TransportEnergyCons!$C$3:$C$1000))*1,[1]OUT_TransportEnergyCons!O$3:O$1000)</f>
        <v>0</v>
      </c>
      <c r="S1259" s="3"/>
    </row>
    <row r="1260" spans="2:19" x14ac:dyDescent="0.5">
      <c r="B1260" s="5" t="str">
        <f t="shared" si="1401"/>
        <v>SPS1</v>
      </c>
      <c r="C1260" s="5" t="str">
        <f t="shared" si="1402"/>
        <v>CH</v>
      </c>
      <c r="D1260" t="s">
        <v>1177</v>
      </c>
      <c r="E1260" t="str">
        <f t="shared" si="1400"/>
        <v>billion km/yr.</v>
      </c>
      <c r="F1260" s="1" cm="1">
        <f t="array" ref="F1260">SUMPRODUCT(("T_C-ICE-NGA-S1"=[1]OUT_TransportEnergyCons!$A$3:$A$1000)*1,("var_fout"=[1]OUT_TransportEnergyCons!$B$3:$B$1000)*1,ISNUMBER(SEARCH("TPCAR",[1]OUT_TransportEnergyCons!$C$3:$C$1000))*1,[1]OUT_TransportEnergyCons!D$3:D$1000)</f>
        <v>2.2923813392338142E-3</v>
      </c>
      <c r="G1260" s="1" cm="1">
        <f t="array" ref="G1260">SUMPRODUCT(("T_C-ICE-NGA-S1"=[1]OUT_TransportEnergyCons!$A$3:$A$1000)*1,("var_fout"=[1]OUT_TransportEnergyCons!$B$3:$B$1000)*1,ISNUMBER(SEARCH("TPCAR",[1]OUT_TransportEnergyCons!$C$3:$C$1000))*1,[1]OUT_TransportEnergyCons!E$3:E$1000)</f>
        <v>1.6615540497517624E-3</v>
      </c>
      <c r="H1260" s="1" cm="1">
        <f t="array" ref="H1260">SUMPRODUCT(("T_C-ICE-NGA-S1"=[1]OUT_TransportEnergyCons!$A$3:$A$1000)*1,("var_fout"=[1]OUT_TransportEnergyCons!$B$3:$B$1000)*1,ISNUMBER(SEARCH("TPCAR",[1]OUT_TransportEnergyCons!$C$3:$C$1000))*1,[1]OUT_TransportEnergyCons!F$3:F$1000)</f>
        <v>2.4534403069319428E-3</v>
      </c>
      <c r="I1260" s="1" cm="1">
        <f t="array" ref="I1260">SUMPRODUCT(("T_C-ICE-NGA-S1"=[1]OUT_TransportEnergyCons!$A$3:$A$1000)*1,("var_fout"=[1]OUT_TransportEnergyCons!$B$3:$B$1000)*1,ISNUMBER(SEARCH("TPCAR",[1]OUT_TransportEnergyCons!$C$3:$C$1000))*1,[1]OUT_TransportEnergyCons!G$3:G$1000)</f>
        <v>3.1235119451552103E-4</v>
      </c>
      <c r="J1260" s="1" cm="1">
        <f t="array" ref="J1260">SUMPRODUCT(("T_C-ICE-NGA-S1"=[1]OUT_TransportEnergyCons!$A$3:$A$1000)*1,("var_fout"=[1]OUT_TransportEnergyCons!$B$3:$B$1000)*1,ISNUMBER(SEARCH("TPCAR",[1]OUT_TransportEnergyCons!$C$3:$C$1000))*1,[1]OUT_TransportEnergyCons!H$3:H$1000)</f>
        <v>1.440091821451627E-4</v>
      </c>
      <c r="K1260" s="1" cm="1">
        <f t="array" ref="K1260">SUMPRODUCT(("T_C-ICE-NGA-S1"=[1]OUT_TransportEnergyCons!$A$3:$A$1000)*1,("var_fout"=[1]OUT_TransportEnergyCons!$B$3:$B$1000)*1,ISNUMBER(SEARCH("TPCAR",[1]OUT_TransportEnergyCons!$C$3:$C$1000))*1,[1]OUT_TransportEnergyCons!I$3:I$1000)</f>
        <v>5.5009627186484254E-5</v>
      </c>
      <c r="L1260" s="1" cm="1">
        <f t="array" ref="L1260">SUMPRODUCT(("T_C-ICE-NGA-S1"=[1]OUT_TransportEnergyCons!$A$3:$A$1000)*1,("var_fout"=[1]OUT_TransportEnergyCons!$B$3:$B$1000)*1,ISNUMBER(SEARCH("TPCAR",[1]OUT_TransportEnergyCons!$C$3:$C$1000))*1,[1]OUT_TransportEnergyCons!J$3:J$1000)</f>
        <v>0</v>
      </c>
      <c r="M1260" s="1" cm="1">
        <f t="array" ref="M1260">SUMPRODUCT(("T_C-ICE-NGA-S1"=[1]OUT_TransportEnergyCons!$A$3:$A$1000)*1,("var_fout"=[1]OUT_TransportEnergyCons!$B$3:$B$1000)*1,ISNUMBER(SEARCH("TPCAR",[1]OUT_TransportEnergyCons!$C$3:$C$1000))*1,[1]OUT_TransportEnergyCons!K$3:K$1000)</f>
        <v>0</v>
      </c>
      <c r="N1260" s="1" cm="1">
        <f t="array" ref="N1260">SUMPRODUCT(("T_C-ICE-NGA-S1"=[1]OUT_TransportEnergyCons!$A$3:$A$1000)*1,("var_fout"=[1]OUT_TransportEnergyCons!$B$3:$B$1000)*1,ISNUMBER(SEARCH("TPCAR",[1]OUT_TransportEnergyCons!$C$3:$C$1000))*1,[1]OUT_TransportEnergyCons!L$3:L$1000)</f>
        <v>0</v>
      </c>
      <c r="O1260" s="1" cm="1">
        <f t="array" ref="O1260">SUMPRODUCT(("T_C-ICE-NGA-S1"=[1]OUT_TransportEnergyCons!$A$3:$A$1000)*1,("var_fout"=[1]OUT_TransportEnergyCons!$B$3:$B$1000)*1,ISNUMBER(SEARCH("TPCAR",[1]OUT_TransportEnergyCons!$C$3:$C$1000))*1,[1]OUT_TransportEnergyCons!M$3:M$1000)</f>
        <v>0</v>
      </c>
      <c r="P1260" s="1" cm="1">
        <f t="array" ref="P1260">SUMPRODUCT(("T_C-ICE-NGA-S1"=[1]OUT_TransportEnergyCons!$A$3:$A$1000)*1,("var_fout"=[1]OUT_TransportEnergyCons!$B$3:$B$1000)*1,ISNUMBER(SEARCH("TPCAR",[1]OUT_TransportEnergyCons!$C$3:$C$1000))*1,[1]OUT_TransportEnergyCons!N$3:N$1000)</f>
        <v>0</v>
      </c>
      <c r="Q1260" s="1" cm="1">
        <f t="array" ref="Q1260">SUMPRODUCT(("T_C-ICE-NGA-S1"=[1]OUT_TransportEnergyCons!$A$3:$A$1000)*1,("var_fout"=[1]OUT_TransportEnergyCons!$B$3:$B$1000)*1,ISNUMBER(SEARCH("TPCAR",[1]OUT_TransportEnergyCons!$C$3:$C$1000))*1,[1]OUT_TransportEnergyCons!O$3:O$1000)</f>
        <v>0</v>
      </c>
      <c r="S1260" s="3"/>
    </row>
    <row r="1261" spans="2:19" x14ac:dyDescent="0.5">
      <c r="B1261" s="5" t="str">
        <f t="shared" si="1401"/>
        <v>SPS1</v>
      </c>
      <c r="C1261" s="5" t="str">
        <f t="shared" si="1402"/>
        <v>CH</v>
      </c>
      <c r="D1261" t="s">
        <v>1178</v>
      </c>
      <c r="E1261" t="str">
        <f t="shared" si="1400"/>
        <v>billion km/yr.</v>
      </c>
      <c r="F1261" s="1" cm="1">
        <f t="array" ref="F1261">SUMPRODUCT(("T_C-ICE-NGA-S2"=[1]OUT_TransportEnergyCons!$A$3:$A$1000)*1,("var_fout"=[1]OUT_TransportEnergyCons!$B$3:$B$1000)*1,ISNUMBER(SEARCH("TPCAR",[1]OUT_TransportEnergyCons!$C$3:$C$1000))*1,[1]OUT_TransportEnergyCons!D$3:D$1000)</f>
        <v>3.4785480745384727E-2</v>
      </c>
      <c r="G1261" s="1" cm="1">
        <f t="array" ref="G1261">SUMPRODUCT(("T_C-ICE-NGA-S2"=[1]OUT_TransportEnergyCons!$A$3:$A$1000)*1,("var_fout"=[1]OUT_TransportEnergyCons!$B$3:$B$1000)*1,ISNUMBER(SEARCH("TPCAR",[1]OUT_TransportEnergyCons!$C$3:$C$1000))*1,[1]OUT_TransportEnergyCons!E$3:E$1000)</f>
        <v>3.5699619645307948E-2</v>
      </c>
      <c r="H1261" s="1" cm="1">
        <f t="array" ref="H1261">SUMPRODUCT(("T_C-ICE-NGA-S2"=[1]OUT_TransportEnergyCons!$A$3:$A$1000)*1,("var_fout"=[1]OUT_TransportEnergyCons!$B$3:$B$1000)*1,ISNUMBER(SEARCH("TPCAR",[1]OUT_TransportEnergyCons!$C$3:$C$1000))*1,[1]OUT_TransportEnergyCons!F$3:F$1000)</f>
        <v>3.7283333516746751E-2</v>
      </c>
      <c r="I1261" s="1" cm="1">
        <f t="array" ref="I1261">SUMPRODUCT(("T_C-ICE-NGA-S2"=[1]OUT_TransportEnergyCons!$A$3:$A$1000)*1,("var_fout"=[1]OUT_TransportEnergyCons!$B$3:$B$1000)*1,ISNUMBER(SEARCH("TPCAR",[1]OUT_TransportEnergyCons!$C$3:$C$1000))*1,[1]OUT_TransportEnergyCons!G$3:G$1000)</f>
        <v>2.4517571863244135E-4</v>
      </c>
      <c r="J1261" s="1" cm="1">
        <f t="array" ref="J1261">SUMPRODUCT(("T_C-ICE-NGA-S2"=[1]OUT_TransportEnergyCons!$A$3:$A$1000)*1,("var_fout"=[1]OUT_TransportEnergyCons!$B$3:$B$1000)*1,ISNUMBER(SEARCH("TPCAR",[1]OUT_TransportEnergyCons!$C$3:$C$1000))*1,[1]OUT_TransportEnergyCons!H$3:H$1000)</f>
        <v>1.3270585760752061E-4</v>
      </c>
      <c r="K1261" s="1" cm="1">
        <f t="array" ref="K1261">SUMPRODUCT(("T_C-ICE-NGA-S2"=[1]OUT_TransportEnergyCons!$A$3:$A$1000)*1,("var_fout"=[1]OUT_TransportEnergyCons!$B$3:$B$1000)*1,ISNUMBER(SEARCH("TPCAR",[1]OUT_TransportEnergyCons!$C$3:$C$1000))*1,[1]OUT_TransportEnergyCons!I$3:I$1000)</f>
        <v>5.4868797206529859E-5</v>
      </c>
      <c r="L1261" s="1" cm="1">
        <f t="array" ref="L1261">SUMPRODUCT(("T_C-ICE-NGA-S2"=[1]OUT_TransportEnergyCons!$A$3:$A$1000)*1,("var_fout"=[1]OUT_TransportEnergyCons!$B$3:$B$1000)*1,ISNUMBER(SEARCH("TPCAR",[1]OUT_TransportEnergyCons!$C$3:$C$1000))*1,[1]OUT_TransportEnergyCons!J$3:J$1000)</f>
        <v>0</v>
      </c>
      <c r="M1261" s="1" cm="1">
        <f t="array" ref="M1261">SUMPRODUCT(("T_C-ICE-NGA-S2"=[1]OUT_TransportEnergyCons!$A$3:$A$1000)*1,("var_fout"=[1]OUT_TransportEnergyCons!$B$3:$B$1000)*1,ISNUMBER(SEARCH("TPCAR",[1]OUT_TransportEnergyCons!$C$3:$C$1000))*1,[1]OUT_TransportEnergyCons!K$3:K$1000)</f>
        <v>0</v>
      </c>
      <c r="N1261" s="1" cm="1">
        <f t="array" ref="N1261">SUMPRODUCT(("T_C-ICE-NGA-S2"=[1]OUT_TransportEnergyCons!$A$3:$A$1000)*1,("var_fout"=[1]OUT_TransportEnergyCons!$B$3:$B$1000)*1,ISNUMBER(SEARCH("TPCAR",[1]OUT_TransportEnergyCons!$C$3:$C$1000))*1,[1]OUT_TransportEnergyCons!L$3:L$1000)</f>
        <v>0</v>
      </c>
      <c r="O1261" s="1" cm="1">
        <f t="array" ref="O1261">SUMPRODUCT(("T_C-ICE-NGA-S2"=[1]OUT_TransportEnergyCons!$A$3:$A$1000)*1,("var_fout"=[1]OUT_TransportEnergyCons!$B$3:$B$1000)*1,ISNUMBER(SEARCH("TPCAR",[1]OUT_TransportEnergyCons!$C$3:$C$1000))*1,[1]OUT_TransportEnergyCons!M$3:M$1000)</f>
        <v>0</v>
      </c>
      <c r="P1261" s="1" cm="1">
        <f t="array" ref="P1261">SUMPRODUCT(("T_C-ICE-NGA-S2"=[1]OUT_TransportEnergyCons!$A$3:$A$1000)*1,("var_fout"=[1]OUT_TransportEnergyCons!$B$3:$B$1000)*1,ISNUMBER(SEARCH("TPCAR",[1]OUT_TransportEnergyCons!$C$3:$C$1000))*1,[1]OUT_TransportEnergyCons!N$3:N$1000)</f>
        <v>0</v>
      </c>
      <c r="Q1261" s="1" cm="1">
        <f t="array" ref="Q1261">SUMPRODUCT(("T_C-ICE-NGA-S2"=[1]OUT_TransportEnergyCons!$A$3:$A$1000)*1,("var_fout"=[1]OUT_TransportEnergyCons!$B$3:$B$1000)*1,ISNUMBER(SEARCH("TPCAR",[1]OUT_TransportEnergyCons!$C$3:$C$1000))*1,[1]OUT_TransportEnergyCons!O$3:O$1000)</f>
        <v>0</v>
      </c>
      <c r="S1261" s="3"/>
    </row>
    <row r="1262" spans="2:19" x14ac:dyDescent="0.5">
      <c r="B1262" s="5" t="str">
        <f t="shared" si="1401"/>
        <v>SPS1</v>
      </c>
      <c r="C1262" s="5" t="str">
        <f t="shared" si="1402"/>
        <v>CH</v>
      </c>
      <c r="D1262" t="s">
        <v>1179</v>
      </c>
      <c r="E1262" t="str">
        <f t="shared" si="1400"/>
        <v>billion km/yr.</v>
      </c>
      <c r="F1262" s="1" cm="1">
        <f t="array" ref="F1262">SUMPRODUCT(("T_C-ICE-NGA-S3"=[1]OUT_TransportEnergyCons!$A$3:$A$1000)*1,("var_fout"=[1]OUT_TransportEnergyCons!$B$3:$B$1000)*1,ISNUMBER(SEARCH("TPCAR",[1]OUT_TransportEnergyCons!$C$3:$C$1000))*1,[1]OUT_TransportEnergyCons!D$3:D$1000)</f>
        <v>2.0996053925247458E-3</v>
      </c>
      <c r="G1262" s="1" cm="1">
        <f t="array" ref="G1262">SUMPRODUCT(("T_C-ICE-NGA-S3"=[1]OUT_TransportEnergyCons!$A$3:$A$1000)*1,("var_fout"=[1]OUT_TransportEnergyCons!$B$3:$B$1000)*1,ISNUMBER(SEARCH("TPCAR",[1]OUT_TransportEnergyCons!$C$3:$C$1000))*1,[1]OUT_TransportEnergyCons!E$3:E$1000)</f>
        <v>2.3244171692166859E-3</v>
      </c>
      <c r="H1262" s="1" cm="1">
        <f t="array" ref="H1262">SUMPRODUCT(("T_C-ICE-NGA-S3"=[1]OUT_TransportEnergyCons!$A$3:$A$1000)*1,("var_fout"=[1]OUT_TransportEnergyCons!$B$3:$B$1000)*1,ISNUMBER(SEARCH("TPCAR",[1]OUT_TransportEnergyCons!$C$3:$C$1000))*1,[1]OUT_TransportEnergyCons!F$3:F$1000)</f>
        <v>2.8120552341224822E-3</v>
      </c>
      <c r="I1262" s="1" cm="1">
        <f t="array" ref="I1262">SUMPRODUCT(("T_C-ICE-NGA-S3"=[1]OUT_TransportEnergyCons!$A$3:$A$1000)*1,("var_fout"=[1]OUT_TransportEnergyCons!$B$3:$B$1000)*1,ISNUMBER(SEARCH("TPCAR",[1]OUT_TransportEnergyCons!$C$3:$C$1000))*1,[1]OUT_TransportEnergyCons!G$3:G$1000)</f>
        <v>4.1700451084318129E-4</v>
      </c>
      <c r="J1262" s="1" cm="1">
        <f t="array" ref="J1262">SUMPRODUCT(("T_C-ICE-NGA-S3"=[1]OUT_TransportEnergyCons!$A$3:$A$1000)*1,("var_fout"=[1]OUT_TransportEnergyCons!$B$3:$B$1000)*1,ISNUMBER(SEARCH("TPCAR",[1]OUT_TransportEnergyCons!$C$3:$C$1000))*1,[1]OUT_TransportEnergyCons!H$3:H$1000)</f>
        <v>1.6179584529969814E-4</v>
      </c>
      <c r="K1262" s="1" cm="1">
        <f t="array" ref="K1262">SUMPRODUCT(("T_C-ICE-NGA-S3"=[1]OUT_TransportEnergyCons!$A$3:$A$1000)*1,("var_fout"=[1]OUT_TransportEnergyCons!$B$3:$B$1000)*1,ISNUMBER(SEARCH("TPCAR",[1]OUT_TransportEnergyCons!$C$3:$C$1000))*1,[1]OUT_TransportEnergyCons!I$3:I$1000)</f>
        <v>5.4633900148017997E-5</v>
      </c>
      <c r="L1262" s="1" cm="1">
        <f t="array" ref="L1262">SUMPRODUCT(("T_C-ICE-NGA-S3"=[1]OUT_TransportEnergyCons!$A$3:$A$1000)*1,("var_fout"=[1]OUT_TransportEnergyCons!$B$3:$B$1000)*1,ISNUMBER(SEARCH("TPCAR",[1]OUT_TransportEnergyCons!$C$3:$C$1000))*1,[1]OUT_TransportEnergyCons!J$3:J$1000)</f>
        <v>0</v>
      </c>
      <c r="M1262" s="1" cm="1">
        <f t="array" ref="M1262">SUMPRODUCT(("T_C-ICE-NGA-S3"=[1]OUT_TransportEnergyCons!$A$3:$A$1000)*1,("var_fout"=[1]OUT_TransportEnergyCons!$B$3:$B$1000)*1,ISNUMBER(SEARCH("TPCAR",[1]OUT_TransportEnergyCons!$C$3:$C$1000))*1,[1]OUT_TransportEnergyCons!K$3:K$1000)</f>
        <v>0</v>
      </c>
      <c r="N1262" s="1" cm="1">
        <f t="array" ref="N1262">SUMPRODUCT(("T_C-ICE-NGA-S3"=[1]OUT_TransportEnergyCons!$A$3:$A$1000)*1,("var_fout"=[1]OUT_TransportEnergyCons!$B$3:$B$1000)*1,ISNUMBER(SEARCH("TPCAR",[1]OUT_TransportEnergyCons!$C$3:$C$1000))*1,[1]OUT_TransportEnergyCons!L$3:L$1000)</f>
        <v>0</v>
      </c>
      <c r="O1262" s="1" cm="1">
        <f t="array" ref="O1262">SUMPRODUCT(("T_C-ICE-NGA-S3"=[1]OUT_TransportEnergyCons!$A$3:$A$1000)*1,("var_fout"=[1]OUT_TransportEnergyCons!$B$3:$B$1000)*1,ISNUMBER(SEARCH("TPCAR",[1]OUT_TransportEnergyCons!$C$3:$C$1000))*1,[1]OUT_TransportEnergyCons!M$3:M$1000)</f>
        <v>0</v>
      </c>
      <c r="P1262" s="1" cm="1">
        <f t="array" ref="P1262">SUMPRODUCT(("T_C-ICE-NGA-S3"=[1]OUT_TransportEnergyCons!$A$3:$A$1000)*1,("var_fout"=[1]OUT_TransportEnergyCons!$B$3:$B$1000)*1,ISNUMBER(SEARCH("TPCAR",[1]OUT_TransportEnergyCons!$C$3:$C$1000))*1,[1]OUT_TransportEnergyCons!N$3:N$1000)</f>
        <v>0</v>
      </c>
      <c r="Q1262" s="1" cm="1">
        <f t="array" ref="Q1262">SUMPRODUCT(("T_C-ICE-NGA-S3"=[1]OUT_TransportEnergyCons!$A$3:$A$1000)*1,("var_fout"=[1]OUT_TransportEnergyCons!$B$3:$B$1000)*1,ISNUMBER(SEARCH("TPCAR",[1]OUT_TransportEnergyCons!$C$3:$C$1000))*1,[1]OUT_TransportEnergyCons!O$3:O$1000)</f>
        <v>0</v>
      </c>
      <c r="S1262" s="3"/>
    </row>
    <row r="1263" spans="2:19" x14ac:dyDescent="0.5">
      <c r="B1263" s="5" t="str">
        <f t="shared" si="1401"/>
        <v>SPS1</v>
      </c>
      <c r="C1263" s="5" t="str">
        <f t="shared" si="1402"/>
        <v>CH</v>
      </c>
      <c r="D1263" t="s">
        <v>1180</v>
      </c>
      <c r="E1263" t="str">
        <f t="shared" si="1400"/>
        <v>billion km/yr.</v>
      </c>
      <c r="F1263" s="1" cm="1">
        <f t="array" ref="F1263">SUMPRODUCT(("T_C-ICE-NGA-S4"=[1]OUT_TransportEnergyCons!$A$3:$A$1000)*1,("var_fout"=[1]OUT_TransportEnergyCons!$B$3:$B$1000)*1,ISNUMBER(SEARCH("TPCAR",[1]OUT_TransportEnergyCons!$C$3:$C$1000))*1,[1]OUT_TransportEnergyCons!D$3:D$1000)</f>
        <v>3.2731928119067971E-2</v>
      </c>
      <c r="G1263" s="1" cm="1">
        <f t="array" ref="G1263">SUMPRODUCT(("T_C-ICE-NGA-S4"=[1]OUT_TransportEnergyCons!$A$3:$A$1000)*1,("var_fout"=[1]OUT_TransportEnergyCons!$B$3:$B$1000)*1,ISNUMBER(SEARCH("TPCAR",[1]OUT_TransportEnergyCons!$C$3:$C$1000))*1,[1]OUT_TransportEnergyCons!E$3:E$1000)</f>
        <v>3.2258928653378503E-2</v>
      </c>
      <c r="H1263" s="1" cm="1">
        <f t="array" ref="H1263">SUMPRODUCT(("T_C-ICE-NGA-S4"=[1]OUT_TransportEnergyCons!$A$3:$A$1000)*1,("var_fout"=[1]OUT_TransportEnergyCons!$B$3:$B$1000)*1,ISNUMBER(SEARCH("TPCAR",[1]OUT_TransportEnergyCons!$C$3:$C$1000))*1,[1]OUT_TransportEnergyCons!F$3:F$1000)</f>
        <v>3.1007223157575189E-2</v>
      </c>
      <c r="I1263" s="1" cm="1">
        <f t="array" ref="I1263">SUMPRODUCT(("T_C-ICE-NGA-S4"=[1]OUT_TransportEnergyCons!$A$3:$A$1000)*1,("var_fout"=[1]OUT_TransportEnergyCons!$B$3:$B$1000)*1,ISNUMBER(SEARCH("TPCAR",[1]OUT_TransportEnergyCons!$C$3:$C$1000))*1,[1]OUT_TransportEnergyCons!G$3:G$1000)</f>
        <v>1.6117616195985115E-4</v>
      </c>
      <c r="J1263" s="1" cm="1">
        <f t="array" ref="J1263">SUMPRODUCT(("T_C-ICE-NGA-S4"=[1]OUT_TransportEnergyCons!$A$3:$A$1000)*1,("var_fout"=[1]OUT_TransportEnergyCons!$B$3:$B$1000)*1,ISNUMBER(SEARCH("TPCAR",[1]OUT_TransportEnergyCons!$C$3:$C$1000))*1,[1]OUT_TransportEnergyCons!H$3:H$1000)</f>
        <v>1.3273454402645498E-4</v>
      </c>
      <c r="K1263" s="1" cm="1">
        <f t="array" ref="K1263">SUMPRODUCT(("T_C-ICE-NGA-S4"=[1]OUT_TransportEnergyCons!$A$3:$A$1000)*1,("var_fout"=[1]OUT_TransportEnergyCons!$B$3:$B$1000)*1,ISNUMBER(SEARCH("TPCAR",[1]OUT_TransportEnergyCons!$C$3:$C$1000))*1,[1]OUT_TransportEnergyCons!I$3:I$1000)</f>
        <v>5.4727002386038524E-5</v>
      </c>
      <c r="L1263" s="1" cm="1">
        <f t="array" ref="L1263">SUMPRODUCT(("T_C-ICE-NGA-S4"=[1]OUT_TransportEnergyCons!$A$3:$A$1000)*1,("var_fout"=[1]OUT_TransportEnergyCons!$B$3:$B$1000)*1,ISNUMBER(SEARCH("TPCAR",[1]OUT_TransportEnergyCons!$C$3:$C$1000))*1,[1]OUT_TransportEnergyCons!J$3:J$1000)</f>
        <v>0</v>
      </c>
      <c r="M1263" s="1" cm="1">
        <f t="array" ref="M1263">SUMPRODUCT(("T_C-ICE-NGA-S4"=[1]OUT_TransportEnergyCons!$A$3:$A$1000)*1,("var_fout"=[1]OUT_TransportEnergyCons!$B$3:$B$1000)*1,ISNUMBER(SEARCH("TPCAR",[1]OUT_TransportEnergyCons!$C$3:$C$1000))*1,[1]OUT_TransportEnergyCons!K$3:K$1000)</f>
        <v>0</v>
      </c>
      <c r="N1263" s="1" cm="1">
        <f t="array" ref="N1263">SUMPRODUCT(("T_C-ICE-NGA-S4"=[1]OUT_TransportEnergyCons!$A$3:$A$1000)*1,("var_fout"=[1]OUT_TransportEnergyCons!$B$3:$B$1000)*1,ISNUMBER(SEARCH("TPCAR",[1]OUT_TransportEnergyCons!$C$3:$C$1000))*1,[1]OUT_TransportEnergyCons!L$3:L$1000)</f>
        <v>0</v>
      </c>
      <c r="O1263" s="1" cm="1">
        <f t="array" ref="O1263">SUMPRODUCT(("T_C-ICE-NGA-S4"=[1]OUT_TransportEnergyCons!$A$3:$A$1000)*1,("var_fout"=[1]OUT_TransportEnergyCons!$B$3:$B$1000)*1,ISNUMBER(SEARCH("TPCAR",[1]OUT_TransportEnergyCons!$C$3:$C$1000))*1,[1]OUT_TransportEnergyCons!M$3:M$1000)</f>
        <v>0</v>
      </c>
      <c r="P1263" s="1" cm="1">
        <f t="array" ref="P1263">SUMPRODUCT(("T_C-ICE-NGA-S4"=[1]OUT_TransportEnergyCons!$A$3:$A$1000)*1,("var_fout"=[1]OUT_TransportEnergyCons!$B$3:$B$1000)*1,ISNUMBER(SEARCH("TPCAR",[1]OUT_TransportEnergyCons!$C$3:$C$1000))*1,[1]OUT_TransportEnergyCons!N$3:N$1000)</f>
        <v>0</v>
      </c>
      <c r="Q1263" s="1" cm="1">
        <f t="array" ref="Q1263">SUMPRODUCT(("T_C-ICE-NGA-S4"=[1]OUT_TransportEnergyCons!$A$3:$A$1000)*1,("var_fout"=[1]OUT_TransportEnergyCons!$B$3:$B$1000)*1,ISNUMBER(SEARCH("TPCAR",[1]OUT_TransportEnergyCons!$C$3:$C$1000))*1,[1]OUT_TransportEnergyCons!O$3:O$1000)</f>
        <v>0</v>
      </c>
      <c r="S1263" s="3"/>
    </row>
    <row r="1264" spans="2:19" x14ac:dyDescent="0.5">
      <c r="B1264" s="5" t="str">
        <f t="shared" si="1401"/>
        <v>SPS1</v>
      </c>
      <c r="C1264" s="5" t="str">
        <f t="shared" si="1402"/>
        <v>CH</v>
      </c>
      <c r="D1264" s="2" t="s">
        <v>1130</v>
      </c>
      <c r="E1264" s="2" t="s">
        <v>1229</v>
      </c>
      <c r="F1264" s="19" t="s">
        <v>292</v>
      </c>
      <c r="G1264" s="19" t="s">
        <v>292</v>
      </c>
      <c r="H1264" s="19" t="s">
        <v>292</v>
      </c>
      <c r="I1264" s="19" t="s">
        <v>292</v>
      </c>
      <c r="J1264" s="19" t="s">
        <v>292</v>
      </c>
      <c r="K1264" s="19" t="s">
        <v>292</v>
      </c>
      <c r="L1264" s="19" t="s">
        <v>292</v>
      </c>
      <c r="M1264" s="19" t="s">
        <v>292</v>
      </c>
      <c r="N1264" s="19" t="s">
        <v>292</v>
      </c>
      <c r="O1264" s="19" t="s">
        <v>292</v>
      </c>
      <c r="P1264" s="19" t="s">
        <v>292</v>
      </c>
      <c r="Q1264" s="19" t="s">
        <v>292</v>
      </c>
      <c r="S1264" s="3"/>
    </row>
    <row r="1265" spans="2:19" x14ac:dyDescent="0.5">
      <c r="B1265" s="5" t="str">
        <f>B1264</f>
        <v>SPS1</v>
      </c>
      <c r="C1265" s="5" t="str">
        <f>C1264</f>
        <v>CH</v>
      </c>
      <c r="D1265" t="s">
        <v>1181</v>
      </c>
      <c r="E1265" t="str">
        <f>E1264</f>
        <v>km/MJ</v>
      </c>
      <c r="F1265" s="1">
        <f t="shared" ref="F1265:K1269" si="1403">IFERROR(F1214/F1138,"-")</f>
        <v>0.88951199431361405</v>
      </c>
      <c r="G1265" s="1">
        <f t="shared" si="1403"/>
        <v>0.95694536964701959</v>
      </c>
      <c r="H1265" s="1">
        <f t="shared" si="1403"/>
        <v>1.0580954326471259</v>
      </c>
      <c r="I1265" s="1">
        <f t="shared" si="1403"/>
        <v>1.2266788709806384</v>
      </c>
      <c r="J1265" s="1" t="str">
        <f t="shared" si="1403"/>
        <v>-</v>
      </c>
      <c r="K1265" s="1" t="str">
        <f t="shared" si="1403"/>
        <v>-</v>
      </c>
      <c r="L1265" s="1" t="str">
        <f t="shared" ref="L1265:O1265" si="1404">IFERROR(L1214/L1138,"-")</f>
        <v>-</v>
      </c>
      <c r="M1265" s="1" t="str">
        <f t="shared" si="1404"/>
        <v>-</v>
      </c>
      <c r="N1265" s="1" t="str">
        <f t="shared" si="1404"/>
        <v>-</v>
      </c>
      <c r="O1265" s="1" t="str">
        <f t="shared" si="1404"/>
        <v>-</v>
      </c>
      <c r="P1265" s="1" t="str">
        <f t="shared" ref="P1265:Q1269" si="1405">IFERROR(P1214/P1138,"-")</f>
        <v>-</v>
      </c>
      <c r="Q1265" s="1" t="str">
        <f t="shared" si="1405"/>
        <v>-</v>
      </c>
      <c r="S1265" s="3"/>
    </row>
    <row r="1266" spans="2:19" x14ac:dyDescent="0.5">
      <c r="B1266" s="5" t="str">
        <f t="shared" ref="B1266:B1314" si="1406">B1265</f>
        <v>SPS1</v>
      </c>
      <c r="C1266" s="5" t="str">
        <f t="shared" ref="C1266:C1314" si="1407">C1265</f>
        <v>CH</v>
      </c>
      <c r="D1266" t="s">
        <v>1182</v>
      </c>
      <c r="E1266" t="str">
        <f t="shared" ref="E1266:E1314" si="1408">E1265</f>
        <v>km/MJ</v>
      </c>
      <c r="F1266" s="1">
        <f t="shared" si="1403"/>
        <v>1.8116719735064497</v>
      </c>
      <c r="G1266" s="1">
        <f t="shared" si="1403"/>
        <v>1.8116719735064537</v>
      </c>
      <c r="H1266" s="1">
        <f t="shared" si="1403"/>
        <v>1.8116719735064504</v>
      </c>
      <c r="I1266" s="1">
        <f t="shared" si="1403"/>
        <v>1.8116719735064486</v>
      </c>
      <c r="J1266" s="1">
        <f t="shared" si="1403"/>
        <v>1.8608633009979931</v>
      </c>
      <c r="K1266" s="1">
        <f t="shared" si="1403"/>
        <v>1.9119220493646234</v>
      </c>
      <c r="L1266" s="1">
        <f t="shared" ref="L1266:O1266" si="1409">IFERROR(L1215/L1139,"-")</f>
        <v>2.0080855739627168</v>
      </c>
      <c r="M1266" s="1">
        <f t="shared" si="1409"/>
        <v>2.1186784042042826</v>
      </c>
      <c r="N1266" s="1">
        <f t="shared" si="1409"/>
        <v>2.2099440100844405</v>
      </c>
      <c r="O1266" s="1">
        <f t="shared" si="1409"/>
        <v>2.3284280106729325</v>
      </c>
      <c r="P1266" s="1">
        <f t="shared" si="1405"/>
        <v>2.3997762081467764</v>
      </c>
      <c r="Q1266" s="1">
        <f t="shared" si="1405"/>
        <v>2.4388889884859632</v>
      </c>
      <c r="S1266" s="3"/>
    </row>
    <row r="1267" spans="2:19" x14ac:dyDescent="0.5">
      <c r="B1267" s="5" t="str">
        <f t="shared" si="1406"/>
        <v>SPS1</v>
      </c>
      <c r="C1267" s="5" t="str">
        <f t="shared" si="1407"/>
        <v>CH</v>
      </c>
      <c r="D1267" t="s">
        <v>1183</v>
      </c>
      <c r="E1267" t="str">
        <f t="shared" si="1408"/>
        <v>km/MJ</v>
      </c>
      <c r="F1267" s="1">
        <f t="shared" si="1403"/>
        <v>1.463798267117967</v>
      </c>
      <c r="G1267" s="1">
        <f t="shared" si="1403"/>
        <v>1.4637982671179703</v>
      </c>
      <c r="H1267" s="1">
        <f t="shared" si="1403"/>
        <v>1.4637982671179695</v>
      </c>
      <c r="I1267" s="1">
        <f t="shared" si="1403"/>
        <v>1.4637982671179699</v>
      </c>
      <c r="J1267" s="1">
        <f t="shared" si="1403"/>
        <v>1.5261453363359196</v>
      </c>
      <c r="K1267" s="1">
        <f t="shared" si="1403"/>
        <v>1.5565870320503119</v>
      </c>
      <c r="L1267" s="1">
        <f t="shared" ref="L1267:O1267" si="1410">IFERROR(L1216/L1140,"-")</f>
        <v>1.6151890530155677</v>
      </c>
      <c r="M1267" s="1">
        <f t="shared" si="1410"/>
        <v>1.7356188250292754</v>
      </c>
      <c r="N1267" s="1">
        <f t="shared" si="1410"/>
        <v>1.806054546824635</v>
      </c>
      <c r="O1267" s="1">
        <f t="shared" si="1410"/>
        <v>1.8983009991692581</v>
      </c>
      <c r="P1267" s="1">
        <f t="shared" si="1405"/>
        <v>1.9684254219644353</v>
      </c>
      <c r="Q1267" s="1">
        <f t="shared" si="1405"/>
        <v>2.0020171865354262</v>
      </c>
      <c r="S1267" s="3"/>
    </row>
    <row r="1268" spans="2:19" x14ac:dyDescent="0.5">
      <c r="B1268" s="5" t="str">
        <f t="shared" si="1406"/>
        <v>SPS1</v>
      </c>
      <c r="C1268" s="5" t="str">
        <f t="shared" si="1407"/>
        <v>CH</v>
      </c>
      <c r="D1268" t="s">
        <v>1184</v>
      </c>
      <c r="E1268" t="str">
        <f t="shared" si="1408"/>
        <v>km/MJ</v>
      </c>
      <c r="F1268" s="1">
        <f t="shared" si="1403"/>
        <v>1.3374527251491994</v>
      </c>
      <c r="G1268" s="1">
        <f t="shared" si="1403"/>
        <v>1.3374527251491999</v>
      </c>
      <c r="H1268" s="1">
        <f t="shared" si="1403"/>
        <v>1.3374527251492005</v>
      </c>
      <c r="I1268" s="1">
        <f t="shared" si="1403"/>
        <v>1.3374527251491999</v>
      </c>
      <c r="J1268" s="1">
        <f t="shared" si="1403"/>
        <v>1.3632343861577687</v>
      </c>
      <c r="K1268" s="1">
        <f t="shared" si="1403"/>
        <v>1.4619090823342762</v>
      </c>
      <c r="L1268" s="1">
        <f t="shared" ref="L1268:O1268" si="1411">IFERROR(L1217/L1141,"-")</f>
        <v>1.4861636402340814</v>
      </c>
      <c r="M1268" s="1">
        <f t="shared" si="1411"/>
        <v>1.5877611724835539</v>
      </c>
      <c r="N1268" s="1">
        <f t="shared" si="1411"/>
        <v>1.6711116357465468</v>
      </c>
      <c r="O1268" s="1">
        <f t="shared" si="1411"/>
        <v>1.7512401979626904</v>
      </c>
      <c r="P1268" s="1">
        <f t="shared" si="1405"/>
        <v>1.8173503365807808</v>
      </c>
      <c r="Q1268" s="1">
        <f t="shared" si="1405"/>
        <v>1.8349674976674679</v>
      </c>
      <c r="S1268" s="3"/>
    </row>
    <row r="1269" spans="2:19" x14ac:dyDescent="0.5">
      <c r="B1269" s="5" t="str">
        <f t="shared" si="1406"/>
        <v>SPS1</v>
      </c>
      <c r="C1269" s="5" t="str">
        <f t="shared" si="1407"/>
        <v>CH</v>
      </c>
      <c r="D1269" t="s">
        <v>1185</v>
      </c>
      <c r="E1269" t="str">
        <f t="shared" si="1408"/>
        <v>km/MJ</v>
      </c>
      <c r="F1269" s="1">
        <f t="shared" si="1403"/>
        <v>1.2949729235430807</v>
      </c>
      <c r="G1269" s="1">
        <f t="shared" si="1403"/>
        <v>1.29497292354308</v>
      </c>
      <c r="H1269" s="1">
        <f t="shared" si="1403"/>
        <v>1.2949729235430811</v>
      </c>
      <c r="I1269" s="1">
        <f t="shared" si="1403"/>
        <v>1.2949729235430794</v>
      </c>
      <c r="J1269" s="1">
        <f t="shared" si="1403"/>
        <v>1.3298106562065173</v>
      </c>
      <c r="K1269" s="1">
        <f t="shared" si="1403"/>
        <v>1.3742180885518549</v>
      </c>
      <c r="L1269" s="1">
        <f t="shared" ref="L1269:O1269" si="1412">IFERROR(L1218/L1142,"-")</f>
        <v>1.44070054047719</v>
      </c>
      <c r="M1269" s="1">
        <f t="shared" si="1412"/>
        <v>1.5192978257510701</v>
      </c>
      <c r="N1269" s="1">
        <f t="shared" si="1412"/>
        <v>1.5820611772157602</v>
      </c>
      <c r="O1269" s="1">
        <f t="shared" si="1412"/>
        <v>1.6460025372569587</v>
      </c>
      <c r="P1269" s="1">
        <f t="shared" si="1405"/>
        <v>1.6811935565619838</v>
      </c>
      <c r="Q1269" s="1">
        <f t="shared" si="1405"/>
        <v>1.732068233338899</v>
      </c>
      <c r="S1269" s="3"/>
    </row>
    <row r="1270" spans="2:19" x14ac:dyDescent="0.5">
      <c r="B1270" s="5" t="str">
        <f t="shared" si="1406"/>
        <v>SPS1</v>
      </c>
      <c r="C1270" s="5" t="str">
        <f t="shared" si="1407"/>
        <v>CH</v>
      </c>
      <c r="D1270" t="s">
        <v>1186</v>
      </c>
      <c r="E1270" t="str">
        <f t="shared" si="1408"/>
        <v>km/MJ</v>
      </c>
      <c r="F1270" s="1">
        <f t="shared" ref="F1270:K1273" si="1413">IFERROR(F1219/SUM(F1143,F1176),"-")</f>
        <v>0.7136894568765304</v>
      </c>
      <c r="G1270" s="1">
        <f t="shared" si="1413"/>
        <v>0.78761972718560591</v>
      </c>
      <c r="H1270" s="1">
        <f t="shared" si="1413"/>
        <v>0.7991281455349144</v>
      </c>
      <c r="I1270" s="1">
        <f t="shared" si="1413"/>
        <v>0.84541231116932603</v>
      </c>
      <c r="J1270" s="1">
        <f t="shared" si="1413"/>
        <v>0.85893575338098327</v>
      </c>
      <c r="K1270" s="1">
        <f t="shared" si="1413"/>
        <v>0.92700138087759554</v>
      </c>
      <c r="L1270" s="1">
        <f t="shared" ref="L1270:O1270" si="1414">IFERROR(L1219/SUM(L1143,L1176),"-")</f>
        <v>1.0175968825712907</v>
      </c>
      <c r="M1270" s="1">
        <f t="shared" si="1414"/>
        <v>1.0899320365201728</v>
      </c>
      <c r="N1270" s="1">
        <f t="shared" si="1414"/>
        <v>1.22187422557654</v>
      </c>
      <c r="O1270" s="1">
        <f t="shared" si="1414"/>
        <v>1.3376547458125543</v>
      </c>
      <c r="P1270" s="1">
        <f t="shared" ref="P1270:Q1273" si="1415">IFERROR(P1219/SUM(P1143,P1176),"-")</f>
        <v>1.3729642208051565</v>
      </c>
      <c r="Q1270" s="1">
        <f t="shared" si="1415"/>
        <v>1.4362079716016232</v>
      </c>
      <c r="S1270" s="3"/>
    </row>
    <row r="1271" spans="2:19" x14ac:dyDescent="0.5">
      <c r="B1271" s="5" t="str">
        <f t="shared" si="1406"/>
        <v>SPS1</v>
      </c>
      <c r="C1271" s="5" t="str">
        <f t="shared" si="1407"/>
        <v>CH</v>
      </c>
      <c r="D1271" t="s">
        <v>1187</v>
      </c>
      <c r="E1271" t="str">
        <f t="shared" si="1408"/>
        <v>km/MJ</v>
      </c>
      <c r="F1271" s="1">
        <f t="shared" si="1413"/>
        <v>0.62255267905318157</v>
      </c>
      <c r="G1271" s="1">
        <f t="shared" si="1413"/>
        <v>0.60001737559820167</v>
      </c>
      <c r="H1271" s="1">
        <f t="shared" si="1413"/>
        <v>0.64516402637848558</v>
      </c>
      <c r="I1271" s="1">
        <f t="shared" si="1413"/>
        <v>0.66265424462509892</v>
      </c>
      <c r="J1271" s="1">
        <f t="shared" si="1413"/>
        <v>0.69958749874008341</v>
      </c>
      <c r="K1271" s="1">
        <f t="shared" si="1413"/>
        <v>0.78540948437974389</v>
      </c>
      <c r="L1271" s="1">
        <f t="shared" ref="L1271:O1271" si="1416">IFERROR(L1220/SUM(L1144,L1177),"-")</f>
        <v>0.89753220992227323</v>
      </c>
      <c r="M1271" s="1">
        <f t="shared" si="1416"/>
        <v>1.0265787798994839</v>
      </c>
      <c r="N1271" s="1">
        <f t="shared" si="1416"/>
        <v>1.0926275006424584</v>
      </c>
      <c r="O1271" s="1">
        <f t="shared" si="1416"/>
        <v>1.1732317344215319</v>
      </c>
      <c r="P1271" s="1">
        <f t="shared" si="1415"/>
        <v>1.2003771522268143</v>
      </c>
      <c r="Q1271" s="1">
        <f t="shared" si="1415"/>
        <v>1.2486907885079366</v>
      </c>
      <c r="S1271" s="3"/>
    </row>
    <row r="1272" spans="2:19" x14ac:dyDescent="0.5">
      <c r="B1272" s="5" t="str">
        <f t="shared" si="1406"/>
        <v>SPS1</v>
      </c>
      <c r="C1272" s="5" t="str">
        <f t="shared" si="1407"/>
        <v>CH</v>
      </c>
      <c r="D1272" t="s">
        <v>1188</v>
      </c>
      <c r="E1272" t="str">
        <f t="shared" si="1408"/>
        <v>km/MJ</v>
      </c>
      <c r="F1272" s="1">
        <f t="shared" si="1413"/>
        <v>0.54553653824420723</v>
      </c>
      <c r="G1272" s="1">
        <f t="shared" si="1413"/>
        <v>0.60438766674469946</v>
      </c>
      <c r="H1272" s="1">
        <f t="shared" si="1413"/>
        <v>0.61800797237575578</v>
      </c>
      <c r="I1272" s="1">
        <f t="shared" si="1413"/>
        <v>0.66535062806618628</v>
      </c>
      <c r="J1272" s="1">
        <f t="shared" si="1413"/>
        <v>0.68004950126881447</v>
      </c>
      <c r="K1272" s="1">
        <f t="shared" si="1413"/>
        <v>0.77207527305311119</v>
      </c>
      <c r="L1272" s="1">
        <f t="shared" ref="L1272:O1272" si="1417">IFERROR(L1221/SUM(L1145,L1178),"-")</f>
        <v>0.93146379361819975</v>
      </c>
      <c r="M1272" s="1">
        <f t="shared" si="1417"/>
        <v>1.0932690298956913</v>
      </c>
      <c r="N1272" s="1">
        <f t="shared" si="1417"/>
        <v>1.1344845697306063</v>
      </c>
      <c r="O1272" s="1">
        <f t="shared" si="1417"/>
        <v>1.1949079548117083</v>
      </c>
      <c r="P1272" s="1">
        <f t="shared" si="1415"/>
        <v>1.2239297738269705</v>
      </c>
      <c r="Q1272" s="1">
        <f t="shared" si="1415"/>
        <v>1.2606876616380032</v>
      </c>
      <c r="S1272" s="3"/>
    </row>
    <row r="1273" spans="2:19" x14ac:dyDescent="0.5">
      <c r="B1273" s="5" t="str">
        <f t="shared" si="1406"/>
        <v>SPS1</v>
      </c>
      <c r="C1273" s="5" t="str">
        <f t="shared" si="1407"/>
        <v>CH</v>
      </c>
      <c r="D1273" t="s">
        <v>1189</v>
      </c>
      <c r="E1273" t="str">
        <f t="shared" si="1408"/>
        <v>km/MJ</v>
      </c>
      <c r="F1273" s="1">
        <f t="shared" si="1413"/>
        <v>0.51975568473665912</v>
      </c>
      <c r="G1273" s="1">
        <f t="shared" si="1413"/>
        <v>0.52406691256692428</v>
      </c>
      <c r="H1273" s="1">
        <f t="shared" si="1413"/>
        <v>0.58424821762395762</v>
      </c>
      <c r="I1273" s="1">
        <f t="shared" si="1413"/>
        <v>0.62586488310366384</v>
      </c>
      <c r="J1273" s="1">
        <f t="shared" si="1413"/>
        <v>0.63843219885041824</v>
      </c>
      <c r="K1273" s="1">
        <f t="shared" si="1413"/>
        <v>0.7172194263951599</v>
      </c>
      <c r="L1273" s="1">
        <f t="shared" ref="L1273:O1273" si="1418">IFERROR(L1222/SUM(L1146,L1179),"-")</f>
        <v>0.83632851874782432</v>
      </c>
      <c r="M1273" s="1">
        <f t="shared" si="1418"/>
        <v>0.95820544321231627</v>
      </c>
      <c r="N1273" s="1">
        <f t="shared" si="1418"/>
        <v>1.034904439177307</v>
      </c>
      <c r="O1273" s="1">
        <f t="shared" si="1418"/>
        <v>1.0973110703301818</v>
      </c>
      <c r="P1273" s="1">
        <f t="shared" si="1415"/>
        <v>1.1319710509874934</v>
      </c>
      <c r="Q1273" s="1">
        <f t="shared" si="1415"/>
        <v>1.1446375170720489</v>
      </c>
      <c r="S1273" s="3"/>
    </row>
    <row r="1274" spans="2:19" x14ac:dyDescent="0.5">
      <c r="B1274" s="5" t="str">
        <f t="shared" si="1406"/>
        <v>SPS1</v>
      </c>
      <c r="C1274" s="5" t="str">
        <f t="shared" si="1407"/>
        <v>CH</v>
      </c>
      <c r="D1274" t="s">
        <v>1190</v>
      </c>
      <c r="E1274" t="str">
        <f t="shared" si="1408"/>
        <v>km/MJ</v>
      </c>
      <c r="F1274" s="1">
        <f t="shared" ref="F1274:K1277" si="1419">IFERROR(F1223/SUM(F1147,F1199),"-")</f>
        <v>0.72840569582556913</v>
      </c>
      <c r="G1274" s="1">
        <f t="shared" si="1419"/>
        <v>0.77129514738973382</v>
      </c>
      <c r="H1274" s="1">
        <f t="shared" si="1419"/>
        <v>0.7900939359431044</v>
      </c>
      <c r="I1274" s="1">
        <f t="shared" si="1419"/>
        <v>0.83345011810112835</v>
      </c>
      <c r="J1274" s="1">
        <f t="shared" si="1419"/>
        <v>0.86519637148145545</v>
      </c>
      <c r="K1274" s="1">
        <f t="shared" si="1419"/>
        <v>0.94367632419625114</v>
      </c>
      <c r="L1274" s="1">
        <f t="shared" ref="L1274:O1274" si="1420">IFERROR(L1223/SUM(L1147,L1199),"-")</f>
        <v>1.0681491924979087</v>
      </c>
      <c r="M1274" s="1">
        <f t="shared" si="1420"/>
        <v>1.2182934470205136</v>
      </c>
      <c r="N1274" s="1">
        <f t="shared" si="1420"/>
        <v>1.2776519858244277</v>
      </c>
      <c r="O1274" s="1">
        <f t="shared" si="1420"/>
        <v>1.2868829475512384</v>
      </c>
      <c r="P1274" s="1">
        <f t="shared" ref="P1274:Q1277" si="1421">IFERROR(P1223/SUM(P1147,P1199),"-")</f>
        <v>1.2233709867981151</v>
      </c>
      <c r="Q1274" s="1">
        <f t="shared" si="1421"/>
        <v>1.4662561643861354</v>
      </c>
      <c r="S1274" s="3"/>
    </row>
    <row r="1275" spans="2:19" x14ac:dyDescent="0.5">
      <c r="B1275" s="5" t="str">
        <f t="shared" si="1406"/>
        <v>SPS1</v>
      </c>
      <c r="C1275" s="5" t="str">
        <f t="shared" si="1407"/>
        <v>CH</v>
      </c>
      <c r="D1275" t="s">
        <v>1191</v>
      </c>
      <c r="E1275" t="str">
        <f t="shared" si="1408"/>
        <v>km/MJ</v>
      </c>
      <c r="F1275" s="1">
        <f t="shared" si="1419"/>
        <v>0.43016051758474971</v>
      </c>
      <c r="G1275" s="1">
        <f t="shared" si="1419"/>
        <v>0.63329160230598325</v>
      </c>
      <c r="H1275" s="1">
        <f t="shared" si="1419"/>
        <v>0.65544959353501719</v>
      </c>
      <c r="I1275" s="1">
        <f t="shared" si="1419"/>
        <v>0.62207648446079922</v>
      </c>
      <c r="J1275" s="1">
        <f t="shared" si="1419"/>
        <v>0.70979459996388605</v>
      </c>
      <c r="K1275" s="1">
        <f t="shared" si="1419"/>
        <v>0.79806890343146342</v>
      </c>
      <c r="L1275" s="1">
        <f t="shared" ref="L1275:O1275" si="1422">IFERROR(L1224/SUM(L1148,L1200),"-")</f>
        <v>0.92839320941420211</v>
      </c>
      <c r="M1275" s="1">
        <f t="shared" si="1422"/>
        <v>1.0739668255353554</v>
      </c>
      <c r="N1275" s="1">
        <f t="shared" si="1422"/>
        <v>1.1103132500995048</v>
      </c>
      <c r="O1275" s="1">
        <f t="shared" si="1422"/>
        <v>1.126678644008557</v>
      </c>
      <c r="P1275" s="1">
        <f t="shared" si="1421"/>
        <v>1.1281407855154724</v>
      </c>
      <c r="Q1275" s="1">
        <f t="shared" si="1421"/>
        <v>1.2550250851292089</v>
      </c>
      <c r="S1275" s="3"/>
    </row>
    <row r="1276" spans="2:19" x14ac:dyDescent="0.5">
      <c r="B1276" s="5" t="str">
        <f t="shared" si="1406"/>
        <v>SPS1</v>
      </c>
      <c r="C1276" s="5" t="str">
        <f t="shared" si="1407"/>
        <v>CH</v>
      </c>
      <c r="D1276" t="s">
        <v>1192</v>
      </c>
      <c r="E1276" t="str">
        <f t="shared" si="1408"/>
        <v>km/MJ</v>
      </c>
      <c r="F1276" s="1">
        <f t="shared" si="1419"/>
        <v>0.55358292335481396</v>
      </c>
      <c r="G1276" s="1">
        <f t="shared" si="1419"/>
        <v>0.61232171192521712</v>
      </c>
      <c r="H1276" s="1">
        <f t="shared" si="1419"/>
        <v>0.62630325900276107</v>
      </c>
      <c r="I1276" s="1">
        <f t="shared" si="1419"/>
        <v>0.65780071927404671</v>
      </c>
      <c r="J1276" s="1">
        <f t="shared" si="1419"/>
        <v>0.68854918551190192</v>
      </c>
      <c r="K1276" s="1">
        <f t="shared" si="1419"/>
        <v>0.78001683128220878</v>
      </c>
      <c r="L1276" s="1">
        <f t="shared" ref="L1276:O1276" si="1423">IFERROR(L1225/SUM(L1149,L1201),"-")</f>
        <v>0.93933674182029525</v>
      </c>
      <c r="M1276" s="1">
        <f t="shared" si="1423"/>
        <v>1.099421133118176</v>
      </c>
      <c r="N1276" s="1">
        <f t="shared" si="1423"/>
        <v>1.1394719669880109</v>
      </c>
      <c r="O1276" s="1">
        <f t="shared" si="1423"/>
        <v>1.1490307622054479</v>
      </c>
      <c r="P1276" s="1">
        <f t="shared" si="1421"/>
        <v>1.1461665270708168</v>
      </c>
      <c r="Q1276" s="1">
        <f t="shared" si="1421"/>
        <v>1.2383168909318039</v>
      </c>
      <c r="S1276" s="3"/>
    </row>
    <row r="1277" spans="2:19" x14ac:dyDescent="0.5">
      <c r="B1277" s="5" t="str">
        <f t="shared" si="1406"/>
        <v>SPS1</v>
      </c>
      <c r="C1277" s="5" t="str">
        <f t="shared" si="1407"/>
        <v>CH</v>
      </c>
      <c r="D1277" t="s">
        <v>1193</v>
      </c>
      <c r="E1277" t="str">
        <f t="shared" si="1408"/>
        <v>km/MJ</v>
      </c>
      <c r="F1277" s="1">
        <f t="shared" si="1419"/>
        <v>0.52699847296088886</v>
      </c>
      <c r="G1277" s="1">
        <f t="shared" si="1419"/>
        <v>0.56034603537261984</v>
      </c>
      <c r="H1277" s="1">
        <f t="shared" si="1419"/>
        <v>0.59459273532563206</v>
      </c>
      <c r="I1277" s="1">
        <f t="shared" si="1419"/>
        <v>0.6199491220483756</v>
      </c>
      <c r="J1277" s="1">
        <f t="shared" si="1419"/>
        <v>0.64676829287817483</v>
      </c>
      <c r="K1277" s="1">
        <f t="shared" si="1419"/>
        <v>0.72660894494771366</v>
      </c>
      <c r="L1277" s="1">
        <f t="shared" ref="L1277:O1277" si="1424">IFERROR(L1226/SUM(L1150,L1202),"-")</f>
        <v>0.86476581699429522</v>
      </c>
      <c r="M1277" s="1">
        <f t="shared" si="1424"/>
        <v>1.0061941227569549</v>
      </c>
      <c r="N1277" s="1">
        <f t="shared" si="1424"/>
        <v>1.0428965242565562</v>
      </c>
      <c r="O1277" s="1">
        <f t="shared" si="1424"/>
        <v>1.104637813326294</v>
      </c>
      <c r="P1277" s="1">
        <f t="shared" si="1421"/>
        <v>1.1389433469565065</v>
      </c>
      <c r="Q1277" s="1">
        <f t="shared" si="1421"/>
        <v>1.1519037580167679</v>
      </c>
      <c r="S1277" s="3"/>
    </row>
    <row r="1278" spans="2:19" x14ac:dyDescent="0.5">
      <c r="B1278" s="5" t="str">
        <f t="shared" si="1406"/>
        <v>SPS1</v>
      </c>
      <c r="C1278" s="5" t="str">
        <f t="shared" si="1407"/>
        <v>CH</v>
      </c>
      <c r="D1278" t="s">
        <v>1194</v>
      </c>
      <c r="E1278" t="str">
        <f t="shared" si="1408"/>
        <v>km/MJ</v>
      </c>
      <c r="F1278" s="1" t="str">
        <f>IFERROR(F1227/F1153,"-")</f>
        <v>-</v>
      </c>
      <c r="G1278" s="1">
        <f t="shared" ref="G1278:K1278" si="1425">IFERROR(G1227/G1153,"-")</f>
        <v>1.09656966561652</v>
      </c>
      <c r="H1278" s="1">
        <f t="shared" si="1425"/>
        <v>1.0965696656165209</v>
      </c>
      <c r="I1278" s="1">
        <f t="shared" si="1425"/>
        <v>1.09656966561652</v>
      </c>
      <c r="J1278" s="1">
        <f t="shared" si="1425"/>
        <v>1.1193645747330772</v>
      </c>
      <c r="K1278" s="1">
        <f t="shared" si="1425"/>
        <v>1.1554246376267834</v>
      </c>
      <c r="L1278" s="1">
        <f t="shared" ref="L1278:O1278" si="1426">IFERROR(L1227/L1153,"-")</f>
        <v>1.2360977912929063</v>
      </c>
      <c r="M1278" s="1">
        <f t="shared" si="1426"/>
        <v>1.3150147367579661</v>
      </c>
      <c r="N1278" s="1">
        <f t="shared" si="1426"/>
        <v>1.3617210820377479</v>
      </c>
      <c r="O1278" s="1">
        <f t="shared" si="1426"/>
        <v>1.4858031339614017</v>
      </c>
      <c r="P1278" s="1">
        <f t="shared" ref="P1278:Q1281" si="1427">IFERROR(P1227/P1153,"-")</f>
        <v>1.5137343087450625</v>
      </c>
      <c r="Q1278" s="1">
        <f t="shared" si="1427"/>
        <v>1.5777288834242416</v>
      </c>
      <c r="S1278" s="3"/>
    </row>
    <row r="1279" spans="2:19" x14ac:dyDescent="0.5">
      <c r="B1279" s="5" t="str">
        <f t="shared" si="1406"/>
        <v>SPS1</v>
      </c>
      <c r="C1279" s="5" t="str">
        <f t="shared" si="1407"/>
        <v>CH</v>
      </c>
      <c r="D1279" t="s">
        <v>1195</v>
      </c>
      <c r="E1279" t="str">
        <f t="shared" si="1408"/>
        <v>km/MJ</v>
      </c>
      <c r="F1279" s="1">
        <f t="shared" ref="F1279:K1279" si="1428">IFERROR(F1228/F1154,"-")</f>
        <v>0.89149519806162014</v>
      </c>
      <c r="G1279" s="1">
        <f t="shared" si="1428"/>
        <v>0.89149519806162214</v>
      </c>
      <c r="H1279" s="1">
        <f t="shared" si="1428"/>
        <v>0.89149519806162281</v>
      </c>
      <c r="I1279" s="1">
        <f t="shared" si="1428"/>
        <v>0.89149519806162225</v>
      </c>
      <c r="J1279" s="1">
        <f t="shared" si="1428"/>
        <v>0.911637118983881</v>
      </c>
      <c r="K1279" s="1">
        <f t="shared" si="1428"/>
        <v>0.94776472307279025</v>
      </c>
      <c r="L1279" s="1">
        <f t="shared" ref="L1279:O1279" si="1429">IFERROR(L1228/L1154,"-")</f>
        <v>1.0104266022992676</v>
      </c>
      <c r="M1279" s="1">
        <f t="shared" si="1429"/>
        <v>1.0799284321029761</v>
      </c>
      <c r="N1279" s="1">
        <f t="shared" si="1429"/>
        <v>1.1269695782754774</v>
      </c>
      <c r="O1279" s="1">
        <f t="shared" si="1429"/>
        <v>1.2228491047236845</v>
      </c>
      <c r="P1279" s="1">
        <f t="shared" si="1427"/>
        <v>1.2536323957628142</v>
      </c>
      <c r="Q1279" s="1">
        <f t="shared" si="1427"/>
        <v>1.3008122928940089</v>
      </c>
      <c r="S1279" s="3"/>
    </row>
    <row r="1280" spans="2:19" x14ac:dyDescent="0.5">
      <c r="B1280" s="5" t="str">
        <f t="shared" si="1406"/>
        <v>SPS1</v>
      </c>
      <c r="C1280" s="5" t="str">
        <f t="shared" si="1407"/>
        <v>CH</v>
      </c>
      <c r="D1280" t="s">
        <v>1196</v>
      </c>
      <c r="E1280" t="str">
        <f t="shared" si="1408"/>
        <v>km/MJ</v>
      </c>
      <c r="F1280" s="1">
        <f t="shared" ref="F1280:K1280" si="1430">IFERROR(F1229/F1155,"-")</f>
        <v>0.83000507256490685</v>
      </c>
      <c r="G1280" s="1">
        <f t="shared" si="1430"/>
        <v>0.83000507256490508</v>
      </c>
      <c r="H1280" s="1">
        <f t="shared" si="1430"/>
        <v>0.83000507256490674</v>
      </c>
      <c r="I1280" s="1">
        <f t="shared" si="1430"/>
        <v>0.83000507256490685</v>
      </c>
      <c r="J1280" s="1">
        <f t="shared" si="1430"/>
        <v>0.84378210844222756</v>
      </c>
      <c r="K1280" s="1">
        <f t="shared" si="1430"/>
        <v>0.88401734760122341</v>
      </c>
      <c r="L1280" s="1">
        <f t="shared" ref="L1280:O1280" si="1431">IFERROR(L1229/L1155,"-")</f>
        <v>0.94308965364940101</v>
      </c>
      <c r="M1280" s="1">
        <f t="shared" si="1431"/>
        <v>1.0085505715747209</v>
      </c>
      <c r="N1280" s="1">
        <f t="shared" si="1431"/>
        <v>1.0543219609932406</v>
      </c>
      <c r="O1280" s="1">
        <f t="shared" si="1431"/>
        <v>1.1415667241439424</v>
      </c>
      <c r="P1280" s="1">
        <f t="shared" si="1427"/>
        <v>1.1722695894439845</v>
      </c>
      <c r="Q1280" s="1">
        <f t="shared" si="1427"/>
        <v>1.2153637426286799</v>
      </c>
      <c r="S1280" s="3"/>
    </row>
    <row r="1281" spans="2:19" x14ac:dyDescent="0.5">
      <c r="B1281" s="5" t="str">
        <f t="shared" si="1406"/>
        <v>SPS1</v>
      </c>
      <c r="C1281" s="5" t="str">
        <f t="shared" si="1407"/>
        <v>CH</v>
      </c>
      <c r="D1281" t="s">
        <v>1197</v>
      </c>
      <c r="E1281" t="str">
        <f t="shared" si="1408"/>
        <v>km/MJ</v>
      </c>
      <c r="F1281" s="1" t="str">
        <f t="shared" ref="F1281:K1281" si="1432">IFERROR(F1230/F1156,"-")</f>
        <v>-</v>
      </c>
      <c r="G1281" s="1">
        <f t="shared" si="1432"/>
        <v>0.83675282096654124</v>
      </c>
      <c r="H1281" s="1">
        <f t="shared" si="1432"/>
        <v>0.83675282096654224</v>
      </c>
      <c r="I1281" s="1">
        <f t="shared" si="1432"/>
        <v>0.83675282096654091</v>
      </c>
      <c r="J1281" s="1">
        <f t="shared" si="1432"/>
        <v>0.85450046265189317</v>
      </c>
      <c r="K1281" s="1">
        <f t="shared" si="1432"/>
        <v>0.88737906381709752</v>
      </c>
      <c r="L1281" s="1">
        <f t="shared" ref="L1281:O1281" si="1433">IFERROR(L1230/L1156,"-")</f>
        <v>0.94280797090726576</v>
      </c>
      <c r="M1281" s="1">
        <f t="shared" si="1433"/>
        <v>1.0039733868186302</v>
      </c>
      <c r="N1281" s="1">
        <f t="shared" si="1433"/>
        <v>1.0454185344328701</v>
      </c>
      <c r="O1281" s="1">
        <f t="shared" si="1433"/>
        <v>1.1273742096183428</v>
      </c>
      <c r="P1281" s="1">
        <f t="shared" si="1427"/>
        <v>1.1545921024627315</v>
      </c>
      <c r="Q1281" s="1">
        <f t="shared" si="1427"/>
        <v>1.1947365023294598</v>
      </c>
      <c r="S1281" s="3"/>
    </row>
    <row r="1282" spans="2:19" x14ac:dyDescent="0.5">
      <c r="B1282" s="5" t="str">
        <f t="shared" si="1406"/>
        <v>SPS1</v>
      </c>
      <c r="C1282" s="5" t="str">
        <f t="shared" si="1407"/>
        <v>CH</v>
      </c>
      <c r="D1282" t="s">
        <v>1232</v>
      </c>
      <c r="E1282" t="str">
        <f t="shared" si="1408"/>
        <v>km/MJ</v>
      </c>
      <c r="F1282" s="1">
        <f t="shared" ref="F1282:K1295" si="1434">IFERROR(F1231/F1162,"-")</f>
        <v>0.49379534694678329</v>
      </c>
      <c r="G1282" s="1">
        <f t="shared" si="1434"/>
        <v>0.50503220860251319</v>
      </c>
      <c r="H1282" s="1">
        <f t="shared" si="1434"/>
        <v>0.52188750108610926</v>
      </c>
      <c r="I1282" s="1">
        <f t="shared" si="1434"/>
        <v>0.54997965522543613</v>
      </c>
      <c r="J1282" s="1" t="str">
        <f t="shared" si="1434"/>
        <v>-</v>
      </c>
      <c r="K1282" s="1" t="str">
        <f t="shared" si="1434"/>
        <v>-</v>
      </c>
      <c r="L1282" s="1" t="str">
        <f>IFERROR(L1231/L1162,"-")</f>
        <v>-</v>
      </c>
      <c r="M1282" s="1" t="str">
        <f t="shared" ref="M1282:O1282" si="1435">IFERROR(M1231/M1162,"-")</f>
        <v>-</v>
      </c>
      <c r="N1282" s="1" t="str">
        <f t="shared" si="1435"/>
        <v>-</v>
      </c>
      <c r="O1282" s="1" t="str">
        <f t="shared" si="1435"/>
        <v>-</v>
      </c>
      <c r="P1282" s="1" t="str">
        <f t="shared" ref="P1282:Q1295" si="1436">IFERROR(P1231/P1162,"-")</f>
        <v>-</v>
      </c>
      <c r="Q1282" s="1" t="str">
        <f t="shared" si="1436"/>
        <v>-</v>
      </c>
      <c r="S1282" s="3"/>
    </row>
    <row r="1283" spans="2:19" x14ac:dyDescent="0.5">
      <c r="B1283" s="5" t="str">
        <f t="shared" si="1406"/>
        <v>SPS1</v>
      </c>
      <c r="C1283" s="5" t="str">
        <f t="shared" si="1407"/>
        <v>CH</v>
      </c>
      <c r="D1283" t="s">
        <v>1198</v>
      </c>
      <c r="E1283" t="str">
        <f t="shared" si="1408"/>
        <v>km/MJ</v>
      </c>
      <c r="F1283" s="1">
        <f t="shared" si="1434"/>
        <v>1.1388933981141967</v>
      </c>
      <c r="G1283" s="1">
        <f t="shared" si="1434"/>
        <v>1.1588514768093332</v>
      </c>
      <c r="H1283" s="1">
        <f t="shared" si="1434"/>
        <v>1.4112963326646342</v>
      </c>
      <c r="I1283" s="1">
        <f t="shared" si="1434"/>
        <v>1.3671504202770273</v>
      </c>
      <c r="J1283" s="1">
        <f t="shared" si="1434"/>
        <v>1.1993469048674428</v>
      </c>
      <c r="K1283" s="1">
        <f>IFERROR(K1232/K1163,"-")</f>
        <v>0.90285018129734196</v>
      </c>
      <c r="L1283" s="1" t="str">
        <f>IFERROR(L1232/L1163,"-")</f>
        <v>-</v>
      </c>
      <c r="M1283" s="1" t="str">
        <f t="shared" ref="M1283:O1283" si="1437">IFERROR(M1232/M1163,"-")</f>
        <v>-</v>
      </c>
      <c r="N1283" s="1" t="str">
        <f t="shared" si="1437"/>
        <v>-</v>
      </c>
      <c r="O1283" s="1" t="str">
        <f t="shared" si="1437"/>
        <v>-</v>
      </c>
      <c r="P1283" s="1" t="str">
        <f t="shared" si="1436"/>
        <v>-</v>
      </c>
      <c r="Q1283" s="1" t="str">
        <f t="shared" si="1436"/>
        <v>-</v>
      </c>
      <c r="S1283" s="3"/>
    </row>
    <row r="1284" spans="2:19" x14ac:dyDescent="0.5">
      <c r="B1284" s="5" t="str">
        <f t="shared" si="1406"/>
        <v>SPS1</v>
      </c>
      <c r="C1284" s="5" t="str">
        <f t="shared" si="1407"/>
        <v>CH</v>
      </c>
      <c r="D1284" t="s">
        <v>1199</v>
      </c>
      <c r="E1284" t="str">
        <f t="shared" si="1408"/>
        <v>km/MJ</v>
      </c>
      <c r="F1284" s="1">
        <f t="shared" si="1434"/>
        <v>1.5931067018223455</v>
      </c>
      <c r="G1284" s="1">
        <f t="shared" si="1434"/>
        <v>2.1404885927445667</v>
      </c>
      <c r="H1284" s="1">
        <f t="shared" si="1434"/>
        <v>1.9475622356650397</v>
      </c>
      <c r="I1284" s="1">
        <f t="shared" si="1434"/>
        <v>1.9542181451121825</v>
      </c>
      <c r="J1284" s="1">
        <f t="shared" si="1434"/>
        <v>1.9565865719245707</v>
      </c>
      <c r="K1284" s="1">
        <f t="shared" si="1434"/>
        <v>1.8407598010644259</v>
      </c>
      <c r="L1284" s="1" t="str">
        <f t="shared" ref="L1284:O1284" si="1438">IFERROR(L1233/L1164,"-")</f>
        <v>-</v>
      </c>
      <c r="M1284" s="1" t="str">
        <f t="shared" si="1438"/>
        <v>-</v>
      </c>
      <c r="N1284" s="1" t="str">
        <f t="shared" si="1438"/>
        <v>-</v>
      </c>
      <c r="O1284" s="1" t="str">
        <f t="shared" si="1438"/>
        <v>-</v>
      </c>
      <c r="P1284" s="1" t="str">
        <f t="shared" si="1436"/>
        <v>-</v>
      </c>
      <c r="Q1284" s="1" t="str">
        <f t="shared" si="1436"/>
        <v>-</v>
      </c>
      <c r="S1284" s="3"/>
    </row>
    <row r="1285" spans="2:19" x14ac:dyDescent="0.5">
      <c r="B1285" s="5" t="str">
        <f t="shared" si="1406"/>
        <v>SPS1</v>
      </c>
      <c r="C1285" s="5" t="str">
        <f t="shared" si="1407"/>
        <v>CH</v>
      </c>
      <c r="D1285" t="s">
        <v>1200</v>
      </c>
      <c r="E1285" t="str">
        <f t="shared" si="1408"/>
        <v>km/MJ</v>
      </c>
      <c r="F1285" s="1">
        <f t="shared" si="1434"/>
        <v>1.9707412561555868</v>
      </c>
      <c r="G1285" s="1">
        <f t="shared" si="1434"/>
        <v>2.491245684035913</v>
      </c>
      <c r="H1285" s="1">
        <f t="shared" si="1434"/>
        <v>2.4845849007009031</v>
      </c>
      <c r="I1285" s="1">
        <f t="shared" si="1434"/>
        <v>2.5013399098450448</v>
      </c>
      <c r="J1285" s="1">
        <f t="shared" si="1434"/>
        <v>2.5366777080698442</v>
      </c>
      <c r="K1285" s="1">
        <f t="shared" si="1434"/>
        <v>1.4397746479815303</v>
      </c>
      <c r="L1285" s="1" t="str">
        <f t="shared" ref="L1285:O1285" si="1439">IFERROR(L1234/L1165,"-")</f>
        <v>-</v>
      </c>
      <c r="M1285" s="1" t="str">
        <f t="shared" si="1439"/>
        <v>-</v>
      </c>
      <c r="N1285" s="1" t="str">
        <f t="shared" si="1439"/>
        <v>-</v>
      </c>
      <c r="O1285" s="1" t="str">
        <f t="shared" si="1439"/>
        <v>-</v>
      </c>
      <c r="P1285" s="1" t="str">
        <f t="shared" si="1436"/>
        <v>-</v>
      </c>
      <c r="Q1285" s="1" t="str">
        <f t="shared" si="1436"/>
        <v>-</v>
      </c>
      <c r="S1285" s="3"/>
    </row>
    <row r="1286" spans="2:19" x14ac:dyDescent="0.5">
      <c r="B1286" s="5" t="str">
        <f t="shared" si="1406"/>
        <v>SPS1</v>
      </c>
      <c r="C1286" s="5" t="str">
        <f t="shared" si="1407"/>
        <v>CH</v>
      </c>
      <c r="D1286" t="s">
        <v>1201</v>
      </c>
      <c r="E1286" t="str">
        <f t="shared" si="1408"/>
        <v>km/MJ</v>
      </c>
      <c r="F1286" s="1">
        <f t="shared" si="1434"/>
        <v>1.1396469493732004</v>
      </c>
      <c r="G1286" s="1">
        <f t="shared" si="1434"/>
        <v>1.3283681998649883</v>
      </c>
      <c r="H1286" s="1">
        <f t="shared" si="1434"/>
        <v>1.3768186902402502</v>
      </c>
      <c r="I1286" s="1">
        <f t="shared" si="1434"/>
        <v>1.3721854309003945</v>
      </c>
      <c r="J1286" s="1">
        <f t="shared" si="1434"/>
        <v>1.5624092321367631</v>
      </c>
      <c r="K1286" s="1">
        <f t="shared" si="1434"/>
        <v>0.82123341178457077</v>
      </c>
      <c r="L1286" s="1" t="str">
        <f t="shared" ref="L1286:O1286" si="1440">IFERROR(L1235/L1166,"-")</f>
        <v>-</v>
      </c>
      <c r="M1286" s="1" t="str">
        <f t="shared" si="1440"/>
        <v>-</v>
      </c>
      <c r="N1286" s="1" t="str">
        <f t="shared" si="1440"/>
        <v>-</v>
      </c>
      <c r="O1286" s="1" t="str">
        <f t="shared" si="1440"/>
        <v>-</v>
      </c>
      <c r="P1286" s="1" t="str">
        <f t="shared" si="1436"/>
        <v>-</v>
      </c>
      <c r="Q1286" s="1" t="str">
        <f t="shared" si="1436"/>
        <v>-</v>
      </c>
      <c r="S1286" s="3"/>
    </row>
    <row r="1287" spans="2:19" x14ac:dyDescent="0.5">
      <c r="B1287" s="5" t="str">
        <f t="shared" si="1406"/>
        <v>SPS1</v>
      </c>
      <c r="C1287" s="5" t="str">
        <f t="shared" si="1407"/>
        <v>CH</v>
      </c>
      <c r="D1287" t="s">
        <v>1202</v>
      </c>
      <c r="E1287" t="str">
        <f t="shared" si="1408"/>
        <v>km/MJ</v>
      </c>
      <c r="F1287" s="1">
        <f t="shared" si="1434"/>
        <v>0.28603940550919515</v>
      </c>
      <c r="G1287" s="1">
        <f t="shared" si="1434"/>
        <v>0.29254854993039736</v>
      </c>
      <c r="H1287" s="1">
        <f t="shared" si="1434"/>
        <v>0.30231226656220045</v>
      </c>
      <c r="I1287" s="1">
        <f t="shared" si="1434"/>
        <v>0.31858512761520635</v>
      </c>
      <c r="J1287" s="1" t="str">
        <f t="shared" si="1434"/>
        <v>-</v>
      </c>
      <c r="K1287" s="1" t="str">
        <f t="shared" si="1434"/>
        <v>-</v>
      </c>
      <c r="L1287" s="1" t="str">
        <f t="shared" ref="L1287:O1287" si="1441">IFERROR(L1236/L1167,"-")</f>
        <v>-</v>
      </c>
      <c r="M1287" s="1" t="str">
        <f t="shared" si="1441"/>
        <v>-</v>
      </c>
      <c r="N1287" s="1" t="str">
        <f t="shared" si="1441"/>
        <v>-</v>
      </c>
      <c r="O1287" s="1" t="str">
        <f t="shared" si="1441"/>
        <v>-</v>
      </c>
      <c r="P1287" s="1" t="str">
        <f t="shared" si="1436"/>
        <v>-</v>
      </c>
      <c r="Q1287" s="1" t="str">
        <f t="shared" si="1436"/>
        <v>-</v>
      </c>
      <c r="S1287" s="3"/>
    </row>
    <row r="1288" spans="2:19" x14ac:dyDescent="0.5">
      <c r="B1288" s="5" t="str">
        <f t="shared" si="1406"/>
        <v>SPS1</v>
      </c>
      <c r="C1288" s="5" t="str">
        <f t="shared" si="1407"/>
        <v>CH</v>
      </c>
      <c r="D1288" t="s">
        <v>1203</v>
      </c>
      <c r="E1288" t="str">
        <f t="shared" si="1408"/>
        <v>km/MJ</v>
      </c>
      <c r="F1288" s="1">
        <f t="shared" si="1434"/>
        <v>0.68378338735677902</v>
      </c>
      <c r="G1288" s="1">
        <f t="shared" si="1434"/>
        <v>0.64952705567865088</v>
      </c>
      <c r="H1288" s="1">
        <f t="shared" si="1434"/>
        <v>0.62444424731033932</v>
      </c>
      <c r="I1288" s="1">
        <f t="shared" si="1434"/>
        <v>0.62433092367397514</v>
      </c>
      <c r="J1288" s="1">
        <f t="shared" si="1434"/>
        <v>0.60107382476339621</v>
      </c>
      <c r="K1288" s="1">
        <f t="shared" si="1434"/>
        <v>0.59859168021294451</v>
      </c>
      <c r="L1288" s="1" t="str">
        <f t="shared" ref="L1288:O1288" si="1442">IFERROR(L1237/L1168,"-")</f>
        <v>-</v>
      </c>
      <c r="M1288" s="1" t="str">
        <f t="shared" si="1442"/>
        <v>-</v>
      </c>
      <c r="N1288" s="1" t="str">
        <f t="shared" si="1442"/>
        <v>-</v>
      </c>
      <c r="O1288" s="1" t="str">
        <f t="shared" si="1442"/>
        <v>-</v>
      </c>
      <c r="P1288" s="1" t="str">
        <f t="shared" si="1436"/>
        <v>-</v>
      </c>
      <c r="Q1288" s="1" t="str">
        <f t="shared" si="1436"/>
        <v>-</v>
      </c>
      <c r="S1288" s="3"/>
    </row>
    <row r="1289" spans="2:19" x14ac:dyDescent="0.5">
      <c r="B1289" s="5" t="str">
        <f t="shared" si="1406"/>
        <v>SPS1</v>
      </c>
      <c r="C1289" s="5" t="str">
        <f t="shared" si="1407"/>
        <v>CH</v>
      </c>
      <c r="D1289" t="s">
        <v>1204</v>
      </c>
      <c r="E1289" t="str">
        <f t="shared" si="1408"/>
        <v>km/MJ</v>
      </c>
      <c r="F1289" s="1">
        <f t="shared" si="1434"/>
        <v>0.60449563359483593</v>
      </c>
      <c r="G1289" s="1">
        <f t="shared" si="1434"/>
        <v>0.60446029176260085</v>
      </c>
      <c r="H1289" s="1">
        <f t="shared" si="1434"/>
        <v>0.58956820758193151</v>
      </c>
      <c r="I1289" s="1">
        <f t="shared" si="1434"/>
        <v>0.59156316658114871</v>
      </c>
      <c r="J1289" s="1">
        <f t="shared" si="1434"/>
        <v>0.56124206413677746</v>
      </c>
      <c r="K1289" s="1">
        <f t="shared" si="1434"/>
        <v>0.55282384554035402</v>
      </c>
      <c r="L1289" s="1" t="str">
        <f t="shared" ref="L1289:O1289" si="1443">IFERROR(L1238/L1169,"-")</f>
        <v>-</v>
      </c>
      <c r="M1289" s="1" t="str">
        <f t="shared" si="1443"/>
        <v>-</v>
      </c>
      <c r="N1289" s="1" t="str">
        <f t="shared" si="1443"/>
        <v>-</v>
      </c>
      <c r="O1289" s="1" t="str">
        <f t="shared" si="1443"/>
        <v>-</v>
      </c>
      <c r="P1289" s="1" t="str">
        <f t="shared" si="1436"/>
        <v>-</v>
      </c>
      <c r="Q1289" s="1" t="str">
        <f t="shared" si="1436"/>
        <v>-</v>
      </c>
      <c r="S1289" s="3"/>
    </row>
    <row r="1290" spans="2:19" x14ac:dyDescent="0.5">
      <c r="B1290" s="5" t="str">
        <f t="shared" si="1406"/>
        <v>SPS1</v>
      </c>
      <c r="C1290" s="5" t="str">
        <f t="shared" si="1407"/>
        <v>CH</v>
      </c>
      <c r="D1290" t="s">
        <v>1205</v>
      </c>
      <c r="E1290" t="str">
        <f t="shared" si="1408"/>
        <v>km/MJ</v>
      </c>
      <c r="F1290" s="1">
        <f t="shared" si="1434"/>
        <v>0.51524362320938011</v>
      </c>
      <c r="G1290" s="1">
        <f t="shared" si="1434"/>
        <v>0.51602639026258668</v>
      </c>
      <c r="H1290" s="1">
        <f t="shared" si="1434"/>
        <v>0.49971502061622131</v>
      </c>
      <c r="I1290" s="1">
        <f t="shared" si="1434"/>
        <v>0.50107974742880146</v>
      </c>
      <c r="J1290" s="1">
        <f t="shared" si="1434"/>
        <v>0.48490761125408993</v>
      </c>
      <c r="K1290" s="1">
        <f t="shared" si="1434"/>
        <v>0.48221029015083611</v>
      </c>
      <c r="L1290" s="1" t="str">
        <f t="shared" ref="L1290:O1290" si="1444">IFERROR(L1239/L1170,"-")</f>
        <v>-</v>
      </c>
      <c r="M1290" s="1" t="str">
        <f t="shared" si="1444"/>
        <v>-</v>
      </c>
      <c r="N1290" s="1" t="str">
        <f t="shared" si="1444"/>
        <v>-</v>
      </c>
      <c r="O1290" s="1" t="str">
        <f t="shared" si="1444"/>
        <v>-</v>
      </c>
      <c r="P1290" s="1" t="str">
        <f t="shared" si="1436"/>
        <v>-</v>
      </c>
      <c r="Q1290" s="1" t="str">
        <f t="shared" si="1436"/>
        <v>-</v>
      </c>
      <c r="S1290" s="3"/>
    </row>
    <row r="1291" spans="2:19" x14ac:dyDescent="0.5">
      <c r="B1291" s="5" t="str">
        <f t="shared" si="1406"/>
        <v>SPS1</v>
      </c>
      <c r="C1291" s="5" t="str">
        <f t="shared" si="1407"/>
        <v>CH</v>
      </c>
      <c r="D1291" t="s">
        <v>1206</v>
      </c>
      <c r="E1291" t="str">
        <f t="shared" si="1408"/>
        <v>km/MJ</v>
      </c>
      <c r="F1291" s="1">
        <f t="shared" si="1434"/>
        <v>0.43943426438265759</v>
      </c>
      <c r="G1291" s="1">
        <f t="shared" si="1434"/>
        <v>0.43330136922907581</v>
      </c>
      <c r="H1291" s="1">
        <f t="shared" si="1434"/>
        <v>0.43386334139122151</v>
      </c>
      <c r="I1291" s="1">
        <f t="shared" si="1434"/>
        <v>0.43717541768011087</v>
      </c>
      <c r="J1291" s="1">
        <f t="shared" si="1434"/>
        <v>0.43410806650266104</v>
      </c>
      <c r="K1291" s="1">
        <f t="shared" si="1434"/>
        <v>0.43447061242037771</v>
      </c>
      <c r="L1291" s="1" t="str">
        <f t="shared" ref="L1291:O1291" si="1445">IFERROR(L1240/L1171,"-")</f>
        <v>-</v>
      </c>
      <c r="M1291" s="1" t="str">
        <f t="shared" si="1445"/>
        <v>-</v>
      </c>
      <c r="N1291" s="1" t="str">
        <f t="shared" si="1445"/>
        <v>-</v>
      </c>
      <c r="O1291" s="1" t="str">
        <f t="shared" si="1445"/>
        <v>-</v>
      </c>
      <c r="P1291" s="1" t="str">
        <f t="shared" si="1436"/>
        <v>-</v>
      </c>
      <c r="Q1291" s="1" t="str">
        <f t="shared" si="1436"/>
        <v>-</v>
      </c>
      <c r="S1291" s="3"/>
    </row>
    <row r="1292" spans="2:19" x14ac:dyDescent="0.5">
      <c r="B1292" s="5" t="str">
        <f t="shared" si="1406"/>
        <v>SPS1</v>
      </c>
      <c r="C1292" s="5" t="str">
        <f t="shared" si="1407"/>
        <v>CH</v>
      </c>
      <c r="D1292" t="s">
        <v>1207</v>
      </c>
      <c r="E1292" t="str">
        <f t="shared" si="1408"/>
        <v>km/MJ</v>
      </c>
      <c r="F1292" s="1" t="str">
        <f t="shared" si="1434"/>
        <v>-</v>
      </c>
      <c r="G1292" s="1">
        <f t="shared" si="1434"/>
        <v>0.51837627625535199</v>
      </c>
      <c r="H1292" s="1">
        <f t="shared" si="1434"/>
        <v>0.53712589483120521</v>
      </c>
      <c r="I1292" s="1">
        <f t="shared" si="1434"/>
        <v>0.59219896587511878</v>
      </c>
      <c r="J1292" s="1">
        <f t="shared" si="1434"/>
        <v>0.59508236365383604</v>
      </c>
      <c r="K1292" s="1">
        <f t="shared" si="1434"/>
        <v>0.60390504794788957</v>
      </c>
      <c r="L1292" s="1" t="str">
        <f t="shared" ref="L1292:O1292" si="1446">IFERROR(L1241/L1172,"-")</f>
        <v>-</v>
      </c>
      <c r="M1292" s="1" t="str">
        <f t="shared" si="1446"/>
        <v>-</v>
      </c>
      <c r="N1292" s="1" t="str">
        <f t="shared" si="1446"/>
        <v>-</v>
      </c>
      <c r="O1292" s="1" t="str">
        <f t="shared" si="1446"/>
        <v>-</v>
      </c>
      <c r="P1292" s="1" t="str">
        <f t="shared" si="1436"/>
        <v>-</v>
      </c>
      <c r="Q1292" s="1" t="str">
        <f t="shared" si="1436"/>
        <v>-</v>
      </c>
      <c r="S1292" s="3"/>
    </row>
    <row r="1293" spans="2:19" x14ac:dyDescent="0.5">
      <c r="B1293" s="5" t="str">
        <f t="shared" si="1406"/>
        <v>SPS1</v>
      </c>
      <c r="C1293" s="5" t="str">
        <f t="shared" si="1407"/>
        <v>CH</v>
      </c>
      <c r="D1293" t="s">
        <v>1208</v>
      </c>
      <c r="E1293" t="str">
        <f t="shared" si="1408"/>
        <v>km/MJ</v>
      </c>
      <c r="F1293" s="1" t="str">
        <f t="shared" si="1434"/>
        <v>-</v>
      </c>
      <c r="G1293" s="1">
        <f t="shared" si="1434"/>
        <v>0.41733711223534981</v>
      </c>
      <c r="H1293" s="1">
        <f t="shared" si="1434"/>
        <v>0.43506306873604511</v>
      </c>
      <c r="I1293" s="1">
        <f t="shared" si="1434"/>
        <v>0.47810548657796309</v>
      </c>
      <c r="J1293" s="1">
        <f t="shared" si="1434"/>
        <v>0.48064137984505428</v>
      </c>
      <c r="K1293" s="1">
        <f t="shared" si="1434"/>
        <v>0.48912139489365913</v>
      </c>
      <c r="L1293" s="1" t="str">
        <f t="shared" ref="L1293:O1293" si="1447">IFERROR(L1242/L1173,"-")</f>
        <v>-</v>
      </c>
      <c r="M1293" s="1" t="str">
        <f t="shared" si="1447"/>
        <v>-</v>
      </c>
      <c r="N1293" s="1" t="str">
        <f t="shared" si="1447"/>
        <v>-</v>
      </c>
      <c r="O1293" s="1" t="str">
        <f t="shared" si="1447"/>
        <v>-</v>
      </c>
      <c r="P1293" s="1" t="str">
        <f t="shared" si="1436"/>
        <v>-</v>
      </c>
      <c r="Q1293" s="1" t="str">
        <f t="shared" si="1436"/>
        <v>-</v>
      </c>
      <c r="S1293" s="3"/>
    </row>
    <row r="1294" spans="2:19" x14ac:dyDescent="0.5">
      <c r="B1294" s="5" t="str">
        <f t="shared" si="1406"/>
        <v>SPS1</v>
      </c>
      <c r="C1294" s="5" t="str">
        <f t="shared" si="1407"/>
        <v>CH</v>
      </c>
      <c r="D1294" t="s">
        <v>1209</v>
      </c>
      <c r="E1294" t="str">
        <f t="shared" si="1408"/>
        <v>km/MJ</v>
      </c>
      <c r="F1294" s="1" t="str">
        <f t="shared" si="1434"/>
        <v>-</v>
      </c>
      <c r="G1294" s="1">
        <f t="shared" si="1434"/>
        <v>0.38796990995538677</v>
      </c>
      <c r="H1294" s="1">
        <f t="shared" si="1434"/>
        <v>0.40464979288631586</v>
      </c>
      <c r="I1294" s="1">
        <f t="shared" si="1434"/>
        <v>0.43938059714477479</v>
      </c>
      <c r="J1294" s="1">
        <f t="shared" si="1434"/>
        <v>0.44266457733236542</v>
      </c>
      <c r="K1294" s="1">
        <f t="shared" si="1434"/>
        <v>0.45312293878680265</v>
      </c>
      <c r="L1294" s="1" t="str">
        <f t="shared" ref="L1294:O1294" si="1448">IFERROR(L1243/L1174,"-")</f>
        <v>-</v>
      </c>
      <c r="M1294" s="1" t="str">
        <f t="shared" si="1448"/>
        <v>-</v>
      </c>
      <c r="N1294" s="1" t="str">
        <f t="shared" si="1448"/>
        <v>-</v>
      </c>
      <c r="O1294" s="1" t="str">
        <f t="shared" si="1448"/>
        <v>-</v>
      </c>
      <c r="P1294" s="1" t="str">
        <f t="shared" si="1436"/>
        <v>-</v>
      </c>
      <c r="Q1294" s="1" t="str">
        <f t="shared" si="1436"/>
        <v>-</v>
      </c>
      <c r="S1294" s="3"/>
    </row>
    <row r="1295" spans="2:19" x14ac:dyDescent="0.5">
      <c r="B1295" s="5" t="str">
        <f t="shared" si="1406"/>
        <v>SPS1</v>
      </c>
      <c r="C1295" s="5" t="str">
        <f t="shared" si="1407"/>
        <v>CH</v>
      </c>
      <c r="D1295" t="s">
        <v>1210</v>
      </c>
      <c r="E1295" t="str">
        <f t="shared" si="1408"/>
        <v>km/MJ</v>
      </c>
      <c r="F1295" s="1" t="str">
        <f t="shared" si="1434"/>
        <v>-</v>
      </c>
      <c r="G1295" s="1">
        <f t="shared" si="1434"/>
        <v>0.39332458747711457</v>
      </c>
      <c r="H1295" s="1">
        <f t="shared" si="1434"/>
        <v>0.4102171807453362</v>
      </c>
      <c r="I1295" s="1">
        <f t="shared" si="1434"/>
        <v>0.45056226192028731</v>
      </c>
      <c r="J1295" s="1">
        <f t="shared" si="1434"/>
        <v>0.45276271644162142</v>
      </c>
      <c r="K1295" s="1">
        <f t="shared" si="1434"/>
        <v>0.45991403879392245</v>
      </c>
      <c r="L1295" s="1" t="str">
        <f t="shared" ref="L1295:O1295" si="1449">IFERROR(L1244/L1175,"-")</f>
        <v>-</v>
      </c>
      <c r="M1295" s="1" t="str">
        <f t="shared" si="1449"/>
        <v>-</v>
      </c>
      <c r="N1295" s="1" t="str">
        <f t="shared" si="1449"/>
        <v>-</v>
      </c>
      <c r="O1295" s="1" t="str">
        <f t="shared" si="1449"/>
        <v>-</v>
      </c>
      <c r="P1295" s="1" t="str">
        <f t="shared" si="1436"/>
        <v>-</v>
      </c>
      <c r="Q1295" s="1" t="str">
        <f t="shared" si="1436"/>
        <v>-</v>
      </c>
      <c r="S1295" s="3"/>
    </row>
    <row r="1296" spans="2:19" x14ac:dyDescent="0.5">
      <c r="B1296" s="5" t="str">
        <f t="shared" si="1406"/>
        <v>SPS1</v>
      </c>
      <c r="C1296" s="5" t="str">
        <f t="shared" si="1407"/>
        <v>CH</v>
      </c>
      <c r="D1296" t="s">
        <v>1234</v>
      </c>
      <c r="E1296" t="str">
        <f t="shared" si="1408"/>
        <v>km/MJ</v>
      </c>
      <c r="F1296" s="1" t="str">
        <f t="shared" ref="F1296:K1309" si="1450">IFERROR(F1245/F1185,"-")</f>
        <v>-</v>
      </c>
      <c r="G1296" s="1" t="str">
        <f t="shared" si="1450"/>
        <v>-</v>
      </c>
      <c r="H1296" s="1" t="str">
        <f t="shared" si="1450"/>
        <v>-</v>
      </c>
      <c r="I1296" s="1" t="str">
        <f t="shared" si="1450"/>
        <v>-</v>
      </c>
      <c r="J1296" s="1" t="str">
        <f t="shared" si="1450"/>
        <v>-</v>
      </c>
      <c r="K1296" s="1" t="str">
        <f t="shared" si="1450"/>
        <v>-</v>
      </c>
      <c r="L1296" s="1" t="str">
        <f t="shared" ref="L1296:O1296" si="1451">IFERROR(L1245/L1185,"-")</f>
        <v>-</v>
      </c>
      <c r="M1296" s="1" t="str">
        <f t="shared" si="1451"/>
        <v>-</v>
      </c>
      <c r="N1296" s="1" t="str">
        <f t="shared" si="1451"/>
        <v>-</v>
      </c>
      <c r="O1296" s="1" t="str">
        <f t="shared" si="1451"/>
        <v>-</v>
      </c>
      <c r="P1296" s="1" t="str">
        <f t="shared" ref="P1296:Q1314" si="1452">IFERROR(P1245/P1185,"-")</f>
        <v>-</v>
      </c>
      <c r="Q1296" s="1" t="str">
        <f t="shared" si="1452"/>
        <v>-</v>
      </c>
      <c r="S1296" s="3"/>
    </row>
    <row r="1297" spans="2:19" x14ac:dyDescent="0.5">
      <c r="B1297" s="5" t="str">
        <f t="shared" si="1406"/>
        <v>SPS1</v>
      </c>
      <c r="C1297" s="5" t="str">
        <f t="shared" si="1407"/>
        <v>CH</v>
      </c>
      <c r="D1297" t="s">
        <v>1211</v>
      </c>
      <c r="E1297" t="str">
        <f t="shared" si="1408"/>
        <v>km/MJ</v>
      </c>
      <c r="F1297" s="1">
        <f t="shared" si="1450"/>
        <v>0.41824117647058817</v>
      </c>
      <c r="G1297" s="1">
        <f t="shared" si="1450"/>
        <v>1.4917283105250245</v>
      </c>
      <c r="H1297" s="1">
        <f t="shared" si="1450"/>
        <v>1.4483994819142638</v>
      </c>
      <c r="I1297" s="1">
        <f t="shared" si="1450"/>
        <v>1.0086470507412371</v>
      </c>
      <c r="J1297" s="1">
        <f t="shared" si="1450"/>
        <v>0.98043597164165364</v>
      </c>
      <c r="K1297" s="1">
        <f t="shared" si="1450"/>
        <v>0.90453193493406381</v>
      </c>
      <c r="L1297" s="1" t="str">
        <f t="shared" ref="L1297:O1297" si="1453">IFERROR(L1246/L1186,"-")</f>
        <v>-</v>
      </c>
      <c r="M1297" s="1" t="str">
        <f t="shared" si="1453"/>
        <v>-</v>
      </c>
      <c r="N1297" s="1" t="str">
        <f t="shared" si="1453"/>
        <v>-</v>
      </c>
      <c r="O1297" s="1" t="str">
        <f t="shared" si="1453"/>
        <v>-</v>
      </c>
      <c r="P1297" s="1" t="str">
        <f t="shared" si="1452"/>
        <v>-</v>
      </c>
      <c r="Q1297" s="1" t="str">
        <f t="shared" si="1452"/>
        <v>-</v>
      </c>
      <c r="S1297" s="3"/>
    </row>
    <row r="1298" spans="2:19" x14ac:dyDescent="0.5">
      <c r="B1298" s="5" t="str">
        <f t="shared" si="1406"/>
        <v>SPS1</v>
      </c>
      <c r="C1298" s="5" t="str">
        <f t="shared" si="1407"/>
        <v>CH</v>
      </c>
      <c r="D1298" t="s">
        <v>1212</v>
      </c>
      <c r="E1298" t="str">
        <f t="shared" si="1408"/>
        <v>km/MJ</v>
      </c>
      <c r="F1298" s="1">
        <f t="shared" si="1450"/>
        <v>1.1921791675079185</v>
      </c>
      <c r="G1298" s="1">
        <f t="shared" si="1450"/>
        <v>2.67876527131286</v>
      </c>
      <c r="H1298" s="1">
        <f t="shared" si="1450"/>
        <v>2.1732779636896482</v>
      </c>
      <c r="I1298" s="1">
        <f t="shared" si="1450"/>
        <v>2.1577837110031846</v>
      </c>
      <c r="J1298" s="1">
        <f t="shared" si="1450"/>
        <v>2.0926147683008383</v>
      </c>
      <c r="K1298" s="1">
        <f t="shared" si="1450"/>
        <v>1.9407589097496305</v>
      </c>
      <c r="L1298" s="1" t="str">
        <f t="shared" ref="L1298:O1298" si="1454">IFERROR(L1247/L1187,"-")</f>
        <v>-</v>
      </c>
      <c r="M1298" s="1" t="str">
        <f t="shared" si="1454"/>
        <v>-</v>
      </c>
      <c r="N1298" s="1" t="str">
        <f t="shared" si="1454"/>
        <v>-</v>
      </c>
      <c r="O1298" s="1" t="str">
        <f t="shared" si="1454"/>
        <v>-</v>
      </c>
      <c r="P1298" s="1" t="str">
        <f t="shared" si="1452"/>
        <v>-</v>
      </c>
      <c r="Q1298" s="1" t="str">
        <f t="shared" si="1452"/>
        <v>-</v>
      </c>
      <c r="S1298" s="3"/>
    </row>
    <row r="1299" spans="2:19" x14ac:dyDescent="0.5">
      <c r="B1299" s="5" t="str">
        <f t="shared" si="1406"/>
        <v>SPS1</v>
      </c>
      <c r="C1299" s="5" t="str">
        <f t="shared" si="1407"/>
        <v>CH</v>
      </c>
      <c r="D1299" t="s">
        <v>1213</v>
      </c>
      <c r="E1299" t="str">
        <f t="shared" si="1408"/>
        <v>km/MJ</v>
      </c>
      <c r="F1299" s="1">
        <f t="shared" si="1450"/>
        <v>0.89912775974781789</v>
      </c>
      <c r="G1299" s="1">
        <f t="shared" si="1450"/>
        <v>1.1976145648053214</v>
      </c>
      <c r="H1299" s="1">
        <f t="shared" si="1450"/>
        <v>1.1939336441420343</v>
      </c>
      <c r="I1299" s="1">
        <f t="shared" si="1450"/>
        <v>1.2585271250191492</v>
      </c>
      <c r="J1299" s="1">
        <f t="shared" si="1450"/>
        <v>1.4155047138913319</v>
      </c>
      <c r="K1299" s="1">
        <f t="shared" si="1450"/>
        <v>0.84746520577970075</v>
      </c>
      <c r="L1299" s="1" t="str">
        <f t="shared" ref="L1299:O1299" si="1455">IFERROR(L1248/L1188,"-")</f>
        <v>-</v>
      </c>
      <c r="M1299" s="1" t="str">
        <f t="shared" si="1455"/>
        <v>-</v>
      </c>
      <c r="N1299" s="1" t="str">
        <f t="shared" si="1455"/>
        <v>-</v>
      </c>
      <c r="O1299" s="1" t="str">
        <f t="shared" si="1455"/>
        <v>-</v>
      </c>
      <c r="P1299" s="1" t="str">
        <f t="shared" si="1452"/>
        <v>-</v>
      </c>
      <c r="Q1299" s="1" t="str">
        <f t="shared" si="1452"/>
        <v>-</v>
      </c>
      <c r="S1299" s="3"/>
    </row>
    <row r="1300" spans="2:19" x14ac:dyDescent="0.5">
      <c r="B1300" s="5" t="str">
        <f t="shared" si="1406"/>
        <v>SPS1</v>
      </c>
      <c r="C1300" s="5" t="str">
        <f t="shared" si="1407"/>
        <v>CH</v>
      </c>
      <c r="D1300" t="s">
        <v>1214</v>
      </c>
      <c r="E1300" t="str">
        <f t="shared" si="1408"/>
        <v>km/MJ</v>
      </c>
      <c r="F1300" s="1">
        <f t="shared" si="1450"/>
        <v>1.3438346343926744</v>
      </c>
      <c r="G1300" s="1">
        <f t="shared" si="1450"/>
        <v>1.578635019460535</v>
      </c>
      <c r="H1300" s="1">
        <f t="shared" si="1450"/>
        <v>1.5804108838163586</v>
      </c>
      <c r="I1300" s="1">
        <f t="shared" si="1450"/>
        <v>1.6046396576203488</v>
      </c>
      <c r="J1300" s="1">
        <f t="shared" si="1450"/>
        <v>1.5353087317532805</v>
      </c>
      <c r="K1300" s="1">
        <f t="shared" si="1450"/>
        <v>0.8371060032530474</v>
      </c>
      <c r="L1300" s="1" t="str">
        <f t="shared" ref="L1300:O1300" si="1456">IFERROR(L1249/L1189,"-")</f>
        <v>-</v>
      </c>
      <c r="M1300" s="1" t="str">
        <f t="shared" si="1456"/>
        <v>-</v>
      </c>
      <c r="N1300" s="1" t="str">
        <f t="shared" si="1456"/>
        <v>-</v>
      </c>
      <c r="O1300" s="1" t="str">
        <f t="shared" si="1456"/>
        <v>-</v>
      </c>
      <c r="P1300" s="1" t="str">
        <f t="shared" si="1452"/>
        <v>-</v>
      </c>
      <c r="Q1300" s="1" t="str">
        <f t="shared" si="1452"/>
        <v>-</v>
      </c>
      <c r="S1300" s="3"/>
    </row>
    <row r="1301" spans="2:19" x14ac:dyDescent="0.5">
      <c r="B1301" s="5" t="str">
        <f t="shared" si="1406"/>
        <v>SPS1</v>
      </c>
      <c r="C1301" s="5" t="str">
        <f t="shared" si="1407"/>
        <v>CH</v>
      </c>
      <c r="D1301" t="s">
        <v>1215</v>
      </c>
      <c r="E1301" t="str">
        <f t="shared" si="1408"/>
        <v>km/MJ</v>
      </c>
      <c r="F1301" s="1">
        <f t="shared" si="1450"/>
        <v>0.33901850024085983</v>
      </c>
      <c r="G1301" s="1">
        <f t="shared" si="1450"/>
        <v>0.35391427166601058</v>
      </c>
      <c r="H1301" s="1">
        <f t="shared" si="1450"/>
        <v>0.37625792880373715</v>
      </c>
      <c r="I1301" s="1">
        <f t="shared" si="1450"/>
        <v>0.41349735736661469</v>
      </c>
      <c r="J1301" s="1" t="str">
        <f t="shared" si="1450"/>
        <v>-</v>
      </c>
      <c r="K1301" s="1" t="str">
        <f t="shared" si="1450"/>
        <v>-</v>
      </c>
      <c r="L1301" s="1" t="str">
        <f t="shared" ref="L1301:O1301" si="1457">IFERROR(L1250/L1190,"-")</f>
        <v>-</v>
      </c>
      <c r="M1301" s="1" t="str">
        <f t="shared" si="1457"/>
        <v>-</v>
      </c>
      <c r="N1301" s="1" t="str">
        <f t="shared" si="1457"/>
        <v>-</v>
      </c>
      <c r="O1301" s="1" t="str">
        <f t="shared" si="1457"/>
        <v>-</v>
      </c>
      <c r="P1301" s="1" t="str">
        <f t="shared" si="1452"/>
        <v>-</v>
      </c>
      <c r="Q1301" s="1" t="str">
        <f t="shared" si="1452"/>
        <v>-</v>
      </c>
      <c r="S1301" s="3"/>
    </row>
    <row r="1302" spans="2:19" x14ac:dyDescent="0.5">
      <c r="B1302" s="5" t="str">
        <f t="shared" si="1406"/>
        <v>SPS1</v>
      </c>
      <c r="C1302" s="5" t="str">
        <f t="shared" si="1407"/>
        <v>CH</v>
      </c>
      <c r="D1302" t="s">
        <v>1216</v>
      </c>
      <c r="E1302" t="str">
        <f t="shared" si="1408"/>
        <v>km/MJ</v>
      </c>
      <c r="F1302" s="1">
        <f t="shared" si="1450"/>
        <v>0.75439010444140397</v>
      </c>
      <c r="G1302" s="1">
        <f t="shared" si="1450"/>
        <v>0.92539545388857436</v>
      </c>
      <c r="H1302" s="1">
        <f t="shared" si="1450"/>
        <v>0.92213170828054813</v>
      </c>
      <c r="I1302" s="1">
        <f t="shared" si="1450"/>
        <v>0.91314173354831141</v>
      </c>
      <c r="J1302" s="1">
        <f t="shared" si="1450"/>
        <v>0.90410510550217937</v>
      </c>
      <c r="K1302" s="1">
        <f t="shared" si="1450"/>
        <v>0.64233964068625982</v>
      </c>
      <c r="L1302" s="1" t="str">
        <f t="shared" ref="L1302:O1302" si="1458">IFERROR(L1251/L1191,"-")</f>
        <v>-</v>
      </c>
      <c r="M1302" s="1" t="str">
        <f t="shared" si="1458"/>
        <v>-</v>
      </c>
      <c r="N1302" s="1" t="str">
        <f t="shared" si="1458"/>
        <v>-</v>
      </c>
      <c r="O1302" s="1" t="str">
        <f t="shared" si="1458"/>
        <v>-</v>
      </c>
      <c r="P1302" s="1" t="str">
        <f t="shared" si="1452"/>
        <v>-</v>
      </c>
      <c r="Q1302" s="1" t="str">
        <f t="shared" si="1452"/>
        <v>-</v>
      </c>
      <c r="S1302" s="3"/>
    </row>
    <row r="1303" spans="2:19" x14ac:dyDescent="0.5">
      <c r="B1303" s="5" t="str">
        <f t="shared" si="1406"/>
        <v>SPS1</v>
      </c>
      <c r="C1303" s="5" t="str">
        <f t="shared" si="1407"/>
        <v>CH</v>
      </c>
      <c r="D1303" t="s">
        <v>1217</v>
      </c>
      <c r="E1303" t="str">
        <f t="shared" si="1408"/>
        <v>km/MJ</v>
      </c>
      <c r="F1303" s="1">
        <f t="shared" si="1450"/>
        <v>0.69642132828460857</v>
      </c>
      <c r="G1303" s="1">
        <f t="shared" si="1450"/>
        <v>0.70382566207192365</v>
      </c>
      <c r="H1303" s="1">
        <f t="shared" si="1450"/>
        <v>0.70288283448249933</v>
      </c>
      <c r="I1303" s="1">
        <f t="shared" si="1450"/>
        <v>0.76200340800639021</v>
      </c>
      <c r="J1303" s="1">
        <f t="shared" si="1450"/>
        <v>0.81140239719690865</v>
      </c>
      <c r="K1303" s="1">
        <f t="shared" si="1450"/>
        <v>0.52710559210775287</v>
      </c>
      <c r="L1303" s="1" t="str">
        <f t="shared" ref="L1303:O1303" si="1459">IFERROR(L1252/L1192,"-")</f>
        <v>-</v>
      </c>
      <c r="M1303" s="1" t="str">
        <f t="shared" si="1459"/>
        <v>-</v>
      </c>
      <c r="N1303" s="1" t="str">
        <f t="shared" si="1459"/>
        <v>-</v>
      </c>
      <c r="O1303" s="1" t="str">
        <f t="shared" si="1459"/>
        <v>-</v>
      </c>
      <c r="P1303" s="1" t="str">
        <f t="shared" si="1452"/>
        <v>-</v>
      </c>
      <c r="Q1303" s="1" t="str">
        <f t="shared" si="1452"/>
        <v>-</v>
      </c>
      <c r="S1303" s="3"/>
    </row>
    <row r="1304" spans="2:19" x14ac:dyDescent="0.5">
      <c r="B1304" s="5" t="str">
        <f t="shared" si="1406"/>
        <v>SPS1</v>
      </c>
      <c r="C1304" s="5" t="str">
        <f t="shared" si="1407"/>
        <v>CH</v>
      </c>
      <c r="D1304" t="s">
        <v>1218</v>
      </c>
      <c r="E1304" t="str">
        <f t="shared" si="1408"/>
        <v>km/MJ</v>
      </c>
      <c r="F1304" s="1">
        <f t="shared" si="1450"/>
        <v>0.5280825277310327</v>
      </c>
      <c r="G1304" s="1">
        <f t="shared" si="1450"/>
        <v>0.53242837232049278</v>
      </c>
      <c r="H1304" s="1">
        <f t="shared" si="1450"/>
        <v>0.53196603085837013</v>
      </c>
      <c r="I1304" s="1">
        <f t="shared" si="1450"/>
        <v>0.54121076461963868</v>
      </c>
      <c r="J1304" s="1">
        <f t="shared" si="1450"/>
        <v>0.59046332493680564</v>
      </c>
      <c r="K1304" s="1">
        <f t="shared" si="1450"/>
        <v>0.47582570170954663</v>
      </c>
      <c r="L1304" s="1" t="str">
        <f t="shared" ref="L1304:O1304" si="1460">IFERROR(L1253/L1193,"-")</f>
        <v>-</v>
      </c>
      <c r="M1304" s="1" t="str">
        <f t="shared" si="1460"/>
        <v>-</v>
      </c>
      <c r="N1304" s="1" t="str">
        <f t="shared" si="1460"/>
        <v>-</v>
      </c>
      <c r="O1304" s="1" t="str">
        <f t="shared" si="1460"/>
        <v>-</v>
      </c>
      <c r="P1304" s="1" t="str">
        <f t="shared" si="1452"/>
        <v>-</v>
      </c>
      <c r="Q1304" s="1" t="str">
        <f t="shared" si="1452"/>
        <v>-</v>
      </c>
      <c r="S1304" s="3"/>
    </row>
    <row r="1305" spans="2:19" x14ac:dyDescent="0.5">
      <c r="B1305" s="5" t="str">
        <f t="shared" si="1406"/>
        <v>SPS1</v>
      </c>
      <c r="C1305" s="5" t="str">
        <f t="shared" si="1407"/>
        <v>CH</v>
      </c>
      <c r="D1305" t="s">
        <v>1219</v>
      </c>
      <c r="E1305" t="str">
        <f t="shared" si="1408"/>
        <v>km/MJ</v>
      </c>
      <c r="F1305" s="1">
        <f t="shared" si="1450"/>
        <v>0.46609197113013684</v>
      </c>
      <c r="G1305" s="1">
        <f t="shared" si="1450"/>
        <v>0.45575055281600174</v>
      </c>
      <c r="H1305" s="1">
        <f t="shared" si="1450"/>
        <v>0.45674021539561632</v>
      </c>
      <c r="I1305" s="1">
        <f t="shared" si="1450"/>
        <v>0.46327845254001604</v>
      </c>
      <c r="J1305" s="1">
        <f t="shared" si="1450"/>
        <v>0.39112166781562746</v>
      </c>
      <c r="K1305" s="1">
        <f t="shared" si="1450"/>
        <v>0.42422691349524227</v>
      </c>
      <c r="L1305" s="1" t="str">
        <f t="shared" ref="L1305:O1305" si="1461">IFERROR(L1254/L1194,"-")</f>
        <v>-</v>
      </c>
      <c r="M1305" s="1" t="str">
        <f t="shared" si="1461"/>
        <v>-</v>
      </c>
      <c r="N1305" s="1" t="str">
        <f t="shared" si="1461"/>
        <v>-</v>
      </c>
      <c r="O1305" s="1" t="str">
        <f t="shared" si="1461"/>
        <v>-</v>
      </c>
      <c r="P1305" s="1" t="str">
        <f t="shared" si="1452"/>
        <v>-</v>
      </c>
      <c r="Q1305" s="1" t="str">
        <f t="shared" si="1452"/>
        <v>-</v>
      </c>
      <c r="S1305" s="3"/>
    </row>
    <row r="1306" spans="2:19" x14ac:dyDescent="0.5">
      <c r="B1306" s="5" t="str">
        <f t="shared" si="1406"/>
        <v>SPS1</v>
      </c>
      <c r="C1306" s="5" t="str">
        <f t="shared" si="1407"/>
        <v>CH</v>
      </c>
      <c r="D1306" t="s">
        <v>1220</v>
      </c>
      <c r="E1306" t="str">
        <f t="shared" si="1408"/>
        <v>km/MJ</v>
      </c>
      <c r="F1306" s="1" t="str">
        <f t="shared" si="1450"/>
        <v>-</v>
      </c>
      <c r="G1306" s="1">
        <f t="shared" si="1450"/>
        <v>0.56203544748554601</v>
      </c>
      <c r="H1306" s="1">
        <f t="shared" si="1450"/>
        <v>0.57780501505898063</v>
      </c>
      <c r="I1306" s="1">
        <f t="shared" si="1450"/>
        <v>0.63058835887973841</v>
      </c>
      <c r="J1306" s="1">
        <f t="shared" si="1450"/>
        <v>0.63260526768726111</v>
      </c>
      <c r="K1306" s="1">
        <f t="shared" si="1450"/>
        <v>0.63898010316904175</v>
      </c>
      <c r="L1306" s="1" t="str">
        <f t="shared" ref="L1306:O1306" si="1462">IFERROR(L1255/L1195,"-")</f>
        <v>-</v>
      </c>
      <c r="M1306" s="1" t="str">
        <f t="shared" si="1462"/>
        <v>-</v>
      </c>
      <c r="N1306" s="1" t="str">
        <f t="shared" si="1462"/>
        <v>-</v>
      </c>
      <c r="O1306" s="1" t="str">
        <f t="shared" si="1462"/>
        <v>-</v>
      </c>
      <c r="P1306" s="1" t="str">
        <f t="shared" si="1452"/>
        <v>-</v>
      </c>
      <c r="Q1306" s="1" t="str">
        <f t="shared" si="1452"/>
        <v>-</v>
      </c>
      <c r="S1306" s="3"/>
    </row>
    <row r="1307" spans="2:19" x14ac:dyDescent="0.5">
      <c r="B1307" s="5" t="str">
        <f t="shared" si="1406"/>
        <v>SPS1</v>
      </c>
      <c r="C1307" s="5" t="str">
        <f t="shared" si="1407"/>
        <v>CH</v>
      </c>
      <c r="D1307" t="s">
        <v>1221</v>
      </c>
      <c r="E1307" t="str">
        <f t="shared" si="1408"/>
        <v>km/MJ</v>
      </c>
      <c r="F1307" s="1" t="str">
        <f t="shared" si="1450"/>
        <v>-</v>
      </c>
      <c r="G1307" s="1">
        <f t="shared" si="1450"/>
        <v>0.45210145766281423</v>
      </c>
      <c r="H1307" s="1">
        <f t="shared" si="1450"/>
        <v>0.4671894336512924</v>
      </c>
      <c r="I1307" s="1">
        <f t="shared" si="1450"/>
        <v>0.50665871659349682</v>
      </c>
      <c r="J1307" s="1">
        <f t="shared" si="1450"/>
        <v>0.50887625125457681</v>
      </c>
      <c r="K1307" s="1">
        <f t="shared" si="1450"/>
        <v>0.51636945802694612</v>
      </c>
      <c r="L1307" s="1" t="str">
        <f t="shared" ref="L1307:O1307" si="1463">IFERROR(L1256/L1196,"-")</f>
        <v>-</v>
      </c>
      <c r="M1307" s="1" t="str">
        <f t="shared" si="1463"/>
        <v>-</v>
      </c>
      <c r="N1307" s="1" t="str">
        <f t="shared" si="1463"/>
        <v>-</v>
      </c>
      <c r="O1307" s="1" t="str">
        <f t="shared" si="1463"/>
        <v>-</v>
      </c>
      <c r="P1307" s="1" t="str">
        <f t="shared" si="1452"/>
        <v>-</v>
      </c>
      <c r="Q1307" s="1" t="str">
        <f t="shared" si="1452"/>
        <v>-</v>
      </c>
      <c r="S1307" s="3"/>
    </row>
    <row r="1308" spans="2:19" x14ac:dyDescent="0.5">
      <c r="B1308" s="5" t="str">
        <f t="shared" si="1406"/>
        <v>SPS1</v>
      </c>
      <c r="C1308" s="5" t="str">
        <f t="shared" si="1407"/>
        <v>CH</v>
      </c>
      <c r="D1308" t="s">
        <v>1222</v>
      </c>
      <c r="E1308" t="str">
        <f t="shared" si="1408"/>
        <v>km/MJ</v>
      </c>
      <c r="F1308" s="1" t="str">
        <f t="shared" si="1450"/>
        <v>-</v>
      </c>
      <c r="G1308" s="1">
        <f t="shared" si="1450"/>
        <v>0.42028149632876866</v>
      </c>
      <c r="H1308" s="1">
        <f t="shared" si="1450"/>
        <v>0.43446091272762449</v>
      </c>
      <c r="I1308" s="1">
        <f t="shared" si="1450"/>
        <v>0.46608283852253707</v>
      </c>
      <c r="J1308" s="1">
        <f t="shared" si="1450"/>
        <v>0.46909749479839696</v>
      </c>
      <c r="K1308" s="1">
        <f t="shared" si="1450"/>
        <v>0.47858994350460415</v>
      </c>
      <c r="L1308" s="1" t="str">
        <f t="shared" ref="L1308:O1308" si="1464">IFERROR(L1257/L1197,"-")</f>
        <v>-</v>
      </c>
      <c r="M1308" s="1" t="str">
        <f t="shared" si="1464"/>
        <v>-</v>
      </c>
      <c r="N1308" s="1" t="str">
        <f t="shared" si="1464"/>
        <v>-</v>
      </c>
      <c r="O1308" s="1" t="str">
        <f t="shared" si="1464"/>
        <v>-</v>
      </c>
      <c r="P1308" s="1" t="str">
        <f t="shared" si="1452"/>
        <v>-</v>
      </c>
      <c r="Q1308" s="1" t="str">
        <f t="shared" si="1452"/>
        <v>-</v>
      </c>
      <c r="S1308" s="3"/>
    </row>
    <row r="1309" spans="2:19" x14ac:dyDescent="0.5">
      <c r="B1309" s="5" t="str">
        <f t="shared" si="1406"/>
        <v>SPS1</v>
      </c>
      <c r="C1309" s="5" t="str">
        <f t="shared" si="1407"/>
        <v>CH</v>
      </c>
      <c r="D1309" t="s">
        <v>1223</v>
      </c>
      <c r="E1309" t="str">
        <f t="shared" si="1408"/>
        <v>km/MJ</v>
      </c>
      <c r="F1309" s="1" t="str">
        <f t="shared" si="1450"/>
        <v>-</v>
      </c>
      <c r="G1309" s="1">
        <f t="shared" si="1450"/>
        <v>0.39943403925494775</v>
      </c>
      <c r="H1309" s="1">
        <f t="shared" si="1450"/>
        <v>0.41231256655810861</v>
      </c>
      <c r="I1309" s="1">
        <f t="shared" si="1450"/>
        <v>0.44088599048379723</v>
      </c>
      <c r="J1309" s="1">
        <f t="shared" si="1450"/>
        <v>0.44347319944126734</v>
      </c>
      <c r="K1309" s="1">
        <f t="shared" si="1450"/>
        <v>0.45265820557891928</v>
      </c>
      <c r="L1309" s="1" t="str">
        <f t="shared" ref="L1309:O1309" si="1465">IFERROR(L1258/L1198,"-")</f>
        <v>-</v>
      </c>
      <c r="M1309" s="1" t="str">
        <f t="shared" si="1465"/>
        <v>-</v>
      </c>
      <c r="N1309" s="1" t="str">
        <f t="shared" si="1465"/>
        <v>-</v>
      </c>
      <c r="O1309" s="1" t="str">
        <f t="shared" si="1465"/>
        <v>-</v>
      </c>
      <c r="P1309" s="1" t="str">
        <f t="shared" si="1452"/>
        <v>-</v>
      </c>
      <c r="Q1309" s="1" t="str">
        <f t="shared" si="1452"/>
        <v>-</v>
      </c>
      <c r="S1309" s="3"/>
    </row>
    <row r="1310" spans="2:19" x14ac:dyDescent="0.5">
      <c r="B1310" s="5" t="str">
        <f t="shared" si="1406"/>
        <v>SPS1</v>
      </c>
      <c r="C1310" s="5" t="str">
        <f t="shared" si="1407"/>
        <v>CH</v>
      </c>
      <c r="D1310" t="s">
        <v>1224</v>
      </c>
      <c r="E1310" t="str">
        <f t="shared" si="1408"/>
        <v>km/MJ</v>
      </c>
      <c r="F1310" s="1" t="str">
        <f>IFERROR(F1259/F1208,"-")</f>
        <v>-</v>
      </c>
      <c r="G1310" s="1">
        <f t="shared" ref="G1310:K1314" si="1466">IFERROR(G1259/G1199,"-")</f>
        <v>0</v>
      </c>
      <c r="H1310" s="1">
        <f t="shared" si="1466"/>
        <v>0</v>
      </c>
      <c r="I1310" s="1">
        <f t="shared" si="1466"/>
        <v>0</v>
      </c>
      <c r="J1310" s="1">
        <f t="shared" si="1466"/>
        <v>0</v>
      </c>
      <c r="K1310" s="1">
        <f t="shared" si="1466"/>
        <v>0</v>
      </c>
      <c r="L1310" s="1">
        <f t="shared" ref="L1310:O1310" si="1467">IFERROR(L1259/L1199,"-")</f>
        <v>0</v>
      </c>
      <c r="M1310" s="1">
        <f t="shared" si="1467"/>
        <v>0</v>
      </c>
      <c r="N1310" s="1">
        <f t="shared" si="1467"/>
        <v>0</v>
      </c>
      <c r="O1310" s="1">
        <f t="shared" si="1467"/>
        <v>0</v>
      </c>
      <c r="P1310" s="1">
        <f t="shared" si="1452"/>
        <v>0</v>
      </c>
      <c r="Q1310" s="1">
        <f t="shared" si="1452"/>
        <v>0</v>
      </c>
      <c r="S1310" s="3"/>
    </row>
    <row r="1311" spans="2:19" x14ac:dyDescent="0.5">
      <c r="B1311" s="5" t="str">
        <f t="shared" si="1406"/>
        <v>SPS1</v>
      </c>
      <c r="C1311" s="5" t="str">
        <f t="shared" si="1407"/>
        <v>CH</v>
      </c>
      <c r="D1311" t="s">
        <v>1225</v>
      </c>
      <c r="E1311" t="str">
        <f t="shared" si="1408"/>
        <v>km/MJ</v>
      </c>
      <c r="F1311" s="1">
        <f>IFERROR(F1260/F1209,"-")</f>
        <v>0.61685351711493253</v>
      </c>
      <c r="G1311" s="1">
        <f t="shared" si="1466"/>
        <v>0.63770273116026066</v>
      </c>
      <c r="H1311" s="1">
        <f t="shared" si="1466"/>
        <v>0.5725863853093589</v>
      </c>
      <c r="I1311" s="1">
        <f t="shared" si="1466"/>
        <v>1.2941694939441295E-4</v>
      </c>
      <c r="J1311" s="1">
        <f t="shared" si="1466"/>
        <v>9.6770276671839488E-5</v>
      </c>
      <c r="K1311" s="1">
        <f t="shared" si="1466"/>
        <v>7.514247173102392E-5</v>
      </c>
      <c r="L1311" s="1">
        <f t="shared" ref="L1311:O1311" si="1468">IFERROR(L1260/L1200,"-")</f>
        <v>0</v>
      </c>
      <c r="M1311" s="1">
        <f t="shared" si="1468"/>
        <v>0</v>
      </c>
      <c r="N1311" s="1">
        <f t="shared" si="1468"/>
        <v>0</v>
      </c>
      <c r="O1311" s="1">
        <f t="shared" si="1468"/>
        <v>0</v>
      </c>
      <c r="P1311" s="1">
        <f t="shared" si="1452"/>
        <v>0</v>
      </c>
      <c r="Q1311" s="1">
        <f t="shared" si="1452"/>
        <v>0</v>
      </c>
      <c r="S1311" s="3"/>
    </row>
    <row r="1312" spans="2:19" x14ac:dyDescent="0.5">
      <c r="B1312" s="5" t="str">
        <f t="shared" si="1406"/>
        <v>SPS1</v>
      </c>
      <c r="C1312" s="5" t="str">
        <f t="shared" si="1407"/>
        <v>CH</v>
      </c>
      <c r="D1312" t="s">
        <v>1226</v>
      </c>
      <c r="E1312" t="str">
        <f t="shared" si="1408"/>
        <v>km/MJ</v>
      </c>
      <c r="F1312" s="1">
        <f>IFERROR(F1261/F1210,"-")</f>
        <v>0.63171475789598197</v>
      </c>
      <c r="G1312" s="1">
        <f t="shared" si="1466"/>
        <v>5.3595816954973424E-2</v>
      </c>
      <c r="H1312" s="1">
        <f t="shared" si="1466"/>
        <v>2.6112529093002483E-2</v>
      </c>
      <c r="I1312" s="1">
        <f t="shared" si="1466"/>
        <v>2.1616776524739295E-4</v>
      </c>
      <c r="J1312" s="1">
        <f t="shared" si="1466"/>
        <v>2.3926231385390653E-5</v>
      </c>
      <c r="K1312" s="1">
        <f t="shared" si="1466"/>
        <v>1.5033343942983049E-5</v>
      </c>
      <c r="L1312" s="1">
        <f t="shared" ref="L1312:O1312" si="1469">IFERROR(L1261/L1201,"-")</f>
        <v>0</v>
      </c>
      <c r="M1312" s="1">
        <f t="shared" si="1469"/>
        <v>0</v>
      </c>
      <c r="N1312" s="1">
        <f t="shared" si="1469"/>
        <v>0</v>
      </c>
      <c r="O1312" s="1">
        <f t="shared" si="1469"/>
        <v>0</v>
      </c>
      <c r="P1312" s="1">
        <f t="shared" si="1452"/>
        <v>0</v>
      </c>
      <c r="Q1312" s="1">
        <f t="shared" si="1452"/>
        <v>0</v>
      </c>
      <c r="S1312" s="3"/>
    </row>
    <row r="1313" spans="2:19" x14ac:dyDescent="0.5">
      <c r="B1313" s="5" t="str">
        <f t="shared" si="1406"/>
        <v>SPS1</v>
      </c>
      <c r="C1313" s="5" t="str">
        <f t="shared" si="1407"/>
        <v>CH</v>
      </c>
      <c r="D1313" t="s">
        <v>1227</v>
      </c>
      <c r="E1313" t="str">
        <f t="shared" si="1408"/>
        <v>km/MJ</v>
      </c>
      <c r="F1313" s="1">
        <f>IFERROR(F1262/F1211,"-")</f>
        <v>0.46915603422897573</v>
      </c>
      <c r="G1313" s="1">
        <f t="shared" si="1466"/>
        <v>7.2399868912156856E-2</v>
      </c>
      <c r="H1313" s="1">
        <f t="shared" si="1466"/>
        <v>6.9620898668624878E-2</v>
      </c>
      <c r="I1313" s="1">
        <f t="shared" si="1466"/>
        <v>1.5442781100182294E-4</v>
      </c>
      <c r="J1313" s="1">
        <f t="shared" si="1466"/>
        <v>7.8725438415644733E-5</v>
      </c>
      <c r="K1313" s="1">
        <f t="shared" si="1466"/>
        <v>7.6835101067334845E-5</v>
      </c>
      <c r="L1313" s="1">
        <f t="shared" ref="L1313:O1313" si="1470">IFERROR(L1262/L1202,"-")</f>
        <v>0</v>
      </c>
      <c r="M1313" s="1">
        <f t="shared" si="1470"/>
        <v>0</v>
      </c>
      <c r="N1313" s="1">
        <f t="shared" si="1470"/>
        <v>0</v>
      </c>
      <c r="O1313" s="1">
        <f t="shared" si="1470"/>
        <v>0</v>
      </c>
      <c r="P1313" s="1">
        <f t="shared" si="1452"/>
        <v>0</v>
      </c>
      <c r="Q1313" s="1">
        <f t="shared" si="1452"/>
        <v>0</v>
      </c>
      <c r="S1313" s="3"/>
    </row>
    <row r="1314" spans="2:19" x14ac:dyDescent="0.5">
      <c r="B1314" s="5" t="str">
        <f t="shared" si="1406"/>
        <v>SPS1</v>
      </c>
      <c r="C1314" s="5" t="str">
        <f t="shared" si="1407"/>
        <v>CH</v>
      </c>
      <c r="D1314" t="s">
        <v>1228</v>
      </c>
      <c r="E1314" t="str">
        <f t="shared" si="1408"/>
        <v>km/MJ</v>
      </c>
      <c r="F1314" s="1">
        <f>IFERROR(F1263/F1212,"-")</f>
        <v>0.68274937584338891</v>
      </c>
      <c r="G1314" s="1">
        <f t="shared" si="1466"/>
        <v>0.28909877265944045</v>
      </c>
      <c r="H1314" s="1">
        <f t="shared" si="1466"/>
        <v>0.26598471085403047</v>
      </c>
      <c r="I1314" s="1">
        <f t="shared" si="1466"/>
        <v>7.5180929385925951E-2</v>
      </c>
      <c r="J1314" s="1">
        <f t="shared" si="1466"/>
        <v>0.11778132262062449</v>
      </c>
      <c r="K1314" s="1">
        <f t="shared" si="1466"/>
        <v>0.11803676408571839</v>
      </c>
      <c r="L1314" s="1" t="str">
        <f t="shared" ref="L1314:O1314" si="1471">IFERROR(L1263/L1203,"-")</f>
        <v>-</v>
      </c>
      <c r="M1314" s="1" t="str">
        <f t="shared" si="1471"/>
        <v>-</v>
      </c>
      <c r="N1314" s="1" t="str">
        <f t="shared" si="1471"/>
        <v>-</v>
      </c>
      <c r="O1314" s="1" t="str">
        <f t="shared" si="1471"/>
        <v>-</v>
      </c>
      <c r="P1314" s="1" t="str">
        <f t="shared" si="1452"/>
        <v>-</v>
      </c>
      <c r="Q1314" s="1" t="str">
        <f t="shared" si="1452"/>
        <v>-</v>
      </c>
      <c r="S1314" s="3"/>
    </row>
    <row r="1315" spans="2:19" x14ac:dyDescent="0.5">
      <c r="B1315" s="9" t="str">
        <f t="shared" ref="B1315" si="1472">B1314</f>
        <v>SPS1</v>
      </c>
      <c r="C1315" s="9" t="str">
        <f t="shared" ref="C1315" si="1473">C1314</f>
        <v>CH</v>
      </c>
      <c r="D1315" s="2" t="s">
        <v>1304</v>
      </c>
      <c r="E1315" s="2" t="s">
        <v>8</v>
      </c>
      <c r="F1315" s="3">
        <f>F1316+F1322+F1327+F1341</f>
        <v>0.76021090835925287</v>
      </c>
      <c r="G1315" s="3">
        <f t="shared" ref="G1315:K1315" si="1474">G1316+G1322+G1327+G1341</f>
        <v>1.2986428617778658</v>
      </c>
      <c r="H1315" s="3">
        <f t="shared" si="1474"/>
        <v>0.77691213257990543</v>
      </c>
      <c r="I1315" s="3">
        <f t="shared" si="1474"/>
        <v>1.2786892886772352</v>
      </c>
      <c r="J1315" s="3">
        <f t="shared" si="1474"/>
        <v>1.1939963745603626</v>
      </c>
      <c r="K1315" s="3">
        <f t="shared" si="1474"/>
        <v>1.2102613198325736</v>
      </c>
      <c r="L1315" s="3">
        <f t="shared" ref="L1315:O1315" si="1475">L1316+L1322+L1327+L1341</f>
        <v>1.188772676357698</v>
      </c>
      <c r="M1315" s="3">
        <f t="shared" si="1475"/>
        <v>1.1616612929602921</v>
      </c>
      <c r="N1315" s="3">
        <f t="shared" si="1475"/>
        <v>1.1687045775050162</v>
      </c>
      <c r="O1315" s="3">
        <f t="shared" si="1475"/>
        <v>1.195293810046407</v>
      </c>
      <c r="P1315" s="3">
        <f>P1316+P1322+P1327+P1341</f>
        <v>1.2317790902866264</v>
      </c>
      <c r="Q1315" s="3">
        <f>Q1316+Q1322+Q1327+Q1341</f>
        <v>1.2743208862305713</v>
      </c>
      <c r="S1315" s="3"/>
    </row>
    <row r="1316" spans="2:19" x14ac:dyDescent="0.5">
      <c r="B1316" s="5" t="str">
        <f>B1315</f>
        <v>SPS1</v>
      </c>
      <c r="C1316" s="5" t="str">
        <f>C1315</f>
        <v>CH</v>
      </c>
      <c r="D1316" t="s">
        <v>1306</v>
      </c>
      <c r="E1316" t="s">
        <v>8</v>
      </c>
      <c r="F1316" s="1">
        <f>SUM(F1317:F1321)</f>
        <v>1.2415625719554889E-2</v>
      </c>
      <c r="G1316" s="1">
        <f t="shared" ref="G1316:K1316" si="1476">SUM(G1317:G1321)</f>
        <v>2.8501949366016324E-2</v>
      </c>
      <c r="H1316" s="1">
        <f t="shared" si="1476"/>
        <v>0.74181859355874047</v>
      </c>
      <c r="I1316" s="1">
        <f t="shared" si="1476"/>
        <v>1.2015736820108842</v>
      </c>
      <c r="J1316" s="1">
        <f t="shared" si="1476"/>
        <v>1.1770519451665509</v>
      </c>
      <c r="K1316" s="1">
        <f t="shared" si="1476"/>
        <v>1.1994373863195722</v>
      </c>
      <c r="L1316" s="1">
        <f t="shared" ref="L1316:O1316" si="1477">SUM(L1317:L1321)</f>
        <v>1.1778090168929947</v>
      </c>
      <c r="M1316" s="1">
        <f t="shared" si="1477"/>
        <v>1.1578760722734767</v>
      </c>
      <c r="N1316" s="1">
        <f t="shared" si="1477"/>
        <v>1.1668595314819283</v>
      </c>
      <c r="O1316" s="1">
        <f t="shared" si="1477"/>
        <v>1.1936651681402544</v>
      </c>
      <c r="P1316" s="1">
        <f>SUM(P1317:P1321)</f>
        <v>1.2301286137738812</v>
      </c>
      <c r="Q1316" s="1">
        <f>SUM(Q1317:Q1321)</f>
        <v>1.2726468456705775</v>
      </c>
      <c r="S1316" s="3"/>
    </row>
    <row r="1317" spans="2:19" x14ac:dyDescent="0.5">
      <c r="B1317" s="5" t="str">
        <f t="shared" ref="B1317:B1350" si="1478">B1316</f>
        <v>SPS1</v>
      </c>
      <c r="C1317" s="5" t="str">
        <f t="shared" ref="C1317:C1350" si="1479">C1316</f>
        <v>CH</v>
      </c>
      <c r="D1317" t="s">
        <v>1307</v>
      </c>
      <c r="E1317" t="s">
        <v>8</v>
      </c>
      <c r="F1317" s="1" cm="1">
        <f t="array" ref="F1317">SUMPRODUCT(("T_B_u-BeVELCEXT"=[1]OUT_TransportEnergyCons!$A$3:$A$1000)*1,("Var_Fin"=[1]OUT_TransportEnergyCons!$B$3:$B$1000)*1,ISNUMBER(SEARCH("ELC",[1]OUT_TransportEnergyCons!$C$3:$C$1000))*1,[1]OUT_TransportEnergyCons!D$3:D$1000)</f>
        <v>4.7276127633238653E-4</v>
      </c>
      <c r="G1317" s="1" cm="1">
        <f t="array" ref="G1317">SUMPRODUCT(("T_B_u-BeVELCEXT"=[1]OUT_TransportEnergyCons!$A$3:$A$1000)*1,("Var_Fin"=[1]OUT_TransportEnergyCons!$B$3:$B$1000)*1,ISNUMBER(SEARCH("ELC",[1]OUT_TransportEnergyCons!$C$3:$C$1000))*1,[1]OUT_TransportEnergyCons!E$3:E$1000)</f>
        <v>4.8549817154455515E-4</v>
      </c>
      <c r="H1317" s="1" cm="1">
        <f t="array" ref="H1317">SUMPRODUCT(("T_B_u-BeVELCEXT"=[1]OUT_TransportEnergyCons!$A$3:$A$1000)*1,("Var_Fin"=[1]OUT_TransportEnergyCons!$B$3:$B$1000)*1,ISNUMBER(SEARCH("ELC",[1]OUT_TransportEnergyCons!$C$3:$C$1000))*1,[1]OUT_TransportEnergyCons!F$3:F$1000)</f>
        <v>4.8250523131158386E-4</v>
      </c>
      <c r="I1317" s="1" cm="1">
        <f t="array" ref="I1317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7" s="1" cm="1">
        <f t="array" ref="J1317">SUMPRODUCT(("T_B_u-BeVELCEXT"=[1]OUT_TransportEnergyCons!$A$3:$A$1000)*1,("Var_Fin"=[1]OUT_TransportEnergyCons!$B$3:$B$1000)*1,ISNUMBER(SEARCH("ELC",[1]OUT_TransportEnergyCons!$C$3:$C$1000))*1,[1]OUT_TransportEnergyCons!H$3:H$1000)</f>
        <v>0</v>
      </c>
      <c r="K1317" s="1" cm="1">
        <f t="array" ref="K1317">SUMPRODUCT(("T_B_u-BeVELCEXT"=[1]OUT_TransportEnergyCons!$A$3:$A$1000)*1,("Var_Fin"=[1]OUT_TransportEnergyCons!$B$3:$B$1000)*1,ISNUMBER(SEARCH("ELC",[1]OUT_TransportEnergyCons!$C$3:$C$1000))*1,[1]OUT_TransportEnergyCons!I$3:I$1000)</f>
        <v>0</v>
      </c>
      <c r="L1317" s="1" cm="1">
        <f t="array" ref="L1317">SUMPRODUCT(("T_B_u-BeVELCEXT"=[1]OUT_TransportEnergyCons!$A$3:$A$1000)*1,("Var_Fin"=[1]OUT_TransportEnergyCons!$B$3:$B$1000)*1,ISNUMBER(SEARCH("ELC",[1]OUT_TransportEnergyCons!$C$3:$C$1000))*1,[1]OUT_TransportEnergyCons!J$3:J$1000)</f>
        <v>0</v>
      </c>
      <c r="M1317" s="1" cm="1">
        <f t="array" ref="M1317">SUMPRODUCT(("T_B_u-BeVELCEXT"=[1]OUT_TransportEnergyCons!$A$3:$A$1000)*1,("Var_Fin"=[1]OUT_TransportEnergyCons!$B$3:$B$1000)*1,ISNUMBER(SEARCH("ELC",[1]OUT_TransportEnergyCons!$C$3:$C$1000))*1,[1]OUT_TransportEnergyCons!K$3:K$1000)</f>
        <v>0</v>
      </c>
      <c r="N1317" s="1" cm="1">
        <f t="array" ref="N1317">SUMPRODUCT(("T_B_u-BeVELCEXT"=[1]OUT_TransportEnergyCons!$A$3:$A$1000)*1,("Var_Fin"=[1]OUT_TransportEnergyCons!$B$3:$B$1000)*1,ISNUMBER(SEARCH("ELC",[1]OUT_TransportEnergyCons!$C$3:$C$1000))*1,[1]OUT_TransportEnergyCons!L$3:L$1000)</f>
        <v>0</v>
      </c>
      <c r="O1317" s="1" cm="1">
        <f t="array" ref="O1317">SUMPRODUCT(("T_B_u-BeVELCEXT"=[1]OUT_TransportEnergyCons!$A$3:$A$1000)*1,("Var_Fin"=[1]OUT_TransportEnergyCons!$B$3:$B$1000)*1,ISNUMBER(SEARCH("ELC",[1]OUT_TransportEnergyCons!$C$3:$C$1000))*1,[1]OUT_TransportEnergyCons!M$3:M$1000)</f>
        <v>0</v>
      </c>
      <c r="P1317" s="1" cm="1">
        <f t="array" ref="P1317">SUMPRODUCT(("T_B_u-BeVELCEXT"=[1]OUT_TransportEnergyCons!$A$3:$A$1000)*1,("Var_Fin"=[1]OUT_TransportEnergyCons!$B$3:$B$1000)*1,ISNUMBER(SEARCH("ELC",[1]OUT_TransportEnergyCons!$C$3:$C$1000))*1,[1]OUT_TransportEnergyCons!N$3:N$1000)</f>
        <v>0</v>
      </c>
      <c r="Q1317" s="1" cm="1">
        <f t="array" ref="Q1317">SUMPRODUCT(("T_B_u-BeVELCEXT"=[1]OUT_TransportEnergyCons!$A$3:$A$1000)*1,("Var_Fin"=[1]OUT_TransportEnergyCons!$B$3:$B$1000)*1,ISNUMBER(SEARCH("ELC",[1]OUT_TransportEnergyCons!$C$3:$C$1000))*1,[1]OUT_TransportEnergyCons!O$3:O$1000)</f>
        <v>0</v>
      </c>
      <c r="S1317" s="3"/>
    </row>
    <row r="1318" spans="2:19" x14ac:dyDescent="0.5">
      <c r="B1318" s="5" t="str">
        <f t="shared" si="1478"/>
        <v>SPS1</v>
      </c>
      <c r="C1318" s="5" t="str">
        <f t="shared" si="1479"/>
        <v>CH</v>
      </c>
      <c r="D1318" t="s">
        <v>1308</v>
      </c>
      <c r="E1318" t="s">
        <v>8</v>
      </c>
      <c r="F1318" s="1" cm="1">
        <f t="array" ref="F1318">SUMPRODUCT(("T_B_u-BEVELC-S1"=[1]OUT_TransportEnergyCons!$A$3:$A$1000)*1,("Var_Fin"=[1]OUT_TransportEnergyCons!$B$3:$B$1000)*1,ISNUMBER(SEARCH("ELC",[1]OUT_TransportEnergyCons!$C$3:$C$1000))*1,[1]OUT_TransportEnergyCons!D$3:D$1000)</f>
        <v>3.6082584865143103E-4</v>
      </c>
      <c r="G1318" s="1" cm="1">
        <f t="array" ref="G1318">SUMPRODUCT(("T_B_u-BEVELC-S1"=[1]OUT_TransportEnergyCons!$A$3:$A$1000)*1,("Var_Fin"=[1]OUT_TransportEnergyCons!$B$3:$B$1000)*1,ISNUMBER(SEARCH("ELC",[1]OUT_TransportEnergyCons!$C$3:$C$1000))*1,[1]OUT_TransportEnergyCons!E$3:E$1000)</f>
        <v>5.6643342092990955E-3</v>
      </c>
      <c r="H1318" s="1" cm="1">
        <f t="array" ref="H1318">SUMPRODUCT(("T_B_u-BEVELC-S1"=[1]OUT_TransportEnergyCons!$A$3:$A$1000)*1,("Var_Fin"=[1]OUT_TransportEnergyCons!$B$3:$B$1000)*1,ISNUMBER(SEARCH("ELC",[1]OUT_TransportEnergyCons!$C$3:$C$1000))*1,[1]OUT_TransportEnergyCons!F$3:F$1000)</f>
        <v>0.15509203612229383</v>
      </c>
      <c r="I1318" s="1" cm="1">
        <f t="array" ref="I1318">SUMPRODUCT(("T_B_u-BEVELC-S1"=[1]OUT_TransportEnergyCons!$A$3:$A$1000)*1,("Var_Fin"=[1]OUT_TransportEnergyCons!$B$3:$B$1000)*1,ISNUMBER(SEARCH("ELC",[1]OUT_TransportEnergyCons!$C$3:$C$1000))*1,[1]OUT_TransportEnergyCons!G$3:G$1000)</f>
        <v>0.24720631233384413</v>
      </c>
      <c r="J1318" s="1" cm="1">
        <f t="array" ref="J1318">SUMPRODUCT(("T_B_u-BEVELC-S1"=[1]OUT_TransportEnergyCons!$A$3:$A$1000)*1,("Var_Fin"=[1]OUT_TransportEnergyCons!$B$3:$B$1000)*1,ISNUMBER(SEARCH("ELC",[1]OUT_TransportEnergyCons!$C$3:$C$1000))*1,[1]OUT_TransportEnergyCons!H$3:H$1000)</f>
        <v>0.24466815614001561</v>
      </c>
      <c r="K1318" s="1" cm="1">
        <f t="array" ref="K1318">SUMPRODUCT(("T_B_u-BEVELC-S1"=[1]OUT_TransportEnergyCons!$A$3:$A$1000)*1,("Var_Fin"=[1]OUT_TransportEnergyCons!$B$3:$B$1000)*1,ISNUMBER(SEARCH("ELC",[1]OUT_TransportEnergyCons!$C$3:$C$1000))*1,[1]OUT_TransportEnergyCons!I$3:I$1000)</f>
        <v>0.25365304814071654</v>
      </c>
      <c r="L1318" s="1" cm="1">
        <f t="array" ref="L1318">SUMPRODUCT(("T_B_u-BEVELC-S1"=[1]OUT_TransportEnergyCons!$A$3:$A$1000)*1,("Var_Fin"=[1]OUT_TransportEnergyCons!$B$3:$B$1000)*1,ISNUMBER(SEARCH("ELC",[1]OUT_TransportEnergyCons!$C$3:$C$1000))*1,[1]OUT_TransportEnergyCons!J$3:J$1000)</f>
        <v>0.25049426118398838</v>
      </c>
      <c r="M1318" s="1" cm="1">
        <f t="array" ref="M1318">SUMPRODUCT(("T_B_u-BEVELC-S1"=[1]OUT_TransportEnergyCons!$A$3:$A$1000)*1,("Var_Fin"=[1]OUT_TransportEnergyCons!$B$3:$B$1000)*1,ISNUMBER(SEARCH("ELC",[1]OUT_TransportEnergyCons!$C$3:$C$1000))*1,[1]OUT_TransportEnergyCons!K$3:K$1000)</f>
        <v>0.24178513487203337</v>
      </c>
      <c r="N1318" s="1" cm="1">
        <f t="array" ref="N1318">SUMPRODUCT(("T_B_u-BEVELC-S1"=[1]OUT_TransportEnergyCons!$A$3:$A$1000)*1,("Var_Fin"=[1]OUT_TransportEnergyCons!$B$3:$B$1000)*1,ISNUMBER(SEARCH("ELC",[1]OUT_TransportEnergyCons!$C$3:$C$1000))*1,[1]OUT_TransportEnergyCons!L$3:L$1000)</f>
        <v>0.24543452423208925</v>
      </c>
      <c r="O1318" s="1" cm="1">
        <f t="array" ref="O1318">SUMPRODUCT(("T_B_u-BEVELC-S1"=[1]OUT_TransportEnergyCons!$A$3:$A$1000)*1,("Var_Fin"=[1]OUT_TransportEnergyCons!$B$3:$B$1000)*1,ISNUMBER(SEARCH("ELC",[1]OUT_TransportEnergyCons!$C$3:$C$1000))*1,[1]OUT_TransportEnergyCons!M$3:M$1000)</f>
        <v>0.25032165084646507</v>
      </c>
      <c r="P1318" s="1" cm="1">
        <f t="array" ref="P1318">SUMPRODUCT(("T_B_u-BEVELC-S1"=[1]OUT_TransportEnergyCons!$A$3:$A$1000)*1,("Var_Fin"=[1]OUT_TransportEnergyCons!$B$3:$B$1000)*1,ISNUMBER(SEARCH("ELC",[1]OUT_TransportEnergyCons!$C$3:$C$1000))*1,[1]OUT_TransportEnergyCons!N$3:N$1000)</f>
        <v>0.25796710134845302</v>
      </c>
      <c r="Q1318" s="1" cm="1">
        <f t="array" ref="Q1318">SUMPRODUCT(("T_B_u-BEVELC-S1"=[1]OUT_TransportEnergyCons!$A$3:$A$1000)*1,("Var_Fin"=[1]OUT_TransportEnergyCons!$B$3:$B$1000)*1,ISNUMBER(SEARCH("ELC",[1]OUT_TransportEnergyCons!$C$3:$C$1000))*1,[1]OUT_TransportEnergyCons!O$3:O$1000)</f>
        <v>0.26650245069818657</v>
      </c>
      <c r="S1318" s="3"/>
    </row>
    <row r="1319" spans="2:19" x14ac:dyDescent="0.5">
      <c r="B1319" s="5" t="str">
        <f t="shared" si="1478"/>
        <v>SPS1</v>
      </c>
      <c r="C1319" s="5" t="str">
        <f t="shared" si="1479"/>
        <v>CH</v>
      </c>
      <c r="D1319" t="s">
        <v>1309</v>
      </c>
      <c r="E1319" t="s">
        <v>8</v>
      </c>
      <c r="F1319" s="1" cm="1">
        <f t="array" ref="F1319">SUMPRODUCT(("T_B_u-BEVELC-S2"=[1]OUT_TransportEnergyCons!$A$3:$A$1000)*1,("Var_Fin"=[1]OUT_TransportEnergyCons!$B$3:$B$1000)*1,ISNUMBER(SEARCH("ELC",[1]OUT_TransportEnergyCons!$C$3:$C$1000))*1,[1]OUT_TransportEnergyCons!D$3:D$1000)</f>
        <v>1.868228168662093E-3</v>
      </c>
      <c r="G1319" s="1" cm="1">
        <f t="array" ref="G1319">SUMPRODUCT(("T_B_u-BEVELC-S2"=[1]OUT_TransportEnergyCons!$A$3:$A$1000)*1,("Var_Fin"=[1]OUT_TransportEnergyCons!$B$3:$B$1000)*1,ISNUMBER(SEARCH("ELC",[1]OUT_TransportEnergyCons!$C$3:$C$1000))*1,[1]OUT_TransportEnergyCons!E$3:E$1000)</f>
        <v>4.3110154343713293E-3</v>
      </c>
      <c r="H1319" s="1" cm="1">
        <f t="array" ref="H1319">SUMPRODUCT(("T_B_u-BEVELC-S2"=[1]OUT_TransportEnergyCons!$A$3:$A$1000)*1,("Var_Fin"=[1]OUT_TransportEnergyCons!$B$3:$B$1000)*1,ISNUMBER(SEARCH("ELC",[1]OUT_TransportEnergyCons!$C$3:$C$1000))*1,[1]OUT_TransportEnergyCons!F$3:F$1000)</f>
        <v>7.7708435926847244E-2</v>
      </c>
      <c r="I1319" s="1" cm="1">
        <f t="array" ref="I1319">SUMPRODUCT(("T_B_u-BEVELC-S2"=[1]OUT_TransportEnergyCons!$A$3:$A$1000)*1,("Var_Fin"=[1]OUT_TransportEnergyCons!$B$3:$B$1000)*1,ISNUMBER(SEARCH("ELC",[1]OUT_TransportEnergyCons!$C$3:$C$1000))*1,[1]OUT_TransportEnergyCons!G$3:G$1000)</f>
        <v>0.12858461391674531</v>
      </c>
      <c r="J1319" s="1" cm="1">
        <f t="array" ref="J1319">SUMPRODUCT(("T_B_u-BEVELC-S2"=[1]OUT_TransportEnergyCons!$A$3:$A$1000)*1,("Var_Fin"=[1]OUT_TransportEnergyCons!$B$3:$B$1000)*1,ISNUMBER(SEARCH("ELC",[1]OUT_TransportEnergyCons!$C$3:$C$1000))*1,[1]OUT_TransportEnergyCons!H$3:H$1000)</f>
        <v>0.12255533332139985</v>
      </c>
      <c r="K1319" s="1" cm="1">
        <f t="array" ref="K1319">SUMPRODUCT(("T_B_u-BEVELC-S2"=[1]OUT_TransportEnergyCons!$A$3:$A$1000)*1,("Var_Fin"=[1]OUT_TransportEnergyCons!$B$3:$B$1000)*1,ISNUMBER(SEARCH("ELC",[1]OUT_TransportEnergyCons!$C$3:$C$1000))*1,[1]OUT_TransportEnergyCons!I$3:I$1000)</f>
        <v>0.12611851336118124</v>
      </c>
      <c r="L1319" s="1" cm="1">
        <f t="array" ref="L1319">SUMPRODUCT(("T_B_u-BEVELC-S2"=[1]OUT_TransportEnergyCons!$A$3:$A$1000)*1,("Var_Fin"=[1]OUT_TransportEnergyCons!$B$3:$B$1000)*1,ISNUMBER(SEARCH("ELC",[1]OUT_TransportEnergyCons!$C$3:$C$1000))*1,[1]OUT_TransportEnergyCons!J$3:J$1000)</f>
        <v>0.12539711494682454</v>
      </c>
      <c r="M1319" s="1" cm="1">
        <f t="array" ref="M1319">SUMPRODUCT(("T_B_u-BEVELC-S2"=[1]OUT_TransportEnergyCons!$A$3:$A$1000)*1,("Var_Fin"=[1]OUT_TransportEnergyCons!$B$3:$B$1000)*1,ISNUMBER(SEARCH("ELC",[1]OUT_TransportEnergyCons!$C$3:$C$1000))*1,[1]OUT_TransportEnergyCons!K$3:K$1000)</f>
        <v>0.12103929882281891</v>
      </c>
      <c r="N1319" s="1" cm="1">
        <f t="array" ref="N1319">SUMPRODUCT(("T_B_u-BEVELC-S2"=[1]OUT_TransportEnergyCons!$A$3:$A$1000)*1,("Var_Fin"=[1]OUT_TransportEnergyCons!$B$3:$B$1000)*1,ISNUMBER(SEARCH("ELC",[1]OUT_TransportEnergyCons!$C$3:$C$1000))*1,[1]OUT_TransportEnergyCons!L$3:L$1000)</f>
        <v>0.12261135247984928</v>
      </c>
      <c r="O1319" s="1" cm="1">
        <f t="array" ref="O1319">SUMPRODUCT(("T_B_u-BEVELC-S2"=[1]OUT_TransportEnergyCons!$A$3:$A$1000)*1,("Var_Fin"=[1]OUT_TransportEnergyCons!$B$3:$B$1000)*1,ISNUMBER(SEARCH("ELC",[1]OUT_TransportEnergyCons!$C$3:$C$1000))*1,[1]OUT_TransportEnergyCons!M$3:M$1000)</f>
        <v>0.12506767854740167</v>
      </c>
      <c r="P1319" s="1" cm="1">
        <f t="array" ref="P1319">SUMPRODUCT(("T_B_u-BEVELC-S2"=[1]OUT_TransportEnergyCons!$A$3:$A$1000)*1,("Var_Fin"=[1]OUT_TransportEnergyCons!$B$3:$B$1000)*1,ISNUMBER(SEARCH("ELC",[1]OUT_TransportEnergyCons!$C$3:$C$1000))*1,[1]OUT_TransportEnergyCons!N$3:N$1000)</f>
        <v>0.12888531537275669</v>
      </c>
      <c r="Q1319" s="1" cm="1">
        <f t="array" ref="Q1319">SUMPRODUCT(("T_B_u-BEVELC-S2"=[1]OUT_TransportEnergyCons!$A$3:$A$1000)*1,("Var_Fin"=[1]OUT_TransportEnergyCons!$B$3:$B$1000)*1,ISNUMBER(SEARCH("ELC",[1]OUT_TransportEnergyCons!$C$3:$C$1000))*1,[1]OUT_TransportEnergyCons!O$3:O$1000)</f>
        <v>0.13328413188616436</v>
      </c>
      <c r="S1319" s="3"/>
    </row>
    <row r="1320" spans="2:19" x14ac:dyDescent="0.5">
      <c r="B1320" s="5" t="str">
        <f t="shared" si="1478"/>
        <v>SPS1</v>
      </c>
      <c r="C1320" s="5" t="str">
        <f t="shared" si="1479"/>
        <v>CH</v>
      </c>
      <c r="D1320" t="s">
        <v>1310</v>
      </c>
      <c r="E1320" t="s">
        <v>8</v>
      </c>
      <c r="F1320" s="1" cm="1">
        <f t="array" ref="F1320">SUMPRODUCT(("T_B_u-BEVELC-S3"=[1]OUT_TransportEnergyCons!$A$3:$A$1000)*1,("Var_Fin"=[1]OUT_TransportEnergyCons!$B$3:$B$1000)*1,ISNUMBER(SEARCH("ELC",[1]OUT_TransportEnergyCons!$C$3:$C$1000))*1,[1]OUT_TransportEnergyCons!D$3:D$1000)</f>
        <v>8.3255506953991681E-3</v>
      </c>
      <c r="G1320" s="1" cm="1">
        <f t="array" ref="G1320">SUMPRODUCT(("T_B_u-BEVELC-S3"=[1]OUT_TransportEnergyCons!$A$3:$A$1000)*1,("Var_Fin"=[1]OUT_TransportEnergyCons!$B$3:$B$1000)*1,ISNUMBER(SEARCH("ELC",[1]OUT_TransportEnergyCons!$C$3:$C$1000))*1,[1]OUT_TransportEnergyCons!E$3:E$1000)</f>
        <v>1.6276728662298161E-2</v>
      </c>
      <c r="H1320" s="1" cm="1">
        <f t="array" ref="H1320">SUMPRODUCT(("T_B_u-BEVELC-S3"=[1]OUT_TransportEnergyCons!$A$3:$A$1000)*1,("Var_Fin"=[1]OUT_TransportEnergyCons!$B$3:$B$1000)*1,ISNUMBER(SEARCH("ELC",[1]OUT_TransportEnergyCons!$C$3:$C$1000))*1,[1]OUT_TransportEnergyCons!F$3:F$1000)</f>
        <v>0.50604444295212803</v>
      </c>
      <c r="I1320" s="1" cm="1">
        <f t="array" ref="I1320">SUMPRODUCT(("T_B_u-BEVELC-S3"=[1]OUT_TransportEnergyCons!$A$3:$A$1000)*1,("Var_Fin"=[1]OUT_TransportEnergyCons!$B$3:$B$1000)*1,ISNUMBER(SEARCH("ELC",[1]OUT_TransportEnergyCons!$C$3:$C$1000))*1,[1]OUT_TransportEnergyCons!G$3:G$1000)</f>
        <v>0.82482532280348442</v>
      </c>
      <c r="J1320" s="1" cm="1">
        <f t="array" ref="J1320">SUMPRODUCT(("T_B_u-BEVELC-S3"=[1]OUT_TransportEnergyCons!$A$3:$A$1000)*1,("Var_Fin"=[1]OUT_TransportEnergyCons!$B$3:$B$1000)*1,ISNUMBER(SEARCH("ELC",[1]OUT_TransportEnergyCons!$C$3:$C$1000))*1,[1]OUT_TransportEnergyCons!H$3:H$1000)</f>
        <v>0.80931291225537094</v>
      </c>
      <c r="K1320" s="1" cm="1">
        <f t="array" ref="K1320">SUMPRODUCT(("T_B_u-BEVELC-S3"=[1]OUT_TransportEnergyCons!$A$3:$A$1000)*1,("Var_Fin"=[1]OUT_TransportEnergyCons!$B$3:$B$1000)*1,ISNUMBER(SEARCH("ELC",[1]OUT_TransportEnergyCons!$C$3:$C$1000))*1,[1]OUT_TransportEnergyCons!I$3:I$1000)</f>
        <v>0.81911190317120131</v>
      </c>
      <c r="L1320" s="1" cm="1">
        <f t="array" ref="L1320">SUMPRODUCT(("T_B_u-BEVELC-S3"=[1]OUT_TransportEnergyCons!$A$3:$A$1000)*1,("Var_Fin"=[1]OUT_TransportEnergyCons!$B$3:$B$1000)*1,ISNUMBER(SEARCH("ELC",[1]OUT_TransportEnergyCons!$C$3:$C$1000))*1,[1]OUT_TransportEnergyCons!J$3:J$1000)</f>
        <v>0.80140863427719899</v>
      </c>
      <c r="M1320" s="1" cm="1">
        <f t="array" ref="M1320">SUMPRODUCT(("T_B_u-BEVELC-S3"=[1]OUT_TransportEnergyCons!$A$3:$A$1000)*1,("Var_Fin"=[1]OUT_TransportEnergyCons!$B$3:$B$1000)*1,ISNUMBER(SEARCH("ELC",[1]OUT_TransportEnergyCons!$C$3:$C$1000))*1,[1]OUT_TransportEnergyCons!K$3:K$1000)</f>
        <v>0.79428992421643996</v>
      </c>
      <c r="N1320" s="1" cm="1">
        <f t="array" ref="N1320">SUMPRODUCT(("T_B_u-BEVELC-S3"=[1]OUT_TransportEnergyCons!$A$3:$A$1000)*1,("Var_Fin"=[1]OUT_TransportEnergyCons!$B$3:$B$1000)*1,ISNUMBER(SEARCH("ELC",[1]OUT_TransportEnergyCons!$C$3:$C$1000))*1,[1]OUT_TransportEnergyCons!L$3:L$1000)</f>
        <v>0.798059925089463</v>
      </c>
      <c r="O1320" s="1" cm="1">
        <f t="array" ref="O1320">SUMPRODUCT(("T_B_u-BEVELC-S3"=[1]OUT_TransportEnergyCons!$A$3:$A$1000)*1,("Var_Fin"=[1]OUT_TransportEnergyCons!$B$3:$B$1000)*1,ISNUMBER(SEARCH("ELC",[1]OUT_TransportEnergyCons!$C$3:$C$1000))*1,[1]OUT_TransportEnergyCons!M$3:M$1000)</f>
        <v>0.81733563472553494</v>
      </c>
      <c r="P1320" s="1" cm="1">
        <f t="array" ref="P1320">SUMPRODUCT(("T_B_u-BEVELC-S3"=[1]OUT_TransportEnergyCons!$A$3:$A$1000)*1,("Var_Fin"=[1]OUT_TransportEnergyCons!$B$3:$B$1000)*1,ISNUMBER(SEARCH("ELC",[1]OUT_TransportEnergyCons!$C$3:$C$1000))*1,[1]OUT_TransportEnergyCons!N$3:N$1000)</f>
        <v>0.84230139097192169</v>
      </c>
      <c r="Q1320" s="1" cm="1">
        <f t="array" ref="Q1320">SUMPRODUCT(("T_B_u-BEVELC-S3"=[1]OUT_TransportEnergyCons!$A$3:$A$1000)*1,("Var_Fin"=[1]OUT_TransportEnergyCons!$B$3:$B$1000)*1,ISNUMBER(SEARCH("ELC",[1]OUT_TransportEnergyCons!$C$3:$C$1000))*1,[1]OUT_TransportEnergyCons!O$3:O$1000)</f>
        <v>0.87106604100523466</v>
      </c>
      <c r="S1320" s="3"/>
    </row>
    <row r="1321" spans="2:19" x14ac:dyDescent="0.5">
      <c r="B1321" s="5" t="str">
        <f t="shared" si="1478"/>
        <v>SPS1</v>
      </c>
      <c r="C1321" s="5" t="str">
        <f t="shared" si="1479"/>
        <v>CH</v>
      </c>
      <c r="D1321" t="s">
        <v>1311</v>
      </c>
      <c r="E1321" t="s">
        <v>8</v>
      </c>
      <c r="F1321" s="1" cm="1">
        <f t="array" ref="F1321">SUMPRODUCT(("T_B_u-BEVELC-S4"=[1]OUT_TransportEnergyCons!$A$3:$A$1000)*1,("Var_Fin"=[1]OUT_TransportEnergyCons!$B$3:$B$1000)*1,ISNUMBER(SEARCH("ELC",[1]OUT_TransportEnergyCons!$C$3:$C$1000))*1,[1]OUT_TransportEnergyCons!D$3:D$1000)</f>
        <v>1.38825973050981E-3</v>
      </c>
      <c r="G1321" s="1" cm="1">
        <f t="array" ref="G1321">SUMPRODUCT(("T_B_u-BEVELC-S4"=[1]OUT_TransportEnergyCons!$A$3:$A$1000)*1,("Var_Fin"=[1]OUT_TransportEnergyCons!$B$3:$B$1000)*1,ISNUMBER(SEARCH("ELC",[1]OUT_TransportEnergyCons!$C$3:$C$1000))*1,[1]OUT_TransportEnergyCons!E$3:E$1000)</f>
        <v>1.7643728885031796E-3</v>
      </c>
      <c r="H1321" s="1" cm="1">
        <f t="array" ref="H1321">SUMPRODUCT(("T_B_u-BEVELC-S4"=[1]OUT_TransportEnergyCons!$A$3:$A$1000)*1,("Var_Fin"=[1]OUT_TransportEnergyCons!$B$3:$B$1000)*1,ISNUMBER(SEARCH("ELC",[1]OUT_TransportEnergyCons!$C$3:$C$1000))*1,[1]OUT_TransportEnergyCons!F$3:F$1000)</f>
        <v>2.4911733261597292E-3</v>
      </c>
      <c r="I1321" s="1" cm="1">
        <f t="array" ref="I1321">SUMPRODUCT(("T_B_u-BEVELC-S4"=[1]OUT_TransportEnergyCons!$A$3:$A$1000)*1,("Var_Fin"=[1]OUT_TransportEnergyCons!$B$3:$B$1000)*1,ISNUMBER(SEARCH("ELC",[1]OUT_TransportEnergyCons!$C$3:$C$1000))*1,[1]OUT_TransportEnergyCons!G$3:G$1000)</f>
        <v>9.5743295681027839E-4</v>
      </c>
      <c r="J1321" s="1" cm="1">
        <f t="array" ref="J1321">SUMPRODUCT(("T_B_u-BEVELC-S4"=[1]OUT_TransportEnergyCons!$A$3:$A$1000)*1,("Var_Fin"=[1]OUT_TransportEnergyCons!$B$3:$B$1000)*1,ISNUMBER(SEARCH("ELC",[1]OUT_TransportEnergyCons!$C$3:$C$1000))*1,[1]OUT_TransportEnergyCons!H$3:H$1000)</f>
        <v>5.1554344976434353E-4</v>
      </c>
      <c r="K1321" s="1" cm="1">
        <f t="array" ref="K1321">SUMPRODUCT(("T_B_u-BEVELC-S4"=[1]OUT_TransportEnergyCons!$A$3:$A$1000)*1,("Var_Fin"=[1]OUT_TransportEnergyCons!$B$3:$B$1000)*1,ISNUMBER(SEARCH("ELC",[1]OUT_TransportEnergyCons!$C$3:$C$1000))*1,[1]OUT_TransportEnergyCons!I$3:I$1000)</f>
        <v>5.5392164647319179E-4</v>
      </c>
      <c r="L1321" s="1" cm="1">
        <f t="array" ref="L1321">SUMPRODUCT(("T_B_u-BEVELC-S4"=[1]OUT_TransportEnergyCons!$A$3:$A$1000)*1,("Var_Fin"=[1]OUT_TransportEnergyCons!$B$3:$B$1000)*1,ISNUMBER(SEARCH("ELC",[1]OUT_TransportEnergyCons!$C$3:$C$1000))*1,[1]OUT_TransportEnergyCons!J$3:J$1000)</f>
        <v>5.0900648498259293E-4</v>
      </c>
      <c r="M1321" s="1" cm="1">
        <f t="array" ref="M1321">SUMPRODUCT(("T_B_u-BEVELC-S4"=[1]OUT_TransportEnergyCons!$A$3:$A$1000)*1,("Var_Fin"=[1]OUT_TransportEnergyCons!$B$3:$B$1000)*1,ISNUMBER(SEARCH("ELC",[1]OUT_TransportEnergyCons!$C$3:$C$1000))*1,[1]OUT_TransportEnergyCons!K$3:K$1000)</f>
        <v>7.6171436218460222E-4</v>
      </c>
      <c r="N1321" s="1" cm="1">
        <f t="array" ref="N1321">SUMPRODUCT(("T_B_u-BEVELC-S4"=[1]OUT_TransportEnergyCons!$A$3:$A$1000)*1,("Var_Fin"=[1]OUT_TransportEnergyCons!$B$3:$B$1000)*1,ISNUMBER(SEARCH("ELC",[1]OUT_TransportEnergyCons!$C$3:$C$1000))*1,[1]OUT_TransportEnergyCons!L$3:L$1000)</f>
        <v>7.537296805267482E-4</v>
      </c>
      <c r="O1321" s="1" cm="1">
        <f t="array" ref="O1321">SUMPRODUCT(("T_B_u-BEVELC-S4"=[1]OUT_TransportEnergyCons!$A$3:$A$1000)*1,("Var_Fin"=[1]OUT_TransportEnergyCons!$B$3:$B$1000)*1,ISNUMBER(SEARCH("ELC",[1]OUT_TransportEnergyCons!$C$3:$C$1000))*1,[1]OUT_TransportEnergyCons!M$3:M$1000)</f>
        <v>9.4020402085250097E-4</v>
      </c>
      <c r="P1321" s="1" cm="1">
        <f t="array" ref="P1321">SUMPRODUCT(("T_B_u-BEVELC-S4"=[1]OUT_TransportEnergyCons!$A$3:$A$1000)*1,("Var_Fin"=[1]OUT_TransportEnergyCons!$B$3:$B$1000)*1,ISNUMBER(SEARCH("ELC",[1]OUT_TransportEnergyCons!$C$3:$C$1000))*1,[1]OUT_TransportEnergyCons!N$3:N$1000)</f>
        <v>9.7480608074973778E-4</v>
      </c>
      <c r="Q1321" s="1" cm="1">
        <f t="array" ref="Q1321">SUMPRODUCT(("T_B_u-BEVELC-S4"=[1]OUT_TransportEnergyCons!$A$3:$A$1000)*1,("Var_Fin"=[1]OUT_TransportEnergyCons!$B$3:$B$1000)*1,ISNUMBER(SEARCH("ELC",[1]OUT_TransportEnergyCons!$C$3:$C$1000))*1,[1]OUT_TransportEnergyCons!O$3:O$1000)</f>
        <v>1.7942220809919268E-3</v>
      </c>
      <c r="S1321" s="3"/>
    </row>
    <row r="1322" spans="2:19" x14ac:dyDescent="0.5">
      <c r="B1322" s="5" t="str">
        <f t="shared" si="1478"/>
        <v>SPS1</v>
      </c>
      <c r="C1322" s="5" t="str">
        <f t="shared" si="1479"/>
        <v>CH</v>
      </c>
      <c r="D1322" t="s">
        <v>1312</v>
      </c>
      <c r="E1322" t="s">
        <v>8</v>
      </c>
      <c r="F1322" s="1">
        <f>SUM(F1323:F1326)</f>
        <v>0</v>
      </c>
      <c r="G1322" s="1">
        <f t="shared" ref="G1322:K1322" si="1480">SUM(G1323:G1326)</f>
        <v>0</v>
      </c>
      <c r="H1322" s="1">
        <f t="shared" si="1480"/>
        <v>0</v>
      </c>
      <c r="I1322" s="1">
        <f t="shared" si="1480"/>
        <v>1.0564329647583797E-3</v>
      </c>
      <c r="J1322" s="1">
        <f t="shared" si="1480"/>
        <v>1.8129612226643621E-3</v>
      </c>
      <c r="K1322" s="1">
        <f t="shared" si="1480"/>
        <v>1.9166721444415502E-3</v>
      </c>
      <c r="L1322" s="1">
        <f t="shared" ref="L1322:O1322" si="1481">SUM(L1323:L1326)</f>
        <v>1.9660449492527347E-3</v>
      </c>
      <c r="M1322" s="1">
        <f t="shared" si="1481"/>
        <v>1.708978103025756E-3</v>
      </c>
      <c r="N1322" s="1">
        <f t="shared" si="1481"/>
        <v>1.8450460230878254E-3</v>
      </c>
      <c r="O1322" s="1">
        <f t="shared" si="1481"/>
        <v>1.6286419061526014E-3</v>
      </c>
      <c r="P1322" s="1">
        <f>SUM(P1323:P1326)</f>
        <v>1.6504765127451099E-3</v>
      </c>
      <c r="Q1322" s="1">
        <f>SUM(Q1323:Q1326)</f>
        <v>1.6740405599938637E-3</v>
      </c>
      <c r="S1322" s="3"/>
    </row>
    <row r="1323" spans="2:19" x14ac:dyDescent="0.5">
      <c r="B1323" s="5" t="str">
        <f t="shared" si="1478"/>
        <v>SPS1</v>
      </c>
      <c r="C1323" s="5" t="str">
        <f t="shared" si="1479"/>
        <v>CH</v>
      </c>
      <c r="D1323" t="s">
        <v>1313</v>
      </c>
      <c r="E1323" t="s">
        <v>8</v>
      </c>
      <c r="F1323" s="1" cm="1">
        <f t="array" ref="F1323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SUMPRODUCT(("T_B_u-FCLH2O-S1"=[1]OUT_TransportEnergyCons!$A$3:$A$1000)*1,("Var_Fin"=[1]OUT_TransportEnergyCons!$B$3:$B$1000)*1,ISNUMBER(SEARCH("H2",[1]OUT_TransportEnergyCons!$C$3:$C$1000))*1,[1]OUT_TransportEnergyCons!G$3:G$1000)</f>
        <v>1.4154556538438625E-4</v>
      </c>
      <c r="J1323" s="1" cm="1">
        <f t="array" ref="J1323">SUMPRODUCT(("T_B_u-FCLH2O-S1"=[1]OUT_TransportEnergyCons!$A$3:$A$1000)*1,("Var_Fin"=[1]OUT_TransportEnergyCons!$B$3:$B$1000)*1,ISNUMBER(SEARCH("H2",[1]OUT_TransportEnergyCons!$C$3:$C$1000))*1,[1]OUT_TransportEnergyCons!H$3:H$1000)</f>
        <v>2.5002800364446517E-4</v>
      </c>
      <c r="K1323" s="1" cm="1">
        <f t="array" ref="K1323">SUMPRODUCT(("T_B_u-FCLH2O-S1"=[1]OUT_TransportEnergyCons!$A$3:$A$1000)*1,("Var_Fin"=[1]OUT_TransportEnergyCons!$B$3:$B$1000)*1,ISNUMBER(SEARCH("H2",[1]OUT_TransportEnergyCons!$C$3:$C$1000))*1,[1]OUT_TransportEnergyCons!I$3:I$1000)</f>
        <v>3.5026211408411829E-4</v>
      </c>
      <c r="L1323" s="1" cm="1">
        <f t="array" ref="L1323">SUMPRODUCT(("T_B_u-FCLH2O-S1"=[1]OUT_TransportEnergyCons!$A$3:$A$1000)*1,("Var_Fin"=[1]OUT_TransportEnergyCons!$B$3:$B$1000)*1,ISNUMBER(SEARCH("H2",[1]OUT_TransportEnergyCons!$C$3:$C$1000))*1,[1]OUT_TransportEnergyCons!J$3:J$1000)</f>
        <v>3.3543960503041144E-4</v>
      </c>
      <c r="M1323" s="1" cm="1">
        <f t="array" ref="M1323">SUMPRODUCT(("T_B_u-FCLH2O-S1"=[1]OUT_TransportEnergyCons!$A$3:$A$1000)*1,("Var_Fin"=[1]OUT_TransportEnergyCons!$B$3:$B$1000)*1,ISNUMBER(SEARCH("H2",[1]OUT_TransportEnergyCons!$C$3:$C$1000))*1,[1]OUT_TransportEnergyCons!K$3:K$1000)</f>
        <v>3.1463887714606873E-4</v>
      </c>
      <c r="N1323" s="1" cm="1">
        <f t="array" ref="N1323">SUMPRODUCT(("T_B_u-FCLH2O-S1"=[1]OUT_TransportEnergyCons!$A$3:$A$1000)*1,("Var_Fin"=[1]OUT_TransportEnergyCons!$B$3:$B$1000)*1,ISNUMBER(SEARCH("H2",[1]OUT_TransportEnergyCons!$C$3:$C$1000))*1,[1]OUT_TransportEnergyCons!L$3:L$1000)</f>
        <v>2.9656531022421664E-4</v>
      </c>
      <c r="O1323" s="1" cm="1">
        <f t="array" ref="O1323">SUMPRODUCT(("T_B_u-FCLH2O-S1"=[1]OUT_TransportEnergyCons!$A$3:$A$1000)*1,("Var_Fin"=[1]OUT_TransportEnergyCons!$B$3:$B$1000)*1,ISNUMBER(SEARCH("H2",[1]OUT_TransportEnergyCons!$C$3:$C$1000))*1,[1]OUT_TransportEnergyCons!M$3:M$1000)</f>
        <v>2.9832547306694651E-4</v>
      </c>
      <c r="P1323" s="1" cm="1">
        <f t="array" ref="P1323">SUMPRODUCT(("T_B_u-FCLH2O-S1"=[1]OUT_TransportEnergyCons!$A$3:$A$1000)*1,("Var_Fin"=[1]OUT_TransportEnergyCons!$B$3:$B$1000)*1,ISNUMBER(SEARCH("H2",[1]OUT_TransportEnergyCons!$C$3:$C$1000))*1,[1]OUT_TransportEnergyCons!N$3:N$1000)</f>
        <v>2.9194765887238647E-4</v>
      </c>
      <c r="Q1323" s="1" cm="1">
        <f t="array" ref="Q1323">SUMPRODUCT(("T_B_u-FCLH2O-S1"=[1]OUT_TransportEnergyCons!$A$3:$A$1000)*1,("Var_Fin"=[1]OUT_TransportEnergyCons!$B$3:$B$1000)*1,ISNUMBER(SEARCH("H2",[1]OUT_TransportEnergyCons!$C$3:$C$1000))*1,[1]OUT_TransportEnergyCons!O$3:O$1000)</f>
        <v>3.0104700659367871E-4</v>
      </c>
      <c r="S1323" s="3"/>
    </row>
    <row r="1324" spans="2:19" x14ac:dyDescent="0.5">
      <c r="B1324" s="5" t="str">
        <f t="shared" si="1478"/>
        <v>SPS1</v>
      </c>
      <c r="C1324" s="5" t="str">
        <f t="shared" si="1479"/>
        <v>CH</v>
      </c>
      <c r="D1324" t="s">
        <v>1314</v>
      </c>
      <c r="E1324" t="s">
        <v>8</v>
      </c>
      <c r="F1324" s="1" cm="1">
        <f t="array" ref="F1324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SUMPRODUCT(("T_B_u-FCLH2O-S2"=[1]OUT_TransportEnergyCons!$A$3:$A$1000)*1,("Var_Fin"=[1]OUT_TransportEnergyCons!$B$3:$B$1000)*1,ISNUMBER(SEARCH("H2",[1]OUT_TransportEnergyCons!$C$3:$C$1000))*1,[1]OUT_TransportEnergyCons!G$3:G$1000)</f>
        <v>1.7014824141355555E-4</v>
      </c>
      <c r="J1324" s="1" cm="1">
        <f t="array" ref="J1324">SUMPRODUCT(("T_B_u-FCLH2O-S2"=[1]OUT_TransportEnergyCons!$A$3:$A$1000)*1,("Var_Fin"=[1]OUT_TransportEnergyCons!$B$3:$B$1000)*1,ISNUMBER(SEARCH("H2",[1]OUT_TransportEnergyCons!$C$3:$C$1000))*1,[1]OUT_TransportEnergyCons!H$3:H$1000)</f>
        <v>3.2672727344949619E-4</v>
      </c>
      <c r="K1324" s="1" cm="1">
        <f t="array" ref="K1324">SUMPRODUCT(("T_B_u-FCLH2O-S2"=[1]OUT_TransportEnergyCons!$A$3:$A$1000)*1,("Var_Fin"=[1]OUT_TransportEnergyCons!$B$3:$B$1000)*1,ISNUMBER(SEARCH("H2",[1]OUT_TransportEnergyCons!$C$3:$C$1000))*1,[1]OUT_TransportEnergyCons!I$3:I$1000)</f>
        <v>4.5667188704421756E-4</v>
      </c>
      <c r="L1324" s="1" cm="1">
        <f t="array" ref="L1324">SUMPRODUCT(("T_B_u-FCLH2O-S2"=[1]OUT_TransportEnergyCons!$A$3:$A$1000)*1,("Var_Fin"=[1]OUT_TransportEnergyCons!$B$3:$B$1000)*1,ISNUMBER(SEARCH("H2",[1]OUT_TransportEnergyCons!$C$3:$C$1000))*1,[1]OUT_TransportEnergyCons!J$3:J$1000)</f>
        <v>4.3739938692672269E-4</v>
      </c>
      <c r="M1324" s="1" cm="1">
        <f t="array" ref="M1324">SUMPRODUCT(("T_B_u-FCLH2O-S2"=[1]OUT_TransportEnergyCons!$A$3:$A$1000)*1,("Var_Fin"=[1]OUT_TransportEnergyCons!$B$3:$B$1000)*1,ISNUMBER(SEARCH("H2",[1]OUT_TransportEnergyCons!$C$3:$C$1000))*1,[1]OUT_TransportEnergyCons!K$3:K$1000)</f>
        <v>4.1222601509201831E-4</v>
      </c>
      <c r="N1324" s="1" cm="1">
        <f t="array" ref="N1324">SUMPRODUCT(("T_B_u-FCLH2O-S2"=[1]OUT_TransportEnergyCons!$A$3:$A$1000)*1,("Var_Fin"=[1]OUT_TransportEnergyCons!$B$3:$B$1000)*1,ISNUMBER(SEARCH("H2",[1]OUT_TransportEnergyCons!$C$3:$C$1000))*1,[1]OUT_TransportEnergyCons!L$3:L$1000)</f>
        <v>3.9419756204354652E-4</v>
      </c>
      <c r="O1324" s="1" cm="1">
        <f t="array" ref="O1324">SUMPRODUCT(("T_B_u-FCLH2O-S2"=[1]OUT_TransportEnergyCons!$A$3:$A$1000)*1,("Var_Fin"=[1]OUT_TransportEnergyCons!$B$3:$B$1000)*1,ISNUMBER(SEARCH("H2",[1]OUT_TransportEnergyCons!$C$3:$C$1000))*1,[1]OUT_TransportEnergyCons!M$3:M$1000)</f>
        <v>3.9527958195984209E-4</v>
      </c>
      <c r="P1324" s="1" cm="1">
        <f t="array" ref="P1324">SUMPRODUCT(("T_B_u-FCLH2O-S2"=[1]OUT_TransportEnergyCons!$A$3:$A$1000)*1,("Var_Fin"=[1]OUT_TransportEnergyCons!$B$3:$B$1000)*1,ISNUMBER(SEARCH("H2",[1]OUT_TransportEnergyCons!$C$3:$C$1000))*1,[1]OUT_TransportEnergyCons!N$3:N$1000)</f>
        <v>3.895150296824008E-4</v>
      </c>
      <c r="Q1324" s="1" cm="1">
        <f t="array" ref="Q1324">SUMPRODUCT(("T_B_u-FCLH2O-S2"=[1]OUT_TransportEnergyCons!$A$3:$A$1000)*1,("Var_Fin"=[1]OUT_TransportEnergyCons!$B$3:$B$1000)*1,ISNUMBER(SEARCH("H2",[1]OUT_TransportEnergyCons!$C$3:$C$1000))*1,[1]OUT_TransportEnergyCons!O$3:O$1000)</f>
        <v>4.0494140297166696E-4</v>
      </c>
      <c r="S1324" s="3"/>
    </row>
    <row r="1325" spans="2:19" x14ac:dyDescent="0.5">
      <c r="B1325" s="5" t="str">
        <f t="shared" si="1478"/>
        <v>SPS1</v>
      </c>
      <c r="C1325" s="5" t="str">
        <f t="shared" si="1479"/>
        <v>CH</v>
      </c>
      <c r="D1325" t="s">
        <v>1315</v>
      </c>
      <c r="E1325" t="s">
        <v>8</v>
      </c>
      <c r="F1325" s="1" cm="1">
        <f t="array" ref="F1325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5" s="1" cm="1">
        <f t="array" ref="G1325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5" s="1" cm="1">
        <f t="array" ref="H1325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5" s="1" cm="1">
        <f t="array" ref="I1325">SUMPRODUCT(("T_B_u-FCLH2O-S3"=[1]OUT_TransportEnergyCons!$A$3:$A$1000)*1,("Var_Fin"=[1]OUT_TransportEnergyCons!$B$3:$B$1000)*1,ISNUMBER(SEARCH("H2",[1]OUT_TransportEnergyCons!$C$3:$C$1000))*1,[1]OUT_TransportEnergyCons!G$3:G$1000)</f>
        <v>4.2941569515404034E-4</v>
      </c>
      <c r="J1325" s="1" cm="1">
        <f t="array" ref="J1325">SUMPRODUCT(("T_B_u-FCLH2O-S3"=[1]OUT_TransportEnergyCons!$A$3:$A$1000)*1,("Var_Fin"=[1]OUT_TransportEnergyCons!$B$3:$B$1000)*1,ISNUMBER(SEARCH("H2",[1]OUT_TransportEnergyCons!$C$3:$C$1000))*1,[1]OUT_TransportEnergyCons!H$3:H$1000)</f>
        <v>6.2741055305132935E-4</v>
      </c>
      <c r="K1325" s="1" cm="1">
        <f t="array" ref="K1325">SUMPRODUCT(("T_B_u-FCLH2O-S3"=[1]OUT_TransportEnergyCons!$A$3:$A$1000)*1,("Var_Fin"=[1]OUT_TransportEnergyCons!$B$3:$B$1000)*1,ISNUMBER(SEARCH("H2",[1]OUT_TransportEnergyCons!$C$3:$C$1000))*1,[1]OUT_TransportEnergyCons!I$3:I$1000)</f>
        <v>5.3202779111276993E-4</v>
      </c>
      <c r="L1325" s="1" cm="1">
        <f t="array" ref="L1325">SUMPRODUCT(("T_B_u-FCLH2O-S3"=[1]OUT_TransportEnergyCons!$A$3:$A$1000)*1,("Var_Fin"=[1]OUT_TransportEnergyCons!$B$3:$B$1000)*1,ISNUMBER(SEARCH("H2",[1]OUT_TransportEnergyCons!$C$3:$C$1000))*1,[1]OUT_TransportEnergyCons!J$3:J$1000)</f>
        <v>6.7032082403273058E-4</v>
      </c>
      <c r="M1325" s="1" cm="1">
        <f t="array" ref="M1325">SUMPRODUCT(("T_B_u-FCLH2O-S3"=[1]OUT_TransportEnergyCons!$A$3:$A$1000)*1,("Var_Fin"=[1]OUT_TransportEnergyCons!$B$3:$B$1000)*1,ISNUMBER(SEARCH("H2",[1]OUT_TransportEnergyCons!$C$3:$C$1000))*1,[1]OUT_TransportEnergyCons!K$3:K$1000)</f>
        <v>4.6779055868188856E-4</v>
      </c>
      <c r="N1325" s="1" cm="1">
        <f t="array" ref="N1325">SUMPRODUCT(("T_B_u-FCLH2O-S3"=[1]OUT_TransportEnergyCons!$A$3:$A$1000)*1,("Var_Fin"=[1]OUT_TransportEnergyCons!$B$3:$B$1000)*1,ISNUMBER(SEARCH("H2",[1]OUT_TransportEnergyCons!$C$3:$C$1000))*1,[1]OUT_TransportEnergyCons!L$3:L$1000)</f>
        <v>6.4932875440420524E-4</v>
      </c>
      <c r="O1325" s="1" cm="1">
        <f t="array" ref="O1325">SUMPRODUCT(("T_B_u-FCLH2O-S3"=[1]OUT_TransportEnergyCons!$A$3:$A$1000)*1,("Var_Fin"=[1]OUT_TransportEnergyCons!$B$3:$B$1000)*1,ISNUMBER(SEARCH("H2",[1]OUT_TransportEnergyCons!$C$3:$C$1000))*1,[1]OUT_TransportEnergyCons!M$3:M$1000)</f>
        <v>4.4134235789161451E-4</v>
      </c>
      <c r="P1325" s="1" cm="1">
        <f t="array" ref="P1325">SUMPRODUCT(("T_B_u-FCLH2O-S3"=[1]OUT_TransportEnergyCons!$A$3:$A$1000)*1,("Var_Fin"=[1]OUT_TransportEnergyCons!$B$3:$B$1000)*1,ISNUMBER(SEARCH("H2",[1]OUT_TransportEnergyCons!$C$3:$C$1000))*1,[1]OUT_TransportEnergyCons!N$3:N$1000)</f>
        <v>4.5761660702993412E-4</v>
      </c>
      <c r="Q1325" s="1" cm="1">
        <f t="array" ref="Q1325">SUMPRODUCT(("T_B_u-FCLH2O-S3"=[1]OUT_TransportEnergyCons!$A$3:$A$1000)*1,("Var_Fin"=[1]OUT_TransportEnergyCons!$B$3:$B$1000)*1,ISNUMBER(SEARCH("H2",[1]OUT_TransportEnergyCons!$C$3:$C$1000))*1,[1]OUT_TransportEnergyCons!O$3:O$1000)</f>
        <v>4.5293030860684135E-4</v>
      </c>
      <c r="S1325" s="3"/>
    </row>
    <row r="1326" spans="2:19" x14ac:dyDescent="0.5">
      <c r="B1326" s="5" t="str">
        <f t="shared" si="1478"/>
        <v>SPS1</v>
      </c>
      <c r="C1326" s="5" t="str">
        <f t="shared" si="1479"/>
        <v>CH</v>
      </c>
      <c r="D1326" t="s">
        <v>1316</v>
      </c>
      <c r="E1326" t="s">
        <v>8</v>
      </c>
      <c r="F1326" s="1" cm="1">
        <f t="array" ref="F1326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6" s="1" cm="1">
        <f t="array" ref="G1326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6" s="1" cm="1">
        <f t="array" ref="H1326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6" s="1" cm="1">
        <f t="array" ref="I1326">SUMPRODUCT(("T_B_u-FCLH2O-S4"=[1]OUT_TransportEnergyCons!$A$3:$A$1000)*1,("Var_Fin"=[1]OUT_TransportEnergyCons!$B$3:$B$1000)*1,ISNUMBER(SEARCH("H2",[1]OUT_TransportEnergyCons!$C$3:$C$1000))*1,[1]OUT_TransportEnergyCons!G$3:G$1000)</f>
        <v>3.1532346280639748E-4</v>
      </c>
      <c r="J1326" s="1" cm="1">
        <f t="array" ref="J1326">SUMPRODUCT(("T_B_u-FCLH2O-S4"=[1]OUT_TransportEnergyCons!$A$3:$A$1000)*1,("Var_Fin"=[1]OUT_TransportEnergyCons!$B$3:$B$1000)*1,ISNUMBER(SEARCH("H2",[1]OUT_TransportEnergyCons!$C$3:$C$1000))*1,[1]OUT_TransportEnergyCons!H$3:H$1000)</f>
        <v>6.0879539251907137E-4</v>
      </c>
      <c r="K1326" s="1" cm="1">
        <f t="array" ref="K1326">SUMPRODUCT(("T_B_u-FCLH2O-S4"=[1]OUT_TransportEnergyCons!$A$3:$A$1000)*1,("Var_Fin"=[1]OUT_TransportEnergyCons!$B$3:$B$1000)*1,ISNUMBER(SEARCH("H2",[1]OUT_TransportEnergyCons!$C$3:$C$1000))*1,[1]OUT_TransportEnergyCons!I$3:I$1000)</f>
        <v>5.7771035220044453E-4</v>
      </c>
      <c r="L1326" s="1" cm="1">
        <f t="array" ref="L1326">SUMPRODUCT(("T_B_u-FCLH2O-S4"=[1]OUT_TransportEnergyCons!$A$3:$A$1000)*1,("Var_Fin"=[1]OUT_TransportEnergyCons!$B$3:$B$1000)*1,ISNUMBER(SEARCH("H2",[1]OUT_TransportEnergyCons!$C$3:$C$1000))*1,[1]OUT_TransportEnergyCons!J$3:J$1000)</f>
        <v>5.2288513326286987E-4</v>
      </c>
      <c r="M1326" s="1" cm="1">
        <f t="array" ref="M1326">SUMPRODUCT(("T_B_u-FCLH2O-S4"=[1]OUT_TransportEnergyCons!$A$3:$A$1000)*1,("Var_Fin"=[1]OUT_TransportEnergyCons!$B$3:$B$1000)*1,ISNUMBER(SEARCH("H2",[1]OUT_TransportEnergyCons!$C$3:$C$1000))*1,[1]OUT_TransportEnergyCons!K$3:K$1000)</f>
        <v>5.143226521057804E-4</v>
      </c>
      <c r="N1326" s="1" cm="1">
        <f t="array" ref="N1326">SUMPRODUCT(("T_B_u-FCLH2O-S4"=[1]OUT_TransportEnergyCons!$A$3:$A$1000)*1,("Var_Fin"=[1]OUT_TransportEnergyCons!$B$3:$B$1000)*1,ISNUMBER(SEARCH("H2",[1]OUT_TransportEnergyCons!$C$3:$C$1000))*1,[1]OUT_TransportEnergyCons!L$3:L$1000)</f>
        <v>5.0495439641585701E-4</v>
      </c>
      <c r="O1326" s="1" cm="1">
        <f t="array" ref="O1326">SUMPRODUCT(("T_B_u-FCLH2O-S4"=[1]OUT_TransportEnergyCons!$A$3:$A$1000)*1,("Var_Fin"=[1]OUT_TransportEnergyCons!$B$3:$B$1000)*1,ISNUMBER(SEARCH("H2",[1]OUT_TransportEnergyCons!$C$3:$C$1000))*1,[1]OUT_TransportEnergyCons!M$3:M$1000)</f>
        <v>4.9369449323419831E-4</v>
      </c>
      <c r="P1326" s="1" cm="1">
        <f t="array" ref="P1326">SUMPRODUCT(("T_B_u-FCLH2O-S4"=[1]OUT_TransportEnergyCons!$A$3:$A$1000)*1,("Var_Fin"=[1]OUT_TransportEnergyCons!$B$3:$B$1000)*1,ISNUMBER(SEARCH("H2",[1]OUT_TransportEnergyCons!$C$3:$C$1000))*1,[1]OUT_TransportEnergyCons!N$3:N$1000)</f>
        <v>5.1139721716038833E-4</v>
      </c>
      <c r="Q1326" s="1" cm="1">
        <f t="array" ref="Q1326">SUMPRODUCT(("T_B_u-FCLH2O-S4"=[1]OUT_TransportEnergyCons!$A$3:$A$1000)*1,("Var_Fin"=[1]OUT_TransportEnergyCons!$B$3:$B$1000)*1,ISNUMBER(SEARCH("H2",[1]OUT_TransportEnergyCons!$C$3:$C$1000))*1,[1]OUT_TransportEnergyCons!O$3:O$1000)</f>
        <v>5.1512184182167671E-4</v>
      </c>
      <c r="S1326" s="3"/>
    </row>
    <row r="1327" spans="2:19" x14ac:dyDescent="0.5">
      <c r="B1327" s="5" t="str">
        <f t="shared" si="1478"/>
        <v>SPS1</v>
      </c>
      <c r="C1327" s="5" t="str">
        <f t="shared" si="1479"/>
        <v>CH</v>
      </c>
      <c r="D1327" t="s">
        <v>1317</v>
      </c>
      <c r="E1327" t="s">
        <v>8</v>
      </c>
      <c r="F1327" s="1">
        <f>SUM(F1332:F1340)</f>
        <v>0.74748071301490171</v>
      </c>
      <c r="G1327" s="1">
        <f t="shared" ref="G1327:K1327" si="1482">SUM(G1332:G1340)</f>
        <v>1.2634303194933589</v>
      </c>
      <c r="H1327" s="1">
        <f t="shared" si="1482"/>
        <v>2.8927025616463493E-2</v>
      </c>
      <c r="I1327" s="1">
        <f t="shared" si="1482"/>
        <v>6.6302896514850967E-2</v>
      </c>
      <c r="J1327" s="1">
        <f t="shared" si="1482"/>
        <v>1.1264448079997333E-2</v>
      </c>
      <c r="K1327" s="1">
        <f t="shared" si="1482"/>
        <v>5.5044115426634392E-3</v>
      </c>
      <c r="L1327" s="1">
        <f t="shared" ref="L1327:O1327" si="1483">SUM(L1332:L1340)</f>
        <v>5.5246095845279822E-3</v>
      </c>
      <c r="M1327" s="1">
        <f t="shared" si="1483"/>
        <v>1.1726803074500352E-3</v>
      </c>
      <c r="N1327" s="1">
        <f t="shared" si="1483"/>
        <v>0</v>
      </c>
      <c r="O1327" s="1">
        <f t="shared" si="1483"/>
        <v>0</v>
      </c>
      <c r="P1327" s="1">
        <f>SUM(P1332:P1340)</f>
        <v>0</v>
      </c>
      <c r="Q1327" s="1">
        <f>SUM(Q1332:Q1340)</f>
        <v>0</v>
      </c>
      <c r="S1327" s="3"/>
    </row>
    <row r="1328" spans="2:19" x14ac:dyDescent="0.5">
      <c r="B1328" s="5" t="str">
        <f t="shared" si="1478"/>
        <v>SPS1</v>
      </c>
      <c r="C1328" s="5" t="str">
        <f t="shared" si="1479"/>
        <v>CH</v>
      </c>
      <c r="D1328" t="s">
        <v>1318</v>
      </c>
      <c r="E1328" t="s">
        <v>8</v>
      </c>
      <c r="F1328" s="1">
        <f>IF(F1327-F1329&lt;0,0,F1327-F1329)</f>
        <v>0.72902748989906285</v>
      </c>
      <c r="G1328" s="1">
        <f t="shared" ref="G1328:K1328" si="1484">IF(G1327-G1329&lt;0,0,G1327-G1329)</f>
        <v>1.2305029561950624</v>
      </c>
      <c r="H1328" s="1">
        <f t="shared" si="1484"/>
        <v>2.7628713452534433E-2</v>
      </c>
      <c r="I1328" s="1">
        <f t="shared" si="1484"/>
        <v>6.2687761182662616E-2</v>
      </c>
      <c r="J1328" s="1">
        <f t="shared" si="1484"/>
        <v>1.0338350795923372E-2</v>
      </c>
      <c r="K1328" s="1">
        <f t="shared" si="1484"/>
        <v>4.5409478064482849E-3</v>
      </c>
      <c r="L1328" s="1">
        <f t="shared" ref="L1328:O1328" si="1485">IF(L1327-L1329&lt;0,0,L1327-L1329)</f>
        <v>3.155944871315838E-3</v>
      </c>
      <c r="M1328" s="1">
        <f t="shared" si="1485"/>
        <v>0</v>
      </c>
      <c r="N1328" s="1">
        <f t="shared" si="1485"/>
        <v>0</v>
      </c>
      <c r="O1328" s="1">
        <f t="shared" si="1485"/>
        <v>0</v>
      </c>
      <c r="P1328" s="1">
        <f>IF(P1327-P1329&lt;0,0,P1327-P1329)</f>
        <v>0</v>
      </c>
      <c r="Q1328" s="1">
        <f>IF(Q1327-Q1329&lt;0,0,Q1327-Q1329)</f>
        <v>0</v>
      </c>
      <c r="S1328" s="3"/>
    </row>
    <row r="1329" spans="2:19" x14ac:dyDescent="0.5">
      <c r="B1329" s="5" t="str">
        <f t="shared" si="1478"/>
        <v>SPS1</v>
      </c>
      <c r="C1329" s="5" t="str">
        <f t="shared" si="1479"/>
        <v>CH</v>
      </c>
      <c r="D1329" t="s">
        <v>1319</v>
      </c>
      <c r="E1329" t="s">
        <v>8</v>
      </c>
      <c r="F1329" s="1">
        <f>SUM(F1330:F1331)</f>
        <v>1.8453223115838822E-2</v>
      </c>
      <c r="G1329" s="1">
        <f t="shared" ref="G1329" si="1486">SUM(G1330:G1331)</f>
        <v>3.2927363298296403E-2</v>
      </c>
      <c r="H1329" s="1">
        <f t="shared" ref="H1329" si="1487">SUM(H1330:H1331)</f>
        <v>1.2983121639290594E-3</v>
      </c>
      <c r="I1329" s="1">
        <f t="shared" ref="I1329" si="1488">SUM(I1330:I1331)</f>
        <v>3.6151353321883508E-3</v>
      </c>
      <c r="J1329" s="1">
        <f t="shared" ref="J1329" si="1489">SUM(J1330:J1331)</f>
        <v>9.2609728407396072E-4</v>
      </c>
      <c r="K1329" s="1">
        <f t="shared" ref="K1329" si="1490">SUM(K1330:K1331)</f>
        <v>9.6346373621515461E-4</v>
      </c>
      <c r="L1329" s="1">
        <f t="shared" ref="L1329:O1329" si="1491">SUM(L1330:L1331)</f>
        <v>2.3686647132121442E-3</v>
      </c>
      <c r="M1329" s="1">
        <f t="shared" si="1491"/>
        <v>1.17341691268736E-3</v>
      </c>
      <c r="N1329" s="1">
        <f t="shared" si="1491"/>
        <v>0</v>
      </c>
      <c r="O1329" s="1">
        <f t="shared" si="1491"/>
        <v>0</v>
      </c>
      <c r="P1329" s="1">
        <f>SUM(P1330:P1331)</f>
        <v>0</v>
      </c>
      <c r="Q1329" s="1">
        <f>SUM(Q1330:Q1331)</f>
        <v>0</v>
      </c>
      <c r="S1329" s="3"/>
    </row>
    <row r="1330" spans="2:19" x14ac:dyDescent="0.5">
      <c r="B1330" s="5" t="str">
        <f t="shared" si="1478"/>
        <v>SPS1</v>
      </c>
      <c r="C1330" s="5" t="str">
        <f t="shared" si="1479"/>
        <v>CH</v>
      </c>
      <c r="D1330" t="s">
        <v>1321</v>
      </c>
      <c r="E1330" t="s">
        <v>8</v>
      </c>
      <c r="F1330" s="1">
        <f>[1]Transport!B$26/SUM([1]Transport!B$22,[1]Transport!B$26)*F1327*(F$34+F$582)/(F$34+F$582+F$38)</f>
        <v>1.8453223115838822E-2</v>
      </c>
      <c r="G1330" s="1">
        <f>[1]Transport!C$26/SUM([1]Transport!C$22,[1]Transport!C$26)*G1327*(G$34+G$582)/(G$34+G$582+G$38)</f>
        <v>3.2927363298296403E-2</v>
      </c>
      <c r="H1330" s="1">
        <f>[1]Transport!D$26/SUM([1]Transport!D$22,[1]Transport!D$26)*H1327*(H$34+H$582)/(H$34+H$582+H$38)</f>
        <v>1.2983121639290594E-3</v>
      </c>
      <c r="I1330" s="1">
        <f>[1]Transport!E$26/SUM([1]Transport!E$22,[1]Transport!E$26)*I1327*(I$34+I$582)/(I$34+I$582+I$38)</f>
        <v>3.6151353321883508E-3</v>
      </c>
      <c r="J1330" s="1">
        <f>[1]Transport!F$26/SUM([1]Transport!F$22,[1]Transport!F$26)*J1327*(J$34+J$582)/(J$34+J$582+J$38)</f>
        <v>9.2318429529934982E-4</v>
      </c>
      <c r="K1330" s="1">
        <f>[1]Transport!G$26/SUM([1]Transport!G$22,[1]Transport!G$26)*K1327*(K$34+K$582)/(K$34+K$582+K$38)</f>
        <v>6.9729920874086907E-4</v>
      </c>
      <c r="L1330" s="1">
        <f>[1]Transport!H$26/SUM([1]Transport!H$22,[1]Transport!H$26)*L1327*(L$34+L$582)/(L$34+L$582+L$38)</f>
        <v>1.8044286084217729E-3</v>
      </c>
      <c r="M1330" s="1">
        <f>[1]Transport!I$26/SUM([1]Transport!I$22,[1]Transport!I$26)*M1327*(M$34+M$582)/(M$34+M$582+M$38)</f>
        <v>1.1232944311953203E-3</v>
      </c>
      <c r="N1330" s="1">
        <f>[1]Transport!J$26/SUM([1]Transport!J$22,[1]Transport!J$26)*N1327*(N$34+N$582)/(N$34+N$582+N$38)</f>
        <v>0</v>
      </c>
      <c r="O1330" s="1">
        <f>[1]Transport!K$26/SUM([1]Transport!K$22,[1]Transport!K$26)*O1327*(O$34+O$582)/(O$34+O$582+O$38)</f>
        <v>0</v>
      </c>
      <c r="P1330" s="1">
        <f>[1]Transport!L$26/SUM([1]Transport!L$22,[1]Transport!L$26)*P1327*(P$34+P$582)/(P$34+P$582+P$38)</f>
        <v>0</v>
      </c>
      <c r="Q1330" s="1">
        <f>[1]Transport!M$26/SUM([1]Transport!M$22,[1]Transport!M$26)*Q1327*(Q$34+Q$582)/(Q$34+Q$582+Q$38)</f>
        <v>0</v>
      </c>
      <c r="S1330" s="3"/>
    </row>
    <row r="1331" spans="2:19" x14ac:dyDescent="0.5">
      <c r="B1331" s="5" t="str">
        <f t="shared" si="1478"/>
        <v>SPS1</v>
      </c>
      <c r="C1331" s="5" t="str">
        <f t="shared" si="1479"/>
        <v>CH</v>
      </c>
      <c r="D1331" t="s">
        <v>1320</v>
      </c>
      <c r="E1331" t="s">
        <v>8</v>
      </c>
      <c r="F1331" s="1">
        <f>(F$38+F$718)/([1]Transport!B$22+[1]Transport!B$26)*F1327</f>
        <v>0</v>
      </c>
      <c r="G1331" s="1">
        <f>(G$38+G$718)/([1]Transport!C$22+[1]Transport!C$26)*G1327</f>
        <v>0</v>
      </c>
      <c r="H1331" s="1">
        <f>(H$38+H$718)/([1]Transport!D$22+[1]Transport!D$26)*H1327</f>
        <v>0</v>
      </c>
      <c r="I1331" s="1">
        <f>(I$38+I$718)/([1]Transport!E$22+[1]Transport!E$26)*I1327</f>
        <v>0</v>
      </c>
      <c r="J1331" s="1">
        <f>(J$38+J$718)/([1]Transport!F$22+[1]Transport!F$26)*J1327</f>
        <v>2.9129887746108798E-6</v>
      </c>
      <c r="K1331" s="1">
        <f>(K$38+K$718)/([1]Transport!G$22+[1]Transport!G$26)*K1327</f>
        <v>2.6616452747428554E-4</v>
      </c>
      <c r="L1331" s="1">
        <f>(L$38+L$718)/([1]Transport!H$22+[1]Transport!H$26)*L1327</f>
        <v>5.6423610479037112E-4</v>
      </c>
      <c r="M1331" s="1">
        <f>(M$38+M$718)/([1]Transport!I$22+[1]Transport!I$26)*M1327</f>
        <v>5.0122481492039794E-5</v>
      </c>
      <c r="N1331" s="1">
        <f>(N$38+N$718)/([1]Transport!J$22+[1]Transport!J$26)*N1327</f>
        <v>0</v>
      </c>
      <c r="O1331" s="1">
        <f>(O$38+O$718)/([1]Transport!K$22+[1]Transport!K$26)*O1327</f>
        <v>0</v>
      </c>
      <c r="P1331" s="1">
        <f>(P$38+P$718)/([1]Transport!L$22+[1]Transport!L$26)*P1327</f>
        <v>0</v>
      </c>
      <c r="Q1331" s="1">
        <f>(Q$38+Q$718)/([1]Transport!M$22+[1]Transport!M$26)*Q1327</f>
        <v>0</v>
      </c>
      <c r="S1331" s="3"/>
    </row>
    <row r="1332" spans="2:19" x14ac:dyDescent="0.5">
      <c r="B1332" s="5" t="str">
        <f t="shared" si="1478"/>
        <v>SPS1</v>
      </c>
      <c r="C1332" s="5" t="str">
        <f t="shared" si="1479"/>
        <v>CH</v>
      </c>
      <c r="D1332" t="s">
        <v>1322</v>
      </c>
      <c r="E1332" t="s">
        <v>8</v>
      </c>
      <c r="F1332" s="1" cm="1">
        <f t="array" ref="F1332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SUMPRODUCT(("T_B_u-HYBDSL-S1"=[1]OUT_TransportEnergyCons!$A$3:$A$1000)*1,("Var_Fin"=[1]OUT_TransportEnergyCons!$B$3:$B$1000)*1,ISNUMBER(SEARCH("DSL",[1]OUT_TransportEnergyCons!$C$3:$C$1000))*1,[1]OUT_TransportEnergyCons!E$3:E$1000)</f>
        <v>0.14104777588376599</v>
      </c>
      <c r="H1332" s="1" cm="1">
        <f t="array" ref="H1332">SUMPRODUCT(("T_B_u-HYBDSL-S1"=[1]OUT_TransportEnergyCons!$A$3:$A$1000)*1,("Var_Fin"=[1]OUT_TransportEnergyCons!$B$3:$B$1000)*1,ISNUMBER(SEARCH("DSL",[1]OUT_TransportEnergyCons!$C$3:$C$1000))*1,[1]OUT_TransportEnergyCons!F$3:F$1000)</f>
        <v>2.6350606621316027E-4</v>
      </c>
      <c r="I1332" s="1" cm="1">
        <f t="array" ref="I1332">SUMPRODUCT(("T_B_u-HYBDSL-S1"=[1]OUT_TransportEnergyCons!$A$3:$A$1000)*1,("Var_Fin"=[1]OUT_TransportEnergyCons!$B$3:$B$1000)*1,ISNUMBER(SEARCH("DSL",[1]OUT_TransportEnergyCons!$C$3:$C$1000))*1,[1]OUT_TransportEnergyCons!G$3:G$1000)</f>
        <v>4.6188945368416819E-4</v>
      </c>
      <c r="J1332" s="1" cm="1">
        <f t="array" ref="J1332">SUMPRODUCT(("T_B_u-HYBDSL-S1"=[1]OUT_TransportEnergyCons!$A$3:$A$1000)*1,("Var_Fin"=[1]OUT_TransportEnergyCons!$B$3:$B$1000)*1,ISNUMBER(SEARCH("DSL",[1]OUT_TransportEnergyCons!$C$3:$C$1000))*1,[1]OUT_TransportEnergyCons!H$3:H$1000)</f>
        <v>3.868223127702769E-4</v>
      </c>
      <c r="K1332" s="1" cm="1">
        <f t="array" ref="K1332">SUMPRODUCT(("T_B_u-HYBDSL-S1"=[1]OUT_TransportEnergyCons!$A$3:$A$1000)*1,("Var_Fin"=[1]OUT_TransportEnergyCons!$B$3:$B$1000)*1,ISNUMBER(SEARCH("DSL",[1]OUT_TransportEnergyCons!$C$3:$C$1000))*1,[1]OUT_TransportEnergyCons!I$3:I$1000)</f>
        <v>3.4538116546197053E-4</v>
      </c>
      <c r="L1332" s="1" cm="1">
        <f t="array" ref="L1332">SUMPRODUCT(("T_B_u-HYBDSL-S1"=[1]OUT_TransportEnergyCons!$A$3:$A$1000)*1,("Var_Fin"=[1]OUT_TransportEnergyCons!$B$3:$B$1000)*1,ISNUMBER(SEARCH("DSL",[1]OUT_TransportEnergyCons!$C$3:$C$1000))*1,[1]OUT_TransportEnergyCons!J$3:J$1000)</f>
        <v>3.5301816733610279E-4</v>
      </c>
      <c r="M1332" s="1" cm="1">
        <f t="array" ref="M1332">SUMPRODUCT(("T_B_u-HYBDSL-S1"=[1]OUT_TransportEnergyCons!$A$3:$A$1000)*1,("Var_Fin"=[1]OUT_TransportEnergyCons!$B$3:$B$1000)*1,ISNUMBER(SEARCH("DSL",[1]OUT_TransportEnergyCons!$C$3:$C$1000))*1,[1]OUT_TransportEnergyCons!K$3:K$1000)</f>
        <v>2.0678822760035896E-4</v>
      </c>
      <c r="N1332" s="1" cm="1">
        <f t="array" ref="N1332">SUMPRODUCT(("T_B_u-HYBDSL-S1"=[1]OUT_TransportEnergyCons!$A$3:$A$1000)*1,("Var_Fin"=[1]OUT_TransportEnergyCons!$B$3:$B$1000)*1,ISNUMBER(SEARCH("DSL",[1]OUT_TransportEnergyCons!$C$3:$C$1000))*1,[1]OUT_TransportEnergyCons!L$3:L$1000)</f>
        <v>0</v>
      </c>
      <c r="O1332" s="1" cm="1">
        <f t="array" ref="O1332">SUMPRODUCT(("T_B_u-HYBDSL-S1"=[1]OUT_TransportEnergyCons!$A$3:$A$1000)*1,("Var_Fin"=[1]OUT_TransportEnergyCons!$B$3:$B$1000)*1,ISNUMBER(SEARCH("DSL",[1]OUT_TransportEnergyCons!$C$3:$C$1000))*1,[1]OUT_TransportEnergyCons!M$3:M$1000)</f>
        <v>0</v>
      </c>
      <c r="P1332" s="1" cm="1">
        <f t="array" ref="P1332">SUMPRODUCT(("T_B_u-HYBDSL-S1"=[1]OUT_TransportEnergyCons!$A$3:$A$1000)*1,("Var_Fin"=[1]OUT_TransportEnergyCons!$B$3:$B$1000)*1,ISNUMBER(SEARCH("DSL",[1]OUT_TransportEnergyCons!$C$3:$C$1000))*1,[1]OUT_TransportEnergyCons!N$3:N$1000)</f>
        <v>0</v>
      </c>
      <c r="Q1332" s="1" cm="1">
        <f t="array" ref="Q1332">SUMPRODUCT(("T_B_u-HYBDSL-S1"=[1]OUT_TransportEnergyCons!$A$3:$A$1000)*1,("Var_Fin"=[1]OUT_TransportEnergyCons!$B$3:$B$1000)*1,ISNUMBER(SEARCH("DSL",[1]OUT_TransportEnergyCons!$C$3:$C$1000))*1,[1]OUT_TransportEnergyCons!O$3:O$1000)</f>
        <v>0</v>
      </c>
      <c r="S1332" s="3"/>
    </row>
    <row r="1333" spans="2:19" x14ac:dyDescent="0.5">
      <c r="B1333" s="5" t="str">
        <f t="shared" si="1478"/>
        <v>SPS1</v>
      </c>
      <c r="C1333" s="5" t="str">
        <f t="shared" si="1479"/>
        <v>CH</v>
      </c>
      <c r="D1333" t="s">
        <v>1323</v>
      </c>
      <c r="E1333" t="s">
        <v>8</v>
      </c>
      <c r="F1333" s="1" cm="1">
        <f t="array" ref="F1333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SUMPRODUCT(("T_B_u-HYBDSL-S2"=[1]OUT_TransportEnergyCons!$A$3:$A$1000)*1,("Var_Fin"=[1]OUT_TransportEnergyCons!$B$3:$B$1000)*1,ISNUMBER(SEARCH("DSL",[1]OUT_TransportEnergyCons!$C$3:$C$1000))*1,[1]OUT_TransportEnergyCons!E$3:E$1000)</f>
        <v>4.2828415080618353E-4</v>
      </c>
      <c r="H1333" s="1" cm="1">
        <f t="array" ref="H1333">SUMPRODUCT(("T_B_u-HYBDSL-S2"=[1]OUT_TransportEnergyCons!$A$3:$A$1000)*1,("Var_Fin"=[1]OUT_TransportEnergyCons!$B$3:$B$1000)*1,ISNUMBER(SEARCH("DSL",[1]OUT_TransportEnergyCons!$C$3:$C$1000))*1,[1]OUT_TransportEnergyCons!F$3:F$1000)</f>
        <v>4.1471751699309221E-4</v>
      </c>
      <c r="I1333" s="1" cm="1">
        <f t="array" ref="I1333">SUMPRODUCT(("T_B_u-HYBDSL-S2"=[1]OUT_TransportEnergyCons!$A$3:$A$1000)*1,("Var_Fin"=[1]OUT_TransportEnergyCons!$B$3:$B$1000)*1,ISNUMBER(SEARCH("DSL",[1]OUT_TransportEnergyCons!$C$3:$C$1000))*1,[1]OUT_TransportEnergyCons!G$3:G$1000)</f>
        <v>9.2383364872954956E-4</v>
      </c>
      <c r="J1333" s="1" cm="1">
        <f t="array" ref="J1333">SUMPRODUCT(("T_B_u-HYBDSL-S2"=[1]OUT_TransportEnergyCons!$A$3:$A$1000)*1,("Var_Fin"=[1]OUT_TransportEnergyCons!$B$3:$B$1000)*1,ISNUMBER(SEARCH("DSL",[1]OUT_TransportEnergyCons!$C$3:$C$1000))*1,[1]OUT_TransportEnergyCons!H$3:H$1000)</f>
        <v>6.737600397362588E-4</v>
      </c>
      <c r="K1333" s="1" cm="1">
        <f t="array" ref="K1333">SUMPRODUCT(("T_B_u-HYBDSL-S2"=[1]OUT_TransportEnergyCons!$A$3:$A$1000)*1,("Var_Fin"=[1]OUT_TransportEnergyCons!$B$3:$B$1000)*1,ISNUMBER(SEARCH("DSL",[1]OUT_TransportEnergyCons!$C$3:$C$1000))*1,[1]OUT_TransportEnergyCons!I$3:I$1000)</f>
        <v>5.5997174672579723E-4</v>
      </c>
      <c r="L1333" s="1" cm="1">
        <f t="array" ref="L1333">SUMPRODUCT(("T_B_u-HYBDSL-S2"=[1]OUT_TransportEnergyCons!$A$3:$A$1000)*1,("Var_Fin"=[1]OUT_TransportEnergyCons!$B$3:$B$1000)*1,ISNUMBER(SEARCH("DSL",[1]OUT_TransportEnergyCons!$C$3:$C$1000))*1,[1]OUT_TransportEnergyCons!J$3:J$1000)</f>
        <v>5.4947525261625496E-4</v>
      </c>
      <c r="M1333" s="1" cm="1">
        <f t="array" ref="M1333">SUMPRODUCT(("T_B_u-HYBDSL-S2"=[1]OUT_TransportEnergyCons!$A$3:$A$1000)*1,("Var_Fin"=[1]OUT_TransportEnergyCons!$B$3:$B$1000)*1,ISNUMBER(SEARCH("DSL",[1]OUT_TransportEnergyCons!$C$3:$C$1000))*1,[1]OUT_TransportEnergyCons!K$3:K$1000)</f>
        <v>2.9776428722638217E-4</v>
      </c>
      <c r="N1333" s="1" cm="1">
        <f t="array" ref="N1333">SUMPRODUCT(("T_B_u-HYBDSL-S2"=[1]OUT_TransportEnergyCons!$A$3:$A$1000)*1,("Var_Fin"=[1]OUT_TransportEnergyCons!$B$3:$B$1000)*1,ISNUMBER(SEARCH("DSL",[1]OUT_TransportEnergyCons!$C$3:$C$1000))*1,[1]OUT_TransportEnergyCons!L$3:L$1000)</f>
        <v>0</v>
      </c>
      <c r="O1333" s="1" cm="1">
        <f t="array" ref="O1333">SUMPRODUCT(("T_B_u-HYBDSL-S2"=[1]OUT_TransportEnergyCons!$A$3:$A$1000)*1,("Var_Fin"=[1]OUT_TransportEnergyCons!$B$3:$B$1000)*1,ISNUMBER(SEARCH("DSL",[1]OUT_TransportEnergyCons!$C$3:$C$1000))*1,[1]OUT_TransportEnergyCons!M$3:M$1000)</f>
        <v>0</v>
      </c>
      <c r="P1333" s="1" cm="1">
        <f t="array" ref="P1333">SUMPRODUCT(("T_B_u-HYBDSL-S2"=[1]OUT_TransportEnergyCons!$A$3:$A$1000)*1,("Var_Fin"=[1]OUT_TransportEnergyCons!$B$3:$B$1000)*1,ISNUMBER(SEARCH("DSL",[1]OUT_TransportEnergyCons!$C$3:$C$1000))*1,[1]OUT_TransportEnergyCons!N$3:N$1000)</f>
        <v>0</v>
      </c>
      <c r="Q1333" s="1" cm="1">
        <f t="array" ref="Q1333">SUMPRODUCT(("T_B_u-HYBDSL-S2"=[1]OUT_TransportEnergyCons!$A$3:$A$1000)*1,("Var_Fin"=[1]OUT_TransportEnergyCons!$B$3:$B$1000)*1,ISNUMBER(SEARCH("DSL",[1]OUT_TransportEnergyCons!$C$3:$C$1000))*1,[1]OUT_TransportEnergyCons!O$3:O$1000)</f>
        <v>0</v>
      </c>
      <c r="S1333" s="3"/>
    </row>
    <row r="1334" spans="2:19" x14ac:dyDescent="0.5">
      <c r="B1334" s="5" t="str">
        <f t="shared" si="1478"/>
        <v>SPS1</v>
      </c>
      <c r="C1334" s="5" t="str">
        <f t="shared" si="1479"/>
        <v>CH</v>
      </c>
      <c r="D1334" t="s">
        <v>1324</v>
      </c>
      <c r="E1334" t="s">
        <v>8</v>
      </c>
      <c r="F1334" s="1" cm="1">
        <f t="array" ref="F1334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4" s="1" cm="1">
        <f t="array" ref="G1334">SUMPRODUCT(("T_B_u-HYBDSL-S3"=[1]OUT_TransportEnergyCons!$A$3:$A$1000)*1,("Var_Fin"=[1]OUT_TransportEnergyCons!$B$3:$B$1000)*1,ISNUMBER(SEARCH("DSL",[1]OUT_TransportEnergyCons!$C$3:$C$1000))*1,[1]OUT_TransportEnergyCons!E$3:E$1000)</f>
        <v>8.9492386273120456E-4</v>
      </c>
      <c r="H1334" s="1" cm="1">
        <f t="array" ref="H1334">SUMPRODUCT(("T_B_u-HYBDSL-S3"=[1]OUT_TransportEnergyCons!$A$3:$A$1000)*1,("Var_Fin"=[1]OUT_TransportEnergyCons!$B$3:$B$1000)*1,ISNUMBER(SEARCH("DSL",[1]OUT_TransportEnergyCons!$C$3:$C$1000))*1,[1]OUT_TransportEnergyCons!F$3:F$1000)</f>
        <v>1.0825884376385617E-3</v>
      </c>
      <c r="I1334" s="1" cm="1">
        <f t="array" ref="I1334">SUMPRODUCT(("T_B_u-HYBDSL-S3"=[1]OUT_TransportEnergyCons!$A$3:$A$1000)*1,("Var_Fin"=[1]OUT_TransportEnergyCons!$B$3:$B$1000)*1,ISNUMBER(SEARCH("DSL",[1]OUT_TransportEnergyCons!$C$3:$C$1000))*1,[1]OUT_TransportEnergyCons!G$3:G$1000)</f>
        <v>2.295545183780159E-2</v>
      </c>
      <c r="J1334" s="1" cm="1">
        <f t="array" ref="J1334">SUMPRODUCT(("T_B_u-HYBDSL-S3"=[1]OUT_TransportEnergyCons!$A$3:$A$1000)*1,("Var_Fin"=[1]OUT_TransportEnergyCons!$B$3:$B$1000)*1,ISNUMBER(SEARCH("DSL",[1]OUT_TransportEnergyCons!$C$3:$C$1000))*1,[1]OUT_TransportEnergyCons!H$3:H$1000)</f>
        <v>1.0434126761199368E-3</v>
      </c>
      <c r="K1334" s="1" cm="1">
        <f t="array" ref="K1334">SUMPRODUCT(("T_B_u-HYBDSL-S3"=[1]OUT_TransportEnergyCons!$A$3:$A$1000)*1,("Var_Fin"=[1]OUT_TransportEnergyCons!$B$3:$B$1000)*1,ISNUMBER(SEARCH("DSL",[1]OUT_TransportEnergyCons!$C$3:$C$1000))*1,[1]OUT_TransportEnergyCons!I$3:I$1000)</f>
        <v>6.4314978139929182E-4</v>
      </c>
      <c r="L1334" s="1" cm="1">
        <f t="array" ref="L1334">SUMPRODUCT(("T_B_u-HYBDSL-S3"=[1]OUT_TransportEnergyCons!$A$3:$A$1000)*1,("Var_Fin"=[1]OUT_TransportEnergyCons!$B$3:$B$1000)*1,ISNUMBER(SEARCH("DSL",[1]OUT_TransportEnergyCons!$C$3:$C$1000))*1,[1]OUT_TransportEnergyCons!J$3:J$1000)</f>
        <v>8.0108381538286308E-4</v>
      </c>
      <c r="M1334" s="1" cm="1">
        <f t="array" ref="M1334">SUMPRODUCT(("T_B_u-HYBDSL-S3"=[1]OUT_TransportEnergyCons!$A$3:$A$1000)*1,("Var_Fin"=[1]OUT_TransportEnergyCons!$B$3:$B$1000)*1,ISNUMBER(SEARCH("DSL",[1]OUT_TransportEnergyCons!$C$3:$C$1000))*1,[1]OUT_TransportEnergyCons!K$3:K$1000)</f>
        <v>0</v>
      </c>
      <c r="N1334" s="1" cm="1">
        <f t="array" ref="N1334">SUMPRODUCT(("T_B_u-HYBDSL-S3"=[1]OUT_TransportEnergyCons!$A$3:$A$1000)*1,("Var_Fin"=[1]OUT_TransportEnergyCons!$B$3:$B$1000)*1,ISNUMBER(SEARCH("DSL",[1]OUT_TransportEnergyCons!$C$3:$C$1000))*1,[1]OUT_TransportEnergyCons!L$3:L$1000)</f>
        <v>0</v>
      </c>
      <c r="O1334" s="1" cm="1">
        <f t="array" ref="O1334">SUMPRODUCT(("T_B_u-HYBDSL-S3"=[1]OUT_TransportEnergyCons!$A$3:$A$1000)*1,("Var_Fin"=[1]OUT_TransportEnergyCons!$B$3:$B$1000)*1,ISNUMBER(SEARCH("DSL",[1]OUT_TransportEnergyCons!$C$3:$C$1000))*1,[1]OUT_TransportEnergyCons!M$3:M$1000)</f>
        <v>0</v>
      </c>
      <c r="P1334" s="1" cm="1">
        <f t="array" ref="P1334">SUMPRODUCT(("T_B_u-HYBDSL-S3"=[1]OUT_TransportEnergyCons!$A$3:$A$1000)*1,("Var_Fin"=[1]OUT_TransportEnergyCons!$B$3:$B$1000)*1,ISNUMBER(SEARCH("DSL",[1]OUT_TransportEnergyCons!$C$3:$C$1000))*1,[1]OUT_TransportEnergyCons!N$3:N$1000)</f>
        <v>0</v>
      </c>
      <c r="Q1334" s="1" cm="1">
        <f t="array" ref="Q1334">SUMPRODUCT(("T_B_u-HYBDSL-S3"=[1]OUT_TransportEnergyCons!$A$3:$A$1000)*1,("Var_Fin"=[1]OUT_TransportEnergyCons!$B$3:$B$1000)*1,ISNUMBER(SEARCH("DSL",[1]OUT_TransportEnergyCons!$C$3:$C$1000))*1,[1]OUT_TransportEnergyCons!O$3:O$1000)</f>
        <v>0</v>
      </c>
      <c r="S1334" s="3"/>
    </row>
    <row r="1335" spans="2:19" x14ac:dyDescent="0.5">
      <c r="B1335" s="5" t="str">
        <f t="shared" si="1478"/>
        <v>SPS1</v>
      </c>
      <c r="C1335" s="5" t="str">
        <f t="shared" si="1479"/>
        <v>CH</v>
      </c>
      <c r="D1335" t="s">
        <v>1325</v>
      </c>
      <c r="E1335" t="s">
        <v>8</v>
      </c>
      <c r="F1335" s="1" cm="1">
        <f t="array" ref="F1335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5" s="1" cm="1">
        <f t="array" ref="G1335">SUMPRODUCT(("T_B_u-HYBDSL-S4"=[1]OUT_TransportEnergyCons!$A$3:$A$1000)*1,("Var_Fin"=[1]OUT_TransportEnergyCons!$B$3:$B$1000)*1,ISNUMBER(SEARCH("DSL",[1]OUT_TransportEnergyCons!$C$3:$C$1000))*1,[1]OUT_TransportEnergyCons!E$3:E$1000)</f>
        <v>3.1697982407260692E-4</v>
      </c>
      <c r="H1335" s="1" cm="1">
        <f t="array" ref="H1335">SUMPRODUCT(("T_B_u-HYBDSL-S4"=[1]OUT_TransportEnergyCons!$A$3:$A$1000)*1,("Var_Fin"=[1]OUT_TransportEnergyCons!$B$3:$B$1000)*1,ISNUMBER(SEARCH("DSL",[1]OUT_TransportEnergyCons!$C$3:$C$1000))*1,[1]OUT_TransportEnergyCons!F$3:F$1000)</f>
        <v>5.1664406455472986E-4</v>
      </c>
      <c r="I1335" s="1" cm="1">
        <f t="array" ref="I1335">SUMPRODUCT(("T_B_u-HYBDSL-S4"=[1]OUT_TransportEnergyCons!$A$3:$A$1000)*1,("Var_Fin"=[1]OUT_TransportEnergyCons!$B$3:$B$1000)*1,ISNUMBER(SEARCH("DSL",[1]OUT_TransportEnergyCons!$C$3:$C$1000))*1,[1]OUT_TransportEnergyCons!G$3:G$1000)</f>
        <v>1.127925651974517E-3</v>
      </c>
      <c r="J1335" s="1" cm="1">
        <f t="array" ref="J1335">SUMPRODUCT(("T_B_u-HYBDSL-S4"=[1]OUT_TransportEnergyCons!$A$3:$A$1000)*1,("Var_Fin"=[1]OUT_TransportEnergyCons!$B$3:$B$1000)*1,ISNUMBER(SEARCH("DSL",[1]OUT_TransportEnergyCons!$C$3:$C$1000))*1,[1]OUT_TransportEnergyCons!H$3:H$1000)</f>
        <v>7.8653227111316756E-4</v>
      </c>
      <c r="K1335" s="1" cm="1">
        <f t="array" ref="K1335">SUMPRODUCT(("T_B_u-HYBDSL-S4"=[1]OUT_TransportEnergyCons!$A$3:$A$1000)*1,("Var_Fin"=[1]OUT_TransportEnergyCons!$B$3:$B$1000)*1,ISNUMBER(SEARCH("DSL",[1]OUT_TransportEnergyCons!$C$3:$C$1000))*1,[1]OUT_TransportEnergyCons!I$3:I$1000)</f>
        <v>7.1691354910566731E-4</v>
      </c>
      <c r="L1335" s="1" cm="1">
        <f t="array" ref="L1335">SUMPRODUCT(("T_B_u-HYBDSL-S4"=[1]OUT_TransportEnergyCons!$A$3:$A$1000)*1,("Var_Fin"=[1]OUT_TransportEnergyCons!$B$3:$B$1000)*1,ISNUMBER(SEARCH("DSL",[1]OUT_TransportEnergyCons!$C$3:$C$1000))*1,[1]OUT_TransportEnergyCons!J$3:J$1000)</f>
        <v>6.4312486427008791E-4</v>
      </c>
      <c r="M1335" s="1" cm="1">
        <f t="array" ref="M1335">SUMPRODUCT(("T_B_u-HYBDSL-S4"=[1]OUT_TransportEnergyCons!$A$3:$A$1000)*1,("Var_Fin"=[1]OUT_TransportEnergyCons!$B$3:$B$1000)*1,ISNUMBER(SEARCH("DSL",[1]OUT_TransportEnergyCons!$C$3:$C$1000))*1,[1]OUT_TransportEnergyCons!K$3:K$1000)</f>
        <v>0</v>
      </c>
      <c r="N1335" s="1" cm="1">
        <f t="array" ref="N1335">SUMPRODUCT(("T_B_u-HYBDSL-S4"=[1]OUT_TransportEnergyCons!$A$3:$A$1000)*1,("Var_Fin"=[1]OUT_TransportEnergyCons!$B$3:$B$1000)*1,ISNUMBER(SEARCH("DSL",[1]OUT_TransportEnergyCons!$C$3:$C$1000))*1,[1]OUT_TransportEnergyCons!L$3:L$1000)</f>
        <v>0</v>
      </c>
      <c r="O1335" s="1" cm="1">
        <f t="array" ref="O1335">SUMPRODUCT(("T_B_u-HYBDSL-S4"=[1]OUT_TransportEnergyCons!$A$3:$A$1000)*1,("Var_Fin"=[1]OUT_TransportEnergyCons!$B$3:$B$1000)*1,ISNUMBER(SEARCH("DSL",[1]OUT_TransportEnergyCons!$C$3:$C$1000))*1,[1]OUT_TransportEnergyCons!M$3:M$1000)</f>
        <v>0</v>
      </c>
      <c r="P1335" s="1" cm="1">
        <f t="array" ref="P1335">SUMPRODUCT(("T_B_u-HYBDSL-S4"=[1]OUT_TransportEnergyCons!$A$3:$A$1000)*1,("Var_Fin"=[1]OUT_TransportEnergyCons!$B$3:$B$1000)*1,ISNUMBER(SEARCH("DSL",[1]OUT_TransportEnergyCons!$C$3:$C$1000))*1,[1]OUT_TransportEnergyCons!N$3:N$1000)</f>
        <v>0</v>
      </c>
      <c r="Q1335" s="1" cm="1">
        <f t="array" ref="Q1335">SUMPRODUCT(("T_B_u-HYBDSL-S4"=[1]OUT_TransportEnergyCons!$A$3:$A$1000)*1,("Var_Fin"=[1]OUT_TransportEnergyCons!$B$3:$B$1000)*1,ISNUMBER(SEARCH("DSL",[1]OUT_TransportEnergyCons!$C$3:$C$1000))*1,[1]OUT_TransportEnergyCons!O$3:O$1000)</f>
        <v>0</v>
      </c>
      <c r="S1335" s="3"/>
    </row>
    <row r="1336" spans="2:19" x14ac:dyDescent="0.5">
      <c r="B1336" s="5" t="str">
        <f t="shared" si="1478"/>
        <v>SPS1</v>
      </c>
      <c r="C1336" s="5" t="str">
        <f t="shared" si="1479"/>
        <v>CH</v>
      </c>
      <c r="D1336" t="s">
        <v>2000</v>
      </c>
      <c r="E1336" t="s">
        <v>8</v>
      </c>
      <c r="F1336" s="1" cm="1">
        <f t="array" ref="F1336">SUMPRODUCT(("T_B_u-ICEDSLEXT"=[1]OUT_TransportEnergyCons!$A$3:$A$1000)*1,("Var_Fin"=[1]OUT_TransportEnergyCons!$B$3:$B$1000)*1,ISNUMBER(SEARCH("DSL",[1]OUT_TransportEnergyCons!$C$3:$C$1000))*1,[1]OUT_TransportEnergyCons!D$3:D$1000)</f>
        <v>1.7331473111725101E-2</v>
      </c>
      <c r="G1336" s="1" cm="1">
        <f t="array" ref="G1336">SUMPRODUCT(("T_B_u-ICEDSLEXT"=[1]OUT_TransportEnergyCons!$A$3:$A$1000)*1,("Var_Fin"=[1]OUT_TransportEnergyCons!$B$3:$B$1000)*1,ISNUMBER(SEARCH("DSL",[1]OUT_TransportEnergyCons!$C$3:$C$1000))*1,[1]OUT_TransportEnergyCons!E$3:E$1000)</f>
        <v>1.7321156009910195E-2</v>
      </c>
      <c r="H1336" s="1" cm="1">
        <f t="array" ref="H1336">SUMPRODUCT(("T_B_u-ICEDSLEXT"=[1]OUT_TransportEnergyCons!$A$3:$A$1000)*1,("Var_Fin"=[1]OUT_TransportEnergyCons!$B$3:$B$1000)*1,ISNUMBER(SEARCH("DSL",[1]OUT_TransportEnergyCons!$C$3:$C$1000))*1,[1]OUT_TransportEnergyCons!F$3:F$1000)</f>
        <v>1.7254797490038651E-2</v>
      </c>
      <c r="I1336" s="1" cm="1">
        <f t="array" ref="I1336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SUMPRODUCT(("T_B_u-ICEDSLEXT"=[1]OUT_TransportEnergyCons!$A$3:$A$1000)*1,("Var_Fin"=[1]OUT_TransportEnergyCons!$B$3:$B$1000)*1,ISNUMBER(SEARCH("DSL",[1]OUT_TransportEnergyCons!$C$3:$C$1000))*1,[1]OUT_TransportEnergyCons!H$3:H$1000)</f>
        <v>0</v>
      </c>
      <c r="K1336" s="1" cm="1">
        <f t="array" ref="K1336">SUMPRODUCT(("T_B_u-ICEDSLEXT"=[1]OUT_TransportEnergyCons!$A$3:$A$1000)*1,("Var_Fin"=[1]OUT_TransportEnergyCons!$B$3:$B$1000)*1,ISNUMBER(SEARCH("DSL",[1]OUT_TransportEnergyCons!$C$3:$C$1000))*1,[1]OUT_TransportEnergyCons!I$3:I$1000)</f>
        <v>0</v>
      </c>
      <c r="L1336" s="1" cm="1">
        <f t="array" ref="L1336">SUMPRODUCT(("T_B_u-ICEDSLEXT"=[1]OUT_TransportEnergyCons!$A$3:$A$1000)*1,("Var_Fin"=[1]OUT_TransportEnergyCons!$B$3:$B$1000)*1,ISNUMBER(SEARCH("DSL",[1]OUT_TransportEnergyCons!$C$3:$C$1000))*1,[1]OUT_TransportEnergyCons!J$3:J$1000)</f>
        <v>0</v>
      </c>
      <c r="M1336" s="1" cm="1">
        <f t="array" ref="M1336">SUMPRODUCT(("T_B_u-ICEDSLEXT"=[1]OUT_TransportEnergyCons!$A$3:$A$1000)*1,("Var_Fin"=[1]OUT_TransportEnergyCons!$B$3:$B$1000)*1,ISNUMBER(SEARCH("DSL",[1]OUT_TransportEnergyCons!$C$3:$C$1000))*1,[1]OUT_TransportEnergyCons!K$3:K$1000)</f>
        <v>0</v>
      </c>
      <c r="N1336" s="1" cm="1">
        <f t="array" ref="N1336">SUMPRODUCT(("T_B_u-ICEDSLEXT"=[1]OUT_TransportEnergyCons!$A$3:$A$1000)*1,("Var_Fin"=[1]OUT_TransportEnergyCons!$B$3:$B$1000)*1,ISNUMBER(SEARCH("DSL",[1]OUT_TransportEnergyCons!$C$3:$C$1000))*1,[1]OUT_TransportEnergyCons!L$3:L$1000)</f>
        <v>0</v>
      </c>
      <c r="O1336" s="1" cm="1">
        <f t="array" ref="O1336">SUMPRODUCT(("T_B_u-ICEDSLEXT"=[1]OUT_TransportEnergyCons!$A$3:$A$1000)*1,("Var_Fin"=[1]OUT_TransportEnergyCons!$B$3:$B$1000)*1,ISNUMBER(SEARCH("DSL",[1]OUT_TransportEnergyCons!$C$3:$C$1000))*1,[1]OUT_TransportEnergyCons!M$3:M$1000)</f>
        <v>0</v>
      </c>
      <c r="P1336" s="1" cm="1">
        <f t="array" ref="P1336">SUMPRODUCT(("T_B_u-ICEDSLEXT"=[1]OUT_TransportEnergyCons!$A$3:$A$1000)*1,("Var_Fin"=[1]OUT_TransportEnergyCons!$B$3:$B$1000)*1,ISNUMBER(SEARCH("DSL",[1]OUT_TransportEnergyCons!$C$3:$C$1000))*1,[1]OUT_TransportEnergyCons!N$3:N$1000)</f>
        <v>0</v>
      </c>
      <c r="Q1336" s="1" cm="1">
        <f t="array" ref="Q1336">SUMPRODUCT(("T_B_u-ICEDSLEXT"=[1]OUT_TransportEnergyCons!$A$3:$A$1000)*1,("Var_Fin"=[1]OUT_TransportEnergyCons!$B$3:$B$1000)*1,ISNUMBER(SEARCH("DSL",[1]OUT_TransportEnergyCons!$C$3:$C$1000))*1,[1]OUT_TransportEnergyCons!O$3:O$1000)</f>
        <v>0</v>
      </c>
      <c r="S1336" s="3"/>
    </row>
    <row r="1337" spans="2:19" x14ac:dyDescent="0.5">
      <c r="B1337" s="5" t="str">
        <f t="shared" si="1478"/>
        <v>SPS1</v>
      </c>
      <c r="C1337" s="5" t="str">
        <f t="shared" si="1479"/>
        <v>CH</v>
      </c>
      <c r="D1337" t="s">
        <v>1326</v>
      </c>
      <c r="E1337" t="s">
        <v>8</v>
      </c>
      <c r="F1337" s="1" cm="1">
        <f t="array" ref="F1337">SUMPRODUCT(("T_B_u-ICEDSL-S1"=[1]OUT_TransportEnergyCons!$A$3:$A$1000)*1,("Var_Fin"=[1]OUT_TransportEnergyCons!$B$3:$B$1000)*1,ISNUMBER(SEARCH("DSL",[1]OUT_TransportEnergyCons!$C$3:$C$1000))*1,[1]OUT_TransportEnergyCons!D$3:D$1000)</f>
        <v>1.2525692925480869E-3</v>
      </c>
      <c r="G1337" s="1" cm="1">
        <f t="array" ref="G1337">SUMPRODUCT(("T_B_u-ICEDSL-S1"=[1]OUT_TransportEnergyCons!$A$3:$A$1000)*1,("Var_Fin"=[1]OUT_TransportEnergyCons!$B$3:$B$1000)*1,ISNUMBER(SEARCH("DSL",[1]OUT_TransportEnergyCons!$C$3:$C$1000))*1,[1]OUT_TransportEnergyCons!E$3:E$1000)</f>
        <v>7.3375870442664026E-2</v>
      </c>
      <c r="H1337" s="1" cm="1">
        <f t="array" ref="H1337">SUMPRODUCT(("T_B_u-ICEDSL-S1"=[1]OUT_TransportEnergyCons!$A$3:$A$1000)*1,("Var_Fin"=[1]OUT_TransportEnergyCons!$B$3:$B$1000)*1,ISNUMBER(SEARCH("DSL",[1]OUT_TransportEnergyCons!$C$3:$C$1000))*1,[1]OUT_TransportEnergyCons!F$3:F$1000)</f>
        <v>1.1846992429143291E-3</v>
      </c>
      <c r="I1337" s="1" cm="1">
        <f t="array" ref="I1337">SUMPRODUCT(("T_B_u-ICEDSL-S1"=[1]OUT_TransportEnergyCons!$A$3:$A$1000)*1,("Var_Fin"=[1]OUT_TransportEnergyCons!$B$3:$B$1000)*1,ISNUMBER(SEARCH("DSL",[1]OUT_TransportEnergyCons!$C$3:$C$1000))*1,[1]OUT_TransportEnergyCons!G$3:G$1000)</f>
        <v>1.6817367133827301E-3</v>
      </c>
      <c r="J1337" s="1" cm="1">
        <f t="array" ref="J1337">SUMPRODUCT(("T_B_u-ICEDSL-S1"=[1]OUT_TransportEnergyCons!$A$3:$A$1000)*1,("Var_Fin"=[1]OUT_TransportEnergyCons!$B$3:$B$1000)*1,ISNUMBER(SEARCH("DSL",[1]OUT_TransportEnergyCons!$C$3:$C$1000))*1,[1]OUT_TransportEnergyCons!H$3:H$1000)</f>
        <v>5.192906731810279E-4</v>
      </c>
      <c r="K1337" s="1" cm="1">
        <f t="array" ref="K1337">SUMPRODUCT(("T_B_u-ICEDSL-S1"=[1]OUT_TransportEnergyCons!$A$3:$A$1000)*1,("Var_Fin"=[1]OUT_TransportEnergyCons!$B$3:$B$1000)*1,ISNUMBER(SEARCH("DSL",[1]OUT_TransportEnergyCons!$C$3:$C$1000))*1,[1]OUT_TransportEnergyCons!I$3:I$1000)</f>
        <v>4.493719857119558E-4</v>
      </c>
      <c r="L1337" s="1" cm="1">
        <f t="array" ref="L1337">SUMPRODUCT(("T_B_u-ICEDSL-S1"=[1]OUT_TransportEnergyCons!$A$3:$A$1000)*1,("Var_Fin"=[1]OUT_TransportEnergyCons!$B$3:$B$1000)*1,ISNUMBER(SEARCH("DSL",[1]OUT_TransportEnergyCons!$C$3:$C$1000))*1,[1]OUT_TransportEnergyCons!J$3:J$1000)</f>
        <v>4.5638078881177061E-4</v>
      </c>
      <c r="M1337" s="1" cm="1">
        <f t="array" ref="M1337">SUMPRODUCT(("T_B_u-ICEDSL-S1"=[1]OUT_TransportEnergyCons!$A$3:$A$1000)*1,("Var_Fin"=[1]OUT_TransportEnergyCons!$B$3:$B$1000)*1,ISNUMBER(SEARCH("DSL",[1]OUT_TransportEnergyCons!$C$3:$C$1000))*1,[1]OUT_TransportEnergyCons!K$3:K$1000)</f>
        <v>2.64721943247424E-4</v>
      </c>
      <c r="N1337" s="1" cm="1">
        <f t="array" ref="N1337">SUMPRODUCT(("T_B_u-ICEDSL-S1"=[1]OUT_TransportEnergyCons!$A$3:$A$1000)*1,("Var_Fin"=[1]OUT_TransportEnergyCons!$B$3:$B$1000)*1,ISNUMBER(SEARCH("DSL",[1]OUT_TransportEnergyCons!$C$3:$C$1000))*1,[1]OUT_TransportEnergyCons!L$3:L$1000)</f>
        <v>0</v>
      </c>
      <c r="O1337" s="1" cm="1">
        <f t="array" ref="O1337">SUMPRODUCT(("T_B_u-ICEDSL-S1"=[1]OUT_TransportEnergyCons!$A$3:$A$1000)*1,("Var_Fin"=[1]OUT_TransportEnergyCons!$B$3:$B$1000)*1,ISNUMBER(SEARCH("DSL",[1]OUT_TransportEnergyCons!$C$3:$C$1000))*1,[1]OUT_TransportEnergyCons!M$3:M$1000)</f>
        <v>0</v>
      </c>
      <c r="P1337" s="1" cm="1">
        <f t="array" ref="P1337">SUMPRODUCT(("T_B_u-ICEDSL-S1"=[1]OUT_TransportEnergyCons!$A$3:$A$1000)*1,("Var_Fin"=[1]OUT_TransportEnergyCons!$B$3:$B$1000)*1,ISNUMBER(SEARCH("DSL",[1]OUT_TransportEnergyCons!$C$3:$C$1000))*1,[1]OUT_TransportEnergyCons!N$3:N$1000)</f>
        <v>0</v>
      </c>
      <c r="Q1337" s="1" cm="1">
        <f t="array" ref="Q1337">SUMPRODUCT(("T_B_u-ICEDSL-S1"=[1]OUT_TransportEnergyCons!$A$3:$A$1000)*1,("Var_Fin"=[1]OUT_TransportEnergyCons!$B$3:$B$1000)*1,ISNUMBER(SEARCH("DSL",[1]OUT_TransportEnergyCons!$C$3:$C$1000))*1,[1]OUT_TransportEnergyCons!O$3:O$1000)</f>
        <v>0</v>
      </c>
      <c r="S1337" s="3"/>
    </row>
    <row r="1338" spans="2:19" x14ac:dyDescent="0.5">
      <c r="B1338" s="5" t="str">
        <f t="shared" si="1478"/>
        <v>SPS1</v>
      </c>
      <c r="C1338" s="5" t="str">
        <f t="shared" si="1479"/>
        <v>CH</v>
      </c>
      <c r="D1338" t="s">
        <v>1327</v>
      </c>
      <c r="E1338" t="s">
        <v>8</v>
      </c>
      <c r="F1338" s="1" cm="1">
        <f t="array" ref="F1338">SUMPRODUCT(("T_B_u-ICEDSL-S2"=[1]OUT_TransportEnergyCons!$A$3:$A$1000)*1,("Var_Fin"=[1]OUT_TransportEnergyCons!$B$3:$B$1000)*1,ISNUMBER(SEARCH("DSL",[1]OUT_TransportEnergyCons!$C$3:$C$1000))*1,[1]OUT_TransportEnergyCons!D$3:D$1000)</f>
        <v>0.10615914134336162</v>
      </c>
      <c r="G1338" s="1" cm="1">
        <f t="array" ref="G1338">SUMPRODUCT(("T_B_u-ICEDSL-S2"=[1]OUT_TransportEnergyCons!$A$3:$A$1000)*1,("Var_Fin"=[1]OUT_TransportEnergyCons!$B$3:$B$1000)*1,ISNUMBER(SEARCH("DSL",[1]OUT_TransportEnergyCons!$C$3:$C$1000))*1,[1]OUT_TransportEnergyCons!E$3:E$1000)</f>
        <v>0.13223014304672223</v>
      </c>
      <c r="H1338" s="1" cm="1">
        <f t="array" ref="H1338">SUMPRODUCT(("T_B_u-ICEDSL-S2"=[1]OUT_TransportEnergyCons!$A$3:$A$1000)*1,("Var_Fin"=[1]OUT_TransportEnergyCons!$B$3:$B$1000)*1,ISNUMBER(SEARCH("DSL",[1]OUT_TransportEnergyCons!$C$3:$C$1000))*1,[1]OUT_TransportEnergyCons!F$3:F$1000)</f>
        <v>1.8265282468906071E-3</v>
      </c>
      <c r="I1338" s="1" cm="1">
        <f t="array" ref="I1338">SUMPRODUCT(("T_B_u-ICEDSL-S2"=[1]OUT_TransportEnergyCons!$A$3:$A$1000)*1,("Var_Fin"=[1]OUT_TransportEnergyCons!$B$3:$B$1000)*1,ISNUMBER(SEARCH("DSL",[1]OUT_TransportEnergyCons!$C$3:$C$1000))*1,[1]OUT_TransportEnergyCons!G$3:G$1000)</f>
        <v>3.2175143850059302E-3</v>
      </c>
      <c r="J1338" s="1" cm="1">
        <f t="array" ref="J1338">SUMPRODUCT(("T_B_u-ICEDSL-S2"=[1]OUT_TransportEnergyCons!$A$3:$A$1000)*1,("Var_Fin"=[1]OUT_TransportEnergyCons!$B$3:$B$1000)*1,ISNUMBER(SEARCH("DSL",[1]OUT_TransportEnergyCons!$C$3:$C$1000))*1,[1]OUT_TransportEnergyCons!H$3:H$1000)</f>
        <v>1.0824196519414826E-3</v>
      </c>
      <c r="K1338" s="1" cm="1">
        <f t="array" ref="K1338">SUMPRODUCT(("T_B_u-ICEDSL-S2"=[1]OUT_TransportEnergyCons!$A$3:$A$1000)*1,("Var_Fin"=[1]OUT_TransportEnergyCons!$B$3:$B$1000)*1,ISNUMBER(SEARCH("DSL",[1]OUT_TransportEnergyCons!$C$3:$C$1000))*1,[1]OUT_TransportEnergyCons!I$3:I$1000)</f>
        <v>8.218745241400752E-4</v>
      </c>
      <c r="L1338" s="1" cm="1">
        <f t="array" ref="L1338">SUMPRODUCT(("T_B_u-ICEDSL-S2"=[1]OUT_TransportEnergyCons!$A$3:$A$1000)*1,("Var_Fin"=[1]OUT_TransportEnergyCons!$B$3:$B$1000)*1,ISNUMBER(SEARCH("DSL",[1]OUT_TransportEnergyCons!$C$3:$C$1000))*1,[1]OUT_TransportEnergyCons!J$3:J$1000)</f>
        <v>7.5792638713570741E-4</v>
      </c>
      <c r="M1338" s="1" cm="1">
        <f t="array" ref="M1338">SUMPRODUCT(("T_B_u-ICEDSL-S2"=[1]OUT_TransportEnergyCons!$A$3:$A$1000)*1,("Var_Fin"=[1]OUT_TransportEnergyCons!$B$3:$B$1000)*1,ISNUMBER(SEARCH("DSL",[1]OUT_TransportEnergyCons!$C$3:$C$1000))*1,[1]OUT_TransportEnergyCons!K$3:K$1000)</f>
        <v>4.0340584937587E-4</v>
      </c>
      <c r="N1338" s="1" cm="1">
        <f t="array" ref="N1338">SUMPRODUCT(("T_B_u-ICEDSL-S2"=[1]OUT_TransportEnergyCons!$A$3:$A$1000)*1,("Var_Fin"=[1]OUT_TransportEnergyCons!$B$3:$B$1000)*1,ISNUMBER(SEARCH("DSL",[1]OUT_TransportEnergyCons!$C$3:$C$1000))*1,[1]OUT_TransportEnergyCons!L$3:L$1000)</f>
        <v>0</v>
      </c>
      <c r="O1338" s="1" cm="1">
        <f t="array" ref="O1338">SUMPRODUCT(("T_B_u-ICEDSL-S2"=[1]OUT_TransportEnergyCons!$A$3:$A$1000)*1,("Var_Fin"=[1]OUT_TransportEnergyCons!$B$3:$B$1000)*1,ISNUMBER(SEARCH("DSL",[1]OUT_TransportEnergyCons!$C$3:$C$1000))*1,[1]OUT_TransportEnergyCons!M$3:M$1000)</f>
        <v>0</v>
      </c>
      <c r="P1338" s="1" cm="1">
        <f t="array" ref="P1338">SUMPRODUCT(("T_B_u-ICEDSL-S2"=[1]OUT_TransportEnergyCons!$A$3:$A$1000)*1,("Var_Fin"=[1]OUT_TransportEnergyCons!$B$3:$B$1000)*1,ISNUMBER(SEARCH("DSL",[1]OUT_TransportEnergyCons!$C$3:$C$1000))*1,[1]OUT_TransportEnergyCons!N$3:N$1000)</f>
        <v>0</v>
      </c>
      <c r="Q1338" s="1" cm="1">
        <f t="array" ref="Q1338">SUMPRODUCT(("T_B_u-ICEDSL-S2"=[1]OUT_TransportEnergyCons!$A$3:$A$1000)*1,("Var_Fin"=[1]OUT_TransportEnergyCons!$B$3:$B$1000)*1,ISNUMBER(SEARCH("DSL",[1]OUT_TransportEnergyCons!$C$3:$C$1000))*1,[1]OUT_TransportEnergyCons!O$3:O$1000)</f>
        <v>0</v>
      </c>
      <c r="S1338" s="3"/>
    </row>
    <row r="1339" spans="2:19" x14ac:dyDescent="0.5">
      <c r="B1339" s="5" t="str">
        <f t="shared" si="1478"/>
        <v>SPS1</v>
      </c>
      <c r="C1339" s="5" t="str">
        <f t="shared" si="1479"/>
        <v>CH</v>
      </c>
      <c r="D1339" t="s">
        <v>1328</v>
      </c>
      <c r="E1339" t="s">
        <v>8</v>
      </c>
      <c r="F1339" s="1" cm="1">
        <f t="array" ref="F1339">SUMPRODUCT(("T_B_u-ICEDSL-S3"=[1]OUT_TransportEnergyCons!$A$3:$A$1000)*1,("Var_Fin"=[1]OUT_TransportEnergyCons!$B$3:$B$1000)*1,ISNUMBER(SEARCH("DSL",[1]OUT_TransportEnergyCons!$C$3:$C$1000))*1,[1]OUT_TransportEnergyCons!D$3:D$1000)</f>
        <v>0.61578296103974162</v>
      </c>
      <c r="G1339" s="1" cm="1">
        <f t="array" ref="G1339">SUMPRODUCT(("T_B_u-ICEDSL-S3"=[1]OUT_TransportEnergyCons!$A$3:$A$1000)*1,("Var_Fin"=[1]OUT_TransportEnergyCons!$B$3:$B$1000)*1,ISNUMBER(SEARCH("DSL",[1]OUT_TransportEnergyCons!$C$3:$C$1000))*1,[1]OUT_TransportEnergyCons!E$3:E$1000)</f>
        <v>0.8946668473481344</v>
      </c>
      <c r="H1339" s="1" cm="1">
        <f t="array" ref="H1339">SUMPRODUCT(("T_B_u-ICEDSL-S3"=[1]OUT_TransportEnergyCons!$A$3:$A$1000)*1,("Var_Fin"=[1]OUT_TransportEnergyCons!$B$3:$B$1000)*1,ISNUMBER(SEARCH("DSL",[1]OUT_TransportEnergyCons!$C$3:$C$1000))*1,[1]OUT_TransportEnergyCons!F$3:F$1000)</f>
        <v>2.6773515800309232E-3</v>
      </c>
      <c r="I1339" s="1" cm="1">
        <f t="array" ref="I1339">SUMPRODUCT(("T_B_u-ICEDSL-S3"=[1]OUT_TransportEnergyCons!$A$3:$A$1000)*1,("Var_Fin"=[1]OUT_TransportEnergyCons!$B$3:$B$1000)*1,ISNUMBER(SEARCH("DSL",[1]OUT_TransportEnergyCons!$C$3:$C$1000))*1,[1]OUT_TransportEnergyCons!G$3:G$1000)</f>
        <v>3.3342653568730368E-2</v>
      </c>
      <c r="J1339" s="1" cm="1">
        <f t="array" ref="J1339">SUMPRODUCT(("T_B_u-ICEDSL-S3"=[1]OUT_TransportEnergyCons!$A$3:$A$1000)*1,("Var_Fin"=[1]OUT_TransportEnergyCons!$B$3:$B$1000)*1,ISNUMBER(SEARCH("DSL",[1]OUT_TransportEnergyCons!$C$3:$C$1000))*1,[1]OUT_TransportEnergyCons!H$3:H$1000)</f>
        <v>5.7416664230109903E-3</v>
      </c>
      <c r="K1339" s="1" cm="1">
        <f t="array" ref="K1339">SUMPRODUCT(("T_B_u-ICEDSL-S3"=[1]OUT_TransportEnergyCons!$A$3:$A$1000)*1,("Var_Fin"=[1]OUT_TransportEnergyCons!$B$3:$B$1000)*1,ISNUMBER(SEARCH("DSL",[1]OUT_TransportEnergyCons!$C$3:$C$1000))*1,[1]OUT_TransportEnergyCons!I$3:I$1000)</f>
        <v>1.0876741019734881E-3</v>
      </c>
      <c r="L1339" s="1" cm="1">
        <f t="array" ref="L1339">SUMPRODUCT(("T_B_u-ICEDSL-S3"=[1]OUT_TransportEnergyCons!$A$3:$A$1000)*1,("Var_Fin"=[1]OUT_TransportEnergyCons!$B$3:$B$1000)*1,ISNUMBER(SEARCH("DSL",[1]OUT_TransportEnergyCons!$C$3:$C$1000))*1,[1]OUT_TransportEnergyCons!J$3:J$1000)</f>
        <v>1.1947171457260227E-3</v>
      </c>
      <c r="M1339" s="1" cm="1">
        <f t="array" ref="M1339">SUMPRODUCT(("T_B_u-ICEDSL-S3"=[1]OUT_TransportEnergyCons!$A$3:$A$1000)*1,("Var_Fin"=[1]OUT_TransportEnergyCons!$B$3:$B$1000)*1,ISNUMBER(SEARCH("DSL",[1]OUT_TransportEnergyCons!$C$3:$C$1000))*1,[1]OUT_TransportEnergyCons!K$3:K$1000)</f>
        <v>0</v>
      </c>
      <c r="N1339" s="1" cm="1">
        <f t="array" ref="N1339">SUMPRODUCT(("T_B_u-ICEDSL-S3"=[1]OUT_TransportEnergyCons!$A$3:$A$1000)*1,("Var_Fin"=[1]OUT_TransportEnergyCons!$B$3:$B$1000)*1,ISNUMBER(SEARCH("DSL",[1]OUT_TransportEnergyCons!$C$3:$C$1000))*1,[1]OUT_TransportEnergyCons!L$3:L$1000)</f>
        <v>0</v>
      </c>
      <c r="O1339" s="1" cm="1">
        <f t="array" ref="O1339">SUMPRODUCT(("T_B_u-ICEDSL-S3"=[1]OUT_TransportEnergyCons!$A$3:$A$1000)*1,("Var_Fin"=[1]OUT_TransportEnergyCons!$B$3:$B$1000)*1,ISNUMBER(SEARCH("DSL",[1]OUT_TransportEnergyCons!$C$3:$C$1000))*1,[1]OUT_TransportEnergyCons!M$3:M$1000)</f>
        <v>0</v>
      </c>
      <c r="P1339" s="1" cm="1">
        <f t="array" ref="P1339">SUMPRODUCT(("T_B_u-ICEDSL-S3"=[1]OUT_TransportEnergyCons!$A$3:$A$1000)*1,("Var_Fin"=[1]OUT_TransportEnergyCons!$B$3:$B$1000)*1,ISNUMBER(SEARCH("DSL",[1]OUT_TransportEnergyCons!$C$3:$C$1000))*1,[1]OUT_TransportEnergyCons!N$3:N$1000)</f>
        <v>0</v>
      </c>
      <c r="Q1339" s="1" cm="1">
        <f t="array" ref="Q1339">SUMPRODUCT(("T_B_u-ICEDSL-S3"=[1]OUT_TransportEnergyCons!$A$3:$A$1000)*1,("Var_Fin"=[1]OUT_TransportEnergyCons!$B$3:$B$1000)*1,ISNUMBER(SEARCH("DSL",[1]OUT_TransportEnergyCons!$C$3:$C$1000))*1,[1]OUT_TransportEnergyCons!O$3:O$1000)</f>
        <v>0</v>
      </c>
      <c r="S1339" s="3"/>
    </row>
    <row r="1340" spans="2:19" x14ac:dyDescent="0.5">
      <c r="B1340" s="5" t="str">
        <f t="shared" si="1478"/>
        <v>SPS1</v>
      </c>
      <c r="C1340" s="5" t="str">
        <f t="shared" si="1479"/>
        <v>CH</v>
      </c>
      <c r="D1340" t="s">
        <v>1329</v>
      </c>
      <c r="E1340" t="s">
        <v>8</v>
      </c>
      <c r="F1340" s="1" cm="1">
        <f t="array" ref="F1340">SUMPRODUCT(("T_B_u-ICEDSL-S4"=[1]OUT_TransportEnergyCons!$A$3:$A$1000)*1,("Var_Fin"=[1]OUT_TransportEnergyCons!$B$3:$B$1000)*1,ISNUMBER(SEARCH("DSL",[1]OUT_TransportEnergyCons!$C$3:$C$1000))*1,[1]OUT_TransportEnergyCons!D$3:D$1000)</f>
        <v>6.9545682275252178E-3</v>
      </c>
      <c r="G1340" s="1" cm="1">
        <f t="array" ref="G1340">SUMPRODUCT(("T_B_u-ICEDSL-S4"=[1]OUT_TransportEnergyCons!$A$3:$A$1000)*1,("Var_Fin"=[1]OUT_TransportEnergyCons!$B$3:$B$1000)*1,ISNUMBER(SEARCH("DSL",[1]OUT_TransportEnergyCons!$C$3:$C$1000))*1,[1]OUT_TransportEnergyCons!E$3:E$1000)</f>
        <v>3.1483389245522213E-3</v>
      </c>
      <c r="H1340" s="1" cm="1">
        <f t="array" ref="H1340">SUMPRODUCT(("T_B_u-ICEDSL-S4"=[1]OUT_TransportEnergyCons!$A$3:$A$1000)*1,("Var_Fin"=[1]OUT_TransportEnergyCons!$B$3:$B$1000)*1,ISNUMBER(SEARCH("DSL",[1]OUT_TransportEnergyCons!$C$3:$C$1000))*1,[1]OUT_TransportEnergyCons!F$3:F$1000)</f>
        <v>3.7061929711894388E-3</v>
      </c>
      <c r="I1340" s="1" cm="1">
        <f t="array" ref="I1340">SUMPRODUCT(("T_B_u-ICEDSL-S4"=[1]OUT_TransportEnergyCons!$A$3:$A$1000)*1,("Var_Fin"=[1]OUT_TransportEnergyCons!$B$3:$B$1000)*1,ISNUMBER(SEARCH("DSL",[1]OUT_TransportEnergyCons!$C$3:$C$1000))*1,[1]OUT_TransportEnergyCons!G$3:G$1000)</f>
        <v>2.5918912555421177E-3</v>
      </c>
      <c r="J1340" s="1" cm="1">
        <f t="array" ref="J1340">SUMPRODUCT(("T_B_u-ICEDSL-S4"=[1]OUT_TransportEnergyCons!$A$3:$A$1000)*1,("Var_Fin"=[1]OUT_TransportEnergyCons!$B$3:$B$1000)*1,ISNUMBER(SEARCH("DSL",[1]OUT_TransportEnergyCons!$C$3:$C$1000))*1,[1]OUT_TransportEnergyCons!H$3:H$1000)</f>
        <v>1.0305440321241911E-3</v>
      </c>
      <c r="K1340" s="1" cm="1">
        <f t="array" ref="K1340">SUMPRODUCT(("T_B_u-ICEDSL-S4"=[1]OUT_TransportEnergyCons!$A$3:$A$1000)*1,("Var_Fin"=[1]OUT_TransportEnergyCons!$B$3:$B$1000)*1,ISNUMBER(SEARCH("DSL",[1]OUT_TransportEnergyCons!$C$3:$C$1000))*1,[1]OUT_TransportEnergyCons!I$3:I$1000)</f>
        <v>8.8007468814519328E-4</v>
      </c>
      <c r="L1340" s="1" cm="1">
        <f t="array" ref="L1340">SUMPRODUCT(("T_B_u-ICEDSL-S4"=[1]OUT_TransportEnergyCons!$A$3:$A$1000)*1,("Var_Fin"=[1]OUT_TransportEnergyCons!$B$3:$B$1000)*1,ISNUMBER(SEARCH("DSL",[1]OUT_TransportEnergyCons!$C$3:$C$1000))*1,[1]OUT_TransportEnergyCons!J$3:J$1000)</f>
        <v>7.6888316324917247E-4</v>
      </c>
      <c r="M1340" s="1" cm="1">
        <f t="array" ref="M1340">SUMPRODUCT(("T_B_u-ICEDSL-S4"=[1]OUT_TransportEnergyCons!$A$3:$A$1000)*1,("Var_Fin"=[1]OUT_TransportEnergyCons!$B$3:$B$1000)*1,ISNUMBER(SEARCH("DSL",[1]OUT_TransportEnergyCons!$C$3:$C$1000))*1,[1]OUT_TransportEnergyCons!K$3:K$1000)</f>
        <v>0</v>
      </c>
      <c r="N1340" s="1" cm="1">
        <f t="array" ref="N1340">SUMPRODUCT(("T_B_u-ICEDSL-S4"=[1]OUT_TransportEnergyCons!$A$3:$A$1000)*1,("Var_Fin"=[1]OUT_TransportEnergyCons!$B$3:$B$1000)*1,ISNUMBER(SEARCH("DSL",[1]OUT_TransportEnergyCons!$C$3:$C$1000))*1,[1]OUT_TransportEnergyCons!L$3:L$1000)</f>
        <v>0</v>
      </c>
      <c r="O1340" s="1" cm="1">
        <f t="array" ref="O1340">SUMPRODUCT(("T_B_u-ICEDSL-S4"=[1]OUT_TransportEnergyCons!$A$3:$A$1000)*1,("Var_Fin"=[1]OUT_TransportEnergyCons!$B$3:$B$1000)*1,ISNUMBER(SEARCH("DSL",[1]OUT_TransportEnergyCons!$C$3:$C$1000))*1,[1]OUT_TransportEnergyCons!M$3:M$1000)</f>
        <v>0</v>
      </c>
      <c r="P1340" s="1" cm="1">
        <f t="array" ref="P1340">SUMPRODUCT(("T_B_u-ICEDSL-S4"=[1]OUT_TransportEnergyCons!$A$3:$A$1000)*1,("Var_Fin"=[1]OUT_TransportEnergyCons!$B$3:$B$1000)*1,ISNUMBER(SEARCH("DSL",[1]OUT_TransportEnergyCons!$C$3:$C$1000))*1,[1]OUT_TransportEnergyCons!N$3:N$1000)</f>
        <v>0</v>
      </c>
      <c r="Q1340" s="1" cm="1">
        <f t="array" ref="Q1340">SUMPRODUCT(("T_B_u-ICEDSL-S4"=[1]OUT_TransportEnergyCons!$A$3:$A$1000)*1,("Var_Fin"=[1]OUT_TransportEnergyCons!$B$3:$B$1000)*1,ISNUMBER(SEARCH("DSL",[1]OUT_TransportEnergyCons!$C$3:$C$1000))*1,[1]OUT_TransportEnergyCons!O$3:O$1000)</f>
        <v>0</v>
      </c>
      <c r="S1340" s="3"/>
    </row>
    <row r="1341" spans="2:19" x14ac:dyDescent="0.5">
      <c r="B1341" s="5" t="str">
        <f t="shared" si="1478"/>
        <v>SPS1</v>
      </c>
      <c r="C1341" s="5" t="str">
        <f t="shared" si="1479"/>
        <v>CH</v>
      </c>
      <c r="D1341" t="s">
        <v>1343</v>
      </c>
      <c r="E1341" t="s">
        <v>8</v>
      </c>
      <c r="F1341" s="1">
        <f>SUM(F1346:F1350)</f>
        <v>3.1456962479623613E-4</v>
      </c>
      <c r="G1341" s="1">
        <f t="shared" ref="G1341:K1341" si="1492">SUM(G1346:G1350)</f>
        <v>6.7105929184904404E-3</v>
      </c>
      <c r="H1341" s="1">
        <f t="shared" si="1492"/>
        <v>6.1665134047014011E-3</v>
      </c>
      <c r="I1341" s="1">
        <f t="shared" si="1492"/>
        <v>9.7562771867415674E-3</v>
      </c>
      <c r="J1341" s="1">
        <f t="shared" si="1492"/>
        <v>3.867020091150042E-3</v>
      </c>
      <c r="K1341" s="1">
        <f t="shared" si="1492"/>
        <v>3.4028498258963972E-3</v>
      </c>
      <c r="L1341" s="1">
        <f t="shared" ref="L1341:O1341" si="1493">SUM(L1346:L1350)</f>
        <v>3.473004930922602E-3</v>
      </c>
      <c r="M1341" s="1">
        <f t="shared" si="1493"/>
        <v>9.0356227633969115E-4</v>
      </c>
      <c r="N1341" s="1">
        <f t="shared" si="1493"/>
        <v>0</v>
      </c>
      <c r="O1341" s="1">
        <f t="shared" si="1493"/>
        <v>0</v>
      </c>
      <c r="P1341" s="1">
        <f>SUM(P1346:P1350)</f>
        <v>0</v>
      </c>
      <c r="Q1341" s="1">
        <f>SUM(Q1346:Q1350)</f>
        <v>0</v>
      </c>
      <c r="S1341" s="3"/>
    </row>
    <row r="1342" spans="2:19" x14ac:dyDescent="0.5">
      <c r="B1342" s="5" t="str">
        <f t="shared" si="1478"/>
        <v>SPS1</v>
      </c>
      <c r="C1342" s="5" t="str">
        <f t="shared" si="1479"/>
        <v>CH</v>
      </c>
      <c r="D1342" t="s">
        <v>1344</v>
      </c>
      <c r="E1342" t="s">
        <v>8</v>
      </c>
      <c r="F1342" s="1">
        <f>IF(F1341-F1343&lt;0,0,F1341-F1343)</f>
        <v>2.905817384299225E-4</v>
      </c>
      <c r="G1342" s="1">
        <f t="shared" ref="G1342:K1342" si="1494">IF(G1341-G1343&lt;0,0,G1341-G1343)</f>
        <v>5.8895717010714558E-3</v>
      </c>
      <c r="H1342" s="1">
        <f t="shared" si="1494"/>
        <v>6.1287214644905833E-3</v>
      </c>
      <c r="I1342" s="1">
        <f t="shared" si="1494"/>
        <v>9.7011344528088791E-3</v>
      </c>
      <c r="J1342" s="1">
        <f t="shared" si="1494"/>
        <v>0</v>
      </c>
      <c r="K1342" s="1">
        <f t="shared" si="1494"/>
        <v>0</v>
      </c>
      <c r="L1342" s="1">
        <f t="shared" ref="L1342:O1342" si="1495">IF(L1341-L1343&lt;0,0,L1341-L1343)</f>
        <v>0</v>
      </c>
      <c r="M1342" s="1">
        <f t="shared" si="1495"/>
        <v>0</v>
      </c>
      <c r="N1342" s="1">
        <f t="shared" si="1495"/>
        <v>0</v>
      </c>
      <c r="O1342" s="1">
        <f t="shared" si="1495"/>
        <v>0</v>
      </c>
      <c r="P1342" s="1">
        <f>IF(P1341-P1343&lt;0,0,P1341-P1343)</f>
        <v>0</v>
      </c>
      <c r="Q1342" s="1">
        <f>IF(Q1341-Q1343&lt;0,0,Q1341-Q1343)</f>
        <v>0</v>
      </c>
      <c r="S1342" s="3"/>
    </row>
    <row r="1343" spans="2:19" x14ac:dyDescent="0.5">
      <c r="B1343" s="5" t="str">
        <f t="shared" si="1478"/>
        <v>SPS1</v>
      </c>
      <c r="C1343" s="5" t="str">
        <f t="shared" si="1479"/>
        <v>CH</v>
      </c>
      <c r="D1343" t="s">
        <v>1345</v>
      </c>
      <c r="E1343" t="s">
        <v>8</v>
      </c>
      <c r="F1343" s="1">
        <f>SUM(F1344:F1345)</f>
        <v>2.3987886366313631E-5</v>
      </c>
      <c r="G1343" s="1">
        <f t="shared" ref="G1343" si="1496">SUM(G1344:G1345)</f>
        <v>8.2102121741898495E-4</v>
      </c>
      <c r="H1343" s="1">
        <f t="shared" ref="H1343" si="1497">SUM(H1344:H1345)</f>
        <v>3.7791940210817972E-5</v>
      </c>
      <c r="I1343" s="1">
        <f t="shared" ref="I1343" si="1498">SUM(I1344:I1345)</f>
        <v>5.5142733932688917E-5</v>
      </c>
      <c r="J1343" s="1">
        <f t="shared" ref="J1343" si="1499">SUM(J1344:J1345)</f>
        <v>1.3834106106893737E-2</v>
      </c>
      <c r="K1343" s="1">
        <f t="shared" ref="K1343" si="1500">SUM(K1344:K1345)</f>
        <v>0.10916093331717415</v>
      </c>
      <c r="L1343" s="1">
        <f t="shared" ref="L1343:O1343" si="1501">SUM(L1344:L1345)</f>
        <v>1.094263633821678</v>
      </c>
      <c r="M1343" s="1">
        <f t="shared" si="1501"/>
        <v>1.3466294624961939</v>
      </c>
      <c r="N1343" s="1">
        <f t="shared" si="1501"/>
        <v>0</v>
      </c>
      <c r="O1343" s="1">
        <f t="shared" si="1501"/>
        <v>0</v>
      </c>
      <c r="P1343" s="1">
        <f>SUM(P1344:P1345)</f>
        <v>0</v>
      </c>
      <c r="Q1343" s="1">
        <f>SUM(Q1344:Q1345)</f>
        <v>0</v>
      </c>
      <c r="S1343" s="3"/>
    </row>
    <row r="1344" spans="2:19" x14ac:dyDescent="0.5">
      <c r="B1344" s="5" t="str">
        <f t="shared" si="1478"/>
        <v>SPS1</v>
      </c>
      <c r="C1344" s="5" t="str">
        <f t="shared" si="1479"/>
        <v>CH</v>
      </c>
      <c r="D1344" t="s">
        <v>1346</v>
      </c>
      <c r="E1344" t="s">
        <v>8</v>
      </c>
      <c r="F1344" s="1">
        <f>IF(SUM([1]Transport!B$24,[1]Transport!B$27)=0,0,[1]Transport!B$27/SUM([1]Transport!B$24,[1]Transport!B$27)*F1341*(F$47+F$614)/(F$47+F$614+F$49))</f>
        <v>2.3987886366313631E-5</v>
      </c>
      <c r="G1344" s="1">
        <f>IF(SUM([1]Transport!C$24,[1]Transport!C$27)=0,0,[1]Transport!C$27/SUM([1]Transport!C$24,[1]Transport!C$27)*G1341*(G$47+G$614)/(G$47+G$614+G$49))</f>
        <v>8.2102121741898495E-4</v>
      </c>
      <c r="H1344" s="1">
        <f>IF(SUM([1]Transport!D$24,[1]Transport!D$27)=0,0,[1]Transport!D$27/SUM([1]Transport!D$24,[1]Transport!D$27)*H1341*(H$47+H$614)/(H$47+H$614+H$49))</f>
        <v>3.7791940210817972E-5</v>
      </c>
      <c r="I1344" s="1">
        <f>IF(SUM([1]Transport!E$24,[1]Transport!E$27)=0,0,[1]Transport!E$27/SUM([1]Transport!E$24,[1]Transport!E$27)*I1341*(I$47+I$614)/(I$47+I$614+I$49))</f>
        <v>5.5142733932688917E-5</v>
      </c>
      <c r="J1344" s="1">
        <f>IF(SUM([1]Transport!F$24,[1]Transport!F$27)=0,0,[1]Transport!F$27/SUM([1]Transport!F$24,[1]Transport!F$27)*J1341*(J$47+J$614)/(J$47+J$614+J$49))</f>
        <v>4.2057133079295021E-5</v>
      </c>
      <c r="K1344" s="1">
        <f>IF(SUM([1]Transport!G$24,[1]Transport!G$27)=0,0,[1]Transport!G$27/SUM([1]Transport!G$24,[1]Transport!G$27)*K1341*(K$47+K$614)/(K$47+K$614+K$49))</f>
        <v>3.8930012156367555E-4</v>
      </c>
      <c r="L1344" s="1">
        <f>IF(SUM([1]Transport!H$24,[1]Transport!H$27)=0,0,[1]Transport!H$27/SUM([1]Transport!H$24,[1]Transport!H$27)*L1341*(L$47+L$614)/(L$47+L$614+L$49))</f>
        <v>1.1720912803445127E-3</v>
      </c>
      <c r="M1344" s="1">
        <f>IF(SUM([1]Transport!I$24,[1]Transport!I$27)=0,0,[1]Transport!I$27/SUM([1]Transport!I$24,[1]Transport!I$27)*M1341*(M$47+M$614)/(M$47+M$614+M$49))</f>
        <v>8.3018258694795058E-4</v>
      </c>
      <c r="N1344" s="1">
        <f>IF(SUM([1]Transport!J$24,[1]Transport!J$27)=0,0,[1]Transport!J$27/SUM([1]Transport!J$24,[1]Transport!J$27)*N1341*(N$47+N$614)/(N$47+N$614+N$49))</f>
        <v>0</v>
      </c>
      <c r="O1344" s="1">
        <f>IF(SUM([1]Transport!K$24,[1]Transport!K$27)=0,0,[1]Transport!K$27/SUM([1]Transport!K$24,[1]Transport!K$27)*O1341*(O$47+O$614)/(O$47+O$614+O$49))</f>
        <v>0</v>
      </c>
      <c r="P1344" s="1">
        <f>IF(SUM([1]Transport!L$24,[1]Transport!L$27)=0,0,[1]Transport!L$27/SUM([1]Transport!L$24,[1]Transport!L$27)*P1341*(P$47+P$614)/(P$47+P$614+P$49))</f>
        <v>0</v>
      </c>
      <c r="Q1344" s="1">
        <f>IF(SUM([1]Transport!M$24,[1]Transport!M$27)=0,0,[1]Transport!M$27/SUM([1]Transport!M$24,[1]Transport!M$27)*Q1341*(Q$47+Q$614)/(Q$47+Q$614+Q$49))</f>
        <v>0</v>
      </c>
      <c r="S1344" s="3"/>
    </row>
    <row r="1345" spans="2:19" x14ac:dyDescent="0.5">
      <c r="B1345" s="5" t="str">
        <f t="shared" si="1478"/>
        <v>SPS1</v>
      </c>
      <c r="C1345" s="5" t="str">
        <f t="shared" si="1479"/>
        <v>CH</v>
      </c>
      <c r="D1345" t="s">
        <v>1347</v>
      </c>
      <c r="E1345" t="s">
        <v>8</v>
      </c>
      <c r="F1345" s="1">
        <f>IF(([1]Transport!B$24+[1]Transport!B$27)=0,0,(F$49+F$716)/([1]Transport!B$24+[1]Transport!B$27)*F1341)</f>
        <v>0</v>
      </c>
      <c r="G1345" s="1">
        <f>IF(([1]Transport!C$24+[1]Transport!C$27)=0,0,(G$49+G$716)/([1]Transport!C$24+[1]Transport!C$27)*G1341)</f>
        <v>0</v>
      </c>
      <c r="H1345" s="1">
        <f>IF(([1]Transport!D$24+[1]Transport!D$27)=0,0,(H$49+H$716)/([1]Transport!D$24+[1]Transport!D$27)*H1341)</f>
        <v>0</v>
      </c>
      <c r="I1345" s="1">
        <f>IF(([1]Transport!E$24+[1]Transport!E$27)=0,0,(I$49+I$716)/([1]Transport!E$24+[1]Transport!E$27)*I1341)</f>
        <v>0</v>
      </c>
      <c r="J1345" s="1">
        <f>IF(([1]Transport!F$24+[1]Transport!F$27)=0,0,(J$49+J$716)/([1]Transport!F$24+[1]Transport!F$27)*J1341)</f>
        <v>1.3792048973814442E-2</v>
      </c>
      <c r="K1345" s="1">
        <f>IF(([1]Transport!G$24+[1]Transport!G$27)=0,0,(K$49+K$716)/([1]Transport!G$24+[1]Transport!G$27)*K1341)</f>
        <v>0.10877163319561048</v>
      </c>
      <c r="L1345" s="1">
        <f>IF(([1]Transport!H$24+[1]Transport!H$27)=0,0,(L$49+L$716)/([1]Transport!H$24+[1]Transport!H$27)*L1341)</f>
        <v>1.0930915425413334</v>
      </c>
      <c r="M1345" s="1">
        <f>IF(([1]Transport!I$24+[1]Transport!I$27)=0,0,(M$49+M$716)/([1]Transport!I$24+[1]Transport!I$27)*M1341)</f>
        <v>1.345799279909246</v>
      </c>
      <c r="N1345" s="1">
        <f>IF(([1]Transport!J$24+[1]Transport!J$27)=0,0,(N$49+N$716)/([1]Transport!J$24+[1]Transport!J$27)*N1341)</f>
        <v>0</v>
      </c>
      <c r="O1345" s="1">
        <f>IF(([1]Transport!K$24+[1]Transport!K$27)=0,0,(O$49+O$716)/([1]Transport!K$24+[1]Transport!K$27)*O1341)</f>
        <v>0</v>
      </c>
      <c r="P1345" s="1">
        <f>IF(([1]Transport!L$24+[1]Transport!L$27)=0,0,(P$49+P$716)/([1]Transport!L$24+[1]Transport!L$27)*P1341)</f>
        <v>0</v>
      </c>
      <c r="Q1345" s="1">
        <f>IF(([1]Transport!M$24+[1]Transport!M$27)=0,0,(Q$49+Q$716)/([1]Transport!M$24+[1]Transport!M$27)*Q1341)</f>
        <v>0</v>
      </c>
      <c r="S1345" s="3"/>
    </row>
    <row r="1346" spans="2:19" x14ac:dyDescent="0.5">
      <c r="B1346" s="5" t="str">
        <f t="shared" si="1478"/>
        <v>SPS1</v>
      </c>
      <c r="C1346" s="5" t="str">
        <f t="shared" si="1479"/>
        <v>CH</v>
      </c>
      <c r="D1346" t="s">
        <v>2004</v>
      </c>
      <c r="E1346" t="s">
        <v>8</v>
      </c>
      <c r="F1346" s="1" cm="1">
        <f t="array" ref="F1346">SUMPRODUCT(("T_B_u-ICEngaEXT"=[1]OUT_TransportEnergyCons!$A$3:$A$1000)*1,("Var_Fin"=[1]OUT_TransportEnergyCons!$B$3:$B$1000)*1,ISNUMBER(SEARCH("nga",[1]OUT_TransportEnergyCons!$C$3:$C$1000))*1,[1]OUT_TransportEnergyCons!D$3:D$1000)</f>
        <v>3.1456962479623613E-4</v>
      </c>
      <c r="G1346" s="1" cm="1">
        <f t="array" ref="G1346">SUMPRODUCT(("T_B_u-ICEngaEXT"=[1]OUT_TransportEnergyCons!$A$3:$A$1000)*1,("Var_Fin"=[1]OUT_TransportEnergyCons!$B$3:$B$1000)*1,ISNUMBER(SEARCH("nga",[1]OUT_TransportEnergyCons!$C$3:$C$1000))*1,[1]OUT_TransportEnergyCons!E$3:E$1000)</f>
        <v>3.2004904466265339E-4</v>
      </c>
      <c r="H1346" s="1" cm="1">
        <f t="array" ref="H1346">SUMPRODUCT(("T_B_u-ICEngaEXT"=[1]OUT_TransportEnergyCons!$A$3:$A$1000)*1,("Var_Fin"=[1]OUT_TransportEnergyCons!$B$3:$B$1000)*1,ISNUMBER(SEARCH("nga",[1]OUT_TransportEnergyCons!$C$3:$C$1000))*1,[1]OUT_TransportEnergyCons!F$3:F$1000)</f>
        <v>9.4945723485568587E-6</v>
      </c>
      <c r="I1346" s="1" cm="1">
        <f t="array" ref="I1346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6" s="1" cm="1">
        <f t="array" ref="J1346">SUMPRODUCT(("T_B_u-ICEngaEXT"=[1]OUT_TransportEnergyCons!$A$3:$A$1000)*1,("Var_Fin"=[1]OUT_TransportEnergyCons!$B$3:$B$1000)*1,ISNUMBER(SEARCH("nga",[1]OUT_TransportEnergyCons!$C$3:$C$1000))*1,[1]OUT_TransportEnergyCons!H$3:H$1000)</f>
        <v>0</v>
      </c>
      <c r="K1346" s="1" cm="1">
        <f t="array" ref="K1346">SUMPRODUCT(("T_B_u-ICEngaEXT"=[1]OUT_TransportEnergyCons!$A$3:$A$1000)*1,("Var_Fin"=[1]OUT_TransportEnergyCons!$B$3:$B$1000)*1,ISNUMBER(SEARCH("nga",[1]OUT_TransportEnergyCons!$C$3:$C$1000))*1,[1]OUT_TransportEnergyCons!I$3:I$1000)</f>
        <v>0</v>
      </c>
      <c r="L1346" s="1" cm="1">
        <f t="array" ref="L1346">SUMPRODUCT(("T_B_u-ICEngaEXT"=[1]OUT_TransportEnergyCons!$A$3:$A$1000)*1,("Var_Fin"=[1]OUT_TransportEnergyCons!$B$3:$B$1000)*1,ISNUMBER(SEARCH("nga",[1]OUT_TransportEnergyCons!$C$3:$C$1000))*1,[1]OUT_TransportEnergyCons!J$3:J$1000)</f>
        <v>0</v>
      </c>
      <c r="M1346" s="1" cm="1">
        <f t="array" ref="M1346">SUMPRODUCT(("T_B_u-ICEngaEXT"=[1]OUT_TransportEnergyCons!$A$3:$A$1000)*1,("Var_Fin"=[1]OUT_TransportEnergyCons!$B$3:$B$1000)*1,ISNUMBER(SEARCH("nga",[1]OUT_TransportEnergyCons!$C$3:$C$1000))*1,[1]OUT_TransportEnergyCons!K$3:K$1000)</f>
        <v>0</v>
      </c>
      <c r="N1346" s="1" cm="1">
        <f t="array" ref="N1346">SUMPRODUCT(("T_B_u-ICEngaEXT"=[1]OUT_TransportEnergyCons!$A$3:$A$1000)*1,("Var_Fin"=[1]OUT_TransportEnergyCons!$B$3:$B$1000)*1,ISNUMBER(SEARCH("nga",[1]OUT_TransportEnergyCons!$C$3:$C$1000))*1,[1]OUT_TransportEnergyCons!L$3:L$1000)</f>
        <v>0</v>
      </c>
      <c r="O1346" s="1" cm="1">
        <f t="array" ref="O1346">SUMPRODUCT(("T_B_u-ICEngaEXT"=[1]OUT_TransportEnergyCons!$A$3:$A$1000)*1,("Var_Fin"=[1]OUT_TransportEnergyCons!$B$3:$B$1000)*1,ISNUMBER(SEARCH("nga",[1]OUT_TransportEnergyCons!$C$3:$C$1000))*1,[1]OUT_TransportEnergyCons!M$3:M$1000)</f>
        <v>0</v>
      </c>
      <c r="P1346" s="1" cm="1">
        <f t="array" ref="P1346">SUMPRODUCT(("T_B_u-ICEngaEXT"=[1]OUT_TransportEnergyCons!$A$3:$A$1000)*1,("Var_Fin"=[1]OUT_TransportEnergyCons!$B$3:$B$1000)*1,ISNUMBER(SEARCH("nga",[1]OUT_TransportEnergyCons!$C$3:$C$1000))*1,[1]OUT_TransportEnergyCons!N$3:N$1000)</f>
        <v>0</v>
      </c>
      <c r="Q1346" s="1" cm="1">
        <f t="array" ref="Q1346">SUMPRODUCT(("T_B_u-ICEngaEXT"=[1]OUT_TransportEnergyCons!$A$3:$A$1000)*1,("Var_Fin"=[1]OUT_TransportEnergyCons!$B$3:$B$1000)*1,ISNUMBER(SEARCH("nga",[1]OUT_TransportEnergyCons!$C$3:$C$1000))*1,[1]OUT_TransportEnergyCons!O$3:O$1000)</f>
        <v>0</v>
      </c>
      <c r="S1346" s="3"/>
    </row>
    <row r="1347" spans="2:19" x14ac:dyDescent="0.5">
      <c r="B1347" s="5" t="str">
        <f t="shared" si="1478"/>
        <v>SPS1</v>
      </c>
      <c r="C1347" s="5" t="str">
        <f t="shared" si="1479"/>
        <v>CH</v>
      </c>
      <c r="D1347" t="s">
        <v>1339</v>
      </c>
      <c r="E1347" t="s">
        <v>8</v>
      </c>
      <c r="F1347" s="1" cm="1">
        <f t="array" ref="F1347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SUMPRODUCT(("T_B_u-ICEnga-S1"=[1]OUT_TransportEnergyCons!$A$3:$A$1000)*1,("Var_Fin"=[1]OUT_TransportEnergyCons!$B$3:$B$1000)*1,ISNUMBER(SEARCH("nga",[1]OUT_TransportEnergyCons!$C$3:$C$1000))*1,[1]OUT_TransportEnergyCons!E$3:E$1000)</f>
        <v>4.2474433702757225E-3</v>
      </c>
      <c r="H1347" s="1" cm="1">
        <f t="array" ref="H1347">SUMPRODUCT(("T_B_u-ICEnga-S1"=[1]OUT_TransportEnergyCons!$A$3:$A$1000)*1,("Var_Fin"=[1]OUT_TransportEnergyCons!$B$3:$B$1000)*1,ISNUMBER(SEARCH("nga",[1]OUT_TransportEnergyCons!$C$3:$C$1000))*1,[1]OUT_TransportEnergyCons!F$3:F$1000)</f>
        <v>4.3231894434172282E-4</v>
      </c>
      <c r="I1347" s="1" cm="1">
        <f t="array" ref="I1347">SUMPRODUCT(("T_B_u-ICEnga-S1"=[1]OUT_TransportEnergyCons!$A$3:$A$1000)*1,("Var_Fin"=[1]OUT_TransportEnergyCons!$B$3:$B$1000)*1,ISNUMBER(SEARCH("nga",[1]OUT_TransportEnergyCons!$C$3:$C$1000))*1,[1]OUT_TransportEnergyCons!G$3:G$1000)</f>
        <v>6.1396097002825779E-4</v>
      </c>
      <c r="J1347" s="1" cm="1">
        <f t="array" ref="J1347">SUMPRODUCT(("T_B_u-ICEnga-S1"=[1]OUT_TransportEnergyCons!$A$3:$A$1000)*1,("Var_Fin"=[1]OUT_TransportEnergyCons!$B$3:$B$1000)*1,ISNUMBER(SEARCH("nga",[1]OUT_TransportEnergyCons!$C$3:$C$1000))*1,[1]OUT_TransportEnergyCons!H$3:H$1000)</f>
        <v>5.2723309037857246E-4</v>
      </c>
      <c r="K1347" s="1" cm="1">
        <f t="array" ref="K1347">SUMPRODUCT(("T_B_u-ICEnga-S1"=[1]OUT_TransportEnergyCons!$A$3:$A$1000)*1,("Var_Fin"=[1]OUT_TransportEnergyCons!$B$3:$B$1000)*1,ISNUMBER(SEARCH("nga",[1]OUT_TransportEnergyCons!$C$3:$C$1000))*1,[1]OUT_TransportEnergyCons!I$3:I$1000)</f>
        <v>4.863708809885612E-4</v>
      </c>
      <c r="L1347" s="1" cm="1">
        <f t="array" ref="L1347">SUMPRODUCT(("T_B_u-ICEnga-S1"=[1]OUT_TransportEnergyCons!$A$3:$A$1000)*1,("Var_Fin"=[1]OUT_TransportEnergyCons!$B$3:$B$1000)*1,ISNUMBER(SEARCH("nga",[1]OUT_TransportEnergyCons!$C$3:$C$1000))*1,[1]OUT_TransportEnergyCons!J$3:J$1000)</f>
        <v>4.8735791658750989E-4</v>
      </c>
      <c r="M1347" s="1" cm="1">
        <f t="array" ref="M1347">SUMPRODUCT(("T_B_u-ICEnga-S1"=[1]OUT_TransportEnergyCons!$A$3:$A$1000)*1,("Var_Fin"=[1]OUT_TransportEnergyCons!$B$3:$B$1000)*1,ISNUMBER(SEARCH("nga",[1]OUT_TransportEnergyCons!$C$3:$C$1000))*1,[1]OUT_TransportEnergyCons!K$3:K$1000)</f>
        <v>3.4870323549779348E-4</v>
      </c>
      <c r="N1347" s="1" cm="1">
        <f t="array" ref="N1347">SUMPRODUCT(("T_B_u-ICEnga-S1"=[1]OUT_TransportEnergyCons!$A$3:$A$1000)*1,("Var_Fin"=[1]OUT_TransportEnergyCons!$B$3:$B$1000)*1,ISNUMBER(SEARCH("nga",[1]OUT_TransportEnergyCons!$C$3:$C$1000))*1,[1]OUT_TransportEnergyCons!L$3:L$1000)</f>
        <v>0</v>
      </c>
      <c r="O1347" s="1" cm="1">
        <f t="array" ref="O1347">SUMPRODUCT(("T_B_u-ICEnga-S1"=[1]OUT_TransportEnergyCons!$A$3:$A$1000)*1,("Var_Fin"=[1]OUT_TransportEnergyCons!$B$3:$B$1000)*1,ISNUMBER(SEARCH("nga",[1]OUT_TransportEnergyCons!$C$3:$C$1000))*1,[1]OUT_TransportEnergyCons!M$3:M$1000)</f>
        <v>0</v>
      </c>
      <c r="P1347" s="1" cm="1">
        <f t="array" ref="P1347">SUMPRODUCT(("T_B_u-ICEnga-S1"=[1]OUT_TransportEnergyCons!$A$3:$A$1000)*1,("Var_Fin"=[1]OUT_TransportEnergyCons!$B$3:$B$1000)*1,ISNUMBER(SEARCH("nga",[1]OUT_TransportEnergyCons!$C$3:$C$1000))*1,[1]OUT_TransportEnergyCons!N$3:N$1000)</f>
        <v>0</v>
      </c>
      <c r="Q1347" s="1" cm="1">
        <f t="array" ref="Q1347">SUMPRODUCT(("T_B_u-ICEnga-S1"=[1]OUT_TransportEnergyCons!$A$3:$A$1000)*1,("Var_Fin"=[1]OUT_TransportEnergyCons!$B$3:$B$1000)*1,ISNUMBER(SEARCH("nga",[1]OUT_TransportEnergyCons!$C$3:$C$1000))*1,[1]OUT_TransportEnergyCons!O$3:O$1000)</f>
        <v>0</v>
      </c>
      <c r="S1347" s="3"/>
    </row>
    <row r="1348" spans="2:19" x14ac:dyDescent="0.5">
      <c r="B1348" s="5" t="str">
        <f t="shared" si="1478"/>
        <v>SPS1</v>
      </c>
      <c r="C1348" s="5" t="str">
        <f t="shared" si="1479"/>
        <v>CH</v>
      </c>
      <c r="D1348" t="s">
        <v>1340</v>
      </c>
      <c r="E1348" t="s">
        <v>8</v>
      </c>
      <c r="F1348" s="1" cm="1">
        <f t="array" ref="F1348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SUMPRODUCT(("T_B_u-ICEnga-S2"=[1]OUT_TransportEnergyCons!$A$3:$A$1000)*1,("Var_Fin"=[1]OUT_TransportEnergyCons!$B$3:$B$1000)*1,ISNUMBER(SEARCH("nga",[1]OUT_TransportEnergyCons!$C$3:$C$1000))*1,[1]OUT_TransportEnergyCons!E$3:E$1000)</f>
        <v>3.5135646196589792E-4</v>
      </c>
      <c r="H1348" s="1" cm="1">
        <f t="array" ref="H1348">SUMPRODUCT(("T_B_u-ICEnga-S2"=[1]OUT_TransportEnergyCons!$A$3:$A$1000)*1,("Var_Fin"=[1]OUT_TransportEnergyCons!$B$3:$B$1000)*1,ISNUMBER(SEARCH("nga",[1]OUT_TransportEnergyCons!$C$3:$C$1000))*1,[1]OUT_TransportEnergyCons!F$3:F$1000)</f>
        <v>6.7034909110953624E-4</v>
      </c>
      <c r="I1348" s="1" cm="1">
        <f t="array" ref="I1348">SUMPRODUCT(("T_B_u-ICEnga-S2"=[1]OUT_TransportEnergyCons!$A$3:$A$1000)*1,("Var_Fin"=[1]OUT_TransportEnergyCons!$B$3:$B$1000)*1,ISNUMBER(SEARCH("nga",[1]OUT_TransportEnergyCons!$C$3:$C$1000))*1,[1]OUT_TransportEnergyCons!G$3:G$1000)</f>
        <v>1.1078152910505977E-3</v>
      </c>
      <c r="J1348" s="1" cm="1">
        <f t="array" ref="J1348">SUMPRODUCT(("T_B_u-ICEnga-S2"=[1]OUT_TransportEnergyCons!$A$3:$A$1000)*1,("Var_Fin"=[1]OUT_TransportEnergyCons!$B$3:$B$1000)*1,ISNUMBER(SEARCH("nga",[1]OUT_TransportEnergyCons!$C$3:$C$1000))*1,[1]OUT_TransportEnergyCons!H$3:H$1000)</f>
        <v>9.1759004553306899E-4</v>
      </c>
      <c r="K1348" s="1" cm="1">
        <f t="array" ref="K1348">SUMPRODUCT(("T_B_u-ICEnga-S2"=[1]OUT_TransportEnergyCons!$A$3:$A$1000)*1,("Var_Fin"=[1]OUT_TransportEnergyCons!$B$3:$B$1000)*1,ISNUMBER(SEARCH("nga",[1]OUT_TransportEnergyCons!$C$3:$C$1000))*1,[1]OUT_TransportEnergyCons!I$3:I$1000)</f>
        <v>8.3630605468866851E-4</v>
      </c>
      <c r="L1348" s="1" cm="1">
        <f t="array" ref="L1348">SUMPRODUCT(("T_B_u-ICEnga-S2"=[1]OUT_TransportEnergyCons!$A$3:$A$1000)*1,("Var_Fin"=[1]OUT_TransportEnergyCons!$B$3:$B$1000)*1,ISNUMBER(SEARCH("nga",[1]OUT_TransportEnergyCons!$C$3:$C$1000))*1,[1]OUT_TransportEnergyCons!J$3:J$1000)</f>
        <v>8.1401432456610961E-4</v>
      </c>
      <c r="M1348" s="1" cm="1">
        <f t="array" ref="M1348">SUMPRODUCT(("T_B_u-ICEnga-S2"=[1]OUT_TransportEnergyCons!$A$3:$A$1000)*1,("Var_Fin"=[1]OUT_TransportEnergyCons!$B$3:$B$1000)*1,ISNUMBER(SEARCH("nga",[1]OUT_TransportEnergyCons!$C$3:$C$1000))*1,[1]OUT_TransportEnergyCons!K$3:K$1000)</f>
        <v>5.5485904084189768E-4</v>
      </c>
      <c r="N1348" s="1" cm="1">
        <f t="array" ref="N1348">SUMPRODUCT(("T_B_u-ICEnga-S2"=[1]OUT_TransportEnergyCons!$A$3:$A$1000)*1,("Var_Fin"=[1]OUT_TransportEnergyCons!$B$3:$B$1000)*1,ISNUMBER(SEARCH("nga",[1]OUT_TransportEnergyCons!$C$3:$C$1000))*1,[1]OUT_TransportEnergyCons!L$3:L$1000)</f>
        <v>0</v>
      </c>
      <c r="O1348" s="1" cm="1">
        <f t="array" ref="O1348">SUMPRODUCT(("T_B_u-ICEnga-S2"=[1]OUT_TransportEnergyCons!$A$3:$A$1000)*1,("Var_Fin"=[1]OUT_TransportEnergyCons!$B$3:$B$1000)*1,ISNUMBER(SEARCH("nga",[1]OUT_TransportEnergyCons!$C$3:$C$1000))*1,[1]OUT_TransportEnergyCons!M$3:M$1000)</f>
        <v>0</v>
      </c>
      <c r="P1348" s="1" cm="1">
        <f t="array" ref="P1348">SUMPRODUCT(("T_B_u-ICEnga-S2"=[1]OUT_TransportEnergyCons!$A$3:$A$1000)*1,("Var_Fin"=[1]OUT_TransportEnergyCons!$B$3:$B$1000)*1,ISNUMBER(SEARCH("nga",[1]OUT_TransportEnergyCons!$C$3:$C$1000))*1,[1]OUT_TransportEnergyCons!N$3:N$1000)</f>
        <v>0</v>
      </c>
      <c r="Q1348" s="1" cm="1">
        <f t="array" ref="Q1348">SUMPRODUCT(("T_B_u-ICEnga-S2"=[1]OUT_TransportEnergyCons!$A$3:$A$1000)*1,("Var_Fin"=[1]OUT_TransportEnergyCons!$B$3:$B$1000)*1,ISNUMBER(SEARCH("nga",[1]OUT_TransportEnergyCons!$C$3:$C$1000))*1,[1]OUT_TransportEnergyCons!O$3:O$1000)</f>
        <v>0</v>
      </c>
      <c r="S1348" s="3"/>
    </row>
    <row r="1349" spans="2:19" x14ac:dyDescent="0.5">
      <c r="B1349" s="5" t="str">
        <f t="shared" si="1478"/>
        <v>SPS1</v>
      </c>
      <c r="C1349" s="5" t="str">
        <f t="shared" si="1479"/>
        <v>CH</v>
      </c>
      <c r="D1349" t="s">
        <v>1341</v>
      </c>
      <c r="E1349" t="s">
        <v>8</v>
      </c>
      <c r="F1349" s="1" cm="1">
        <f t="array" ref="F1349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9" s="1" cm="1">
        <f t="array" ref="G1349">SUMPRODUCT(("T_B_u-ICEnga-S3"=[1]OUT_TransportEnergyCons!$A$3:$A$1000)*1,("Var_Fin"=[1]OUT_TransportEnergyCons!$B$3:$B$1000)*1,ISNUMBER(SEARCH("nga",[1]OUT_TransportEnergyCons!$C$3:$C$1000))*1,[1]OUT_TransportEnergyCons!E$3:E$1000)</f>
        <v>1.5579586576902177E-3</v>
      </c>
      <c r="H1349" s="1" cm="1">
        <f t="array" ref="H1349">SUMPRODUCT(("T_B_u-ICEnga-S3"=[1]OUT_TransportEnergyCons!$A$3:$A$1000)*1,("Var_Fin"=[1]OUT_TransportEnergyCons!$B$3:$B$1000)*1,ISNUMBER(SEARCH("nga",[1]OUT_TransportEnergyCons!$C$3:$C$1000))*1,[1]OUT_TransportEnergyCons!F$3:F$1000)</f>
        <v>3.660535733129426E-3</v>
      </c>
      <c r="I1349" s="1" cm="1">
        <f t="array" ref="I1349">SUMPRODUCT(("T_B_u-ICEnga-S3"=[1]OUT_TransportEnergyCons!$A$3:$A$1000)*1,("Var_Fin"=[1]OUT_TransportEnergyCons!$B$3:$B$1000)*1,ISNUMBER(SEARCH("nga",[1]OUT_TransportEnergyCons!$C$3:$C$1000))*1,[1]OUT_TransportEnergyCons!G$3:G$1000)</f>
        <v>6.3043517904935262E-3</v>
      </c>
      <c r="J1349" s="1" cm="1">
        <f t="array" ref="J1349">SUMPRODUCT(("T_B_u-ICEnga-S3"=[1]OUT_TransportEnergyCons!$A$3:$A$1000)*1,("Var_Fin"=[1]OUT_TransportEnergyCons!$B$3:$B$1000)*1,ISNUMBER(SEARCH("nga",[1]OUT_TransportEnergyCons!$C$3:$C$1000))*1,[1]OUT_TransportEnergyCons!H$3:H$1000)</f>
        <v>1.2513821859644143E-3</v>
      </c>
      <c r="K1349" s="1" cm="1">
        <f t="array" ref="K1349">SUMPRODUCT(("T_B_u-ICEnga-S3"=[1]OUT_TransportEnergyCons!$A$3:$A$1000)*1,("Var_Fin"=[1]OUT_TransportEnergyCons!$B$3:$B$1000)*1,ISNUMBER(SEARCH("nga",[1]OUT_TransportEnergyCons!$C$3:$C$1000))*1,[1]OUT_TransportEnergyCons!I$3:I$1000)</f>
        <v>9.4259396516941621E-4</v>
      </c>
      <c r="L1349" s="1" cm="1">
        <f t="array" ref="L1349">SUMPRODUCT(("T_B_u-ICEnga-S3"=[1]OUT_TransportEnergyCons!$A$3:$A$1000)*1,("Var_Fin"=[1]OUT_TransportEnergyCons!$B$3:$B$1000)*1,ISNUMBER(SEARCH("nga",[1]OUT_TransportEnergyCons!$C$3:$C$1000))*1,[1]OUT_TransportEnergyCons!J$3:J$1000)</f>
        <v>1.1478559939639952E-3</v>
      </c>
      <c r="M1349" s="1" cm="1">
        <f t="array" ref="M1349">SUMPRODUCT(("T_B_u-ICEnga-S3"=[1]OUT_TransportEnergyCons!$A$3:$A$1000)*1,("Var_Fin"=[1]OUT_TransportEnergyCons!$B$3:$B$1000)*1,ISNUMBER(SEARCH("nga",[1]OUT_TransportEnergyCons!$C$3:$C$1000))*1,[1]OUT_TransportEnergyCons!K$3:K$1000)</f>
        <v>0</v>
      </c>
      <c r="N1349" s="1" cm="1">
        <f t="array" ref="N1349">SUMPRODUCT(("T_B_u-ICEnga-S3"=[1]OUT_TransportEnergyCons!$A$3:$A$1000)*1,("Var_Fin"=[1]OUT_TransportEnergyCons!$B$3:$B$1000)*1,ISNUMBER(SEARCH("nga",[1]OUT_TransportEnergyCons!$C$3:$C$1000))*1,[1]OUT_TransportEnergyCons!L$3:L$1000)</f>
        <v>0</v>
      </c>
      <c r="O1349" s="1" cm="1">
        <f t="array" ref="O1349">SUMPRODUCT(("T_B_u-ICEnga-S3"=[1]OUT_TransportEnergyCons!$A$3:$A$1000)*1,("Var_Fin"=[1]OUT_TransportEnergyCons!$B$3:$B$1000)*1,ISNUMBER(SEARCH("nga",[1]OUT_TransportEnergyCons!$C$3:$C$1000))*1,[1]OUT_TransportEnergyCons!M$3:M$1000)</f>
        <v>0</v>
      </c>
      <c r="P1349" s="1" cm="1">
        <f t="array" ref="P1349">SUMPRODUCT(("T_B_u-ICEnga-S3"=[1]OUT_TransportEnergyCons!$A$3:$A$1000)*1,("Var_Fin"=[1]OUT_TransportEnergyCons!$B$3:$B$1000)*1,ISNUMBER(SEARCH("nga",[1]OUT_TransportEnergyCons!$C$3:$C$1000))*1,[1]OUT_TransportEnergyCons!N$3:N$1000)</f>
        <v>0</v>
      </c>
      <c r="Q1349" s="1" cm="1">
        <f t="array" ref="Q1349">SUMPRODUCT(("T_B_u-ICEnga-S3"=[1]OUT_TransportEnergyCons!$A$3:$A$1000)*1,("Var_Fin"=[1]OUT_TransportEnergyCons!$B$3:$B$1000)*1,ISNUMBER(SEARCH("nga",[1]OUT_TransportEnergyCons!$C$3:$C$1000))*1,[1]OUT_TransportEnergyCons!O$3:O$1000)</f>
        <v>0</v>
      </c>
      <c r="S1349" s="3"/>
    </row>
    <row r="1350" spans="2:19" x14ac:dyDescent="0.5">
      <c r="B1350" s="5" t="str">
        <f t="shared" si="1478"/>
        <v>SPS1</v>
      </c>
      <c r="C1350" s="5" t="str">
        <f t="shared" si="1479"/>
        <v>CH</v>
      </c>
      <c r="D1350" t="s">
        <v>1342</v>
      </c>
      <c r="E1350" t="s">
        <v>8</v>
      </c>
      <c r="F1350" s="1" cm="1">
        <f t="array" ref="F1350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50" s="1" cm="1">
        <f t="array" ref="G1350">SUMPRODUCT(("T_B_u-ICEnga-S4"=[1]OUT_TransportEnergyCons!$A$3:$A$1000)*1,("Var_Fin"=[1]OUT_TransportEnergyCons!$B$3:$B$1000)*1,ISNUMBER(SEARCH("nga",[1]OUT_TransportEnergyCons!$C$3:$C$1000))*1,[1]OUT_TransportEnergyCons!E$3:E$1000)</f>
        <v>2.3378538389594899E-4</v>
      </c>
      <c r="H1350" s="1" cm="1">
        <f t="array" ref="H1350">SUMPRODUCT(("T_B_u-ICEnga-S4"=[1]OUT_TransportEnergyCons!$A$3:$A$1000)*1,("Var_Fin"=[1]OUT_TransportEnergyCons!$B$3:$B$1000)*1,ISNUMBER(SEARCH("nga",[1]OUT_TransportEnergyCons!$C$3:$C$1000))*1,[1]OUT_TransportEnergyCons!F$3:F$1000)</f>
        <v>1.3938150637721586E-3</v>
      </c>
      <c r="I1350" s="1" cm="1">
        <f t="array" ref="I1350">SUMPRODUCT(("T_B_u-ICEnga-S4"=[1]OUT_TransportEnergyCons!$A$3:$A$1000)*1,("Var_Fin"=[1]OUT_TransportEnergyCons!$B$3:$B$1000)*1,ISNUMBER(SEARCH("nga",[1]OUT_TransportEnergyCons!$C$3:$C$1000))*1,[1]OUT_TransportEnergyCons!G$3:G$1000)</f>
        <v>1.7301491351691851E-3</v>
      </c>
      <c r="J1350" s="1" cm="1">
        <f t="array" ref="J1350">SUMPRODUCT(("T_B_u-ICEnga-S4"=[1]OUT_TransportEnergyCons!$A$3:$A$1000)*1,("Var_Fin"=[1]OUT_TransportEnergyCons!$B$3:$B$1000)*1,ISNUMBER(SEARCH("nga",[1]OUT_TransportEnergyCons!$C$3:$C$1000))*1,[1]OUT_TransportEnergyCons!H$3:H$1000)</f>
        <v>1.1708147692739864E-3</v>
      </c>
      <c r="K1350" s="1" cm="1">
        <f t="array" ref="K1350">SUMPRODUCT(("T_B_u-ICEnga-S4"=[1]OUT_TransportEnergyCons!$A$3:$A$1000)*1,("Var_Fin"=[1]OUT_TransportEnergyCons!$B$3:$B$1000)*1,ISNUMBER(SEARCH("nga",[1]OUT_TransportEnergyCons!$C$3:$C$1000))*1,[1]OUT_TransportEnergyCons!I$3:I$1000)</f>
        <v>1.137578925049751E-3</v>
      </c>
      <c r="L1350" s="1" cm="1">
        <f t="array" ref="L1350">SUMPRODUCT(("T_B_u-ICEnga-S4"=[1]OUT_TransportEnergyCons!$A$3:$A$1000)*1,("Var_Fin"=[1]OUT_TransportEnergyCons!$B$3:$B$1000)*1,ISNUMBER(SEARCH("nga",[1]OUT_TransportEnergyCons!$C$3:$C$1000))*1,[1]OUT_TransportEnergyCons!J$3:J$1000)</f>
        <v>1.0237766958049873E-3</v>
      </c>
      <c r="M1350" s="1" cm="1">
        <f t="array" ref="M1350">SUMPRODUCT(("T_B_u-ICEnga-S4"=[1]OUT_TransportEnergyCons!$A$3:$A$1000)*1,("Var_Fin"=[1]OUT_TransportEnergyCons!$B$3:$B$1000)*1,ISNUMBER(SEARCH("nga",[1]OUT_TransportEnergyCons!$C$3:$C$1000))*1,[1]OUT_TransportEnergyCons!K$3:K$1000)</f>
        <v>0</v>
      </c>
      <c r="N1350" s="1" cm="1">
        <f t="array" ref="N1350">SUMPRODUCT(("T_B_u-ICEnga-S4"=[1]OUT_TransportEnergyCons!$A$3:$A$1000)*1,("Var_Fin"=[1]OUT_TransportEnergyCons!$B$3:$B$1000)*1,ISNUMBER(SEARCH("nga",[1]OUT_TransportEnergyCons!$C$3:$C$1000))*1,[1]OUT_TransportEnergyCons!L$3:L$1000)</f>
        <v>0</v>
      </c>
      <c r="O1350" s="1" cm="1">
        <f t="array" ref="O1350">SUMPRODUCT(("T_B_u-ICEnga-S4"=[1]OUT_TransportEnergyCons!$A$3:$A$1000)*1,("Var_Fin"=[1]OUT_TransportEnergyCons!$B$3:$B$1000)*1,ISNUMBER(SEARCH("nga",[1]OUT_TransportEnergyCons!$C$3:$C$1000))*1,[1]OUT_TransportEnergyCons!M$3:M$1000)</f>
        <v>0</v>
      </c>
      <c r="P1350" s="1" cm="1">
        <f t="array" ref="P1350">SUMPRODUCT(("T_B_u-ICEnga-S4"=[1]OUT_TransportEnergyCons!$A$3:$A$1000)*1,("Var_Fin"=[1]OUT_TransportEnergyCons!$B$3:$B$1000)*1,ISNUMBER(SEARCH("nga",[1]OUT_TransportEnergyCons!$C$3:$C$1000))*1,[1]OUT_TransportEnergyCons!N$3:N$1000)</f>
        <v>0</v>
      </c>
      <c r="Q1350" s="1" cm="1">
        <f t="array" ref="Q1350">SUMPRODUCT(("T_B_u-ICEnga-S4"=[1]OUT_TransportEnergyCons!$A$3:$A$1000)*1,("Var_Fin"=[1]OUT_TransportEnergyCons!$B$3:$B$1000)*1,ISNUMBER(SEARCH("nga",[1]OUT_TransportEnergyCons!$C$3:$C$1000))*1,[1]OUT_TransportEnergyCons!O$3:O$1000)</f>
        <v>0</v>
      </c>
      <c r="S1350" s="3"/>
    </row>
    <row r="1351" spans="2:19" x14ac:dyDescent="0.5">
      <c r="B1351" s="5" t="str">
        <f>B1350</f>
        <v>SPS1</v>
      </c>
      <c r="C1351" s="5" t="str">
        <f>C1350</f>
        <v>CH</v>
      </c>
      <c r="D1351" s="2" t="s">
        <v>1348</v>
      </c>
      <c r="E1351" s="2" t="s">
        <v>1131</v>
      </c>
      <c r="F1351" s="3">
        <f>SUM(F1352:F1374)</f>
        <v>0.29621013224502601</v>
      </c>
      <c r="G1351" s="3">
        <f t="shared" ref="G1351:K1351" si="1502">SUM(G1352:G1374)</f>
        <v>0.30254648502782566</v>
      </c>
      <c r="H1351" s="3">
        <f t="shared" si="1502"/>
        <v>0.31160988144833845</v>
      </c>
      <c r="I1351" s="3">
        <f t="shared" si="1502"/>
        <v>0.32629730484781488</v>
      </c>
      <c r="J1351" s="3">
        <f t="shared" si="1502"/>
        <v>0.33959547249933481</v>
      </c>
      <c r="K1351" s="3">
        <f t="shared" si="1502"/>
        <v>0.35403491579703866</v>
      </c>
      <c r="L1351" s="3">
        <f t="shared" ref="L1351:O1351" si="1503">SUM(L1352:L1374)</f>
        <v>0.36645119674935106</v>
      </c>
      <c r="M1351" s="3">
        <f t="shared" si="1503"/>
        <v>0.37820429821482449</v>
      </c>
      <c r="N1351" s="3">
        <f t="shared" si="1503"/>
        <v>0.38855874547004682</v>
      </c>
      <c r="O1351" s="3">
        <f t="shared" si="1503"/>
        <v>0.39955627566591767</v>
      </c>
      <c r="P1351" s="3">
        <f>SUM(P1352:P1374)</f>
        <v>0.41175253996178462</v>
      </c>
      <c r="Q1351" s="3">
        <f>SUM(Q1352:Q1374)</f>
        <v>0.42579796482040377</v>
      </c>
      <c r="S1351" s="3"/>
    </row>
    <row r="1352" spans="2:19" x14ac:dyDescent="0.5">
      <c r="B1352" s="5" t="str">
        <f>B1351</f>
        <v>SPS1</v>
      </c>
      <c r="C1352" s="5" t="str">
        <f>C1351</f>
        <v>CH</v>
      </c>
      <c r="D1352" t="s">
        <v>1349</v>
      </c>
      <c r="E1352" t="str">
        <f>E1351</f>
        <v>billion km/yr.</v>
      </c>
      <c r="F1352" s="1" cm="1">
        <f t="array" ref="F1352">SUMPRODUCT(("T_B_u-BeVELCEXT"=[1]OUT_TransportEnergyCons!$A$3:$A$1000)*1,("var_fout"=[1]OUT_TransportEnergyCons!$B$3:$B$1000)*1,ISNUMBER(SEARCH("tpbsu",[1]OUT_TransportEnergyCons!$C$3:$C$1000))*1,[1]OUT_TransportEnergyCons!D$3:D$1000)</f>
        <v>1.9811553970348374E-3</v>
      </c>
      <c r="G1352" s="1" cm="1">
        <f t="array" ref="G1352">SUMPRODUCT(("T_B_u-BeVELCEXT"=[1]OUT_TransportEnergyCons!$A$3:$A$1000)*1,("var_fout"=[1]OUT_TransportEnergyCons!$B$3:$B$1000)*1,ISNUMBER(SEARCH("tpbsu",[1]OUT_TransportEnergyCons!$C$3:$C$1000))*1,[1]OUT_TransportEnergyCons!E$3:E$1000)</f>
        <v>1.6379498119651534E-3</v>
      </c>
      <c r="H1352" s="1" cm="1">
        <f t="array" ref="H1352">SUMPRODUCT(("T_B_u-BeVELCEXT"=[1]OUT_TransportEnergyCons!$A$3:$A$1000)*1,("var_fout"=[1]OUT_TransportEnergyCons!$B$3:$B$1000)*1,ISNUMBER(SEARCH("tpbsu",[1]OUT_TransportEnergyCons!$C$3:$C$1000))*1,[1]OUT_TransportEnergyCons!F$3:F$1000)</f>
        <v>1.0366482603988742E-3</v>
      </c>
      <c r="I1352" s="1" cm="1">
        <f t="array" ref="I1352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2" s="1" cm="1">
        <f t="array" ref="J1352">SUMPRODUCT(("T_B_u-BeVELCEXT"=[1]OUT_TransportEnergyCons!$A$3:$A$1000)*1,("var_fout"=[1]OUT_TransportEnergyCons!$B$3:$B$1000)*1,ISNUMBER(SEARCH("tpbsu",[1]OUT_TransportEnergyCons!$C$3:$C$1000))*1,[1]OUT_TransportEnergyCons!H$3:H$1000)</f>
        <v>0</v>
      </c>
      <c r="K1352" s="1" cm="1">
        <f t="array" ref="K1352">SUMPRODUCT(("T_B_u-BeVELCEXT"=[1]OUT_TransportEnergyCons!$A$3:$A$1000)*1,("var_fout"=[1]OUT_TransportEnergyCons!$B$3:$B$1000)*1,ISNUMBER(SEARCH("tpbsu",[1]OUT_TransportEnergyCons!$C$3:$C$1000))*1,[1]OUT_TransportEnergyCons!I$3:I$1000)</f>
        <v>0</v>
      </c>
      <c r="L1352" s="1" cm="1">
        <f t="array" ref="L1352">SUMPRODUCT(("T_B_u-BeVELCEXT"=[1]OUT_TransportEnergyCons!$A$3:$A$1000)*1,("var_fout"=[1]OUT_TransportEnergyCons!$B$3:$B$1000)*1,ISNUMBER(SEARCH("tpbsu",[1]OUT_TransportEnergyCons!$C$3:$C$1000))*1,[1]OUT_TransportEnergyCons!J$3:J$1000)</f>
        <v>0</v>
      </c>
      <c r="M1352" s="1" cm="1">
        <f t="array" ref="M1352">SUMPRODUCT(("T_B_u-BeVELCEXT"=[1]OUT_TransportEnergyCons!$A$3:$A$1000)*1,("var_fout"=[1]OUT_TransportEnergyCons!$B$3:$B$1000)*1,ISNUMBER(SEARCH("tpbsu",[1]OUT_TransportEnergyCons!$C$3:$C$1000))*1,[1]OUT_TransportEnergyCons!K$3:K$1000)</f>
        <v>0</v>
      </c>
      <c r="N1352" s="1" cm="1">
        <f t="array" ref="N1352">SUMPRODUCT(("T_B_u-BeVELCEXT"=[1]OUT_TransportEnergyCons!$A$3:$A$1000)*1,("var_fout"=[1]OUT_TransportEnergyCons!$B$3:$B$1000)*1,ISNUMBER(SEARCH("tpbsu",[1]OUT_TransportEnergyCons!$C$3:$C$1000))*1,[1]OUT_TransportEnergyCons!L$3:L$1000)</f>
        <v>0</v>
      </c>
      <c r="O1352" s="1" cm="1">
        <f t="array" ref="O1352">SUMPRODUCT(("T_B_u-BeVELCEXT"=[1]OUT_TransportEnergyCons!$A$3:$A$1000)*1,("var_fout"=[1]OUT_TransportEnergyCons!$B$3:$B$1000)*1,ISNUMBER(SEARCH("tpbsu",[1]OUT_TransportEnergyCons!$C$3:$C$1000))*1,[1]OUT_TransportEnergyCons!M$3:M$1000)</f>
        <v>0</v>
      </c>
      <c r="P1352" s="1" cm="1">
        <f t="array" ref="P1352">SUMPRODUCT(("T_B_u-BeVELCEXT"=[1]OUT_TransportEnergyCons!$A$3:$A$1000)*1,("var_fout"=[1]OUT_TransportEnergyCons!$B$3:$B$1000)*1,ISNUMBER(SEARCH("tpbsu",[1]OUT_TransportEnergyCons!$C$3:$C$1000))*1,[1]OUT_TransportEnergyCons!N$3:N$1000)</f>
        <v>0</v>
      </c>
      <c r="Q1352" s="1" cm="1">
        <f t="array" ref="Q1352">SUMPRODUCT(("T_B_u-BeVELCEXT"=[1]OUT_TransportEnergyCons!$A$3:$A$1000)*1,("var_fout"=[1]OUT_TransportEnergyCons!$B$3:$B$1000)*1,ISNUMBER(SEARCH("tpbsu",[1]OUT_TransportEnergyCons!$C$3:$C$1000))*1,[1]OUT_TransportEnergyCons!O$3:O$1000)</f>
        <v>0</v>
      </c>
      <c r="S1352" s="3"/>
    </row>
    <row r="1353" spans="2:19" x14ac:dyDescent="0.5">
      <c r="B1353" s="5" t="str">
        <f t="shared" ref="B1353:B1374" si="1504">B1352</f>
        <v>SPS1</v>
      </c>
      <c r="C1353" s="5" t="str">
        <f t="shared" ref="C1353:C1374" si="1505">C1352</f>
        <v>CH</v>
      </c>
      <c r="D1353" t="s">
        <v>1350</v>
      </c>
      <c r="E1353" t="str">
        <f t="shared" ref="E1353:E1374" si="1506">E1352</f>
        <v>billion km/yr.</v>
      </c>
      <c r="F1353" s="1" cm="1">
        <f t="array" ref="F1353">SUMPRODUCT(("T_B_u-BEVELC-S1"=[1]OUT_TransportEnergyCons!$A$3:$A$1000)*1,("var_fout"=[1]OUT_TransportEnergyCons!$B$3:$B$1000)*1,ISNUMBER(SEARCH("tpbsu",[1]OUT_TransportEnergyCons!$C$3:$C$1000))*1,[1]OUT_TransportEnergyCons!D$3:D$1000)</f>
        <v>1.3664230140931946E-4</v>
      </c>
      <c r="G1353" s="1" cm="1">
        <f t="array" ref="G1353">SUMPRODUCT(("T_B_u-BEVELC-S1"=[1]OUT_TransportEnergyCons!$A$3:$A$1000)*1,("var_fout"=[1]OUT_TransportEnergyCons!$B$3:$B$1000)*1,ISNUMBER(SEARCH("tpbsu",[1]OUT_TransportEnergyCons!$C$3:$C$1000))*1,[1]OUT_TransportEnergyCons!E$3:E$1000)</f>
        <v>2.2176504882936059E-3</v>
      </c>
      <c r="H1353" s="1" cm="1">
        <f t="array" ref="H1353">SUMPRODUCT(("T_B_u-BEVELC-S1"=[1]OUT_TransportEnergyCons!$A$3:$A$1000)*1,("var_fout"=[1]OUT_TransportEnergyCons!$B$3:$B$1000)*1,ISNUMBER(SEARCH("tpbsu",[1]OUT_TransportEnergyCons!$C$3:$C$1000))*1,[1]OUT_TransportEnergyCons!F$3:F$1000)</f>
        <v>6.3934190890111958E-2</v>
      </c>
      <c r="I1353" s="1" cm="1">
        <f t="array" ref="I1353">SUMPRODUCT(("T_B_u-BEVELC-S1"=[1]OUT_TransportEnergyCons!$A$3:$A$1000)*1,("var_fout"=[1]OUT_TransportEnergyCons!$B$3:$B$1000)*1,ISNUMBER(SEARCH("tpbsu",[1]OUT_TransportEnergyCons!$C$3:$C$1000))*1,[1]OUT_TransportEnergyCons!G$3:G$1000)</f>
        <v>0.11052977948802523</v>
      </c>
      <c r="J1353" s="1" cm="1">
        <f t="array" ref="J1353">SUMPRODUCT(("T_B_u-BEVELC-S1"=[1]OUT_TransportEnergyCons!$A$3:$A$1000)*1,("var_fout"=[1]OUT_TransportEnergyCons!$B$3:$B$1000)*1,ISNUMBER(SEARCH("tpbsu",[1]OUT_TransportEnergyCons!$C$3:$C$1000))*1,[1]OUT_TransportEnergyCons!H$3:H$1000)</f>
        <v>0.1152151453655899</v>
      </c>
      <c r="K1353" s="1" cm="1">
        <f t="array" ref="K1353">SUMPRODUCT(("T_B_u-BEVELC-S1"=[1]OUT_TransportEnergyCons!$A$3:$A$1000)*1,("var_fout"=[1]OUT_TransportEnergyCons!$B$3:$B$1000)*1,ISNUMBER(SEARCH("tpbsu",[1]OUT_TransportEnergyCons!$C$3:$C$1000))*1,[1]OUT_TransportEnergyCons!I$3:I$1000)</f>
        <v>0.1201156417752771</v>
      </c>
      <c r="L1353" s="1" cm="1">
        <f t="array" ref="L1353">SUMPRODUCT(("T_B_u-BEVELC-S1"=[1]OUT_TransportEnergyCons!$A$3:$A$1000)*1,("var_fout"=[1]OUT_TransportEnergyCons!$B$3:$B$1000)*1,ISNUMBER(SEARCH("tpbsu",[1]OUT_TransportEnergyCons!$C$3:$C$1000))*1,[1]OUT_TransportEnergyCons!J$3:J$1000)</f>
        <v>0.12429992807257047</v>
      </c>
      <c r="M1353" s="1" cm="1">
        <f t="array" ref="M1353">SUMPRODUCT(("T_B_u-BEVELC-S1"=[1]OUT_TransportEnergyCons!$A$3:$A$1000)*1,("var_fout"=[1]OUT_TransportEnergyCons!$B$3:$B$1000)*1,ISNUMBER(SEARCH("tpbsu",[1]OUT_TransportEnergyCons!$C$3:$C$1000))*1,[1]OUT_TransportEnergyCons!K$3:K$1000)</f>
        <v>0.12843405726949222</v>
      </c>
      <c r="N1353" s="1" cm="1">
        <f t="array" ref="N1353">SUMPRODUCT(("T_B_u-BEVELC-S1"=[1]OUT_TransportEnergyCons!$A$3:$A$1000)*1,("var_fout"=[1]OUT_TransportEnergyCons!$B$3:$B$1000)*1,ISNUMBER(SEARCH("tpbsu",[1]OUT_TransportEnergyCons!$C$3:$C$1000))*1,[1]OUT_TransportEnergyCons!L$3:L$1000)</f>
        <v>0.13203976258454117</v>
      </c>
      <c r="O1353" s="1" cm="1">
        <f t="array" ref="O1353">SUMPRODUCT(("T_B_u-BEVELC-S1"=[1]OUT_TransportEnergyCons!$A$3:$A$1000)*1,("var_fout"=[1]OUT_TransportEnergyCons!$B$3:$B$1000)*1,ISNUMBER(SEARCH("tpbsu",[1]OUT_TransportEnergyCons!$C$3:$C$1000))*1,[1]OUT_TransportEnergyCons!M$3:M$1000)</f>
        <v>0.13576374034977187</v>
      </c>
      <c r="P1353" s="1" cm="1">
        <f t="array" ref="P1353">SUMPRODUCT(("T_B_u-BEVELC-S1"=[1]OUT_TransportEnergyCons!$A$3:$A$1000)*1,("var_fout"=[1]OUT_TransportEnergyCons!$B$3:$B$1000)*1,ISNUMBER(SEARCH("tpbsu",[1]OUT_TransportEnergyCons!$C$3:$C$1000))*1,[1]OUT_TransportEnergyCons!N$3:N$1000)</f>
        <v>0.13991030519264069</v>
      </c>
      <c r="Q1353" s="1" cm="1">
        <f t="array" ref="Q1353">SUMPRODUCT(("T_B_u-BEVELC-S1"=[1]OUT_TransportEnergyCons!$A$3:$A$1000)*1,("var_fout"=[1]OUT_TransportEnergyCons!$B$3:$B$1000)*1,ISNUMBER(SEARCH("tpbsu",[1]OUT_TransportEnergyCons!$C$3:$C$1000))*1,[1]OUT_TransportEnergyCons!O$3:O$1000)</f>
        <v>0.14453951304978557</v>
      </c>
      <c r="S1353" s="3"/>
    </row>
    <row r="1354" spans="2:19" x14ac:dyDescent="0.5">
      <c r="B1354" s="5" t="str">
        <f t="shared" si="1504"/>
        <v>SPS1</v>
      </c>
      <c r="C1354" s="5" t="str">
        <f t="shared" si="1505"/>
        <v>CH</v>
      </c>
      <c r="D1354" t="s">
        <v>1351</v>
      </c>
      <c r="E1354" t="str">
        <f t="shared" si="1506"/>
        <v>billion km/yr.</v>
      </c>
      <c r="F1354" s="1" cm="1">
        <f t="array" ref="F1354">SUMPRODUCT(("T_B_u-BEVELC-S2"=[1]OUT_TransportEnergyCons!$A$3:$A$1000)*1,("var_fout"=[1]OUT_TransportEnergyCons!$B$3:$B$1000)*1,ISNUMBER(SEARCH("tpbsu",[1]OUT_TransportEnergyCons!$C$3:$C$1000))*1,[1]OUT_TransportEnergyCons!D$3:D$1000)</f>
        <v>5.1410034448773183E-4</v>
      </c>
      <c r="G1354" s="1" cm="1">
        <f t="array" ref="G1354">SUMPRODUCT(("T_B_u-BEVELC-S2"=[1]OUT_TransportEnergyCons!$A$3:$A$1000)*1,("var_fout"=[1]OUT_TransportEnergyCons!$B$3:$B$1000)*1,ISNUMBER(SEARCH("tpbsu",[1]OUT_TransportEnergyCons!$C$3:$C$1000))*1,[1]OUT_TransportEnergyCons!E$3:E$1000)</f>
        <v>1.2056336955974596E-3</v>
      </c>
      <c r="H1354" s="1" cm="1">
        <f t="array" ref="H1354">SUMPRODUCT(("T_B_u-BEVELC-S2"=[1]OUT_TransportEnergyCons!$A$3:$A$1000)*1,("var_fout"=[1]OUT_TransportEnergyCons!$B$3:$B$1000)*1,ISNUMBER(SEARCH("tpbsu",[1]OUT_TransportEnergyCons!$C$3:$C$1000))*1,[1]OUT_TransportEnergyCons!F$3:F$1000)</f>
        <v>2.3206688372291572E-2</v>
      </c>
      <c r="I1354" s="1" cm="1">
        <f t="array" ref="I1354">SUMPRODUCT(("T_B_u-BEVELC-S2"=[1]OUT_TransportEnergyCons!$A$3:$A$1000)*1,("var_fout"=[1]OUT_TransportEnergyCons!$B$3:$B$1000)*1,ISNUMBER(SEARCH("tpbsu",[1]OUT_TransportEnergyCons!$C$3:$C$1000))*1,[1]OUT_TransportEnergyCons!G$3:G$1000)</f>
        <v>3.9841674531429228E-2</v>
      </c>
      <c r="J1354" s="1" cm="1">
        <f t="array" ref="J1354">SUMPRODUCT(("T_B_u-BEVELC-S2"=[1]OUT_TransportEnergyCons!$A$3:$A$1000)*1,("var_fout"=[1]OUT_TransportEnergyCons!$B$3:$B$1000)*1,ISNUMBER(SEARCH("tpbsu",[1]OUT_TransportEnergyCons!$C$3:$C$1000))*1,[1]OUT_TransportEnergyCons!H$3:H$1000)</f>
        <v>4.1562201961651439E-2</v>
      </c>
      <c r="K1354" s="1" cm="1">
        <f t="array" ref="K1354">SUMPRODUCT(("T_B_u-BEVELC-S2"=[1]OUT_TransportEnergyCons!$A$3:$A$1000)*1,("var_fout"=[1]OUT_TransportEnergyCons!$B$3:$B$1000)*1,ISNUMBER(SEARCH("tpbsu",[1]OUT_TransportEnergyCons!$C$3:$C$1000))*1,[1]OUT_TransportEnergyCons!I$3:I$1000)</f>
        <v>4.3362555082754349E-2</v>
      </c>
      <c r="L1354" s="1" cm="1">
        <f t="array" ref="L1354">SUMPRODUCT(("T_B_u-BEVELC-S2"=[1]OUT_TransportEnergyCons!$A$3:$A$1000)*1,("var_fout"=[1]OUT_TransportEnergyCons!$B$3:$B$1000)*1,ISNUMBER(SEARCH("tpbsu",[1]OUT_TransportEnergyCons!$C$3:$C$1000))*1,[1]OUT_TransportEnergyCons!J$3:J$1000)</f>
        <v>4.4870296672930625E-2</v>
      </c>
      <c r="M1354" s="1" cm="1">
        <f t="array" ref="M1354">SUMPRODUCT(("T_B_u-BEVELC-S2"=[1]OUT_TransportEnergyCons!$A$3:$A$1000)*1,("var_fout"=[1]OUT_TransportEnergyCons!$B$3:$B$1000)*1,ISNUMBER(SEARCH("tpbsu",[1]OUT_TransportEnergyCons!$C$3:$C$1000))*1,[1]OUT_TransportEnergyCons!K$3:K$1000)</f>
        <v>4.6410739950851633E-2</v>
      </c>
      <c r="N1354" s="1" cm="1">
        <f t="array" ref="N1354">SUMPRODUCT(("T_B_u-BEVELC-S2"=[1]OUT_TransportEnergyCons!$A$3:$A$1000)*1,("var_fout"=[1]OUT_TransportEnergyCons!$B$3:$B$1000)*1,ISNUMBER(SEARCH("tpbsu",[1]OUT_TransportEnergyCons!$C$3:$C$1000))*1,[1]OUT_TransportEnergyCons!L$3:L$1000)</f>
        <v>4.7722184453831938E-2</v>
      </c>
      <c r="O1354" s="1" cm="1">
        <f t="array" ref="O1354">SUMPRODUCT(("T_B_u-BEVELC-S2"=[1]OUT_TransportEnergyCons!$A$3:$A$1000)*1,("var_fout"=[1]OUT_TransportEnergyCons!$B$3:$B$1000)*1,ISNUMBER(SEARCH("tpbsu",[1]OUT_TransportEnergyCons!$C$3:$C$1000))*1,[1]OUT_TransportEnergyCons!M$3:M$1000)</f>
        <v>4.9078566288927983E-2</v>
      </c>
      <c r="P1354" s="1" cm="1">
        <f t="array" ref="P1354">SUMPRODUCT(("T_B_u-BEVELC-S2"=[1]OUT_TransportEnergyCons!$A$3:$A$1000)*1,("var_fout"=[1]OUT_TransportEnergyCons!$B$3:$B$1000)*1,ISNUMBER(SEARCH("tpbsu",[1]OUT_TransportEnergyCons!$C$3:$C$1000))*1,[1]OUT_TransportEnergyCons!N$3:N$1000)</f>
        <v>5.0576668309980831E-2</v>
      </c>
      <c r="Q1354" s="1" cm="1">
        <f t="array" ref="Q1354">SUMPRODUCT(("T_B_u-BEVELC-S2"=[1]OUT_TransportEnergyCons!$A$3:$A$1000)*1,("var_fout"=[1]OUT_TransportEnergyCons!$B$3:$B$1000)*1,ISNUMBER(SEARCH("tpbsu",[1]OUT_TransportEnergyCons!$C$3:$C$1000))*1,[1]OUT_TransportEnergyCons!O$3:O$1000)</f>
        <v>5.2302834577345282E-2</v>
      </c>
      <c r="S1354" s="3"/>
    </row>
    <row r="1355" spans="2:19" x14ac:dyDescent="0.5">
      <c r="B1355" s="5" t="str">
        <f t="shared" si="1504"/>
        <v>SPS1</v>
      </c>
      <c r="C1355" s="5" t="str">
        <f t="shared" si="1505"/>
        <v>CH</v>
      </c>
      <c r="D1355" t="s">
        <v>1352</v>
      </c>
      <c r="E1355" t="str">
        <f t="shared" si="1506"/>
        <v>billion km/yr.</v>
      </c>
      <c r="F1355" s="1" cm="1">
        <f t="array" ref="F1355">SUMPRODUCT(("T_B_u-BEVELC-S3"=[1]OUT_TransportEnergyCons!$A$3:$A$1000)*1,("var_fout"=[1]OUT_TransportEnergyCons!$B$3:$B$1000)*1,ISNUMBER(SEARCH("tpbsu",[1]OUT_TransportEnergyCons!$C$3:$C$1000))*1,[1]OUT_TransportEnergyCons!D$3:D$1000)</f>
        <v>1.5233294003552656E-3</v>
      </c>
      <c r="G1355" s="1" cm="1">
        <f t="array" ref="G1355">SUMPRODUCT(("T_B_u-BEVELC-S3"=[1]OUT_TransportEnergyCons!$A$3:$A$1000)*1,("var_fout"=[1]OUT_TransportEnergyCons!$B$3:$B$1000)*1,ISNUMBER(SEARCH("tpbsu",[1]OUT_TransportEnergyCons!$C$3:$C$1000))*1,[1]OUT_TransportEnergyCons!E$3:E$1000)</f>
        <v>3.0018503891279646E-3</v>
      </c>
      <c r="H1355" s="1" cm="1">
        <f t="array" ref="H1355">SUMPRODUCT(("T_B_u-BEVELC-S3"=[1]OUT_TransportEnergyCons!$A$3:$A$1000)*1,("var_fout"=[1]OUT_TransportEnergyCons!$B$3:$B$1000)*1,ISNUMBER(SEARCH("tpbsu",[1]OUT_TransportEnergyCons!$C$3:$C$1000))*1,[1]OUT_TransportEnergyCons!F$3:F$1000)</f>
        <v>0.10070550607010111</v>
      </c>
      <c r="I1355" s="1" cm="1">
        <f t="array" ref="I1355">SUMPRODUCT(("T_B_u-BEVELC-S3"=[1]OUT_TransportEnergyCons!$A$3:$A$1000)*1,("var_fout"=[1]OUT_TransportEnergyCons!$B$3:$B$1000)*1,ISNUMBER(SEARCH("tpbsu",[1]OUT_TransportEnergyCons!$C$3:$C$1000))*1,[1]OUT_TransportEnergyCons!G$3:G$1000)</f>
        <v>0.1698810477910202</v>
      </c>
      <c r="J1355" s="1" cm="1">
        <f t="array" ref="J1355">SUMPRODUCT(("T_B_u-BEVELC-S3"=[1]OUT_TransportEnergyCons!$A$3:$A$1000)*1,("var_fout"=[1]OUT_TransportEnergyCons!$B$3:$B$1000)*1,ISNUMBER(SEARCH("tpbsu",[1]OUT_TransportEnergyCons!$C$3:$C$1000))*1,[1]OUT_TransportEnergyCons!H$3:H$1000)</f>
        <v>0.18127962451413021</v>
      </c>
      <c r="K1355" s="1" cm="1">
        <f t="array" ref="K1355">SUMPRODUCT(("T_B_u-BEVELC-S3"=[1]OUT_TransportEnergyCons!$A$3:$A$1000)*1,("var_fout"=[1]OUT_TransportEnergyCons!$B$3:$B$1000)*1,ISNUMBER(SEARCH("tpbsu",[1]OUT_TransportEnergyCons!$C$3:$C$1000))*1,[1]OUT_TransportEnergyCons!I$3:I$1000)</f>
        <v>0.18937498990057011</v>
      </c>
      <c r="L1355" s="1" cm="1">
        <f t="array" ref="L1355">SUMPRODUCT(("T_B_u-BEVELC-S3"=[1]OUT_TransportEnergyCons!$A$3:$A$1000)*1,("var_fout"=[1]OUT_TransportEnergyCons!$B$3:$B$1000)*1,ISNUMBER(SEARCH("tpbsu",[1]OUT_TransportEnergyCons!$C$3:$C$1000))*1,[1]OUT_TransportEnergyCons!J$3:J$1000)</f>
        <v>0.19603070097410857</v>
      </c>
      <c r="M1355" s="1" cm="1">
        <f t="array" ref="M1355">SUMPRODUCT(("T_B_u-BEVELC-S3"=[1]OUT_TransportEnergyCons!$A$3:$A$1000)*1,("var_fout"=[1]OUT_TransportEnergyCons!$B$3:$B$1000)*1,ISNUMBER(SEARCH("tpbsu",[1]OUT_TransportEnergyCons!$C$3:$C$1000))*1,[1]OUT_TransportEnergyCons!K$3:K$1000)</f>
        <v>0.20264254440735535</v>
      </c>
      <c r="N1355" s="1" cm="1">
        <f t="array" ref="N1355">SUMPRODUCT(("T_B_u-BEVELC-S3"=[1]OUT_TransportEnergyCons!$A$3:$A$1000)*1,("var_fout"=[1]OUT_TransportEnergyCons!$B$3:$B$1000)*1,ISNUMBER(SEARCH("tpbsu",[1]OUT_TransportEnergyCons!$C$3:$C$1000))*1,[1]OUT_TransportEnergyCons!L$3:L$1000)</f>
        <v>0.20834807974590402</v>
      </c>
      <c r="O1355" s="1" cm="1">
        <f t="array" ref="O1355">SUMPRODUCT(("T_B_u-BEVELC-S3"=[1]OUT_TransportEnergyCons!$A$3:$A$1000)*1,("var_fout"=[1]OUT_TransportEnergyCons!$B$3:$B$1000)*1,ISNUMBER(SEARCH("tpbsu",[1]OUT_TransportEnergyCons!$C$3:$C$1000))*1,[1]OUT_TransportEnergyCons!M$3:M$1000)</f>
        <v>0.21425866683884509</v>
      </c>
      <c r="P1355" s="1" cm="1">
        <f t="array" ref="P1355">SUMPRODUCT(("T_B_u-BEVELC-S3"=[1]OUT_TransportEnergyCons!$A$3:$A$1000)*1,("var_fout"=[1]OUT_TransportEnergyCons!$B$3:$B$1000)*1,ISNUMBER(SEARCH("tpbsu",[1]OUT_TransportEnergyCons!$C$3:$C$1000))*1,[1]OUT_TransportEnergyCons!N$3:N$1000)</f>
        <v>0.22080326054394048</v>
      </c>
      <c r="Q1355" s="1" cm="1">
        <f t="array" ref="Q1355">SUMPRODUCT(("T_B_u-BEVELC-S3"=[1]OUT_TransportEnergyCons!$A$3:$A$1000)*1,("var_fout"=[1]OUT_TransportEnergyCons!$B$3:$B$1000)*1,ISNUMBER(SEARCH("tpbsu",[1]OUT_TransportEnergyCons!$C$3:$C$1000))*1,[1]OUT_TransportEnergyCons!O$3:O$1000)</f>
        <v>0.22834370697301734</v>
      </c>
      <c r="S1355" s="3"/>
    </row>
    <row r="1356" spans="2:19" x14ac:dyDescent="0.5">
      <c r="B1356" s="5" t="str">
        <f t="shared" si="1504"/>
        <v>SPS1</v>
      </c>
      <c r="C1356" s="5" t="str">
        <f t="shared" si="1505"/>
        <v>CH</v>
      </c>
      <c r="D1356" t="s">
        <v>1353</v>
      </c>
      <c r="E1356" t="str">
        <f t="shared" si="1506"/>
        <v>billion km/yr.</v>
      </c>
      <c r="F1356" s="1" cm="1">
        <f t="array" ref="F1356">SUMPRODUCT(("T_B_u-BEVELC-S4"=[1]OUT_TransportEnergyCons!$A$3:$A$1000)*1,("var_fout"=[1]OUT_TransportEnergyCons!$B$3:$B$1000)*1,ISNUMBER(SEARCH("tpbsu",[1]OUT_TransportEnergyCons!$C$3:$C$1000))*1,[1]OUT_TransportEnergyCons!D$3:D$1000)</f>
        <v>1.6934978753715355E-4</v>
      </c>
      <c r="G1356" s="1" cm="1">
        <f t="array" ref="G1356">SUMPRODUCT(("T_B_u-BEVELC-S4"=[1]OUT_TransportEnergyCons!$A$3:$A$1000)*1,("var_fout"=[1]OUT_TransportEnergyCons!$B$3:$B$1000)*1,ISNUMBER(SEARCH("tpbsu",[1]OUT_TransportEnergyCons!$C$3:$C$1000))*1,[1]OUT_TransportEnergyCons!E$3:E$1000)</f>
        <v>2.1790684078039233E-4</v>
      </c>
      <c r="H1356" s="1" cm="1">
        <f t="array" ref="H1356">SUMPRODUCT(("T_B_u-BEVELC-S4"=[1]OUT_TransportEnergyCons!$A$3:$A$1000)*1,("var_fout"=[1]OUT_TransportEnergyCons!$B$3:$B$1000)*1,ISNUMBER(SEARCH("tpbsu",[1]OUT_TransportEnergyCons!$C$3:$C$1000))*1,[1]OUT_TransportEnergyCons!F$3:F$1000)</f>
        <v>3.1249047193081204E-4</v>
      </c>
      <c r="I1356" s="1" cm="1">
        <f t="array" ref="I1356">SUMPRODUCT(("T_B_u-BEVELC-S4"=[1]OUT_TransportEnergyCons!$A$3:$A$1000)*1,("var_fout"=[1]OUT_TransportEnergyCons!$B$3:$B$1000)*1,ISNUMBER(SEARCH("tpbsu",[1]OUT_TransportEnergyCons!$C$3:$C$1000))*1,[1]OUT_TransportEnergyCons!G$3:G$1000)</f>
        <v>1.2756930346902542E-4</v>
      </c>
      <c r="J1356" s="1" cm="1">
        <f t="array" ref="J1356">SUMPRODUCT(("T_B_u-BEVELC-S4"=[1]OUT_TransportEnergyCons!$A$3:$A$1000)*1,("var_fout"=[1]OUT_TransportEnergyCons!$B$3:$B$1000)*1,ISNUMBER(SEARCH("tpbsu",[1]OUT_TransportEnergyCons!$C$3:$C$1000))*1,[1]OUT_TransportEnergyCons!H$3:H$1000)</f>
        <v>7.6922335269212383E-5</v>
      </c>
      <c r="K1356" s="1" cm="1">
        <f t="array" ref="K1356">SUMPRODUCT(("T_B_u-BEVELC-S4"=[1]OUT_TransportEnergyCons!$A$3:$A$1000)*1,("var_fout"=[1]OUT_TransportEnergyCons!$B$3:$B$1000)*1,ISNUMBER(SEARCH("tpbsu",[1]OUT_TransportEnergyCons!$C$3:$C$1000))*1,[1]OUT_TransportEnergyCons!I$3:I$1000)</f>
        <v>8.688070305291666E-5</v>
      </c>
      <c r="L1356" s="1" cm="1">
        <f t="array" ref="L1356">SUMPRODUCT(("T_B_u-BEVELC-S4"=[1]OUT_TransportEnergyCons!$A$3:$A$1000)*1,("var_fout"=[1]OUT_TransportEnergyCons!$B$3:$B$1000)*1,ISNUMBER(SEARCH("tpbsu",[1]OUT_TransportEnergyCons!$C$3:$C$1000))*1,[1]OUT_TransportEnergyCons!J$3:J$1000)</f>
        <v>8.3837155075433564E-5</v>
      </c>
      <c r="M1356" s="1" cm="1">
        <f t="array" ref="M1356">SUMPRODUCT(("T_B_u-BEVELC-S4"=[1]OUT_TransportEnergyCons!$A$3:$A$1000)*1,("var_fout"=[1]OUT_TransportEnergyCons!$B$3:$B$1000)*1,ISNUMBER(SEARCH("tpbsu",[1]OUT_TransportEnergyCons!$C$3:$C$1000))*1,[1]OUT_TransportEnergyCons!K$3:K$1000)</f>
        <v>1.3118728445224009E-4</v>
      </c>
      <c r="N1356" s="1" cm="1">
        <f t="array" ref="N1356">SUMPRODUCT(("T_B_u-BEVELC-S4"=[1]OUT_TransportEnergyCons!$A$3:$A$1000)*1,("var_fout"=[1]OUT_TransportEnergyCons!$B$3:$B$1000)*1,ISNUMBER(SEARCH("tpbsu",[1]OUT_TransportEnergyCons!$C$3:$C$1000))*1,[1]OUT_TransportEnergyCons!L$3:L$1000)</f>
        <v>1.3226157937306932E-4</v>
      </c>
      <c r="O1356" s="1" cm="1">
        <f t="array" ref="O1356">SUMPRODUCT(("T_B_u-BEVELC-S4"=[1]OUT_TransportEnergyCons!$A$3:$A$1000)*1,("var_fout"=[1]OUT_TransportEnergyCons!$B$3:$B$1000)*1,ISNUMBER(SEARCH("tpbsu",[1]OUT_TransportEnergyCons!$C$3:$C$1000))*1,[1]OUT_TransportEnergyCons!M$3:M$1000)</f>
        <v>1.6498337791866853E-4</v>
      </c>
      <c r="P1356" s="1" cm="1">
        <f t="array" ref="P1356">SUMPRODUCT(("T_B_u-BEVELC-S4"=[1]OUT_TransportEnergyCons!$A$3:$A$1000)*1,("var_fout"=[1]OUT_TransportEnergyCons!$B$3:$B$1000)*1,ISNUMBER(SEARCH("tpbsu",[1]OUT_TransportEnergyCons!$C$3:$C$1000))*1,[1]OUT_TransportEnergyCons!N$3:N$1000)</f>
        <v>1.7105521402889284E-4</v>
      </c>
      <c r="Q1356" s="1" cm="1">
        <f t="array" ref="Q1356">SUMPRODUCT(("T_B_u-BEVELC-S4"=[1]OUT_TransportEnergyCons!$A$3:$A$1000)*1,("var_fout"=[1]OUT_TransportEnergyCons!$B$3:$B$1000)*1,ISNUMBER(SEARCH("tpbsu",[1]OUT_TransportEnergyCons!$C$3:$C$1000))*1,[1]OUT_TransportEnergyCons!O$3:O$1000)</f>
        <v>3.1484317562257023E-4</v>
      </c>
      <c r="S1356" s="3"/>
    </row>
    <row r="1357" spans="2:19" x14ac:dyDescent="0.5">
      <c r="B1357" s="5" t="str">
        <f t="shared" si="1504"/>
        <v>SPS1</v>
      </c>
      <c r="C1357" s="5" t="str">
        <f t="shared" si="1505"/>
        <v>CH</v>
      </c>
      <c r="D1357" t="s">
        <v>1354</v>
      </c>
      <c r="E1357" t="str">
        <f t="shared" si="1506"/>
        <v>billion km/yr.</v>
      </c>
      <c r="F1357" s="1" cm="1">
        <f t="array" ref="F1357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SUMPRODUCT(("T_B_u-FCLH2O-S1"=[1]OUT_TransportEnergyCons!$A$3:$A$1000)*1,("var_fout"=[1]OUT_TransportEnergyCons!$B$3:$B$1000)*1,ISNUMBER(SEARCH("tpbsu",[1]OUT_TransportEnergyCons!$C$3:$C$1000))*1,[1]OUT_TransportEnergyCons!G$3:G$1000)</f>
        <v>3.3178529893213109E-5</v>
      </c>
      <c r="J1357" s="1" cm="1">
        <f t="array" ref="J1357">SUMPRODUCT(("T_B_u-FCLH2O-S1"=[1]OUT_TransportEnergyCons!$A$3:$A$1000)*1,("var_fout"=[1]OUT_TransportEnergyCons!$B$3:$B$1000)*1,ISNUMBER(SEARCH("tpbsu",[1]OUT_TransportEnergyCons!$C$3:$C$1000))*1,[1]OUT_TransportEnergyCons!H$3:H$1000)</f>
        <v>6.0697239096849001E-5</v>
      </c>
      <c r="K1357" s="1" cm="1">
        <f t="array" ref="K1357">SUMPRODUCT(("T_B_u-FCLH2O-S1"=[1]OUT_TransportEnergyCons!$A$3:$A$1000)*1,("var_fout"=[1]OUT_TransportEnergyCons!$B$3:$B$1000)*1,ISNUMBER(SEARCH("tpbsu",[1]OUT_TransportEnergyCons!$C$3:$C$1000))*1,[1]OUT_TransportEnergyCons!I$3:I$1000)</f>
        <v>8.8320082755791364E-5</v>
      </c>
      <c r="L1357" s="1" cm="1">
        <f t="array" ref="L1357">SUMPRODUCT(("T_B_u-FCLH2O-S1"=[1]OUT_TransportEnergyCons!$A$3:$A$1000)*1,("var_fout"=[1]OUT_TransportEnergyCons!$B$3:$B$1000)*1,ISNUMBER(SEARCH("tpbsu",[1]OUT_TransportEnergyCons!$C$3:$C$1000))*1,[1]OUT_TransportEnergyCons!J$3:J$1000)</f>
        <v>9.0091970092338072E-5</v>
      </c>
      <c r="M1357" s="1" cm="1">
        <f t="array" ref="M1357">SUMPRODUCT(("T_B_u-FCLH2O-S1"=[1]OUT_TransportEnergyCons!$A$3:$A$1000)*1,("var_fout"=[1]OUT_TransportEnergyCons!$B$3:$B$1000)*1,ISNUMBER(SEARCH("tpbsu",[1]OUT_TransportEnergyCons!$C$3:$C$1000))*1,[1]OUT_TransportEnergyCons!K$3:K$1000)</f>
        <v>9.012779544601949E-5</v>
      </c>
      <c r="N1357" s="1" cm="1">
        <f t="array" ref="N1357">SUMPRODUCT(("T_B_u-FCLH2O-S1"=[1]OUT_TransportEnergyCons!$A$3:$A$1000)*1,("var_fout"=[1]OUT_TransportEnergyCons!$B$3:$B$1000)*1,ISNUMBER(SEARCH("tpbsu",[1]OUT_TransportEnergyCons!$C$3:$C$1000))*1,[1]OUT_TransportEnergyCons!L$3:L$1000)</f>
        <v>8.8378133807785191E-5</v>
      </c>
      <c r="O1357" s="1" cm="1">
        <f t="array" ref="O1357">SUMPRODUCT(("T_B_u-FCLH2O-S1"=[1]OUT_TransportEnergyCons!$A$3:$A$1000)*1,("var_fout"=[1]OUT_TransportEnergyCons!$B$3:$B$1000)*1,ISNUMBER(SEARCH("tpbsu",[1]OUT_TransportEnergyCons!$C$3:$C$1000))*1,[1]OUT_TransportEnergyCons!M$3:M$1000)</f>
        <v>9.0524165169595587E-5</v>
      </c>
      <c r="P1357" s="1" cm="1">
        <f t="array" ref="P1357">SUMPRODUCT(("T_B_u-FCLH2O-S1"=[1]OUT_TransportEnergyCons!$A$3:$A$1000)*1,("var_fout"=[1]OUT_TransportEnergyCons!$B$3:$B$1000)*1,ISNUMBER(SEARCH("tpbsu",[1]OUT_TransportEnergyCons!$C$3:$C$1000))*1,[1]OUT_TransportEnergyCons!N$3:N$1000)</f>
        <v>8.8588875166922045E-5</v>
      </c>
      <c r="Q1357" s="1" cm="1">
        <f t="array" ref="Q1357">SUMPRODUCT(("T_B_u-FCLH2O-S1"=[1]OUT_TransportEnergyCons!$A$3:$A$1000)*1,("var_fout"=[1]OUT_TransportEnergyCons!$B$3:$B$1000)*1,ISNUMBER(SEARCH("tpbsu",[1]OUT_TransportEnergyCons!$C$3:$C$1000))*1,[1]OUT_TransportEnergyCons!O$3:O$1000)</f>
        <v>9.1349989890346852E-5</v>
      </c>
      <c r="S1357" s="3"/>
    </row>
    <row r="1358" spans="2:19" x14ac:dyDescent="0.5">
      <c r="B1358" s="5" t="str">
        <f t="shared" si="1504"/>
        <v>SPS1</v>
      </c>
      <c r="C1358" s="5" t="str">
        <f t="shared" si="1505"/>
        <v>CH</v>
      </c>
      <c r="D1358" t="s">
        <v>1355</v>
      </c>
      <c r="E1358" t="str">
        <f t="shared" si="1506"/>
        <v>billion km/yr.</v>
      </c>
      <c r="F1358" s="1" cm="1">
        <f t="array" ref="F1358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SUMPRODUCT(("T_B_u-FCLH2O-S2"=[1]OUT_TransportEnergyCons!$A$3:$A$1000)*1,("var_fout"=[1]OUT_TransportEnergyCons!$B$3:$B$1000)*1,ISNUMBER(SEARCH("tpbsu",[1]OUT_TransportEnergyCons!$C$3:$C$1000))*1,[1]OUT_TransportEnergyCons!G$3:G$1000)</f>
        <v>2.8772325314329719E-5</v>
      </c>
      <c r="J1358" s="1" cm="1">
        <f t="array" ref="J1358">SUMPRODUCT(("T_B_u-FCLH2O-S2"=[1]OUT_TransportEnergyCons!$A$3:$A$1000)*1,("var_fout"=[1]OUT_TransportEnergyCons!$B$3:$B$1000)*1,ISNUMBER(SEARCH("tpbsu",[1]OUT_TransportEnergyCons!$C$3:$C$1000))*1,[1]OUT_TransportEnergyCons!H$3:H$1000)</f>
        <v>5.7127070514147029E-5</v>
      </c>
      <c r="K1358" s="1" cm="1">
        <f t="array" ref="K1358">SUMPRODUCT(("T_B_u-FCLH2O-S2"=[1]OUT_TransportEnergyCons!$A$3:$A$1000)*1,("var_fout"=[1]OUT_TransportEnergyCons!$B$3:$B$1000)*1,ISNUMBER(SEARCH("tpbsu",[1]OUT_TransportEnergyCons!$C$3:$C$1000))*1,[1]OUT_TransportEnergyCons!I$3:I$1000)</f>
        <v>8.2887787090034338E-5</v>
      </c>
      <c r="L1358" s="1" cm="1">
        <f t="array" ref="L1358">SUMPRODUCT(("T_B_u-FCLH2O-S2"=[1]OUT_TransportEnergyCons!$A$3:$A$1000)*1,("var_fout"=[1]OUT_TransportEnergyCons!$B$3:$B$1000)*1,ISNUMBER(SEARCH("tpbsu",[1]OUT_TransportEnergyCons!$C$3:$C$1000))*1,[1]OUT_TransportEnergyCons!J$3:J$1000)</f>
        <v>8.4630038941285737E-5</v>
      </c>
      <c r="M1358" s="1" cm="1">
        <f t="array" ref="M1358">SUMPRODUCT(("T_B_u-FCLH2O-S2"=[1]OUT_TransportEnergyCons!$A$3:$A$1000)*1,("var_fout"=[1]OUT_TransportEnergyCons!$B$3:$B$1000)*1,ISNUMBER(SEARCH("tpbsu",[1]OUT_TransportEnergyCons!$C$3:$C$1000))*1,[1]OUT_TransportEnergyCons!K$3:K$1000)</f>
        <v>8.5047578599689279E-5</v>
      </c>
      <c r="N1358" s="1" cm="1">
        <f t="array" ref="N1358">SUMPRODUCT(("T_B_u-FCLH2O-S2"=[1]OUT_TransportEnergyCons!$A$3:$A$1000)*1,("var_fout"=[1]OUT_TransportEnergyCons!$B$3:$B$1000)*1,ISNUMBER(SEARCH("tpbsu",[1]OUT_TransportEnergyCons!$C$3:$C$1000))*1,[1]OUT_TransportEnergyCons!L$3:L$1000)</f>
        <v>8.4700520282470927E-5</v>
      </c>
      <c r="O1358" s="1" cm="1">
        <f t="array" ref="O1358">SUMPRODUCT(("T_B_u-FCLH2O-S2"=[1]OUT_TransportEnergyCons!$A$3:$A$1000)*1,("var_fout"=[1]OUT_TransportEnergyCons!$B$3:$B$1000)*1,ISNUMBER(SEARCH("tpbsu",[1]OUT_TransportEnergyCons!$C$3:$C$1000))*1,[1]OUT_TransportEnergyCons!M$3:M$1000)</f>
        <v>8.6492267142929981E-5</v>
      </c>
      <c r="P1358" s="1" cm="1">
        <f t="array" ref="P1358">SUMPRODUCT(("T_B_u-FCLH2O-S2"=[1]OUT_TransportEnergyCons!$A$3:$A$1000)*1,("var_fout"=[1]OUT_TransportEnergyCons!$B$3:$B$1000)*1,ISNUMBER(SEARCH("tpbsu",[1]OUT_TransportEnergyCons!$C$3:$C$1000))*1,[1]OUT_TransportEnergyCons!N$3:N$1000)</f>
        <v>8.523090880747602E-5</v>
      </c>
      <c r="Q1358" s="1" cm="1">
        <f t="array" ref="Q1358">SUMPRODUCT(("T_B_u-FCLH2O-S2"=[1]OUT_TransportEnergyCons!$A$3:$A$1000)*1,("var_fout"=[1]OUT_TransportEnergyCons!$B$3:$B$1000)*1,ISNUMBER(SEARCH("tpbsu",[1]OUT_TransportEnergyCons!$C$3:$C$1000))*1,[1]OUT_TransportEnergyCons!O$3:O$1000)</f>
        <v>8.8606398107900756E-5</v>
      </c>
      <c r="S1358" s="3"/>
    </row>
    <row r="1359" spans="2:19" x14ac:dyDescent="0.5">
      <c r="B1359" s="5" t="str">
        <f t="shared" si="1504"/>
        <v>SPS1</v>
      </c>
      <c r="C1359" s="5" t="str">
        <f t="shared" si="1505"/>
        <v>CH</v>
      </c>
      <c r="D1359" t="s">
        <v>1356</v>
      </c>
      <c r="E1359" t="str">
        <f t="shared" si="1506"/>
        <v>billion km/yr.</v>
      </c>
      <c r="F1359" s="1" cm="1">
        <f t="array" ref="F1359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9" s="1" cm="1">
        <f t="array" ref="H1359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9" s="1" cm="1">
        <f t="array" ref="I1359">SUMPRODUCT(("T_B_u-FCLH2O-S3"=[1]OUT_TransportEnergyCons!$A$3:$A$1000)*1,("var_fout"=[1]OUT_TransportEnergyCons!$B$3:$B$1000)*1,ISNUMBER(SEARCH("tpbsu",[1]OUT_TransportEnergyCons!$C$3:$C$1000))*1,[1]OUT_TransportEnergyCons!G$3:G$1000)</f>
        <v>4.8570518509502557E-5</v>
      </c>
      <c r="J1359" s="1" cm="1">
        <f t="array" ref="J1359">SUMPRODUCT(("T_B_u-FCLH2O-S3"=[1]OUT_TransportEnergyCons!$A$3:$A$1000)*1,("var_fout"=[1]OUT_TransportEnergyCons!$B$3:$B$1000)*1,ISNUMBER(SEARCH("tpbsu",[1]OUT_TransportEnergyCons!$C$3:$C$1000))*1,[1]OUT_TransportEnergyCons!H$3:H$1000)</f>
        <v>7.3115552771402511E-5</v>
      </c>
      <c r="K1359" s="1" cm="1">
        <f t="array" ref="K1359">SUMPRODUCT(("T_B_u-FCLH2O-S3"=[1]OUT_TransportEnergyCons!$A$3:$A$1000)*1,("var_fout"=[1]OUT_TransportEnergyCons!$B$3:$B$1000)*1,ISNUMBER(SEARCH("tpbsu",[1]OUT_TransportEnergyCons!$C$3:$C$1000))*1,[1]OUT_TransportEnergyCons!I$3:I$1000)</f>
        <v>6.6604821740430775E-5</v>
      </c>
      <c r="L1359" s="1" cm="1">
        <f t="array" ref="L1359">SUMPRODUCT(("T_B_u-FCLH2O-S3"=[1]OUT_TransportEnergyCons!$A$3:$A$1000)*1,("var_fout"=[1]OUT_TransportEnergyCons!$B$3:$B$1000)*1,ISNUMBER(SEARCH("tpbsu",[1]OUT_TransportEnergyCons!$C$3:$C$1000))*1,[1]OUT_TransportEnergyCons!J$3:J$1000)</f>
        <v>8.7140470226411068E-5</v>
      </c>
      <c r="M1359" s="1" cm="1">
        <f t="array" ref="M1359">SUMPRODUCT(("T_B_u-FCLH2O-S3"=[1]OUT_TransportEnergyCons!$A$3:$A$1000)*1,("var_fout"=[1]OUT_TransportEnergyCons!$B$3:$B$1000)*1,ISNUMBER(SEARCH("tpbsu",[1]OUT_TransportEnergyCons!$C$3:$C$1000))*1,[1]OUT_TransportEnergyCons!K$3:K$1000)</f>
        <v>6.6452720822781204E-5</v>
      </c>
      <c r="N1359" s="1" cm="1">
        <f t="array" ref="N1359">SUMPRODUCT(("T_B_u-FCLH2O-S3"=[1]OUT_TransportEnergyCons!$A$3:$A$1000)*1,("var_fout"=[1]OUT_TransportEnergyCons!$B$3:$B$1000)*1,ISNUMBER(SEARCH("tpbsu",[1]OUT_TransportEnergyCons!$C$3:$C$1000))*1,[1]OUT_TransportEnergyCons!L$3:L$1000)</f>
        <v>9.366380582935771E-5</v>
      </c>
      <c r="O1359" s="1" cm="1">
        <f t="array" ref="O1359">SUMPRODUCT(("T_B_u-FCLH2O-S3"=[1]OUT_TransportEnergyCons!$A$3:$A$1000)*1,("var_fout"=[1]OUT_TransportEnergyCons!$B$3:$B$1000)*1,ISNUMBER(SEARCH("tpbsu",[1]OUT_TransportEnergyCons!$C$3:$C$1000))*1,[1]OUT_TransportEnergyCons!M$3:M$1000)</f>
        <v>6.4696311191828117E-5</v>
      </c>
      <c r="P1359" s="1" cm="1">
        <f t="array" ref="P1359">SUMPRODUCT(("T_B_u-FCLH2O-S3"=[1]OUT_TransportEnergyCons!$A$3:$A$1000)*1,("var_fout"=[1]OUT_TransportEnergyCons!$B$3:$B$1000)*1,ISNUMBER(SEARCH("tpbsu",[1]OUT_TransportEnergyCons!$C$3:$C$1000))*1,[1]OUT_TransportEnergyCons!N$3:N$1000)</f>
        <v>6.7081950974277058E-5</v>
      </c>
      <c r="Q1359" s="1" cm="1">
        <f t="array" ref="Q1359">SUMPRODUCT(("T_B_u-FCLH2O-S3"=[1]OUT_TransportEnergyCons!$A$3:$A$1000)*1,("var_fout"=[1]OUT_TransportEnergyCons!$B$3:$B$1000)*1,ISNUMBER(SEARCH("tpbsu",[1]OUT_TransportEnergyCons!$C$3:$C$1000))*1,[1]OUT_TransportEnergyCons!O$3:O$1000)</f>
        <v>6.6394987179171187E-5</v>
      </c>
      <c r="S1359" s="3"/>
    </row>
    <row r="1360" spans="2:19" x14ac:dyDescent="0.5">
      <c r="B1360" s="5" t="str">
        <f t="shared" si="1504"/>
        <v>SPS1</v>
      </c>
      <c r="C1360" s="5" t="str">
        <f t="shared" si="1505"/>
        <v>CH</v>
      </c>
      <c r="D1360" t="s">
        <v>1357</v>
      </c>
      <c r="E1360" t="str">
        <f t="shared" si="1506"/>
        <v>billion km/yr.</v>
      </c>
      <c r="F1360" s="1" cm="1">
        <f t="array" ref="F1360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60" s="1" cm="1">
        <f t="array" ref="H1360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60" s="1" cm="1">
        <f t="array" ref="I1360">SUMPRODUCT(("T_B_u-FCLH2O-S4"=[1]OUT_TransportEnergyCons!$A$3:$A$1000)*1,("var_fout"=[1]OUT_TransportEnergyCons!$B$3:$B$1000)*1,ISNUMBER(SEARCH("tpbsu",[1]OUT_TransportEnergyCons!$C$3:$C$1000))*1,[1]OUT_TransportEnergyCons!G$3:G$1000)</f>
        <v>2.3931994551559887E-5</v>
      </c>
      <c r="J1360" s="1" cm="1">
        <f t="array" ref="J1360">SUMPRODUCT(("T_B_u-FCLH2O-S4"=[1]OUT_TransportEnergyCons!$A$3:$A$1000)*1,("var_fout"=[1]OUT_TransportEnergyCons!$B$3:$B$1000)*1,ISNUMBER(SEARCH("tpbsu",[1]OUT_TransportEnergyCons!$C$3:$C$1000))*1,[1]OUT_TransportEnergyCons!H$3:H$1000)</f>
        <v>4.7828058801773695E-5</v>
      </c>
      <c r="K1360" s="1" cm="1">
        <f t="array" ref="K1360">SUMPRODUCT(("T_B_u-FCLH2O-S4"=[1]OUT_TransportEnergyCons!$A$3:$A$1000)*1,("var_fout"=[1]OUT_TransportEnergyCons!$B$3:$B$1000)*1,ISNUMBER(SEARCH("tpbsu",[1]OUT_TransportEnergyCons!$C$3:$C$1000))*1,[1]OUT_TransportEnergyCons!I$3:I$1000)</f>
        <v>4.859750974552246E-5</v>
      </c>
      <c r="L1360" s="1" cm="1">
        <f t="array" ref="L1360">SUMPRODUCT(("T_B_u-FCLH2O-S4"=[1]OUT_TransportEnergyCons!$A$3:$A$1000)*1,("var_fout"=[1]OUT_TransportEnergyCons!$B$3:$B$1000)*1,ISNUMBER(SEARCH("tpbsu",[1]OUT_TransportEnergyCons!$C$3:$C$1000))*1,[1]OUT_TransportEnergyCons!J$3:J$1000)</f>
        <v>4.6937182616565961E-5</v>
      </c>
      <c r="M1360" s="1" cm="1">
        <f t="array" ref="M1360">SUMPRODUCT(("T_B_u-FCLH2O-S4"=[1]OUT_TransportEnergyCons!$A$3:$A$1000)*1,("var_fout"=[1]OUT_TransportEnergyCons!$B$3:$B$1000)*1,ISNUMBER(SEARCH("tpbsu",[1]OUT_TransportEnergyCons!$C$3:$C$1000))*1,[1]OUT_TransportEnergyCons!K$3:K$1000)</f>
        <v>4.9083238104361454E-5</v>
      </c>
      <c r="N1360" s="1" cm="1">
        <f t="array" ref="N1360">SUMPRODUCT(("T_B_u-FCLH2O-S4"=[1]OUT_TransportEnergyCons!$A$3:$A$1000)*1,("var_fout"=[1]OUT_TransportEnergyCons!$B$3:$B$1000)*1,ISNUMBER(SEARCH("tpbsu",[1]OUT_TransportEnergyCons!$C$3:$C$1000))*1,[1]OUT_TransportEnergyCons!L$3:L$1000)</f>
        <v>4.971464647697735E-5</v>
      </c>
      <c r="O1360" s="1" cm="1">
        <f t="array" ref="O1360">SUMPRODUCT(("T_B_u-FCLH2O-S4"=[1]OUT_TransportEnergyCons!$A$3:$A$1000)*1,("var_fout"=[1]OUT_TransportEnergyCons!$B$3:$B$1000)*1,ISNUMBER(SEARCH("tpbsu",[1]OUT_TransportEnergyCons!$C$3:$C$1000))*1,[1]OUT_TransportEnergyCons!M$3:M$1000)</f>
        <v>4.8606066949767645E-5</v>
      </c>
      <c r="P1360" s="1" cm="1">
        <f t="array" ref="P1360">SUMPRODUCT(("T_B_u-FCLH2O-S4"=[1]OUT_TransportEnergyCons!$A$3:$A$1000)*1,("var_fout"=[1]OUT_TransportEnergyCons!$B$3:$B$1000)*1,ISNUMBER(SEARCH("tpbsu",[1]OUT_TransportEnergyCons!$C$3:$C$1000))*1,[1]OUT_TransportEnergyCons!N$3:N$1000)</f>
        <v>5.0348966245064171E-5</v>
      </c>
      <c r="Q1360" s="1" cm="1">
        <f t="array" ref="Q1360">SUMPRODUCT(("T_B_u-FCLH2O-S4"=[1]OUT_TransportEnergyCons!$A$3:$A$1000)*1,("var_fout"=[1]OUT_TransportEnergyCons!$B$3:$B$1000)*1,ISNUMBER(SEARCH("tpbsu",[1]OUT_TransportEnergyCons!$C$3:$C$1000))*1,[1]OUT_TransportEnergyCons!O$3:O$1000)</f>
        <v>5.0715669455511823E-5</v>
      </c>
      <c r="S1360" s="3"/>
    </row>
    <row r="1361" spans="2:19" x14ac:dyDescent="0.5">
      <c r="B1361" s="5" t="str">
        <f t="shared" si="1504"/>
        <v>SPS1</v>
      </c>
      <c r="C1361" s="5" t="str">
        <f t="shared" si="1505"/>
        <v>CH</v>
      </c>
      <c r="D1361" t="s">
        <v>1358</v>
      </c>
      <c r="E1361" t="str">
        <f t="shared" si="1506"/>
        <v>billion km/yr.</v>
      </c>
      <c r="F1361" s="1" cm="1">
        <f t="array" ref="F1361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SUMPRODUCT(("T_B_u-HYBDSL-S1"=[1]OUT_TransportEnergyCons!$A$3:$A$1000)*1,("var_fout"=[1]OUT_TransportEnergyCons!$B$3:$B$1000)*1,ISNUMBER(SEARCH("tpbsu",[1]OUT_TransportEnergyCons!$C$3:$C$1000))*1,[1]OUT_TransportEnergyCons!E$3:E$1000)</f>
        <v>2.2922195891752949E-2</v>
      </c>
      <c r="H1361" s="1" cm="1">
        <f t="array" ref="H1361">SUMPRODUCT(("T_B_u-HYBDSL-S1"=[1]OUT_TransportEnergyCons!$A$3:$A$1000)*1,("var_fout"=[1]OUT_TransportEnergyCons!$B$3:$B$1000)*1,ISNUMBER(SEARCH("tpbsu",[1]OUT_TransportEnergyCons!$C$3:$C$1000))*1,[1]OUT_TransportEnergyCons!F$3:F$1000)</f>
        <v>4.3833176552259254E-5</v>
      </c>
      <c r="I1361" s="1" cm="1">
        <f t="array" ref="I1361">SUMPRODUCT(("T_B_u-HYBDSL-S1"=[1]OUT_TransportEnergyCons!$A$3:$A$1000)*1,("var_fout"=[1]OUT_TransportEnergyCons!$B$3:$B$1000)*1,ISNUMBER(SEARCH("tpbsu",[1]OUT_TransportEnergyCons!$C$3:$C$1000))*1,[1]OUT_TransportEnergyCons!G$3:G$1000)</f>
        <v>7.9536871852653216E-5</v>
      </c>
      <c r="J1361" s="1" cm="1">
        <f t="array" ref="J1361">SUMPRODUCT(("T_B_u-HYBDSL-S1"=[1]OUT_TransportEnergyCons!$A$3:$A$1000)*1,("var_fout"=[1]OUT_TransportEnergyCons!$B$3:$B$1000)*1,ISNUMBER(SEARCH("tpbsu",[1]OUT_TransportEnergyCons!$C$3:$C$1000))*1,[1]OUT_TransportEnergyCons!H$3:H$1000)</f>
        <v>7.0863645098387783E-5</v>
      </c>
      <c r="K1361" s="1" cm="1">
        <f t="array" ref="K1361">SUMPRODUCT(("T_B_u-HYBDSL-S1"=[1]OUT_TransportEnergyCons!$A$3:$A$1000)*1,("var_fout"=[1]OUT_TransportEnergyCons!$B$3:$B$1000)*1,ISNUMBER(SEARCH("tpbsu",[1]OUT_TransportEnergyCons!$C$3:$C$1000))*1,[1]OUT_TransportEnergyCons!I$3:I$1000)</f>
        <v>6.7337709745849138E-5</v>
      </c>
      <c r="L1361" s="1" cm="1">
        <f t="array" ref="L1361">SUMPRODUCT(("T_B_u-HYBDSL-S1"=[1]OUT_TransportEnergyCons!$A$3:$A$1000)*1,("var_fout"=[1]OUT_TransportEnergyCons!$B$3:$B$1000)*1,ISNUMBER(SEARCH("tpbsu",[1]OUT_TransportEnergyCons!$C$3:$C$1000))*1,[1]OUT_TransportEnergyCons!J$3:J$1000)</f>
        <v>7.2240170553434344E-5</v>
      </c>
      <c r="M1361" s="1" cm="1">
        <f t="array" ref="M1361">SUMPRODUCT(("T_B_u-HYBDSL-S1"=[1]OUT_TransportEnergyCons!$A$3:$A$1000)*1,("var_fout"=[1]OUT_TransportEnergyCons!$B$3:$B$1000)*1,ISNUMBER(SEARCH("tpbsu",[1]OUT_TransportEnergyCons!$C$3:$C$1000))*1,[1]OUT_TransportEnergyCons!K$3:K$1000)</f>
        <v>4.3479419344883323E-5</v>
      </c>
      <c r="N1361" s="1" cm="1">
        <f t="array" ref="N1361">SUMPRODUCT(("T_B_u-HYBDSL-S1"=[1]OUT_TransportEnergyCons!$A$3:$A$1000)*1,("var_fout"=[1]OUT_TransportEnergyCons!$B$3:$B$1000)*1,ISNUMBER(SEARCH("tpbsu",[1]OUT_TransportEnergyCons!$C$3:$C$1000))*1,[1]OUT_TransportEnergyCons!L$3:L$1000)</f>
        <v>0</v>
      </c>
      <c r="O1361" s="1" cm="1">
        <f t="array" ref="O1361">SUMPRODUCT(("T_B_u-HYBDSL-S1"=[1]OUT_TransportEnergyCons!$A$3:$A$1000)*1,("var_fout"=[1]OUT_TransportEnergyCons!$B$3:$B$1000)*1,ISNUMBER(SEARCH("tpbsu",[1]OUT_TransportEnergyCons!$C$3:$C$1000))*1,[1]OUT_TransportEnergyCons!M$3:M$1000)</f>
        <v>0</v>
      </c>
      <c r="P1361" s="1" cm="1">
        <f t="array" ref="P1361">SUMPRODUCT(("T_B_u-HYBDSL-S1"=[1]OUT_TransportEnergyCons!$A$3:$A$1000)*1,("var_fout"=[1]OUT_TransportEnergyCons!$B$3:$B$1000)*1,ISNUMBER(SEARCH("tpbsu",[1]OUT_TransportEnergyCons!$C$3:$C$1000))*1,[1]OUT_TransportEnergyCons!N$3:N$1000)</f>
        <v>0</v>
      </c>
      <c r="Q1361" s="1" cm="1">
        <f t="array" ref="Q1361">SUMPRODUCT(("T_B_u-HYBDSL-S1"=[1]OUT_TransportEnergyCons!$A$3:$A$1000)*1,("var_fout"=[1]OUT_TransportEnergyCons!$B$3:$B$1000)*1,ISNUMBER(SEARCH("tpbsu",[1]OUT_TransportEnergyCons!$C$3:$C$1000))*1,[1]OUT_TransportEnergyCons!O$3:O$1000)</f>
        <v>0</v>
      </c>
      <c r="S1361" s="3"/>
    </row>
    <row r="1362" spans="2:19" x14ac:dyDescent="0.5">
      <c r="B1362" s="5" t="str">
        <f t="shared" si="1504"/>
        <v>SPS1</v>
      </c>
      <c r="C1362" s="5" t="str">
        <f t="shared" si="1505"/>
        <v>CH</v>
      </c>
      <c r="D1362" t="s">
        <v>1359</v>
      </c>
      <c r="E1362" t="str">
        <f t="shared" si="1506"/>
        <v>billion km/yr.</v>
      </c>
      <c r="F1362" s="1" cm="1">
        <f t="array" ref="F1362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SUMPRODUCT(("T_B_u-HYBDSL-S2"=[1]OUT_TransportEnergyCons!$A$3:$A$1000)*1,("var_fout"=[1]OUT_TransportEnergyCons!$B$3:$B$1000)*1,ISNUMBER(SEARCH("tpbsu",[1]OUT_TransportEnergyCons!$C$3:$C$1000))*1,[1]OUT_TransportEnergyCons!E$3:E$1000)</f>
        <v>4.9892505750348057E-5</v>
      </c>
      <c r="H1362" s="1" cm="1">
        <f t="array" ref="H1362">SUMPRODUCT(("T_B_u-HYBDSL-S2"=[1]OUT_TransportEnergyCons!$A$3:$A$1000)*1,("var_fout"=[1]OUT_TransportEnergyCons!$B$3:$B$1000)*1,ISNUMBER(SEARCH("tpbsu",[1]OUT_TransportEnergyCons!$C$3:$C$1000))*1,[1]OUT_TransportEnergyCons!F$3:F$1000)</f>
        <v>4.9385808315040487E-5</v>
      </c>
      <c r="I1362" s="1" cm="1">
        <f t="array" ref="I1362">SUMPRODUCT(("T_B_u-HYBDSL-S2"=[1]OUT_TransportEnergyCons!$A$3:$A$1000)*1,("var_fout"=[1]OUT_TransportEnergyCons!$B$3:$B$1000)*1,ISNUMBER(SEARCH("tpbsu",[1]OUT_TransportEnergyCons!$C$3:$C$1000))*1,[1]OUT_TransportEnergyCons!G$3:G$1000)</f>
        <v>1.1439679236723863E-4</v>
      </c>
      <c r="J1362" s="1" cm="1">
        <f t="array" ref="J1362">SUMPRODUCT(("T_B_u-HYBDSL-S2"=[1]OUT_TransportEnergyCons!$A$3:$A$1000)*1,("var_fout"=[1]OUT_TransportEnergyCons!$B$3:$B$1000)*1,ISNUMBER(SEARCH("tpbsu",[1]OUT_TransportEnergyCons!$C$3:$C$1000))*1,[1]OUT_TransportEnergyCons!H$3:H$1000)</f>
        <v>8.8232549272033284E-5</v>
      </c>
      <c r="K1362" s="1" cm="1">
        <f t="array" ref="K1362">SUMPRODUCT(("T_B_u-HYBDSL-S2"=[1]OUT_TransportEnergyCons!$A$3:$A$1000)*1,("var_fout"=[1]OUT_TransportEnergyCons!$B$3:$B$1000)*1,ISNUMBER(SEARCH("tpbsu",[1]OUT_TransportEnergyCons!$C$3:$C$1000))*1,[1]OUT_TransportEnergyCons!I$3:I$1000)</f>
        <v>7.8008896322439422E-5</v>
      </c>
      <c r="L1362" s="1" cm="1">
        <f t="array" ref="L1362">SUMPRODUCT(("T_B_u-HYBDSL-S2"=[1]OUT_TransportEnergyCons!$A$3:$A$1000)*1,("var_fout"=[1]OUT_TransportEnergyCons!$B$3:$B$1000)*1,ISNUMBER(SEARCH("tpbsu",[1]OUT_TransportEnergyCons!$C$3:$C$1000))*1,[1]OUT_TransportEnergyCons!J$3:J$1000)</f>
        <v>8.0442317157425214E-5</v>
      </c>
      <c r="M1362" s="1" cm="1">
        <f t="array" ref="M1362">SUMPRODUCT(("T_B_u-HYBDSL-S2"=[1]OUT_TransportEnergyCons!$A$3:$A$1000)*1,("var_fout"=[1]OUT_TransportEnergyCons!$B$3:$B$1000)*1,ISNUMBER(SEARCH("tpbsu",[1]OUT_TransportEnergyCons!$C$3:$C$1000))*1,[1]OUT_TransportEnergyCons!K$3:K$1000)</f>
        <v>4.4841195803942721E-5</v>
      </c>
      <c r="N1362" s="1" cm="1">
        <f t="array" ref="N1362">SUMPRODUCT(("T_B_u-HYBDSL-S2"=[1]OUT_TransportEnergyCons!$A$3:$A$1000)*1,("var_fout"=[1]OUT_TransportEnergyCons!$B$3:$B$1000)*1,ISNUMBER(SEARCH("tpbsu",[1]OUT_TransportEnergyCons!$C$3:$C$1000))*1,[1]OUT_TransportEnergyCons!L$3:L$1000)</f>
        <v>0</v>
      </c>
      <c r="O1362" s="1" cm="1">
        <f t="array" ref="O1362">SUMPRODUCT(("T_B_u-HYBDSL-S2"=[1]OUT_TransportEnergyCons!$A$3:$A$1000)*1,("var_fout"=[1]OUT_TransportEnergyCons!$B$3:$B$1000)*1,ISNUMBER(SEARCH("tpbsu",[1]OUT_TransportEnergyCons!$C$3:$C$1000))*1,[1]OUT_TransportEnergyCons!M$3:M$1000)</f>
        <v>0</v>
      </c>
      <c r="P1362" s="1" cm="1">
        <f t="array" ref="P1362">SUMPRODUCT(("T_B_u-HYBDSL-S2"=[1]OUT_TransportEnergyCons!$A$3:$A$1000)*1,("var_fout"=[1]OUT_TransportEnergyCons!$B$3:$B$1000)*1,ISNUMBER(SEARCH("tpbsu",[1]OUT_TransportEnergyCons!$C$3:$C$1000))*1,[1]OUT_TransportEnergyCons!N$3:N$1000)</f>
        <v>0</v>
      </c>
      <c r="Q1362" s="1" cm="1">
        <f t="array" ref="Q1362">SUMPRODUCT(("T_B_u-HYBDSL-S2"=[1]OUT_TransportEnergyCons!$A$3:$A$1000)*1,("var_fout"=[1]OUT_TransportEnergyCons!$B$3:$B$1000)*1,ISNUMBER(SEARCH("tpbsu",[1]OUT_TransportEnergyCons!$C$3:$C$1000))*1,[1]OUT_TransportEnergyCons!O$3:O$1000)</f>
        <v>0</v>
      </c>
      <c r="S1362" s="3"/>
    </row>
    <row r="1363" spans="2:19" x14ac:dyDescent="0.5">
      <c r="B1363" s="5" t="str">
        <f t="shared" si="1504"/>
        <v>SPS1</v>
      </c>
      <c r="C1363" s="5" t="str">
        <f t="shared" si="1505"/>
        <v>CH</v>
      </c>
      <c r="D1363" t="s">
        <v>1360</v>
      </c>
      <c r="E1363" t="str">
        <f t="shared" si="1506"/>
        <v>billion km/yr.</v>
      </c>
      <c r="F1363" s="1" cm="1">
        <f t="array" ref="F1363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3" s="1" cm="1">
        <f t="array" ref="G1363">SUMPRODUCT(("T_B_u-HYBDSL-S3"=[1]OUT_TransportEnergyCons!$A$3:$A$1000)*1,("var_fout"=[1]OUT_TransportEnergyCons!$B$3:$B$1000)*1,ISNUMBER(SEARCH("tpbsu",[1]OUT_TransportEnergyCons!$C$3:$C$1000))*1,[1]OUT_TransportEnergyCons!E$3:E$1000)</f>
        <v>7.0015109545019729E-5</v>
      </c>
      <c r="H1363" s="1" cm="1">
        <f t="array" ref="H1363">SUMPRODUCT(("T_B_u-HYBDSL-S3"=[1]OUT_TransportEnergyCons!$A$3:$A$1000)*1,("var_fout"=[1]OUT_TransportEnergyCons!$B$3:$B$1000)*1,ISNUMBER(SEARCH("tpbsu",[1]OUT_TransportEnergyCons!$C$3:$C$1000))*1,[1]OUT_TransportEnergyCons!F$3:F$1000)</f>
        <v>8.615814080944853E-5</v>
      </c>
      <c r="I1363" s="1" cm="1">
        <f t="array" ref="I1363">SUMPRODUCT(("T_B_u-HYBDSL-S3"=[1]OUT_TransportEnergyCons!$A$3:$A$1000)*1,("var_fout"=[1]OUT_TransportEnergyCons!$B$3:$B$1000)*1,ISNUMBER(SEARCH("tpbsu",[1]OUT_TransportEnergyCons!$C$3:$C$1000))*1,[1]OUT_TransportEnergyCons!G$3:G$1000)</f>
        <v>2.0285847525364029E-3</v>
      </c>
      <c r="J1363" s="1" cm="1">
        <f t="array" ref="J1363">SUMPRODUCT(("T_B_u-HYBDSL-S3"=[1]OUT_TransportEnergyCons!$A$3:$A$1000)*1,("var_fout"=[1]OUT_TransportEnergyCons!$B$3:$B$1000)*1,ISNUMBER(SEARCH("tpbsu",[1]OUT_TransportEnergyCons!$C$3:$C$1000))*1,[1]OUT_TransportEnergyCons!H$3:H$1000)</f>
        <v>9.4228002898590039E-5</v>
      </c>
      <c r="K1363" s="1" cm="1">
        <f t="array" ref="K1363">SUMPRODUCT(("T_B_u-HYBDSL-S3"=[1]OUT_TransportEnergyCons!$A$3:$A$1000)*1,("var_fout"=[1]OUT_TransportEnergyCons!$B$3:$B$1000)*1,ISNUMBER(SEARCH("tpbsu",[1]OUT_TransportEnergyCons!$C$3:$C$1000))*1,[1]OUT_TransportEnergyCons!I$3:I$1000)</f>
        <v>6.1697661743267498E-5</v>
      </c>
      <c r="L1363" s="1" cm="1">
        <f t="array" ref="L1363">SUMPRODUCT(("T_B_u-HYBDSL-S3"=[1]OUT_TransportEnergyCons!$A$3:$A$1000)*1,("var_fout"=[1]OUT_TransportEnergyCons!$B$3:$B$1000)*1,ISNUMBER(SEARCH("tpbsu",[1]OUT_TransportEnergyCons!$C$3:$C$1000))*1,[1]OUT_TransportEnergyCons!J$3:J$1000)</f>
        <v>7.8989631657911617E-5</v>
      </c>
      <c r="M1363" s="1" cm="1">
        <f t="array" ref="M1363">SUMPRODUCT(("T_B_u-HYBDSL-S3"=[1]OUT_TransportEnergyCons!$A$3:$A$1000)*1,("var_fout"=[1]OUT_TransportEnergyCons!$B$3:$B$1000)*1,ISNUMBER(SEARCH("tpbsu",[1]OUT_TransportEnergyCons!$C$3:$C$1000))*1,[1]OUT_TransportEnergyCons!K$3:K$1000)</f>
        <v>0</v>
      </c>
      <c r="N1363" s="1" cm="1">
        <f t="array" ref="N1363">SUMPRODUCT(("T_B_u-HYBDSL-S3"=[1]OUT_TransportEnergyCons!$A$3:$A$1000)*1,("var_fout"=[1]OUT_TransportEnergyCons!$B$3:$B$1000)*1,ISNUMBER(SEARCH("tpbsu",[1]OUT_TransportEnergyCons!$C$3:$C$1000))*1,[1]OUT_TransportEnergyCons!L$3:L$1000)</f>
        <v>0</v>
      </c>
      <c r="O1363" s="1" cm="1">
        <f t="array" ref="O1363">SUMPRODUCT(("T_B_u-HYBDSL-S3"=[1]OUT_TransportEnergyCons!$A$3:$A$1000)*1,("var_fout"=[1]OUT_TransportEnergyCons!$B$3:$B$1000)*1,ISNUMBER(SEARCH("tpbsu",[1]OUT_TransportEnergyCons!$C$3:$C$1000))*1,[1]OUT_TransportEnergyCons!M$3:M$1000)</f>
        <v>0</v>
      </c>
      <c r="P1363" s="1" cm="1">
        <f t="array" ref="P1363">SUMPRODUCT(("T_B_u-HYBDSL-S3"=[1]OUT_TransportEnergyCons!$A$3:$A$1000)*1,("var_fout"=[1]OUT_TransportEnergyCons!$B$3:$B$1000)*1,ISNUMBER(SEARCH("tpbsu",[1]OUT_TransportEnergyCons!$C$3:$C$1000))*1,[1]OUT_TransportEnergyCons!N$3:N$1000)</f>
        <v>0</v>
      </c>
      <c r="Q1363" s="1" cm="1">
        <f t="array" ref="Q1363">SUMPRODUCT(("T_B_u-HYBDSL-S3"=[1]OUT_TransportEnergyCons!$A$3:$A$1000)*1,("var_fout"=[1]OUT_TransportEnergyCons!$B$3:$B$1000)*1,ISNUMBER(SEARCH("tpbsu",[1]OUT_TransportEnergyCons!$C$3:$C$1000))*1,[1]OUT_TransportEnergyCons!O$3:O$1000)</f>
        <v>0</v>
      </c>
      <c r="S1363" s="3"/>
    </row>
    <row r="1364" spans="2:19" x14ac:dyDescent="0.5">
      <c r="B1364" s="5" t="str">
        <f t="shared" si="1504"/>
        <v>SPS1</v>
      </c>
      <c r="C1364" s="5" t="str">
        <f t="shared" si="1505"/>
        <v>CH</v>
      </c>
      <c r="D1364" t="s">
        <v>1361</v>
      </c>
      <c r="E1364" t="str">
        <f t="shared" si="1506"/>
        <v>billion km/yr.</v>
      </c>
      <c r="F1364" s="1" cm="1">
        <f t="array" ref="F1364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4" s="1" cm="1">
        <f t="array" ref="G1364">SUMPRODUCT(("T_B_u-HYBDSL-S4"=[1]OUT_TransportEnergyCons!$A$3:$A$1000)*1,("var_fout"=[1]OUT_TransportEnergyCons!$B$3:$B$1000)*1,ISNUMBER(SEARCH("tpbsu",[1]OUT_TransportEnergyCons!$C$3:$C$1000))*1,[1]OUT_TransportEnergyCons!E$3:E$1000)</f>
        <v>1.6721142117047895E-5</v>
      </c>
      <c r="H1364" s="1" cm="1">
        <f t="array" ref="H1364">SUMPRODUCT(("T_B_u-HYBDSL-S4"=[1]OUT_TransportEnergyCons!$A$3:$A$1000)*1,("var_fout"=[1]OUT_TransportEnergyCons!$B$3:$B$1000)*1,ISNUMBER(SEARCH("tpbsu",[1]OUT_TransportEnergyCons!$C$3:$C$1000))*1,[1]OUT_TransportEnergyCons!F$3:F$1000)</f>
        <v>2.7905716228424853E-5</v>
      </c>
      <c r="I1364" s="1" cm="1">
        <f t="array" ref="I1364">SUMPRODUCT(("T_B_u-HYBDSL-S4"=[1]OUT_TransportEnergyCons!$A$3:$A$1000)*1,("var_fout"=[1]OUT_TransportEnergyCons!$B$3:$B$1000)*1,ISNUMBER(SEARCH("tpbsu",[1]OUT_TransportEnergyCons!$C$3:$C$1000))*1,[1]OUT_TransportEnergyCons!G$3:G$1000)</f>
        <v>6.3239389039113962E-5</v>
      </c>
      <c r="J1364" s="1" cm="1">
        <f t="array" ref="J1364">SUMPRODUCT(("T_B_u-HYBDSL-S4"=[1]OUT_TransportEnergyCons!$A$3:$A$1000)*1,("var_fout"=[1]OUT_TransportEnergyCons!$B$3:$B$1000)*1,ISNUMBER(SEARCH("tpbsu",[1]OUT_TransportEnergyCons!$C$3:$C$1000))*1,[1]OUT_TransportEnergyCons!H$3:H$1000)</f>
        <v>4.839893012462636E-5</v>
      </c>
      <c r="K1364" s="1" cm="1">
        <f t="array" ref="K1364">SUMPRODUCT(("T_B_u-HYBDSL-S4"=[1]OUT_TransportEnergyCons!$A$3:$A$1000)*1,("var_fout"=[1]OUT_TransportEnergyCons!$B$3:$B$1000)*1,ISNUMBER(SEARCH("tpbsu",[1]OUT_TransportEnergyCons!$C$3:$C$1000))*1,[1]OUT_TransportEnergyCons!I$3:I$1000)</f>
        <v>4.6498916983461847E-5</v>
      </c>
      <c r="L1364" s="1" cm="1">
        <f t="array" ref="L1364">SUMPRODUCT(("T_B_u-HYBDSL-S4"=[1]OUT_TransportEnergyCons!$A$3:$A$1000)*1,("var_fout"=[1]OUT_TransportEnergyCons!$B$3:$B$1000)*1,ISNUMBER(SEARCH("tpbsu",[1]OUT_TransportEnergyCons!$C$3:$C$1000))*1,[1]OUT_TransportEnergyCons!J$3:J$1000)</f>
        <v>4.3888704726547474E-5</v>
      </c>
      <c r="M1364" s="1" cm="1">
        <f t="array" ref="M1364">SUMPRODUCT(("T_B_u-HYBDSL-S4"=[1]OUT_TransportEnergyCons!$A$3:$A$1000)*1,("var_fout"=[1]OUT_TransportEnergyCons!$B$3:$B$1000)*1,ISNUMBER(SEARCH("tpbsu",[1]OUT_TransportEnergyCons!$C$3:$C$1000))*1,[1]OUT_TransportEnergyCons!K$3:K$1000)</f>
        <v>0</v>
      </c>
      <c r="N1364" s="1" cm="1">
        <f t="array" ref="N1364">SUMPRODUCT(("T_B_u-HYBDSL-S4"=[1]OUT_TransportEnergyCons!$A$3:$A$1000)*1,("var_fout"=[1]OUT_TransportEnergyCons!$B$3:$B$1000)*1,ISNUMBER(SEARCH("tpbsu",[1]OUT_TransportEnergyCons!$C$3:$C$1000))*1,[1]OUT_TransportEnergyCons!L$3:L$1000)</f>
        <v>0</v>
      </c>
      <c r="O1364" s="1" cm="1">
        <f t="array" ref="O1364">SUMPRODUCT(("T_B_u-HYBDSL-S4"=[1]OUT_TransportEnergyCons!$A$3:$A$1000)*1,("var_fout"=[1]OUT_TransportEnergyCons!$B$3:$B$1000)*1,ISNUMBER(SEARCH("tpbsu",[1]OUT_TransportEnergyCons!$C$3:$C$1000))*1,[1]OUT_TransportEnergyCons!M$3:M$1000)</f>
        <v>0</v>
      </c>
      <c r="P1364" s="1" cm="1">
        <f t="array" ref="P1364">SUMPRODUCT(("T_B_u-HYBDSL-S4"=[1]OUT_TransportEnergyCons!$A$3:$A$1000)*1,("var_fout"=[1]OUT_TransportEnergyCons!$B$3:$B$1000)*1,ISNUMBER(SEARCH("tpbsu",[1]OUT_TransportEnergyCons!$C$3:$C$1000))*1,[1]OUT_TransportEnergyCons!N$3:N$1000)</f>
        <v>0</v>
      </c>
      <c r="Q1364" s="1" cm="1">
        <f t="array" ref="Q1364">SUMPRODUCT(("T_B_u-HYBDSL-S4"=[1]OUT_TransportEnergyCons!$A$3:$A$1000)*1,("var_fout"=[1]OUT_TransportEnergyCons!$B$3:$B$1000)*1,ISNUMBER(SEARCH("tpbsu",[1]OUT_TransportEnergyCons!$C$3:$C$1000))*1,[1]OUT_TransportEnergyCons!O$3:O$1000)</f>
        <v>0</v>
      </c>
      <c r="S1364" s="3"/>
    </row>
    <row r="1365" spans="2:19" x14ac:dyDescent="0.5">
      <c r="B1365" s="5" t="str">
        <f t="shared" si="1504"/>
        <v>SPS1</v>
      </c>
      <c r="C1365" s="5" t="str">
        <f t="shared" si="1505"/>
        <v>CH</v>
      </c>
      <c r="D1365" t="s">
        <v>2001</v>
      </c>
      <c r="E1365" t="str">
        <f t="shared" si="1506"/>
        <v>billion km/yr.</v>
      </c>
      <c r="F1365" s="1" cm="1">
        <f t="array" ref="F1365">SUMPRODUCT(("T_B_u-ICEDSLEXT"=[1]OUT_TransportEnergyCons!$A$3:$A$1000)*1,("var_fout"=[1]OUT_TransportEnergyCons!$B$3:$B$1000)*1,ISNUMBER(SEARCH("tpbsu",[1]OUT_TransportEnergyCons!$C$3:$C$1000))*1,[1]OUT_TransportEnergyCons!D$3:D$1000)</f>
        <v>0.24209781421633347</v>
      </c>
      <c r="G1365" s="1" cm="1">
        <f t="array" ref="G1365">SUMPRODUCT(("T_B_u-ICEDSLEXT"=[1]OUT_TransportEnergyCons!$A$3:$A$1000)*1,("var_fout"=[1]OUT_TransportEnergyCons!$B$3:$B$1000)*1,ISNUMBER(SEARCH("tpbsu",[1]OUT_TransportEnergyCons!$C$3:$C$1000))*1,[1]OUT_TransportEnergyCons!E$3:E$1000)</f>
        <v>0.19381674738331908</v>
      </c>
      <c r="H1365" s="1" cm="1">
        <f t="array" ref="H1365">SUMPRODUCT(("T_B_u-ICEDSLEXT"=[1]OUT_TransportEnergyCons!$A$3:$A$1000)*1,("var_fout"=[1]OUT_TransportEnergyCons!$B$3:$B$1000)*1,ISNUMBER(SEARCH("tpbsu",[1]OUT_TransportEnergyCons!$C$3:$C$1000))*1,[1]OUT_TransportEnergyCons!F$3:F$1000)</f>
        <v>0.12114542038959267</v>
      </c>
      <c r="I1365" s="1" cm="1">
        <f t="array" ref="I1365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SUMPRODUCT(("T_B_u-ICEDSLEXT"=[1]OUT_TransportEnergyCons!$A$3:$A$1000)*1,("var_fout"=[1]OUT_TransportEnergyCons!$B$3:$B$1000)*1,ISNUMBER(SEARCH("tpbsu",[1]OUT_TransportEnergyCons!$C$3:$C$1000))*1,[1]OUT_TransportEnergyCons!H$3:H$1000)</f>
        <v>0</v>
      </c>
      <c r="K1365" s="1" cm="1">
        <f t="array" ref="K1365">SUMPRODUCT(("T_B_u-ICEDSLEXT"=[1]OUT_TransportEnergyCons!$A$3:$A$1000)*1,("var_fout"=[1]OUT_TransportEnergyCons!$B$3:$B$1000)*1,ISNUMBER(SEARCH("tpbsu",[1]OUT_TransportEnergyCons!$C$3:$C$1000))*1,[1]OUT_TransportEnergyCons!I$3:I$1000)</f>
        <v>0</v>
      </c>
      <c r="L1365" s="1" cm="1">
        <f t="array" ref="L1365">SUMPRODUCT(("T_B_u-ICEDSLEXT"=[1]OUT_TransportEnergyCons!$A$3:$A$1000)*1,("var_fout"=[1]OUT_TransportEnergyCons!$B$3:$B$1000)*1,ISNUMBER(SEARCH("tpbsu",[1]OUT_TransportEnergyCons!$C$3:$C$1000))*1,[1]OUT_TransportEnergyCons!J$3:J$1000)</f>
        <v>0</v>
      </c>
      <c r="M1365" s="1" cm="1">
        <f t="array" ref="M1365">SUMPRODUCT(("T_B_u-ICEDSLEXT"=[1]OUT_TransportEnergyCons!$A$3:$A$1000)*1,("var_fout"=[1]OUT_TransportEnergyCons!$B$3:$B$1000)*1,ISNUMBER(SEARCH("tpbsu",[1]OUT_TransportEnergyCons!$C$3:$C$1000))*1,[1]OUT_TransportEnergyCons!K$3:K$1000)</f>
        <v>0</v>
      </c>
      <c r="N1365" s="1" cm="1">
        <f t="array" ref="N1365">SUMPRODUCT(("T_B_u-ICEDSLEXT"=[1]OUT_TransportEnergyCons!$A$3:$A$1000)*1,("var_fout"=[1]OUT_TransportEnergyCons!$B$3:$B$1000)*1,ISNUMBER(SEARCH("tpbsu",[1]OUT_TransportEnergyCons!$C$3:$C$1000))*1,[1]OUT_TransportEnergyCons!L$3:L$1000)</f>
        <v>0</v>
      </c>
      <c r="O1365" s="1" cm="1">
        <f t="array" ref="O1365">SUMPRODUCT(("T_B_u-ICEDSLEXT"=[1]OUT_TransportEnergyCons!$A$3:$A$1000)*1,("var_fout"=[1]OUT_TransportEnergyCons!$B$3:$B$1000)*1,ISNUMBER(SEARCH("tpbsu",[1]OUT_TransportEnergyCons!$C$3:$C$1000))*1,[1]OUT_TransportEnergyCons!M$3:M$1000)</f>
        <v>0</v>
      </c>
      <c r="P1365" s="1" cm="1">
        <f t="array" ref="P1365">SUMPRODUCT(("T_B_u-ICEDSLEXT"=[1]OUT_TransportEnergyCons!$A$3:$A$1000)*1,("var_fout"=[1]OUT_TransportEnergyCons!$B$3:$B$1000)*1,ISNUMBER(SEARCH("tpbsu",[1]OUT_TransportEnergyCons!$C$3:$C$1000))*1,[1]OUT_TransportEnergyCons!N$3:N$1000)</f>
        <v>0</v>
      </c>
      <c r="Q1365" s="1" cm="1">
        <f t="array" ref="Q1365">SUMPRODUCT(("T_B_u-ICEDSLEXT"=[1]OUT_TransportEnergyCons!$A$3:$A$1000)*1,("var_fout"=[1]OUT_TransportEnergyCons!$B$3:$B$1000)*1,ISNUMBER(SEARCH("tpbsu",[1]OUT_TransportEnergyCons!$C$3:$C$1000))*1,[1]OUT_TransportEnergyCons!O$3:O$1000)</f>
        <v>0</v>
      </c>
      <c r="S1365" s="3"/>
    </row>
    <row r="1366" spans="2:19" x14ac:dyDescent="0.5">
      <c r="B1366" s="5" t="str">
        <f t="shared" si="1504"/>
        <v>SPS1</v>
      </c>
      <c r="C1366" s="5" t="str">
        <f t="shared" si="1505"/>
        <v>CH</v>
      </c>
      <c r="D1366" t="s">
        <v>1362</v>
      </c>
      <c r="E1366" t="str">
        <f t="shared" si="1506"/>
        <v>billion km/yr.</v>
      </c>
      <c r="F1366" s="1" cm="1">
        <f t="array" ref="F1366">SUMPRODUCT(("T_B_u-ICEDSL-S1"=[1]OUT_TransportEnergyCons!$A$3:$A$1000)*1,("var_fout"=[1]OUT_TransportEnergyCons!$B$3:$B$1000)*1,ISNUMBER(SEARCH("tpbsu",[1]OUT_TransportEnergyCons!$C$3:$C$1000))*1,[1]OUT_TransportEnergyCons!D$3:D$1000)</f>
        <v>1.5521734395105538E-4</v>
      </c>
      <c r="G1366" s="1" cm="1">
        <f t="array" ref="G1366">SUMPRODUCT(("T_B_u-ICEDSL-S1"=[1]OUT_TransportEnergyCons!$A$3:$A$1000)*1,("var_fout"=[1]OUT_TransportEnergyCons!$B$3:$B$1000)*1,ISNUMBER(SEARCH("tpbsu",[1]OUT_TransportEnergyCons!$C$3:$C$1000))*1,[1]OUT_TransportEnergyCons!E$3:E$1000)</f>
        <v>9.4236197655725266E-3</v>
      </c>
      <c r="H1366" s="1" cm="1">
        <f t="array" ref="H1366">SUMPRODUCT(("T_B_u-ICEDSL-S1"=[1]OUT_TransportEnergyCons!$A$3:$A$1000)*1,("var_fout"=[1]OUT_TransportEnergyCons!$B$3:$B$1000)*1,ISNUMBER(SEARCH("tpbsu",[1]OUT_TransportEnergyCons!$C$3:$C$1000))*1,[1]OUT_TransportEnergyCons!F$3:F$1000)</f>
        <v>1.4992039016322213E-4</v>
      </c>
      <c r="I1366" s="1" cm="1">
        <f t="array" ref="I1366">SUMPRODUCT(("T_B_u-ICEDSL-S1"=[1]OUT_TransportEnergyCons!$A$3:$A$1000)*1,("var_fout"=[1]OUT_TransportEnergyCons!$B$3:$B$1000)*1,ISNUMBER(SEARCH("tpbsu",[1]OUT_TransportEnergyCons!$C$3:$C$1000))*1,[1]OUT_TransportEnergyCons!G$3:G$1000)</f>
        <v>2.1670184185889054E-4</v>
      </c>
      <c r="J1366" s="1" cm="1">
        <f t="array" ref="J1366">SUMPRODUCT(("T_B_u-ICEDSL-S1"=[1]OUT_TransportEnergyCons!$A$3:$A$1000)*1,("var_fout"=[1]OUT_TransportEnergyCons!$B$3:$B$1000)*1,ISNUMBER(SEARCH("tpbsu",[1]OUT_TransportEnergyCons!$C$3:$C$1000))*1,[1]OUT_TransportEnergyCons!H$3:H$1000)</f>
        <v>7.5568824651743829E-5</v>
      </c>
      <c r="K1366" s="1" cm="1">
        <f t="array" ref="K1366">SUMPRODUCT(("T_B_u-ICEDSL-S1"=[1]OUT_TransportEnergyCons!$A$3:$A$1000)*1,("var_fout"=[1]OUT_TransportEnergyCons!$B$3:$B$1000)*1,ISNUMBER(SEARCH("tpbsu",[1]OUT_TransportEnergyCons!$C$3:$C$1000))*1,[1]OUT_TransportEnergyCons!I$3:I$1000)</f>
        <v>6.9672465389461932E-5</v>
      </c>
      <c r="L1366" s="1" cm="1">
        <f t="array" ref="L1366">SUMPRODUCT(("T_B_u-ICEDSL-S1"=[1]OUT_TransportEnergyCons!$A$3:$A$1000)*1,("var_fout"=[1]OUT_TransportEnergyCons!$B$3:$B$1000)*1,ISNUMBER(SEARCH("tpbsu",[1]OUT_TransportEnergyCons!$C$3:$C$1000))*1,[1]OUT_TransportEnergyCons!J$3:J$1000)</f>
        <v>7.4269468936740096E-5</v>
      </c>
      <c r="M1366" s="1" cm="1">
        <f t="array" ref="M1366">SUMPRODUCT(("T_B_u-ICEDSL-S1"=[1]OUT_TransportEnergyCons!$A$3:$A$1000)*1,("var_fout"=[1]OUT_TransportEnergyCons!$B$3:$B$1000)*1,ISNUMBER(SEARCH("tpbsu",[1]OUT_TransportEnergyCons!$C$3:$C$1000))*1,[1]OUT_TransportEnergyCons!K$3:K$1000)</f>
        <v>4.4230167119625276E-5</v>
      </c>
      <c r="N1366" s="1" cm="1">
        <f t="array" ref="N1366">SUMPRODUCT(("T_B_u-ICEDSL-S1"=[1]OUT_TransportEnergyCons!$A$3:$A$1000)*1,("var_fout"=[1]OUT_TransportEnergyCons!$B$3:$B$1000)*1,ISNUMBER(SEARCH("tpbsu",[1]OUT_TransportEnergyCons!$C$3:$C$1000))*1,[1]OUT_TransportEnergyCons!L$3:L$1000)</f>
        <v>0</v>
      </c>
      <c r="O1366" s="1" cm="1">
        <f t="array" ref="O1366">SUMPRODUCT(("T_B_u-ICEDSL-S1"=[1]OUT_TransportEnergyCons!$A$3:$A$1000)*1,("var_fout"=[1]OUT_TransportEnergyCons!$B$3:$B$1000)*1,ISNUMBER(SEARCH("tpbsu",[1]OUT_TransportEnergyCons!$C$3:$C$1000))*1,[1]OUT_TransportEnergyCons!M$3:M$1000)</f>
        <v>0</v>
      </c>
      <c r="P1366" s="1" cm="1">
        <f t="array" ref="P1366">SUMPRODUCT(("T_B_u-ICEDSL-S1"=[1]OUT_TransportEnergyCons!$A$3:$A$1000)*1,("var_fout"=[1]OUT_TransportEnergyCons!$B$3:$B$1000)*1,ISNUMBER(SEARCH("tpbsu",[1]OUT_TransportEnergyCons!$C$3:$C$1000))*1,[1]OUT_TransportEnergyCons!N$3:N$1000)</f>
        <v>0</v>
      </c>
      <c r="Q1366" s="1" cm="1">
        <f t="array" ref="Q1366">SUMPRODUCT(("T_B_u-ICEDSL-S1"=[1]OUT_TransportEnergyCons!$A$3:$A$1000)*1,("var_fout"=[1]OUT_TransportEnergyCons!$B$3:$B$1000)*1,ISNUMBER(SEARCH("tpbsu",[1]OUT_TransportEnergyCons!$C$3:$C$1000))*1,[1]OUT_TransportEnergyCons!O$3:O$1000)</f>
        <v>0</v>
      </c>
      <c r="S1366" s="3"/>
    </row>
    <row r="1367" spans="2:19" x14ac:dyDescent="0.5">
      <c r="B1367" s="5" t="str">
        <f t="shared" si="1504"/>
        <v>SPS1</v>
      </c>
      <c r="C1367" s="5" t="str">
        <f t="shared" si="1505"/>
        <v>CH</v>
      </c>
      <c r="D1367" t="s">
        <v>1363</v>
      </c>
      <c r="E1367" t="str">
        <f t="shared" si="1506"/>
        <v>billion km/yr.</v>
      </c>
      <c r="F1367" s="1" cm="1">
        <f t="array" ref="F1367">SUMPRODUCT(("T_B_u-ICEDSL-S2"=[1]OUT_TransportEnergyCons!$A$3:$A$1000)*1,("var_fout"=[1]OUT_TransportEnergyCons!$B$3:$B$1000)*1,ISNUMBER(SEARCH("tpbsu",[1]OUT_TransportEnergyCons!$C$3:$C$1000))*1,[1]OUT_TransportEnergyCons!D$3:D$1000)</f>
        <v>9.2852992765583946E-3</v>
      </c>
      <c r="G1367" s="1" cm="1">
        <f t="array" ref="G1367">SUMPRODUCT(("T_B_u-ICEDSL-S2"=[1]OUT_TransportEnergyCons!$A$3:$A$1000)*1,("var_fout"=[1]OUT_TransportEnergyCons!$B$3:$B$1000)*1,ISNUMBER(SEARCH("tpbsu",[1]OUT_TransportEnergyCons!$C$3:$C$1000))*1,[1]OUT_TransportEnergyCons!E$3:E$1000)</f>
        <v>1.1599034015809534E-2</v>
      </c>
      <c r="H1367" s="1" cm="1">
        <f t="array" ref="H1367">SUMPRODUCT(("T_B_u-ICEDSL-S2"=[1]OUT_TransportEnergyCons!$A$3:$A$1000)*1,("var_fout"=[1]OUT_TransportEnergyCons!$B$3:$B$1000)*1,ISNUMBER(SEARCH("tpbsu",[1]OUT_TransportEnergyCons!$C$3:$C$1000))*1,[1]OUT_TransportEnergyCons!F$3:F$1000)</f>
        <v>1.6296204375018206E-4</v>
      </c>
      <c r="I1367" s="1" cm="1">
        <f t="array" ref="I1367">SUMPRODUCT(("T_B_u-ICEDSL-S2"=[1]OUT_TransportEnergyCons!$A$3:$A$1000)*1,("var_fout"=[1]OUT_TransportEnergyCons!$B$3:$B$1000)*1,ISNUMBER(SEARCH("tpbsu",[1]OUT_TransportEnergyCons!$C$3:$C$1000))*1,[1]OUT_TransportEnergyCons!G$3:G$1000)</f>
        <v>2.9562169188891843E-4</v>
      </c>
      <c r="J1367" s="1" cm="1">
        <f t="array" ref="J1367">SUMPRODUCT(("T_B_u-ICEDSL-S2"=[1]OUT_TransportEnergyCons!$A$3:$A$1000)*1,("var_fout"=[1]OUT_TransportEnergyCons!$B$3:$B$1000)*1,ISNUMBER(SEARCH("tpbsu",[1]OUT_TransportEnergyCons!$C$3:$C$1000))*1,[1]OUT_TransportEnergyCons!H$3:H$1000)</f>
        <v>1.1048054593261747E-4</v>
      </c>
      <c r="K1367" s="1" cm="1">
        <f t="array" ref="K1367">SUMPRODUCT(("T_B_u-ICEDSL-S2"=[1]OUT_TransportEnergyCons!$A$3:$A$1000)*1,("var_fout"=[1]OUT_TransportEnergyCons!$B$3:$B$1000)*1,ISNUMBER(SEARCH("tpbsu",[1]OUT_TransportEnergyCons!$C$3:$C$1000))*1,[1]OUT_TransportEnergyCons!I$3:I$1000)</f>
        <v>8.8754828280657139E-5</v>
      </c>
      <c r="L1367" s="1" cm="1">
        <f t="array" ref="L1367">SUMPRODUCT(("T_B_u-ICEDSL-S2"=[1]OUT_TransportEnergyCons!$A$3:$A$1000)*1,("var_fout"=[1]OUT_TransportEnergyCons!$B$3:$B$1000)*1,ISNUMBER(SEARCH("tpbsu",[1]OUT_TransportEnergyCons!$C$3:$C$1000))*1,[1]OUT_TransportEnergyCons!J$3:J$1000)</f>
        <v>8.580199945016163E-5</v>
      </c>
      <c r="M1367" s="1" cm="1">
        <f t="array" ref="M1367">SUMPRODUCT(("T_B_u-ICEDSL-S2"=[1]OUT_TransportEnergyCons!$A$3:$A$1000)*1,("var_fout"=[1]OUT_TransportEnergyCons!$B$3:$B$1000)*1,ISNUMBER(SEARCH("tpbsu",[1]OUT_TransportEnergyCons!$C$3:$C$1000))*1,[1]OUT_TransportEnergyCons!K$3:K$1000)</f>
        <v>4.6874410390533241E-5</v>
      </c>
      <c r="N1367" s="1" cm="1">
        <f t="array" ref="N1367">SUMPRODUCT(("T_B_u-ICEDSL-S2"=[1]OUT_TransportEnergyCons!$A$3:$A$1000)*1,("var_fout"=[1]OUT_TransportEnergyCons!$B$3:$B$1000)*1,ISNUMBER(SEARCH("tpbsu",[1]OUT_TransportEnergyCons!$C$3:$C$1000))*1,[1]OUT_TransportEnergyCons!L$3:L$1000)</f>
        <v>0</v>
      </c>
      <c r="O1367" s="1" cm="1">
        <f t="array" ref="O1367">SUMPRODUCT(("T_B_u-ICEDSL-S2"=[1]OUT_TransportEnergyCons!$A$3:$A$1000)*1,("var_fout"=[1]OUT_TransportEnergyCons!$B$3:$B$1000)*1,ISNUMBER(SEARCH("tpbsu",[1]OUT_TransportEnergyCons!$C$3:$C$1000))*1,[1]OUT_TransportEnergyCons!M$3:M$1000)</f>
        <v>0</v>
      </c>
      <c r="P1367" s="1" cm="1">
        <f t="array" ref="P1367">SUMPRODUCT(("T_B_u-ICEDSL-S2"=[1]OUT_TransportEnergyCons!$A$3:$A$1000)*1,("var_fout"=[1]OUT_TransportEnergyCons!$B$3:$B$1000)*1,ISNUMBER(SEARCH("tpbsu",[1]OUT_TransportEnergyCons!$C$3:$C$1000))*1,[1]OUT_TransportEnergyCons!N$3:N$1000)</f>
        <v>0</v>
      </c>
      <c r="Q1367" s="1" cm="1">
        <f t="array" ref="Q1367">SUMPRODUCT(("T_B_u-ICEDSL-S2"=[1]OUT_TransportEnergyCons!$A$3:$A$1000)*1,("var_fout"=[1]OUT_TransportEnergyCons!$B$3:$B$1000)*1,ISNUMBER(SEARCH("tpbsu",[1]OUT_TransportEnergyCons!$C$3:$C$1000))*1,[1]OUT_TransportEnergyCons!O$3:O$1000)</f>
        <v>0</v>
      </c>
      <c r="S1367" s="3"/>
    </row>
    <row r="1368" spans="2:19" x14ac:dyDescent="0.5">
      <c r="B1368" s="5" t="str">
        <f t="shared" si="1504"/>
        <v>SPS1</v>
      </c>
      <c r="C1368" s="5" t="str">
        <f t="shared" si="1505"/>
        <v>CH</v>
      </c>
      <c r="D1368" t="s">
        <v>1364</v>
      </c>
      <c r="E1368" t="str">
        <f t="shared" si="1506"/>
        <v>billion km/yr.</v>
      </c>
      <c r="F1368" s="1" cm="1">
        <f t="array" ref="F1368">SUMPRODUCT(("T_B_u-ICEDSL-S3"=[1]OUT_TransportEnergyCons!$A$3:$A$1000)*1,("var_fout"=[1]OUT_TransportEnergyCons!$B$3:$B$1000)*1,ISNUMBER(SEARCH("tpbsu",[1]OUT_TransportEnergyCons!$C$3:$C$1000))*1,[1]OUT_TransportEnergyCons!D$3:D$1000)</f>
        <v>3.56843319344122E-2</v>
      </c>
      <c r="G1368" s="1" cm="1">
        <f t="array" ref="G1368">SUMPRODUCT(("T_B_u-ICEDSL-S3"=[1]OUT_TransportEnergyCons!$A$3:$A$1000)*1,("var_fout"=[1]OUT_TransportEnergyCons!$B$3:$B$1000)*1,ISNUMBER(SEARCH("tpbsu",[1]OUT_TransportEnergyCons!$C$3:$C$1000))*1,[1]OUT_TransportEnergyCons!E$3:E$1000)</f>
        <v>5.2026901532698101E-2</v>
      </c>
      <c r="H1368" s="1" cm="1">
        <f t="array" ref="H1368">SUMPRODUCT(("T_B_u-ICEDSL-S3"=[1]OUT_TransportEnergyCons!$A$3:$A$1000)*1,("var_fout"=[1]OUT_TransportEnergyCons!$B$3:$B$1000)*1,ISNUMBER(SEARCH("tpbsu",[1]OUT_TransportEnergyCons!$C$3:$C$1000))*1,[1]OUT_TransportEnergyCons!F$3:F$1000)</f>
        <v>1.5848100744523947E-4</v>
      </c>
      <c r="I1368" s="1" cm="1">
        <f t="array" ref="I1368">SUMPRODUCT(("T_B_u-ICEDSL-S3"=[1]OUT_TransportEnergyCons!$A$3:$A$1000)*1,("var_fout"=[1]OUT_TransportEnergyCons!$B$3:$B$1000)*1,ISNUMBER(SEARCH("tpbsu",[1]OUT_TransportEnergyCons!$C$3:$C$1000))*1,[1]OUT_TransportEnergyCons!G$3:G$1000)</f>
        <v>2.2444367491292719E-3</v>
      </c>
      <c r="J1368" s="1" cm="1">
        <f t="array" ref="J1368">SUMPRODUCT(("T_B_u-ICEDSL-S3"=[1]OUT_TransportEnergyCons!$A$3:$A$1000)*1,("var_fout"=[1]OUT_TransportEnergyCons!$B$3:$B$1000)*1,ISNUMBER(SEARCH("tpbsu",[1]OUT_TransportEnergyCons!$C$3:$C$1000))*1,[1]OUT_TransportEnergyCons!H$3:H$1000)</f>
        <v>3.9340232134333546E-4</v>
      </c>
      <c r="K1368" s="1" cm="1">
        <f t="array" ref="K1368">SUMPRODUCT(("T_B_u-ICEDSL-S3"=[1]OUT_TransportEnergyCons!$A$3:$A$1000)*1,("var_fout"=[1]OUT_TransportEnergyCons!$B$3:$B$1000)*1,ISNUMBER(SEARCH("tpbsu",[1]OUT_TransportEnergyCons!$C$3:$C$1000))*1,[1]OUT_TransportEnergyCons!I$3:I$1000)</f>
        <v>7.9584347552401086E-5</v>
      </c>
      <c r="L1368" s="1" cm="1">
        <f t="array" ref="L1368">SUMPRODUCT(("T_B_u-ICEDSL-S3"=[1]OUT_TransportEnergyCons!$A$3:$A$1000)*1,("var_fout"=[1]OUT_TransportEnergyCons!$B$3:$B$1000)*1,ISNUMBER(SEARCH("tpbsu",[1]OUT_TransportEnergyCons!$C$3:$C$1000))*1,[1]OUT_TransportEnergyCons!J$3:J$1000)</f>
        <v>8.9737869913552635E-5</v>
      </c>
      <c r="M1368" s="1" cm="1">
        <f t="array" ref="M1368">SUMPRODUCT(("T_B_u-ICEDSL-S3"=[1]OUT_TransportEnergyCons!$A$3:$A$1000)*1,("var_fout"=[1]OUT_TransportEnergyCons!$B$3:$B$1000)*1,ISNUMBER(SEARCH("tpbsu",[1]OUT_TransportEnergyCons!$C$3:$C$1000))*1,[1]OUT_TransportEnergyCons!K$3:K$1000)</f>
        <v>0</v>
      </c>
      <c r="N1368" s="1" cm="1">
        <f t="array" ref="N1368">SUMPRODUCT(("T_B_u-ICEDSL-S3"=[1]OUT_TransportEnergyCons!$A$3:$A$1000)*1,("var_fout"=[1]OUT_TransportEnergyCons!$B$3:$B$1000)*1,ISNUMBER(SEARCH("tpbsu",[1]OUT_TransportEnergyCons!$C$3:$C$1000))*1,[1]OUT_TransportEnergyCons!L$3:L$1000)</f>
        <v>0</v>
      </c>
      <c r="O1368" s="1" cm="1">
        <f t="array" ref="O1368">SUMPRODUCT(("T_B_u-ICEDSL-S3"=[1]OUT_TransportEnergyCons!$A$3:$A$1000)*1,("var_fout"=[1]OUT_TransportEnergyCons!$B$3:$B$1000)*1,ISNUMBER(SEARCH("tpbsu",[1]OUT_TransportEnergyCons!$C$3:$C$1000))*1,[1]OUT_TransportEnergyCons!M$3:M$1000)</f>
        <v>0</v>
      </c>
      <c r="P1368" s="1" cm="1">
        <f t="array" ref="P1368">SUMPRODUCT(("T_B_u-ICEDSL-S3"=[1]OUT_TransportEnergyCons!$A$3:$A$1000)*1,("var_fout"=[1]OUT_TransportEnergyCons!$B$3:$B$1000)*1,ISNUMBER(SEARCH("tpbsu",[1]OUT_TransportEnergyCons!$C$3:$C$1000))*1,[1]OUT_TransportEnergyCons!N$3:N$1000)</f>
        <v>0</v>
      </c>
      <c r="Q1368" s="1" cm="1">
        <f t="array" ref="Q1368">SUMPRODUCT(("T_B_u-ICEDSL-S3"=[1]OUT_TransportEnergyCons!$A$3:$A$1000)*1,("var_fout"=[1]OUT_TransportEnergyCons!$B$3:$B$1000)*1,ISNUMBER(SEARCH("tpbsu",[1]OUT_TransportEnergyCons!$C$3:$C$1000))*1,[1]OUT_TransportEnergyCons!O$3:O$1000)</f>
        <v>0</v>
      </c>
      <c r="S1368" s="3"/>
    </row>
    <row r="1369" spans="2:19" x14ac:dyDescent="0.5">
      <c r="B1369" s="5" t="str">
        <f t="shared" si="1504"/>
        <v>SPS1</v>
      </c>
      <c r="C1369" s="5" t="str">
        <f t="shared" si="1505"/>
        <v>CH</v>
      </c>
      <c r="D1369" t="s">
        <v>1365</v>
      </c>
      <c r="E1369" t="str">
        <f t="shared" si="1506"/>
        <v>billion km/yr.</v>
      </c>
      <c r="F1369" s="1" cm="1">
        <f t="array" ref="F1369">SUMPRODUCT(("T_B_u-ICEDSL-S4"=[1]OUT_TransportEnergyCons!$A$3:$A$1000)*1,("var_fout"=[1]OUT_TransportEnergyCons!$B$3:$B$1000)*1,ISNUMBER(SEARCH("tpbsu",[1]OUT_TransportEnergyCons!$C$3:$C$1000))*1,[1]OUT_TransportEnergyCons!D$3:D$1000)</f>
        <v>2.6876959156626421E-4</v>
      </c>
      <c r="G1369" s="1" cm="1">
        <f t="array" ref="G1369">SUMPRODUCT(("T_B_u-ICEDSL-S4"=[1]OUT_TransportEnergyCons!$A$3:$A$1000)*1,("var_fout"=[1]OUT_TransportEnergyCons!$B$3:$B$1000)*1,ISNUMBER(SEARCH("tpbsu",[1]OUT_TransportEnergyCons!$C$3:$C$1000))*1,[1]OUT_TransportEnergyCons!E$3:E$1000)</f>
        <v>1.2269784357502869E-4</v>
      </c>
      <c r="H1369" s="1" cm="1">
        <f t="array" ref="H1369">SUMPRODUCT(("T_B_u-ICEDSL-S4"=[1]OUT_TransportEnergyCons!$A$3:$A$1000)*1,("var_fout"=[1]OUT_TransportEnergyCons!$B$3:$B$1000)*1,ISNUMBER(SEARCH("tpbsu",[1]OUT_TransportEnergyCons!$C$3:$C$1000))*1,[1]OUT_TransportEnergyCons!F$3:F$1000)</f>
        <v>1.4608597626863476E-4</v>
      </c>
      <c r="I1369" s="1" cm="1">
        <f t="array" ref="I1369">SUMPRODUCT(("T_B_u-ICEDSL-S4"=[1]OUT_TransportEnergyCons!$A$3:$A$1000)*1,("var_fout"=[1]OUT_TransportEnergyCons!$B$3:$B$1000)*1,ISNUMBER(SEARCH("tpbsu",[1]OUT_TransportEnergyCons!$C$3:$C$1000))*1,[1]OUT_TransportEnergyCons!G$3:G$1000)</f>
        <v>1.0635661557345854E-4</v>
      </c>
      <c r="J1369" s="1" cm="1">
        <f t="array" ref="J1369">SUMPRODUCT(("T_B_u-ICEDSL-S4"=[1]OUT_TransportEnergyCons!$A$3:$A$1000)*1,("var_fout"=[1]OUT_TransportEnergyCons!$B$3:$B$1000)*1,ISNUMBER(SEARCH("tpbsu",[1]OUT_TransportEnergyCons!$C$3:$C$1000))*1,[1]OUT_TransportEnergyCons!H$3:H$1000)</f>
        <v>4.8119771762323066E-5</v>
      </c>
      <c r="K1369" s="1" cm="1">
        <f t="array" ref="K1369">SUMPRODUCT(("T_B_u-ICEDSL-S4"=[1]OUT_TransportEnergyCons!$A$3:$A$1000)*1,("var_fout"=[1]OUT_TransportEnergyCons!$B$3:$B$1000)*1,ISNUMBER(SEARCH("tpbsu",[1]OUT_TransportEnergyCons!$C$3:$C$1000))*1,[1]OUT_TransportEnergyCons!I$3:I$1000)</f>
        <v>4.3124342333517473E-5</v>
      </c>
      <c r="L1369" s="1" cm="1">
        <f t="array" ref="L1369">SUMPRODUCT(("T_B_u-ICEDSL-S4"=[1]OUT_TransportEnergyCons!$A$3:$A$1000)*1,("var_fout"=[1]OUT_TransportEnergyCons!$B$3:$B$1000)*1,ISNUMBER(SEARCH("tpbsu",[1]OUT_TransportEnergyCons!$C$3:$C$1000))*1,[1]OUT_TransportEnergyCons!J$3:J$1000)</f>
        <v>3.9496850294315341E-5</v>
      </c>
      <c r="M1369" s="1" cm="1">
        <f t="array" ref="M1369">SUMPRODUCT(("T_B_u-ICEDSL-S4"=[1]OUT_TransportEnergyCons!$A$3:$A$1000)*1,("var_fout"=[1]OUT_TransportEnergyCons!$B$3:$B$1000)*1,ISNUMBER(SEARCH("tpbsu",[1]OUT_TransportEnergyCons!$C$3:$C$1000))*1,[1]OUT_TransportEnergyCons!K$3:K$1000)</f>
        <v>0</v>
      </c>
      <c r="N1369" s="1" cm="1">
        <f t="array" ref="N1369">SUMPRODUCT(("T_B_u-ICEDSL-S4"=[1]OUT_TransportEnergyCons!$A$3:$A$1000)*1,("var_fout"=[1]OUT_TransportEnergyCons!$B$3:$B$1000)*1,ISNUMBER(SEARCH("tpbsu",[1]OUT_TransportEnergyCons!$C$3:$C$1000))*1,[1]OUT_TransportEnergyCons!L$3:L$1000)</f>
        <v>0</v>
      </c>
      <c r="O1369" s="1" cm="1">
        <f t="array" ref="O1369">SUMPRODUCT(("T_B_u-ICEDSL-S4"=[1]OUT_TransportEnergyCons!$A$3:$A$1000)*1,("var_fout"=[1]OUT_TransportEnergyCons!$B$3:$B$1000)*1,ISNUMBER(SEARCH("tpbsu",[1]OUT_TransportEnergyCons!$C$3:$C$1000))*1,[1]OUT_TransportEnergyCons!M$3:M$1000)</f>
        <v>0</v>
      </c>
      <c r="P1369" s="1" cm="1">
        <f t="array" ref="P1369">SUMPRODUCT(("T_B_u-ICEDSL-S4"=[1]OUT_TransportEnergyCons!$A$3:$A$1000)*1,("var_fout"=[1]OUT_TransportEnergyCons!$B$3:$B$1000)*1,ISNUMBER(SEARCH("tpbsu",[1]OUT_TransportEnergyCons!$C$3:$C$1000))*1,[1]OUT_TransportEnergyCons!N$3:N$1000)</f>
        <v>0</v>
      </c>
      <c r="Q1369" s="1" cm="1">
        <f t="array" ref="Q1369">SUMPRODUCT(("T_B_u-ICEDSL-S4"=[1]OUT_TransportEnergyCons!$A$3:$A$1000)*1,("var_fout"=[1]OUT_TransportEnergyCons!$B$3:$B$1000)*1,ISNUMBER(SEARCH("tpbsu",[1]OUT_TransportEnergyCons!$C$3:$C$1000))*1,[1]OUT_TransportEnergyCons!O$3:O$1000)</f>
        <v>0</v>
      </c>
      <c r="S1369" s="3"/>
    </row>
    <row r="1370" spans="2:19" x14ac:dyDescent="0.5">
      <c r="B1370" s="5" t="str">
        <f t="shared" si="1504"/>
        <v>SPS1</v>
      </c>
      <c r="C1370" s="5" t="str">
        <f t="shared" si="1505"/>
        <v>CH</v>
      </c>
      <c r="D1370" t="s">
        <v>2005</v>
      </c>
      <c r="E1370" t="str">
        <f t="shared" si="1506"/>
        <v>billion km/yr.</v>
      </c>
      <c r="F1370" s="1" cm="1">
        <f t="array" ref="F1370">SUMPRODUCT(("T_B_u-ICEngaEXT"=[1]OUT_TransportEnergyCons!$A$3:$A$1000)*1,("var_fout"=[1]OUT_TransportEnergyCons!$B$3:$B$1000)*1,ISNUMBER(SEARCH("tpbsu",[1]OUT_TransportEnergyCons!$C$3:$C$1000))*1,[1]OUT_TransportEnergyCons!D$3:D$1000)</f>
        <v>4.3941226513803536E-3</v>
      </c>
      <c r="G1370" s="1" cm="1">
        <f t="array" ref="G1370">SUMPRODUCT(("T_B_u-ICEngaEXT"=[1]OUT_TransportEnergyCons!$A$3:$A$1000)*1,("var_fout"=[1]OUT_TransportEnergyCons!$B$3:$B$1000)*1,ISNUMBER(SEARCH("tpbsu",[1]OUT_TransportEnergyCons!$C$3:$C$1000))*1,[1]OUT_TransportEnergyCons!E$3:E$1000)</f>
        <v>3.5803874069411847E-3</v>
      </c>
      <c r="H1370" s="1" cm="1">
        <f t="array" ref="H1370">SUMPRODUCT(("T_B_u-ICEngaEXT"=[1]OUT_TransportEnergyCons!$A$3:$A$1000)*1,("var_fout"=[1]OUT_TransportEnergyCons!$B$3:$B$1000)*1,ISNUMBER(SEARCH("tpbsu",[1]OUT_TransportEnergyCons!$C$3:$C$1000))*1,[1]OUT_TransportEnergyCons!F$3:F$1000)</f>
        <v>6.6599384537229279E-5</v>
      </c>
      <c r="I1370" s="1" cm="1">
        <f t="array" ref="I1370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70" s="1" cm="1">
        <f t="array" ref="J1370">SUMPRODUCT(("T_B_u-ICEngaEXT"=[1]OUT_TransportEnergyCons!$A$3:$A$1000)*1,("var_fout"=[1]OUT_TransportEnergyCons!$B$3:$B$1000)*1,ISNUMBER(SEARCH("tpbsu",[1]OUT_TransportEnergyCons!$C$3:$C$1000))*1,[1]OUT_TransportEnergyCons!H$3:H$1000)</f>
        <v>0</v>
      </c>
      <c r="K1370" s="1" cm="1">
        <f t="array" ref="K1370">SUMPRODUCT(("T_B_u-ICEngaEXT"=[1]OUT_TransportEnergyCons!$A$3:$A$1000)*1,("var_fout"=[1]OUT_TransportEnergyCons!$B$3:$B$1000)*1,ISNUMBER(SEARCH("tpbsu",[1]OUT_TransportEnergyCons!$C$3:$C$1000))*1,[1]OUT_TransportEnergyCons!I$3:I$1000)</f>
        <v>0</v>
      </c>
      <c r="L1370" s="1" cm="1">
        <f t="array" ref="L1370">SUMPRODUCT(("T_B_u-ICEngaEXT"=[1]OUT_TransportEnergyCons!$A$3:$A$1000)*1,("var_fout"=[1]OUT_TransportEnergyCons!$B$3:$B$1000)*1,ISNUMBER(SEARCH("tpbsu",[1]OUT_TransportEnergyCons!$C$3:$C$1000))*1,[1]OUT_TransportEnergyCons!J$3:J$1000)</f>
        <v>0</v>
      </c>
      <c r="M1370" s="1" cm="1">
        <f t="array" ref="M1370">SUMPRODUCT(("T_B_u-ICEngaEXT"=[1]OUT_TransportEnergyCons!$A$3:$A$1000)*1,("var_fout"=[1]OUT_TransportEnergyCons!$B$3:$B$1000)*1,ISNUMBER(SEARCH("tpbsu",[1]OUT_TransportEnergyCons!$C$3:$C$1000))*1,[1]OUT_TransportEnergyCons!K$3:K$1000)</f>
        <v>0</v>
      </c>
      <c r="N1370" s="1" cm="1">
        <f t="array" ref="N1370">SUMPRODUCT(("T_B_u-ICEngaEXT"=[1]OUT_TransportEnergyCons!$A$3:$A$1000)*1,("var_fout"=[1]OUT_TransportEnergyCons!$B$3:$B$1000)*1,ISNUMBER(SEARCH("tpbsu",[1]OUT_TransportEnergyCons!$C$3:$C$1000))*1,[1]OUT_TransportEnergyCons!L$3:L$1000)</f>
        <v>0</v>
      </c>
      <c r="O1370" s="1" cm="1">
        <f t="array" ref="O1370">SUMPRODUCT(("T_B_u-ICEngaEXT"=[1]OUT_TransportEnergyCons!$A$3:$A$1000)*1,("var_fout"=[1]OUT_TransportEnergyCons!$B$3:$B$1000)*1,ISNUMBER(SEARCH("tpbsu",[1]OUT_TransportEnergyCons!$C$3:$C$1000))*1,[1]OUT_TransportEnergyCons!M$3:M$1000)</f>
        <v>0</v>
      </c>
      <c r="P1370" s="1" cm="1">
        <f t="array" ref="P1370">SUMPRODUCT(("T_B_u-ICEngaEXT"=[1]OUT_TransportEnergyCons!$A$3:$A$1000)*1,("var_fout"=[1]OUT_TransportEnergyCons!$B$3:$B$1000)*1,ISNUMBER(SEARCH("tpbsu",[1]OUT_TransportEnergyCons!$C$3:$C$1000))*1,[1]OUT_TransportEnergyCons!N$3:N$1000)</f>
        <v>0</v>
      </c>
      <c r="Q1370" s="1" cm="1">
        <f t="array" ref="Q1370">SUMPRODUCT(("T_B_u-ICEngaEXT"=[1]OUT_TransportEnergyCons!$A$3:$A$1000)*1,("var_fout"=[1]OUT_TransportEnergyCons!$B$3:$B$1000)*1,ISNUMBER(SEARCH("tpbsu",[1]OUT_TransportEnergyCons!$C$3:$C$1000))*1,[1]OUT_TransportEnergyCons!O$3:O$1000)</f>
        <v>0</v>
      </c>
      <c r="S1370" s="3"/>
    </row>
    <row r="1371" spans="2:19" x14ac:dyDescent="0.5">
      <c r="B1371" s="5" t="str">
        <f t="shared" si="1504"/>
        <v>SPS1</v>
      </c>
      <c r="C1371" s="5" t="str">
        <f t="shared" si="1505"/>
        <v>CH</v>
      </c>
      <c r="D1371" t="s">
        <v>1366</v>
      </c>
      <c r="E1371" t="str">
        <f t="shared" si="1506"/>
        <v>billion km/yr.</v>
      </c>
      <c r="F1371" s="1" cm="1">
        <f t="array" ref="F1371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SUMPRODUCT(("T_B_u-ICEnga-S1"=[1]OUT_TransportEnergyCons!$A$3:$A$1000)*1,("var_fout"=[1]OUT_TransportEnergyCons!$B$3:$B$1000)*1,ISNUMBER(SEARCH("tpbsu",[1]OUT_TransportEnergyCons!$C$3:$C$1000))*1,[1]OUT_TransportEnergyCons!E$3:E$1000)</f>
        <v>5.1070205611404443E-4</v>
      </c>
      <c r="H1371" s="1" cm="1">
        <f t="array" ref="H1371">SUMPRODUCT(("T_B_u-ICEnga-S1"=[1]OUT_TransportEnergyCons!$A$3:$A$1000)*1,("var_fout"=[1]OUT_TransportEnergyCons!$B$3:$B$1000)*1,ISNUMBER(SEARCH("tpbsu",[1]OUT_TransportEnergyCons!$C$3:$C$1000))*1,[1]OUT_TransportEnergyCons!F$3:F$1000)</f>
        <v>5.3315616084751378E-5</v>
      </c>
      <c r="I1371" s="1" cm="1">
        <f t="array" ref="I1371">SUMPRODUCT(("T_B_u-ICEnga-S1"=[1]OUT_TransportEnergyCons!$A$3:$A$1000)*1,("var_fout"=[1]OUT_TransportEnergyCons!$B$3:$B$1000)*1,ISNUMBER(SEARCH("tpbsu",[1]OUT_TransportEnergyCons!$C$3:$C$1000))*1,[1]OUT_TransportEnergyCons!G$3:G$1000)</f>
        <v>7.8537156791875473E-5</v>
      </c>
      <c r="J1371" s="1" cm="1">
        <f t="array" ref="J1371">SUMPRODUCT(("T_B_u-ICEnga-S1"=[1]OUT_TransportEnergyCons!$A$3:$A$1000)*1,("var_fout"=[1]OUT_TransportEnergyCons!$B$3:$B$1000)*1,ISNUMBER(SEARCH("tpbsu",[1]OUT_TransportEnergyCons!$C$3:$C$1000))*1,[1]OUT_TransportEnergyCons!H$3:H$1000)</f>
        <v>7.1995931069184239E-5</v>
      </c>
      <c r="K1371" s="1" cm="1">
        <f t="array" ref="K1371">SUMPRODUCT(("T_B_u-ICEnga-S1"=[1]OUT_TransportEnergyCons!$A$3:$A$1000)*1,("var_fout"=[1]OUT_TransportEnergyCons!$B$3:$B$1000)*1,ISNUMBER(SEARCH("tpbsu",[1]OUT_TransportEnergyCons!$C$3:$C$1000))*1,[1]OUT_TransportEnergyCons!I$3:I$1000)</f>
        <v>7.0775901696727199E-5</v>
      </c>
      <c r="L1371" s="1" cm="1">
        <f t="array" ref="L1371">SUMPRODUCT(("T_B_u-ICEnga-S1"=[1]OUT_TransportEnergyCons!$A$3:$A$1000)*1,("var_fout"=[1]OUT_TransportEnergyCons!$B$3:$B$1000)*1,ISNUMBER(SEARCH("tpbsu",[1]OUT_TransportEnergyCons!$C$3:$C$1000))*1,[1]OUT_TransportEnergyCons!J$3:J$1000)</f>
        <v>7.4570259841429012E-5</v>
      </c>
      <c r="M1371" s="1" cm="1">
        <f t="array" ref="M1371">SUMPRODUCT(("T_B_u-ICEnga-S1"=[1]OUT_TransportEnergyCons!$A$3:$A$1000)*1,("var_fout"=[1]OUT_TransportEnergyCons!$B$3:$B$1000)*1,ISNUMBER(SEARCH("tpbsu",[1]OUT_TransportEnergyCons!$C$3:$C$1000))*1,[1]OUT_TransportEnergyCons!K$3:K$1000)</f>
        <v>5.4744286384866162E-5</v>
      </c>
      <c r="N1371" s="1" cm="1">
        <f t="array" ref="N1371">SUMPRODUCT(("T_B_u-ICEnga-S1"=[1]OUT_TransportEnergyCons!$A$3:$A$1000)*1,("var_fout"=[1]OUT_TransportEnergyCons!$B$3:$B$1000)*1,ISNUMBER(SEARCH("tpbsu",[1]OUT_TransportEnergyCons!$C$3:$C$1000))*1,[1]OUT_TransportEnergyCons!L$3:L$1000)</f>
        <v>0</v>
      </c>
      <c r="O1371" s="1" cm="1">
        <f t="array" ref="O1371">SUMPRODUCT(("T_B_u-ICEnga-S1"=[1]OUT_TransportEnergyCons!$A$3:$A$1000)*1,("var_fout"=[1]OUT_TransportEnergyCons!$B$3:$B$1000)*1,ISNUMBER(SEARCH("tpbsu",[1]OUT_TransportEnergyCons!$C$3:$C$1000))*1,[1]OUT_TransportEnergyCons!M$3:M$1000)</f>
        <v>0</v>
      </c>
      <c r="P1371" s="1" cm="1">
        <f t="array" ref="P1371">SUMPRODUCT(("T_B_u-ICEnga-S1"=[1]OUT_TransportEnergyCons!$A$3:$A$1000)*1,("var_fout"=[1]OUT_TransportEnergyCons!$B$3:$B$1000)*1,ISNUMBER(SEARCH("tpbsu",[1]OUT_TransportEnergyCons!$C$3:$C$1000))*1,[1]OUT_TransportEnergyCons!N$3:N$1000)</f>
        <v>0</v>
      </c>
      <c r="Q1371" s="1" cm="1">
        <f t="array" ref="Q1371">SUMPRODUCT(("T_B_u-ICEnga-S1"=[1]OUT_TransportEnergyCons!$A$3:$A$1000)*1,("var_fout"=[1]OUT_TransportEnergyCons!$B$3:$B$1000)*1,ISNUMBER(SEARCH("tpbsu",[1]OUT_TransportEnergyCons!$C$3:$C$1000))*1,[1]OUT_TransportEnergyCons!O$3:O$1000)</f>
        <v>0</v>
      </c>
      <c r="S1371" s="3"/>
    </row>
    <row r="1372" spans="2:19" x14ac:dyDescent="0.5">
      <c r="B1372" s="5" t="str">
        <f t="shared" si="1504"/>
        <v>SPS1</v>
      </c>
      <c r="C1372" s="5" t="str">
        <f t="shared" si="1505"/>
        <v>CH</v>
      </c>
      <c r="D1372" t="s">
        <v>1367</v>
      </c>
      <c r="E1372" t="str">
        <f t="shared" si="1506"/>
        <v>billion km/yr.</v>
      </c>
      <c r="F1372" s="1" cm="1">
        <f t="array" ref="F1372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SUMPRODUCT(("T_B_u-ICEnga-S2"=[1]OUT_TransportEnergyCons!$A$3:$A$1000)*1,("var_fout"=[1]OUT_TransportEnergyCons!$B$3:$B$1000)*1,ISNUMBER(SEARCH("tpbsu",[1]OUT_TransportEnergyCons!$C$3:$C$1000))*1,[1]OUT_TransportEnergyCons!E$3:E$1000)</f>
        <v>2.9864623339348465E-5</v>
      </c>
      <c r="H1372" s="1" cm="1">
        <f t="array" ref="H1372">SUMPRODUCT(("T_B_u-ICEnga-S2"=[1]OUT_TransportEnergyCons!$A$3:$A$1000)*1,("var_fout"=[1]OUT_TransportEnergyCons!$B$3:$B$1000)*1,ISNUMBER(SEARCH("tpbsu",[1]OUT_TransportEnergyCons!$C$3:$C$1000))*1,[1]OUT_TransportEnergyCons!F$3:F$1000)</f>
        <v>5.8311890518620912E-5</v>
      </c>
      <c r="I1372" s="1" cm="1">
        <f t="array" ref="I1372">SUMPRODUCT(("T_B_u-ICEnga-S2"=[1]OUT_TransportEnergyCons!$A$3:$A$1000)*1,("var_fout"=[1]OUT_TransportEnergyCons!$B$3:$B$1000)*1,ISNUMBER(SEARCH("tpbsu",[1]OUT_TransportEnergyCons!$C$3:$C$1000))*1,[1]OUT_TransportEnergyCons!G$3:G$1000)</f>
        <v>1.0022387808967503E-4</v>
      </c>
      <c r="J1372" s="1" cm="1">
        <f t="array" ref="J1372">SUMPRODUCT(("T_B_u-ICEnga-S2"=[1]OUT_TransportEnergyCons!$A$3:$A$1000)*1,("var_fout"=[1]OUT_TransportEnergyCons!$B$3:$B$1000)*1,ISNUMBER(SEARCH("tpbsu",[1]OUT_TransportEnergyCons!$C$3:$C$1000))*1,[1]OUT_TransportEnergyCons!H$3:H$1000)</f>
        <v>8.7941078353827499E-5</v>
      </c>
      <c r="K1372" s="1" cm="1">
        <f t="array" ref="K1372">SUMPRODUCT(("T_B_u-ICEnga-S2"=[1]OUT_TransportEnergyCons!$A$3:$A$1000)*1,("var_fout"=[1]OUT_TransportEnergyCons!$B$3:$B$1000)*1,ISNUMBER(SEARCH("tpbsu",[1]OUT_TransportEnergyCons!$C$3:$C$1000))*1,[1]OUT_TransportEnergyCons!I$3:I$1000)</f>
        <v>8.521649608423381E-5</v>
      </c>
      <c r="L1372" s="1" cm="1">
        <f t="array" ref="L1372">SUMPRODUCT(("T_B_u-ICEnga-S2"=[1]OUT_TransportEnergyCons!$A$3:$A$1000)*1,("var_fout"=[1]OUT_TransportEnergyCons!$B$3:$B$1000)*1,ISNUMBER(SEARCH("tpbsu",[1]OUT_TransportEnergyCons!$C$3:$C$1000))*1,[1]OUT_TransportEnergyCons!J$3:J$1000)</f>
        <v>8.7112953266770197E-5</v>
      </c>
      <c r="M1372" s="1" cm="1">
        <f t="array" ref="M1372">SUMPRODUCT(("T_B_u-ICEnga-S2"=[1]OUT_TransportEnergyCons!$A$3:$A$1000)*1,("var_fout"=[1]OUT_TransportEnergyCons!$B$3:$B$1000)*1,ISNUMBER(SEARCH("tpbsu",[1]OUT_TransportEnergyCons!$C$3:$C$1000))*1,[1]OUT_TransportEnergyCons!K$3:K$1000)</f>
        <v>6.0888490656344612E-5</v>
      </c>
      <c r="N1372" s="1" cm="1">
        <f t="array" ref="N1372">SUMPRODUCT(("T_B_u-ICEnga-S2"=[1]OUT_TransportEnergyCons!$A$3:$A$1000)*1,("var_fout"=[1]OUT_TransportEnergyCons!$B$3:$B$1000)*1,ISNUMBER(SEARCH("tpbsu",[1]OUT_TransportEnergyCons!$C$3:$C$1000))*1,[1]OUT_TransportEnergyCons!L$3:L$1000)</f>
        <v>0</v>
      </c>
      <c r="O1372" s="1" cm="1">
        <f t="array" ref="O1372">SUMPRODUCT(("T_B_u-ICEnga-S2"=[1]OUT_TransportEnergyCons!$A$3:$A$1000)*1,("var_fout"=[1]OUT_TransportEnergyCons!$B$3:$B$1000)*1,ISNUMBER(SEARCH("tpbsu",[1]OUT_TransportEnergyCons!$C$3:$C$1000))*1,[1]OUT_TransportEnergyCons!M$3:M$1000)</f>
        <v>0</v>
      </c>
      <c r="P1372" s="1" cm="1">
        <f t="array" ref="P1372">SUMPRODUCT(("T_B_u-ICEnga-S2"=[1]OUT_TransportEnergyCons!$A$3:$A$1000)*1,("var_fout"=[1]OUT_TransportEnergyCons!$B$3:$B$1000)*1,ISNUMBER(SEARCH("tpbsu",[1]OUT_TransportEnergyCons!$C$3:$C$1000))*1,[1]OUT_TransportEnergyCons!N$3:N$1000)</f>
        <v>0</v>
      </c>
      <c r="Q1372" s="1" cm="1">
        <f t="array" ref="Q1372">SUMPRODUCT(("T_B_u-ICEnga-S2"=[1]OUT_TransportEnergyCons!$A$3:$A$1000)*1,("var_fout"=[1]OUT_TransportEnergyCons!$B$3:$B$1000)*1,ISNUMBER(SEARCH("tpbsu",[1]OUT_TransportEnergyCons!$C$3:$C$1000))*1,[1]OUT_TransportEnergyCons!O$3:O$1000)</f>
        <v>0</v>
      </c>
      <c r="S1372" s="3"/>
    </row>
    <row r="1373" spans="2:19" x14ac:dyDescent="0.5">
      <c r="B1373" s="5" t="str">
        <f t="shared" si="1504"/>
        <v>SPS1</v>
      </c>
      <c r="C1373" s="5" t="str">
        <f t="shared" si="1505"/>
        <v>CH</v>
      </c>
      <c r="D1373" t="s">
        <v>1368</v>
      </c>
      <c r="E1373" t="str">
        <f t="shared" si="1506"/>
        <v>billion km/yr.</v>
      </c>
      <c r="F1373" s="1" cm="1">
        <f t="array" ref="F1373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3" s="1" cm="1">
        <f t="array" ref="G1373">SUMPRODUCT(("T_B_u-ICEnga-S3"=[1]OUT_TransportEnergyCons!$A$3:$A$1000)*1,("var_fout"=[1]OUT_TransportEnergyCons!$B$3:$B$1000)*1,ISNUMBER(SEARCH("tpbsu",[1]OUT_TransportEnergyCons!$C$3:$C$1000))*1,[1]OUT_TransportEnergyCons!E$3:E$1000)</f>
        <v>8.7903351311287368E-5</v>
      </c>
      <c r="H1373" s="1" cm="1">
        <f t="array" ref="H1373">SUMPRODUCT(("T_B_u-ICEnga-S3"=[1]OUT_TransportEnergyCons!$A$3:$A$1000)*1,("var_fout"=[1]OUT_TransportEnergyCons!$B$3:$B$1000)*1,ISNUMBER(SEARCH("tpbsu",[1]OUT_TransportEnergyCons!$C$3:$C$1000))*1,[1]OUT_TransportEnergyCons!F$3:F$1000)</f>
        <v>2.122221244076734E-4</v>
      </c>
      <c r="I1373" s="1" cm="1">
        <f t="array" ref="I1373">SUMPRODUCT(("T_B_u-ICEnga-S3"=[1]OUT_TransportEnergyCons!$A$3:$A$1000)*1,("var_fout"=[1]OUT_TransportEnergyCons!$B$3:$B$1000)*1,ISNUMBER(SEARCH("tpbsu",[1]OUT_TransportEnergyCons!$C$3:$C$1000))*1,[1]OUT_TransportEnergyCons!G$3:G$1000)</f>
        <v>3.8576510382306223E-4</v>
      </c>
      <c r="J1373" s="1" cm="1">
        <f t="array" ref="J1373">SUMPRODUCT(("T_B_u-ICEnga-S3"=[1]OUT_TransportEnergyCons!$A$3:$A$1000)*1,("var_fout"=[1]OUT_TransportEnergyCons!$B$3:$B$1000)*1,ISNUMBER(SEARCH("tpbsu",[1]OUT_TransportEnergyCons!$C$3:$C$1000))*1,[1]OUT_TransportEnergyCons!H$3:H$1000)</f>
        <v>8.192578634944171E-5</v>
      </c>
      <c r="K1373" s="1" cm="1">
        <f t="array" ref="K1373">SUMPRODUCT(("T_B_u-ICEnga-S3"=[1]OUT_TransportEnergyCons!$A$3:$A$1000)*1,("var_fout"=[1]OUT_TransportEnergyCons!$B$3:$B$1000)*1,ISNUMBER(SEARCH("tpbsu",[1]OUT_TransportEnergyCons!$C$3:$C$1000))*1,[1]OUT_TransportEnergyCons!I$3:I$1000)</f>
        <v>6.5120814540400407E-5</v>
      </c>
      <c r="L1373" s="1" cm="1">
        <f t="array" ref="L1373">SUMPRODUCT(("T_B_u-ICEnga-S3"=[1]OUT_TransportEnergyCons!$A$3:$A$1000)*1,("var_fout"=[1]OUT_TransportEnergyCons!$B$3:$B$1000)*1,ISNUMBER(SEARCH("tpbsu",[1]OUT_TransportEnergyCons!$C$3:$C$1000))*1,[1]OUT_TransportEnergyCons!J$3:J$1000)</f>
        <v>8.1369297197238783E-5</v>
      </c>
      <c r="M1373" s="1" cm="1">
        <f t="array" ref="M1373">SUMPRODUCT(("T_B_u-ICEnga-S3"=[1]OUT_TransportEnergyCons!$A$3:$A$1000)*1,("var_fout"=[1]OUT_TransportEnergyCons!$B$3:$B$1000)*1,ISNUMBER(SEARCH("tpbsu",[1]OUT_TransportEnergyCons!$C$3:$C$1000))*1,[1]OUT_TransportEnergyCons!K$3:K$1000)</f>
        <v>0</v>
      </c>
      <c r="N1373" s="1" cm="1">
        <f t="array" ref="N1373">SUMPRODUCT(("T_B_u-ICEnga-S3"=[1]OUT_TransportEnergyCons!$A$3:$A$1000)*1,("var_fout"=[1]OUT_TransportEnergyCons!$B$3:$B$1000)*1,ISNUMBER(SEARCH("tpbsu",[1]OUT_TransportEnergyCons!$C$3:$C$1000))*1,[1]OUT_TransportEnergyCons!L$3:L$1000)</f>
        <v>0</v>
      </c>
      <c r="O1373" s="1" cm="1">
        <f t="array" ref="O1373">SUMPRODUCT(("T_B_u-ICEnga-S3"=[1]OUT_TransportEnergyCons!$A$3:$A$1000)*1,("var_fout"=[1]OUT_TransportEnergyCons!$B$3:$B$1000)*1,ISNUMBER(SEARCH("tpbsu",[1]OUT_TransportEnergyCons!$C$3:$C$1000))*1,[1]OUT_TransportEnergyCons!M$3:M$1000)</f>
        <v>0</v>
      </c>
      <c r="P1373" s="1" cm="1">
        <f t="array" ref="P1373">SUMPRODUCT(("T_B_u-ICEnga-S3"=[1]OUT_TransportEnergyCons!$A$3:$A$1000)*1,("var_fout"=[1]OUT_TransportEnergyCons!$B$3:$B$1000)*1,ISNUMBER(SEARCH("tpbsu",[1]OUT_TransportEnergyCons!$C$3:$C$1000))*1,[1]OUT_TransportEnergyCons!N$3:N$1000)</f>
        <v>0</v>
      </c>
      <c r="Q1373" s="1" cm="1">
        <f t="array" ref="Q1373">SUMPRODUCT(("T_B_u-ICEnga-S3"=[1]OUT_TransportEnergyCons!$A$3:$A$1000)*1,("var_fout"=[1]OUT_TransportEnergyCons!$B$3:$B$1000)*1,ISNUMBER(SEARCH("tpbsu",[1]OUT_TransportEnergyCons!$C$3:$C$1000))*1,[1]OUT_TransportEnergyCons!O$3:O$1000)</f>
        <v>0</v>
      </c>
      <c r="S1373" s="3"/>
    </row>
    <row r="1374" spans="2:19" x14ac:dyDescent="0.5">
      <c r="B1374" s="5" t="str">
        <f t="shared" si="1504"/>
        <v>SPS1</v>
      </c>
      <c r="C1374" s="5" t="str">
        <f t="shared" si="1505"/>
        <v>CH</v>
      </c>
      <c r="D1374" t="s">
        <v>1369</v>
      </c>
      <c r="E1374" t="str">
        <f t="shared" si="1506"/>
        <v>billion km/yr.</v>
      </c>
      <c r="F1374" s="1" cm="1">
        <f t="array" ref="F1374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4" s="1" cm="1">
        <f t="array" ref="G1374">SUMPRODUCT(("T_B_u-ICEnga-S4"=[1]OUT_TransportEnergyCons!$A$3:$A$1000)*1,("var_fout"=[1]OUT_TransportEnergyCons!$B$3:$B$1000)*1,ISNUMBER(SEARCH("tpbsu",[1]OUT_TransportEnergyCons!$C$3:$C$1000))*1,[1]OUT_TransportEnergyCons!E$3:E$1000)</f>
        <v>8.8111742155978526E-6</v>
      </c>
      <c r="H1374" s="1" cm="1">
        <f t="array" ref="H1374">SUMPRODUCT(("T_B_u-ICEnga-S4"=[1]OUT_TransportEnergyCons!$A$3:$A$1000)*1,("var_fout"=[1]OUT_TransportEnergyCons!$B$3:$B$1000)*1,ISNUMBER(SEARCH("tpbsu",[1]OUT_TransportEnergyCons!$C$3:$C$1000))*1,[1]OUT_TransportEnergyCons!F$3:F$1000)</f>
        <v>5.375571883074943E-5</v>
      </c>
      <c r="I1374" s="1" cm="1">
        <f t="array" ref="I1374">SUMPRODUCT(("T_B_u-ICEnga-S4"=[1]OUT_TransportEnergyCons!$A$3:$A$1000)*1,("var_fout"=[1]OUT_TransportEnergyCons!$B$3:$B$1000)*1,ISNUMBER(SEARCH("tpbsu",[1]OUT_TransportEnergyCons!$C$3:$C$1000))*1,[1]OUT_TransportEnergyCons!G$3:G$1000)</f>
        <v>6.9379522651996295E-5</v>
      </c>
      <c r="J1374" s="1" cm="1">
        <f t="array" ref="J1374">SUMPRODUCT(("T_B_u-ICEnga-S4"=[1]OUT_TransportEnergyCons!$A$3:$A$1000)*1,("var_fout"=[1]OUT_TransportEnergyCons!$B$3:$B$1000)*1,ISNUMBER(SEARCH("tpbsu",[1]OUT_TransportEnergyCons!$C$3:$C$1000))*1,[1]OUT_TransportEnergyCons!H$3:H$1000)</f>
        <v>5.1653014653789861E-5</v>
      </c>
      <c r="K1374" s="1" cm="1">
        <f t="array" ref="K1374">SUMPRODUCT(("T_B_u-ICEnga-S4"=[1]OUT_TransportEnergyCons!$A$3:$A$1000)*1,("var_fout"=[1]OUT_TransportEnergyCons!$B$3:$B$1000)*1,ISNUMBER(SEARCH("tpbsu",[1]OUT_TransportEnergyCons!$C$3:$C$1000))*1,[1]OUT_TransportEnergyCons!I$3:I$1000)</f>
        <v>5.2645753380098339E-5</v>
      </c>
      <c r="L1374" s="1" cm="1">
        <f t="array" ref="L1374">SUMPRODUCT(("T_B_u-ICEnga-S4"=[1]OUT_TransportEnergyCons!$A$3:$A$1000)*1,("var_fout"=[1]OUT_TransportEnergyCons!$B$3:$B$1000)*1,ISNUMBER(SEARCH("tpbsu",[1]OUT_TransportEnergyCons!$C$3:$C$1000))*1,[1]OUT_TransportEnergyCons!J$3:J$1000)</f>
        <v>4.9714689793832438E-5</v>
      </c>
      <c r="M1374" s="1" cm="1">
        <f t="array" ref="M1374">SUMPRODUCT(("T_B_u-ICEnga-S4"=[1]OUT_TransportEnergyCons!$A$3:$A$1000)*1,("var_fout"=[1]OUT_TransportEnergyCons!$B$3:$B$1000)*1,ISNUMBER(SEARCH("tpbsu",[1]OUT_TransportEnergyCons!$C$3:$C$1000))*1,[1]OUT_TransportEnergyCons!K$3:K$1000)</f>
        <v>0</v>
      </c>
      <c r="N1374" s="1" cm="1">
        <f t="array" ref="N1374">SUMPRODUCT(("T_B_u-ICEnga-S4"=[1]OUT_TransportEnergyCons!$A$3:$A$1000)*1,("var_fout"=[1]OUT_TransportEnergyCons!$B$3:$B$1000)*1,ISNUMBER(SEARCH("tpbsu",[1]OUT_TransportEnergyCons!$C$3:$C$1000))*1,[1]OUT_TransportEnergyCons!L$3:L$1000)</f>
        <v>0</v>
      </c>
      <c r="O1374" s="1" cm="1">
        <f t="array" ref="O1374">SUMPRODUCT(("T_B_u-ICEnga-S4"=[1]OUT_TransportEnergyCons!$A$3:$A$1000)*1,("var_fout"=[1]OUT_TransportEnergyCons!$B$3:$B$1000)*1,ISNUMBER(SEARCH("tpbsu",[1]OUT_TransportEnergyCons!$C$3:$C$1000))*1,[1]OUT_TransportEnergyCons!M$3:M$1000)</f>
        <v>0</v>
      </c>
      <c r="P1374" s="1" cm="1">
        <f t="array" ref="P1374">SUMPRODUCT(("T_B_u-ICEnga-S4"=[1]OUT_TransportEnergyCons!$A$3:$A$1000)*1,("var_fout"=[1]OUT_TransportEnergyCons!$B$3:$B$1000)*1,ISNUMBER(SEARCH("tpbsu",[1]OUT_TransportEnergyCons!$C$3:$C$1000))*1,[1]OUT_TransportEnergyCons!N$3:N$1000)</f>
        <v>0</v>
      </c>
      <c r="Q1374" s="1" cm="1">
        <f t="array" ref="Q1374">SUMPRODUCT(("T_B_u-ICEnga-S4"=[1]OUT_TransportEnergyCons!$A$3:$A$1000)*1,("var_fout"=[1]OUT_TransportEnergyCons!$B$3:$B$1000)*1,ISNUMBER(SEARCH("tpbsu",[1]OUT_TransportEnergyCons!$C$3:$C$1000))*1,[1]OUT_TransportEnergyCons!O$3:O$1000)</f>
        <v>0</v>
      </c>
      <c r="S1374" s="3"/>
    </row>
    <row r="1375" spans="2:19" x14ac:dyDescent="0.5">
      <c r="B1375" s="5" t="str">
        <f>B1374</f>
        <v>SPS1</v>
      </c>
      <c r="C1375" s="5" t="str">
        <f>C1374</f>
        <v>CH</v>
      </c>
      <c r="D1375" s="2" t="s">
        <v>1370</v>
      </c>
      <c r="E1375" s="2" t="s">
        <v>1229</v>
      </c>
      <c r="F1375" s="20" t="s">
        <v>292</v>
      </c>
      <c r="G1375" s="20" t="s">
        <v>292</v>
      </c>
      <c r="H1375" s="20" t="s">
        <v>292</v>
      </c>
      <c r="I1375" s="20" t="s">
        <v>292</v>
      </c>
      <c r="J1375" s="20" t="s">
        <v>292</v>
      </c>
      <c r="K1375" s="20" t="s">
        <v>292</v>
      </c>
      <c r="L1375" s="20" t="s">
        <v>292</v>
      </c>
      <c r="M1375" s="20" t="s">
        <v>292</v>
      </c>
      <c r="N1375" s="20" t="s">
        <v>292</v>
      </c>
      <c r="O1375" s="20" t="s">
        <v>292</v>
      </c>
      <c r="P1375" s="20" t="s">
        <v>292</v>
      </c>
      <c r="Q1375" s="20" t="s">
        <v>292</v>
      </c>
      <c r="S1375" s="3"/>
    </row>
    <row r="1376" spans="2:19" x14ac:dyDescent="0.5">
      <c r="B1376" s="5" t="str">
        <f t="shared" ref="B1376:B1398" si="1507">B1375</f>
        <v>SPS1</v>
      </c>
      <c r="C1376" s="5" t="str">
        <f t="shared" ref="C1376:C1398" si="1508">C1375</f>
        <v>CH</v>
      </c>
      <c r="D1376" t="s">
        <v>1371</v>
      </c>
      <c r="E1376" t="s">
        <v>1229</v>
      </c>
      <c r="F1376" s="1">
        <f>IFERROR(F1352/F1317,"-")</f>
        <v>4.1906042144660276</v>
      </c>
      <c r="G1376" s="1">
        <f t="shared" ref="G1376:K1376" si="1509">IFERROR(G1352/G1317,"-")</f>
        <v>3.3737507326839342</v>
      </c>
      <c r="H1376" s="1">
        <f t="shared" si="1509"/>
        <v>2.1484705100107928</v>
      </c>
      <c r="I1376" s="1" t="str">
        <f t="shared" si="1509"/>
        <v>-</v>
      </c>
      <c r="J1376" s="1" t="str">
        <f t="shared" si="1509"/>
        <v>-</v>
      </c>
      <c r="K1376" s="1" t="str">
        <f t="shared" si="1509"/>
        <v>-</v>
      </c>
      <c r="L1376" s="1" t="str">
        <f t="shared" ref="L1376:O1376" si="1510">IFERROR(L1352/L1317,"-")</f>
        <v>-</v>
      </c>
      <c r="M1376" s="1" t="str">
        <f t="shared" si="1510"/>
        <v>-</v>
      </c>
      <c r="N1376" s="1" t="str">
        <f t="shared" si="1510"/>
        <v>-</v>
      </c>
      <c r="O1376" s="1" t="str">
        <f t="shared" si="1510"/>
        <v>-</v>
      </c>
      <c r="P1376" s="1" t="str">
        <f t="shared" ref="P1376:Q1380" si="1511">IFERROR(P1352/P1317,"-")</f>
        <v>-</v>
      </c>
      <c r="Q1376" s="1" t="str">
        <f t="shared" si="1511"/>
        <v>-</v>
      </c>
      <c r="S1376" s="3"/>
    </row>
    <row r="1377" spans="2:19" x14ac:dyDescent="0.5">
      <c r="B1377" s="5" t="str">
        <f t="shared" si="1507"/>
        <v>SPS1</v>
      </c>
      <c r="C1377" s="5" t="str">
        <f t="shared" si="1508"/>
        <v>CH</v>
      </c>
      <c r="D1377" t="s">
        <v>1372</v>
      </c>
      <c r="E1377" t="s">
        <v>1229</v>
      </c>
      <c r="F1377" s="1">
        <f t="shared" ref="F1377:K1377" si="1512">IFERROR(F1353/F1318,"-")</f>
        <v>0.37869321701871794</v>
      </c>
      <c r="G1377" s="1">
        <f t="shared" si="1512"/>
        <v>0.39151123615780042</v>
      </c>
      <c r="H1377" s="1">
        <f t="shared" si="1512"/>
        <v>0.41223387408298839</v>
      </c>
      <c r="I1377" s="1">
        <f t="shared" si="1512"/>
        <v>0.44711552243357899</v>
      </c>
      <c r="J1377" s="1">
        <f t="shared" si="1512"/>
        <v>0.47090372193615593</v>
      </c>
      <c r="K1377" s="1">
        <f t="shared" si="1512"/>
        <v>0.47354306465358048</v>
      </c>
      <c r="L1377" s="1">
        <f t="shared" ref="L1377:O1377" si="1513">IFERROR(L1353/L1318,"-")</f>
        <v>0.49621866578920149</v>
      </c>
      <c r="M1377" s="1">
        <f t="shared" si="1513"/>
        <v>0.53119087464771941</v>
      </c>
      <c r="N1377" s="1">
        <f t="shared" si="1513"/>
        <v>0.53798365571292217</v>
      </c>
      <c r="O1377" s="1">
        <f t="shared" si="1513"/>
        <v>0.54235716283703583</v>
      </c>
      <c r="P1377" s="1">
        <f t="shared" si="1511"/>
        <v>0.54235716283703439</v>
      </c>
      <c r="Q1377" s="1">
        <f t="shared" si="1511"/>
        <v>0.54235716283703617</v>
      </c>
      <c r="S1377" s="3"/>
    </row>
    <row r="1378" spans="2:19" x14ac:dyDescent="0.5">
      <c r="B1378" s="5" t="str">
        <f t="shared" si="1507"/>
        <v>SPS1</v>
      </c>
      <c r="C1378" s="5" t="str">
        <f t="shared" si="1508"/>
        <v>CH</v>
      </c>
      <c r="D1378" t="s">
        <v>1373</v>
      </c>
      <c r="E1378" t="s">
        <v>1229</v>
      </c>
      <c r="F1378" s="1">
        <f t="shared" ref="F1378:K1378" si="1514">IFERROR(F1354/F1319,"-")</f>
        <v>0.27518070496490693</v>
      </c>
      <c r="G1378" s="1">
        <f t="shared" si="1514"/>
        <v>0.27966350711367283</v>
      </c>
      <c r="H1378" s="1">
        <f t="shared" si="1514"/>
        <v>0.29863795475355803</v>
      </c>
      <c r="I1378" s="1">
        <f t="shared" si="1514"/>
        <v>0.30984791506412673</v>
      </c>
      <c r="J1378" s="1">
        <f t="shared" si="1514"/>
        <v>0.3391300960575504</v>
      </c>
      <c r="K1378" s="1">
        <f t="shared" si="1514"/>
        <v>0.34382386794055858</v>
      </c>
      <c r="L1378" s="1">
        <f t="shared" ref="L1378:O1378" si="1515">IFERROR(L1354/L1319,"-")</f>
        <v>0.35782559026145189</v>
      </c>
      <c r="M1378" s="1">
        <f t="shared" si="1515"/>
        <v>0.38343530078432719</v>
      </c>
      <c r="N1378" s="1">
        <f t="shared" si="1515"/>
        <v>0.38921505626222419</v>
      </c>
      <c r="O1378" s="1">
        <f t="shared" si="1515"/>
        <v>0.39241606511731014</v>
      </c>
      <c r="P1378" s="1">
        <f t="shared" si="1511"/>
        <v>0.39241606511731081</v>
      </c>
      <c r="Q1378" s="1">
        <f t="shared" si="1511"/>
        <v>0.39241606511731053</v>
      </c>
      <c r="S1378" s="3"/>
    </row>
    <row r="1379" spans="2:19" x14ac:dyDescent="0.5">
      <c r="B1379" s="5" t="str">
        <f t="shared" si="1507"/>
        <v>SPS1</v>
      </c>
      <c r="C1379" s="5" t="str">
        <f t="shared" si="1508"/>
        <v>CH</v>
      </c>
      <c r="D1379" t="s">
        <v>1374</v>
      </c>
      <c r="E1379" t="s">
        <v>1229</v>
      </c>
      <c r="F1379" s="1">
        <f t="shared" ref="F1379:K1379" si="1516">IFERROR(F1355/F1320,"-")</f>
        <v>0.18297040713439913</v>
      </c>
      <c r="G1379" s="1">
        <f t="shared" si="1516"/>
        <v>0.18442590347292329</v>
      </c>
      <c r="H1379" s="1">
        <f t="shared" si="1516"/>
        <v>0.19900526025463713</v>
      </c>
      <c r="I1379" s="1">
        <f t="shared" si="1516"/>
        <v>0.20596002946856004</v>
      </c>
      <c r="J1379" s="1">
        <f t="shared" si="1516"/>
        <v>0.22399200824430832</v>
      </c>
      <c r="K1379" s="1">
        <f t="shared" si="1516"/>
        <v>0.23119550475020889</v>
      </c>
      <c r="L1379" s="1">
        <f t="shared" ref="L1379:O1379" si="1517">IFERROR(L1355/L1320,"-")</f>
        <v>0.2446076727772109</v>
      </c>
      <c r="M1379" s="1">
        <f t="shared" si="1517"/>
        <v>0.25512415332129568</v>
      </c>
      <c r="N1379" s="1">
        <f t="shared" si="1517"/>
        <v>0.26106821454861062</v>
      </c>
      <c r="O1379" s="1">
        <f t="shared" si="1517"/>
        <v>0.26214281836713765</v>
      </c>
      <c r="P1379" s="1">
        <f t="shared" si="1511"/>
        <v>0.26214281836713837</v>
      </c>
      <c r="Q1379" s="1">
        <f t="shared" si="1511"/>
        <v>0.26214281836713815</v>
      </c>
      <c r="S1379" s="3"/>
    </row>
    <row r="1380" spans="2:19" x14ac:dyDescent="0.5">
      <c r="B1380" s="5" t="str">
        <f t="shared" si="1507"/>
        <v>SPS1</v>
      </c>
      <c r="C1380" s="5" t="str">
        <f t="shared" si="1508"/>
        <v>CH</v>
      </c>
      <c r="D1380" t="s">
        <v>1375</v>
      </c>
      <c r="E1380" t="s">
        <v>1229</v>
      </c>
      <c r="F1380" s="1">
        <f t="shared" ref="F1380:K1380" si="1518">IFERROR(F1356/F1321,"-")</f>
        <v>0.1219871064580713</v>
      </c>
      <c r="G1380" s="1">
        <f t="shared" si="1518"/>
        <v>0.12350384785455154</v>
      </c>
      <c r="H1380" s="1">
        <f t="shared" si="1518"/>
        <v>0.12543907268489105</v>
      </c>
      <c r="I1380" s="1">
        <f t="shared" si="1518"/>
        <v>0.13324097793126638</v>
      </c>
      <c r="J1380" s="1">
        <f t="shared" si="1518"/>
        <v>0.14920630900145043</v>
      </c>
      <c r="K1380" s="1">
        <f t="shared" si="1518"/>
        <v>0.15684655692025107</v>
      </c>
      <c r="L1380" s="1">
        <f t="shared" ref="L1380:O1380" si="1519">IFERROR(L1356/L1321,"-")</f>
        <v>0.16470743998143883</v>
      </c>
      <c r="M1380" s="1">
        <f t="shared" si="1519"/>
        <v>0.17222635014520932</v>
      </c>
      <c r="N1380" s="1">
        <f t="shared" si="1519"/>
        <v>0.17547614587850327</v>
      </c>
      <c r="O1380" s="1">
        <f t="shared" si="1519"/>
        <v>0.17547614587850299</v>
      </c>
      <c r="P1380" s="1">
        <f t="shared" si="1511"/>
        <v>0.17547614587850308</v>
      </c>
      <c r="Q1380" s="1">
        <f t="shared" si="1511"/>
        <v>0.17547614587850283</v>
      </c>
      <c r="S1380" s="3"/>
    </row>
    <row r="1381" spans="2:19" x14ac:dyDescent="0.5">
      <c r="B1381" s="5" t="str">
        <f t="shared" si="1507"/>
        <v>SPS1</v>
      </c>
      <c r="C1381" s="5" t="str">
        <f t="shared" si="1508"/>
        <v>CH</v>
      </c>
      <c r="D1381" t="s">
        <v>1376</v>
      </c>
      <c r="E1381" t="s">
        <v>1229</v>
      </c>
      <c r="F1381" s="1" t="str">
        <f>IFERROR(F1357/F1323,"-")</f>
        <v>-</v>
      </c>
      <c r="G1381" s="1" t="str">
        <f t="shared" ref="G1381:K1381" si="1520">IFERROR(G1357/G1323,"-")</f>
        <v>-</v>
      </c>
      <c r="H1381" s="1" t="str">
        <f t="shared" si="1520"/>
        <v>-</v>
      </c>
      <c r="I1381" s="1">
        <f t="shared" si="1520"/>
        <v>0.23440176174444105</v>
      </c>
      <c r="J1381" s="1">
        <f t="shared" si="1520"/>
        <v>0.24276176353093337</v>
      </c>
      <c r="K1381" s="1">
        <f t="shared" si="1520"/>
        <v>0.25215425592555119</v>
      </c>
      <c r="L1381" s="1">
        <f t="shared" ref="L1381:O1381" si="1521">IFERROR(L1357/L1323,"-")</f>
        <v>0.26857881043644266</v>
      </c>
      <c r="M1381" s="1">
        <f t="shared" si="1521"/>
        <v>0.28644837619407831</v>
      </c>
      <c r="N1381" s="1">
        <f t="shared" si="1521"/>
        <v>0.29800563572646904</v>
      </c>
      <c r="O1381" s="1">
        <f t="shared" si="1521"/>
        <v>0.30344095071385768</v>
      </c>
      <c r="P1381" s="1">
        <f t="shared" ref="P1381:Q1384" si="1522">IFERROR(P1357/P1323,"-")</f>
        <v>0.30344095071385796</v>
      </c>
      <c r="Q1381" s="1">
        <f t="shared" si="1522"/>
        <v>0.30344095071385768</v>
      </c>
      <c r="S1381" s="3"/>
    </row>
    <row r="1382" spans="2:19" x14ac:dyDescent="0.5">
      <c r="B1382" s="5" t="str">
        <f t="shared" si="1507"/>
        <v>SPS1</v>
      </c>
      <c r="C1382" s="5" t="str">
        <f t="shared" si="1508"/>
        <v>CH</v>
      </c>
      <c r="D1382" t="s">
        <v>1377</v>
      </c>
      <c r="E1382" t="s">
        <v>1229</v>
      </c>
      <c r="F1382" s="1" t="str">
        <f t="shared" ref="F1382:K1382" si="1523">IFERROR(F1358/F1324,"-")</f>
        <v>-</v>
      </c>
      <c r="G1382" s="1" t="str">
        <f t="shared" si="1523"/>
        <v>-</v>
      </c>
      <c r="H1382" s="1" t="str">
        <f t="shared" si="1523"/>
        <v>-</v>
      </c>
      <c r="I1382" s="1">
        <f t="shared" si="1523"/>
        <v>0.16910151451049588</v>
      </c>
      <c r="J1382" s="1">
        <f t="shared" si="1523"/>
        <v>0.17484634787605949</v>
      </c>
      <c r="K1382" s="1">
        <f t="shared" si="1523"/>
        <v>0.18150402825652517</v>
      </c>
      <c r="L1382" s="1">
        <f t="shared" ref="L1382:O1382" si="1524">IFERROR(L1358/L1324,"-")</f>
        <v>0.19348458518864767</v>
      </c>
      <c r="M1382" s="1">
        <f t="shared" si="1524"/>
        <v>0.20631298240773258</v>
      </c>
      <c r="N1382" s="1">
        <f t="shared" si="1524"/>
        <v>0.21486819919275443</v>
      </c>
      <c r="O1382" s="1">
        <f t="shared" si="1524"/>
        <v>0.21881288862453069</v>
      </c>
      <c r="P1382" s="1">
        <f t="shared" si="1522"/>
        <v>0.21881288862453091</v>
      </c>
      <c r="Q1382" s="1">
        <f t="shared" si="1522"/>
        <v>0.21881288862453116</v>
      </c>
      <c r="S1382" s="3"/>
    </row>
    <row r="1383" spans="2:19" x14ac:dyDescent="0.5">
      <c r="B1383" s="5" t="str">
        <f t="shared" si="1507"/>
        <v>SPS1</v>
      </c>
      <c r="C1383" s="5" t="str">
        <f t="shared" si="1508"/>
        <v>CH</v>
      </c>
      <c r="D1383" t="s">
        <v>1378</v>
      </c>
      <c r="E1383" t="s">
        <v>1229</v>
      </c>
      <c r="F1383" s="1" t="str">
        <f t="shared" ref="F1383:K1383" si="1525">IFERROR(F1359/F1325,"-")</f>
        <v>-</v>
      </c>
      <c r="G1383" s="1" t="str">
        <f t="shared" si="1525"/>
        <v>-</v>
      </c>
      <c r="H1383" s="1" t="str">
        <f t="shared" si="1525"/>
        <v>-</v>
      </c>
      <c r="I1383" s="1">
        <f t="shared" si="1525"/>
        <v>0.11310839137372308</v>
      </c>
      <c r="J1383" s="1">
        <f t="shared" si="1525"/>
        <v>0.11653542073179127</v>
      </c>
      <c r="K1383" s="1">
        <f t="shared" si="1525"/>
        <v>0.12519049352877329</v>
      </c>
      <c r="L1383" s="1">
        <f t="shared" ref="L1383:O1383" si="1526">IFERROR(L1359/L1325,"-")</f>
        <v>0.12999815476738963</v>
      </c>
      <c r="M1383" s="1">
        <f t="shared" si="1526"/>
        <v>0.14205656696028152</v>
      </c>
      <c r="N1383" s="1">
        <f t="shared" si="1526"/>
        <v>0.14424712473313983</v>
      </c>
      <c r="O1383" s="1">
        <f t="shared" si="1526"/>
        <v>0.1465898526053471</v>
      </c>
      <c r="P1383" s="1">
        <f t="shared" si="1522"/>
        <v>0.14658985260534704</v>
      </c>
      <c r="Q1383" s="1">
        <f t="shared" si="1522"/>
        <v>0.14658985260534696</v>
      </c>
      <c r="S1383" s="3"/>
    </row>
    <row r="1384" spans="2:19" x14ac:dyDescent="0.5">
      <c r="B1384" s="5" t="str">
        <f t="shared" si="1507"/>
        <v>SPS1</v>
      </c>
      <c r="C1384" s="5" t="str">
        <f t="shared" si="1508"/>
        <v>CH</v>
      </c>
      <c r="D1384" t="s">
        <v>1379</v>
      </c>
      <c r="E1384" t="s">
        <v>1229</v>
      </c>
      <c r="F1384" s="1" t="str">
        <f t="shared" ref="F1384:K1384" si="1527">IFERROR(F1360/F1326,"-")</f>
        <v>-</v>
      </c>
      <c r="G1384" s="1" t="str">
        <f t="shared" si="1527"/>
        <v>-</v>
      </c>
      <c r="H1384" s="1" t="str">
        <f t="shared" si="1527"/>
        <v>-</v>
      </c>
      <c r="I1384" s="1">
        <f t="shared" si="1527"/>
        <v>7.5896650184428774E-2</v>
      </c>
      <c r="J1384" s="1">
        <f t="shared" si="1527"/>
        <v>7.8561794963445647E-2</v>
      </c>
      <c r="K1384" s="1">
        <f t="shared" si="1527"/>
        <v>8.4120891308973614E-2</v>
      </c>
      <c r="L1384" s="1">
        <f t="shared" ref="L1384:O1384" si="1528">IFERROR(L1360/L1326,"-")</f>
        <v>8.9765762364808419E-2</v>
      </c>
      <c r="M1384" s="1">
        <f t="shared" si="1528"/>
        <v>9.5432775327707206E-2</v>
      </c>
      <c r="N1384" s="1">
        <f t="shared" si="1528"/>
        <v>9.8453735287482622E-2</v>
      </c>
      <c r="O1384" s="1">
        <f t="shared" si="1528"/>
        <v>9.8453735287482635E-2</v>
      </c>
      <c r="P1384" s="1">
        <f t="shared" si="1522"/>
        <v>9.8453735287482691E-2</v>
      </c>
      <c r="Q1384" s="1">
        <f t="shared" si="1522"/>
        <v>9.8453735287482566E-2</v>
      </c>
      <c r="S1384" s="3"/>
    </row>
    <row r="1385" spans="2:19" x14ac:dyDescent="0.5">
      <c r="B1385" s="5" t="str">
        <f t="shared" si="1507"/>
        <v>SPS1</v>
      </c>
      <c r="C1385" s="5" t="str">
        <f t="shared" si="1508"/>
        <v>CH</v>
      </c>
      <c r="D1385" t="s">
        <v>1380</v>
      </c>
      <c r="E1385" t="s">
        <v>1229</v>
      </c>
      <c r="F1385" s="1" t="str">
        <f>IFERROR(F1361/F1332,"-")</f>
        <v>-</v>
      </c>
      <c r="G1385" s="1">
        <f t="shared" ref="G1385:K1385" si="1529">IFERROR(G1361/G1332,"-")</f>
        <v>0.16251369968883853</v>
      </c>
      <c r="H1385" s="1">
        <f t="shared" si="1529"/>
        <v>0.16634598657323091</v>
      </c>
      <c r="I1385" s="1">
        <f t="shared" si="1529"/>
        <v>0.1721989346546958</v>
      </c>
      <c r="J1385" s="1">
        <f t="shared" si="1529"/>
        <v>0.18319430590983449</v>
      </c>
      <c r="K1385" s="1">
        <f t="shared" si="1529"/>
        <v>0.19496636319406827</v>
      </c>
      <c r="L1385" s="1">
        <f t="shared" ref="L1385:O1385" si="1530">IFERROR(L1361/L1332,"-")</f>
        <v>0.20463584381099476</v>
      </c>
      <c r="M1385" s="1">
        <f t="shared" si="1530"/>
        <v>0.21026061226711654</v>
      </c>
      <c r="N1385" s="1" t="str">
        <f t="shared" si="1530"/>
        <v>-</v>
      </c>
      <c r="O1385" s="1" t="str">
        <f t="shared" si="1530"/>
        <v>-</v>
      </c>
      <c r="P1385" s="1" t="str">
        <f t="shared" ref="P1385:Q1393" si="1531">IFERROR(P1361/P1332,"-")</f>
        <v>-</v>
      </c>
      <c r="Q1385" s="1" t="str">
        <f t="shared" si="1531"/>
        <v>-</v>
      </c>
      <c r="S1385" s="3"/>
    </row>
    <row r="1386" spans="2:19" x14ac:dyDescent="0.5">
      <c r="B1386" s="5" t="str">
        <f t="shared" si="1507"/>
        <v>SPS1</v>
      </c>
      <c r="C1386" s="5" t="str">
        <f t="shared" si="1508"/>
        <v>CH</v>
      </c>
      <c r="D1386" t="s">
        <v>1381</v>
      </c>
      <c r="E1386" t="s">
        <v>1229</v>
      </c>
      <c r="F1386" s="1" t="str">
        <f t="shared" ref="F1386:K1386" si="1532">IFERROR(F1362/F1333,"-")</f>
        <v>-</v>
      </c>
      <c r="G1386" s="1">
        <f t="shared" si="1532"/>
        <v>0.11649393435744135</v>
      </c>
      <c r="H1386" s="1">
        <f t="shared" si="1532"/>
        <v>0.1190830053987401</v>
      </c>
      <c r="I1386" s="1">
        <f t="shared" si="1532"/>
        <v>0.12382834563836942</v>
      </c>
      <c r="J1386" s="1">
        <f t="shared" si="1532"/>
        <v>0.13095545011332466</v>
      </c>
      <c r="K1386" s="1">
        <f t="shared" si="1532"/>
        <v>0.13930862901309596</v>
      </c>
      <c r="L1386" s="1">
        <f t="shared" ref="L1386:O1386" si="1533">IFERROR(L1362/L1333,"-")</f>
        <v>0.14639843518777157</v>
      </c>
      <c r="M1386" s="1">
        <f t="shared" si="1533"/>
        <v>0.15059292778737823</v>
      </c>
      <c r="N1386" s="1" t="str">
        <f t="shared" si="1533"/>
        <v>-</v>
      </c>
      <c r="O1386" s="1" t="str">
        <f t="shared" si="1533"/>
        <v>-</v>
      </c>
      <c r="P1386" s="1" t="str">
        <f t="shared" si="1531"/>
        <v>-</v>
      </c>
      <c r="Q1386" s="1" t="str">
        <f t="shared" si="1531"/>
        <v>-</v>
      </c>
      <c r="S1386" s="3"/>
    </row>
    <row r="1387" spans="2:19" x14ac:dyDescent="0.5">
      <c r="B1387" s="5" t="str">
        <f t="shared" si="1507"/>
        <v>SPS1</v>
      </c>
      <c r="C1387" s="5" t="str">
        <f t="shared" si="1508"/>
        <v>CH</v>
      </c>
      <c r="D1387" t="s">
        <v>1382</v>
      </c>
      <c r="E1387" t="s">
        <v>1229</v>
      </c>
      <c r="F1387" s="1" t="str">
        <f t="shared" ref="F1387:K1387" si="1534">IFERROR(F1363/F1334,"-")</f>
        <v>-</v>
      </c>
      <c r="G1387" s="1">
        <f t="shared" si="1534"/>
        <v>7.8235828164578913E-2</v>
      </c>
      <c r="H1387" s="1">
        <f t="shared" si="1534"/>
        <v>7.9585314062086548E-2</v>
      </c>
      <c r="I1387" s="1">
        <f t="shared" si="1534"/>
        <v>8.8370499821565585E-2</v>
      </c>
      <c r="J1387" s="1">
        <f t="shared" si="1534"/>
        <v>9.0307512123572131E-2</v>
      </c>
      <c r="K1387" s="1">
        <f t="shared" si="1534"/>
        <v>9.5930471451040181E-2</v>
      </c>
      <c r="L1387" s="1">
        <f t="shared" ref="L1387:O1387" si="1535">IFERROR(L1363/L1334,"-")</f>
        <v>9.8603454646203278E-2</v>
      </c>
      <c r="M1387" s="1" t="str">
        <f t="shared" si="1535"/>
        <v>-</v>
      </c>
      <c r="N1387" s="1" t="str">
        <f t="shared" si="1535"/>
        <v>-</v>
      </c>
      <c r="O1387" s="1" t="str">
        <f t="shared" si="1535"/>
        <v>-</v>
      </c>
      <c r="P1387" s="1" t="str">
        <f t="shared" si="1531"/>
        <v>-</v>
      </c>
      <c r="Q1387" s="1" t="str">
        <f t="shared" si="1531"/>
        <v>-</v>
      </c>
      <c r="S1387" s="3"/>
    </row>
    <row r="1388" spans="2:19" x14ac:dyDescent="0.5">
      <c r="B1388" s="5" t="str">
        <f t="shared" si="1507"/>
        <v>SPS1</v>
      </c>
      <c r="C1388" s="5" t="str">
        <f t="shared" si="1508"/>
        <v>CH</v>
      </c>
      <c r="D1388" t="s">
        <v>1383</v>
      </c>
      <c r="E1388" t="s">
        <v>1229</v>
      </c>
      <c r="F1388" s="1" t="str">
        <f t="shared" ref="F1388:K1388" si="1536">IFERROR(F1364/F1335,"-")</f>
        <v>-</v>
      </c>
      <c r="G1388" s="1">
        <f t="shared" si="1536"/>
        <v>5.2751439830497779E-2</v>
      </c>
      <c r="H1388" s="1">
        <f t="shared" si="1536"/>
        <v>5.4013426540524413E-2</v>
      </c>
      <c r="I1388" s="1">
        <f t="shared" si="1536"/>
        <v>5.6066983606950289E-2</v>
      </c>
      <c r="J1388" s="1">
        <f t="shared" si="1536"/>
        <v>6.1534576395864939E-2</v>
      </c>
      <c r="K1388" s="1">
        <f t="shared" si="1536"/>
        <v>6.48598663555294E-2</v>
      </c>
      <c r="L1388" s="1">
        <f t="shared" ref="L1388:O1388" si="1537">IFERROR(L1364/L1335,"-")</f>
        <v>6.8242898331039942E-2</v>
      </c>
      <c r="M1388" s="1" t="str">
        <f t="shared" si="1537"/>
        <v>-</v>
      </c>
      <c r="N1388" s="1" t="str">
        <f t="shared" si="1537"/>
        <v>-</v>
      </c>
      <c r="O1388" s="1" t="str">
        <f t="shared" si="1537"/>
        <v>-</v>
      </c>
      <c r="P1388" s="1" t="str">
        <f t="shared" si="1531"/>
        <v>-</v>
      </c>
      <c r="Q1388" s="1" t="str">
        <f t="shared" si="1531"/>
        <v>-</v>
      </c>
      <c r="S1388" s="3"/>
    </row>
    <row r="1389" spans="2:19" x14ac:dyDescent="0.5">
      <c r="B1389" s="5" t="str">
        <f t="shared" si="1507"/>
        <v>SPS1</v>
      </c>
      <c r="C1389" s="5" t="str">
        <f t="shared" si="1508"/>
        <v>CH</v>
      </c>
      <c r="D1389" t="s">
        <v>2002</v>
      </c>
      <c r="E1389" t="s">
        <v>1229</v>
      </c>
      <c r="F1389" s="1">
        <f>IFERROR(F1365/F1336,"-")</f>
        <v>13.968680714886796</v>
      </c>
      <c r="G1389" s="1">
        <f t="shared" ref="G1389:K1389" si="1538">IFERROR(G1365/G1336,"-")</f>
        <v>11.189596541502658</v>
      </c>
      <c r="H1389" s="1">
        <f t="shared" si="1538"/>
        <v>7.0209702814264263</v>
      </c>
      <c r="I1389" s="1" t="str">
        <f t="shared" si="1538"/>
        <v>-</v>
      </c>
      <c r="J1389" s="1" t="str">
        <f t="shared" si="1538"/>
        <v>-</v>
      </c>
      <c r="K1389" s="1" t="str">
        <f t="shared" si="1538"/>
        <v>-</v>
      </c>
      <c r="L1389" s="1" t="str">
        <f t="shared" ref="L1389:O1389" si="1539">IFERROR(L1365/L1336,"-")</f>
        <v>-</v>
      </c>
      <c r="M1389" s="1" t="str">
        <f t="shared" si="1539"/>
        <v>-</v>
      </c>
      <c r="N1389" s="1" t="str">
        <f t="shared" si="1539"/>
        <v>-</v>
      </c>
      <c r="O1389" s="1" t="str">
        <f t="shared" si="1539"/>
        <v>-</v>
      </c>
      <c r="P1389" s="1" t="str">
        <f t="shared" si="1531"/>
        <v>-</v>
      </c>
      <c r="Q1389" s="1" t="str">
        <f t="shared" si="1531"/>
        <v>-</v>
      </c>
      <c r="S1389" s="3"/>
    </row>
    <row r="1390" spans="2:19" x14ac:dyDescent="0.5">
      <c r="B1390" s="5" t="str">
        <f t="shared" si="1507"/>
        <v>SPS1</v>
      </c>
      <c r="C1390" s="5" t="str">
        <f t="shared" si="1508"/>
        <v>CH</v>
      </c>
      <c r="D1390" t="s">
        <v>1384</v>
      </c>
      <c r="E1390" t="s">
        <v>1229</v>
      </c>
      <c r="F1390" s="1">
        <f t="shared" ref="F1390:K1390" si="1540">IFERROR(F1366/F1337,"-")</f>
        <v>0.12391916748597483</v>
      </c>
      <c r="G1390" s="1">
        <f t="shared" si="1540"/>
        <v>0.12842941022329885</v>
      </c>
      <c r="H1390" s="1">
        <f t="shared" si="1540"/>
        <v>0.12654721530371024</v>
      </c>
      <c r="I1390" s="1">
        <f t="shared" si="1540"/>
        <v>0.12885598568101989</v>
      </c>
      <c r="J1390" s="1">
        <f t="shared" si="1540"/>
        <v>0.14552316949740415</v>
      </c>
      <c r="K1390" s="1">
        <f t="shared" si="1540"/>
        <v>0.15504407841329362</v>
      </c>
      <c r="L1390" s="1">
        <f t="shared" ref="L1390:O1390" si="1541">IFERROR(L1366/L1337,"-")</f>
        <v>0.16273574777349303</v>
      </c>
      <c r="M1390" s="1">
        <f t="shared" si="1541"/>
        <v>0.16708160486070955</v>
      </c>
      <c r="N1390" s="1" t="str">
        <f t="shared" si="1541"/>
        <v>-</v>
      </c>
      <c r="O1390" s="1" t="str">
        <f t="shared" si="1541"/>
        <v>-</v>
      </c>
      <c r="P1390" s="1" t="str">
        <f t="shared" si="1531"/>
        <v>-</v>
      </c>
      <c r="Q1390" s="1" t="str">
        <f t="shared" si="1531"/>
        <v>-</v>
      </c>
      <c r="S1390" s="3"/>
    </row>
    <row r="1391" spans="2:19" x14ac:dyDescent="0.5">
      <c r="B1391" s="5" t="str">
        <f t="shared" si="1507"/>
        <v>SPS1</v>
      </c>
      <c r="C1391" s="5" t="str">
        <f t="shared" si="1508"/>
        <v>CH</v>
      </c>
      <c r="D1391" t="s">
        <v>1385</v>
      </c>
      <c r="E1391" t="s">
        <v>1229</v>
      </c>
      <c r="F1391" s="1">
        <f t="shared" ref="F1391:K1391" si="1542">IFERROR(F1367/F1338,"-")</f>
        <v>8.7465847585616582E-2</v>
      </c>
      <c r="G1391" s="1">
        <f t="shared" si="1542"/>
        <v>8.7718531860856624E-2</v>
      </c>
      <c r="H1391" s="1">
        <f t="shared" si="1542"/>
        <v>8.9219558486215975E-2</v>
      </c>
      <c r="I1391" s="1">
        <f t="shared" si="1542"/>
        <v>9.1878902940281199E-2</v>
      </c>
      <c r="J1391" s="1">
        <f t="shared" si="1542"/>
        <v>0.10206812647428747</v>
      </c>
      <c r="K1391" s="1">
        <f t="shared" si="1542"/>
        <v>0.10799072811451486</v>
      </c>
      <c r="L1391" s="1">
        <f t="shared" ref="L1391:O1391" si="1543">IFERROR(L1367/L1338,"-")</f>
        <v>0.11320624391297081</v>
      </c>
      <c r="M1391" s="1">
        <f t="shared" si="1543"/>
        <v>0.11619665521225103</v>
      </c>
      <c r="N1391" s="1" t="str">
        <f t="shared" si="1543"/>
        <v>-</v>
      </c>
      <c r="O1391" s="1" t="str">
        <f t="shared" si="1543"/>
        <v>-</v>
      </c>
      <c r="P1391" s="1" t="str">
        <f t="shared" si="1531"/>
        <v>-</v>
      </c>
      <c r="Q1391" s="1" t="str">
        <f t="shared" si="1531"/>
        <v>-</v>
      </c>
      <c r="S1391" s="3"/>
    </row>
    <row r="1392" spans="2:19" x14ac:dyDescent="0.5">
      <c r="B1392" s="5" t="str">
        <f t="shared" si="1507"/>
        <v>SPS1</v>
      </c>
      <c r="C1392" s="5" t="str">
        <f t="shared" si="1508"/>
        <v>CH</v>
      </c>
      <c r="D1392" t="s">
        <v>1386</v>
      </c>
      <c r="E1392" t="s">
        <v>1229</v>
      </c>
      <c r="F1392" s="1">
        <f t="shared" ref="F1392:K1392" si="1544">IFERROR(F1368/F1339,"-")</f>
        <v>5.7949527986548482E-2</v>
      </c>
      <c r="G1392" s="1">
        <f t="shared" si="1544"/>
        <v>5.8152262696343431E-2</v>
      </c>
      <c r="H1392" s="1">
        <f t="shared" si="1544"/>
        <v>5.9193199961959805E-2</v>
      </c>
      <c r="I1392" s="1">
        <f t="shared" si="1544"/>
        <v>6.7314280925563907E-2</v>
      </c>
      <c r="J1392" s="1">
        <f t="shared" si="1544"/>
        <v>6.8517098061755932E-2</v>
      </c>
      <c r="K1392" s="1">
        <f t="shared" si="1544"/>
        <v>7.3169295295348449E-2</v>
      </c>
      <c r="L1392" s="1">
        <f t="shared" ref="L1392:O1392" si="1545">IFERROR(L1368/L1339,"-")</f>
        <v>7.5112230735601818E-2</v>
      </c>
      <c r="M1392" s="1" t="str">
        <f t="shared" si="1545"/>
        <v>-</v>
      </c>
      <c r="N1392" s="1" t="str">
        <f t="shared" si="1545"/>
        <v>-</v>
      </c>
      <c r="O1392" s="1" t="str">
        <f t="shared" si="1545"/>
        <v>-</v>
      </c>
      <c r="P1392" s="1" t="str">
        <f t="shared" si="1531"/>
        <v>-</v>
      </c>
      <c r="Q1392" s="1" t="str">
        <f t="shared" si="1531"/>
        <v>-</v>
      </c>
      <c r="S1392" s="3"/>
    </row>
    <row r="1393" spans="2:19" x14ac:dyDescent="0.5">
      <c r="B1393" s="5" t="str">
        <f t="shared" si="1507"/>
        <v>SPS1</v>
      </c>
      <c r="C1393" s="5" t="str">
        <f t="shared" si="1508"/>
        <v>CH</v>
      </c>
      <c r="D1393" t="s">
        <v>1387</v>
      </c>
      <c r="E1393" t="s">
        <v>1229</v>
      </c>
      <c r="F1393" s="1">
        <f t="shared" ref="F1393:K1393" si="1546">IFERROR(F1369/F1340,"-")</f>
        <v>3.8646481387947476E-2</v>
      </c>
      <c r="G1393" s="1">
        <f t="shared" si="1546"/>
        <v>3.897224743440849E-2</v>
      </c>
      <c r="H1393" s="1">
        <f t="shared" si="1546"/>
        <v>3.9416721526443071E-2</v>
      </c>
      <c r="I1393" s="1">
        <f t="shared" si="1546"/>
        <v>4.1034366448068085E-2</v>
      </c>
      <c r="J1393" s="1">
        <f t="shared" si="1546"/>
        <v>4.6693562101501877E-2</v>
      </c>
      <c r="K1393" s="1">
        <f t="shared" si="1546"/>
        <v>4.9000775632355068E-2</v>
      </c>
      <c r="L1393" s="1">
        <f t="shared" ref="L1393:O1393" si="1547">IFERROR(L1369/L1340,"-")</f>
        <v>5.1369118459309492E-2</v>
      </c>
      <c r="M1393" s="1" t="str">
        <f t="shared" si="1547"/>
        <v>-</v>
      </c>
      <c r="N1393" s="1" t="str">
        <f t="shared" si="1547"/>
        <v>-</v>
      </c>
      <c r="O1393" s="1" t="str">
        <f t="shared" si="1547"/>
        <v>-</v>
      </c>
      <c r="P1393" s="1" t="str">
        <f t="shared" si="1531"/>
        <v>-</v>
      </c>
      <c r="Q1393" s="1" t="str">
        <f t="shared" si="1531"/>
        <v>-</v>
      </c>
      <c r="S1393" s="3"/>
    </row>
    <row r="1394" spans="2:19" x14ac:dyDescent="0.5">
      <c r="B1394" s="5" t="str">
        <f t="shared" si="1507"/>
        <v>SPS1</v>
      </c>
      <c r="C1394" s="5" t="str">
        <f t="shared" si="1508"/>
        <v>CH</v>
      </c>
      <c r="D1394" t="s">
        <v>2006</v>
      </c>
      <c r="E1394" t="s">
        <v>1229</v>
      </c>
      <c r="F1394" s="1">
        <f>IFERROR(F1370/F1346,"-")</f>
        <v>13.96868071488678</v>
      </c>
      <c r="G1394" s="1">
        <f t="shared" ref="G1394:K1394" si="1548">IFERROR(G1370/G1346,"-")</f>
        <v>11.186996076539081</v>
      </c>
      <c r="H1394" s="1">
        <f t="shared" si="1548"/>
        <v>7.0144691190174724</v>
      </c>
      <c r="I1394" s="1" t="str">
        <f t="shared" si="1548"/>
        <v>-</v>
      </c>
      <c r="J1394" s="1" t="str">
        <f t="shared" si="1548"/>
        <v>-</v>
      </c>
      <c r="K1394" s="1" t="str">
        <f t="shared" si="1548"/>
        <v>-</v>
      </c>
      <c r="L1394" s="1" t="str">
        <f t="shared" ref="L1394:O1394" si="1549">IFERROR(L1370/L1346,"-")</f>
        <v>-</v>
      </c>
      <c r="M1394" s="1" t="str">
        <f t="shared" si="1549"/>
        <v>-</v>
      </c>
      <c r="N1394" s="1" t="str">
        <f t="shared" si="1549"/>
        <v>-</v>
      </c>
      <c r="O1394" s="1" t="str">
        <f t="shared" si="1549"/>
        <v>-</v>
      </c>
      <c r="P1394" s="1" t="str">
        <f t="shared" ref="P1394:Q1398" si="1550">IFERROR(P1370/P1346,"-")</f>
        <v>-</v>
      </c>
      <c r="Q1394" s="1" t="str">
        <f t="shared" si="1550"/>
        <v>-</v>
      </c>
      <c r="S1394" s="3"/>
    </row>
    <row r="1395" spans="2:19" x14ac:dyDescent="0.5">
      <c r="B1395" s="5" t="str">
        <f t="shared" si="1507"/>
        <v>SPS1</v>
      </c>
      <c r="C1395" s="5" t="str">
        <f t="shared" si="1508"/>
        <v>CH</v>
      </c>
      <c r="D1395" t="s">
        <v>1388</v>
      </c>
      <c r="E1395" t="s">
        <v>1229</v>
      </c>
      <c r="F1395" s="1" t="str">
        <f t="shared" ref="F1395:K1395" si="1551">IFERROR(F1371/F1347,"-")</f>
        <v>-</v>
      </c>
      <c r="G1395" s="1">
        <f t="shared" si="1551"/>
        <v>0.12023751974847219</v>
      </c>
      <c r="H1395" s="1">
        <f t="shared" si="1551"/>
        <v>0.12332472768671572</v>
      </c>
      <c r="I1395" s="1">
        <f t="shared" si="1551"/>
        <v>0.12791881019449944</v>
      </c>
      <c r="J1395" s="1">
        <f t="shared" si="1551"/>
        <v>0.13655427245184582</v>
      </c>
      <c r="K1395" s="1">
        <f t="shared" si="1551"/>
        <v>0.14551837797705605</v>
      </c>
      <c r="L1395" s="1">
        <f t="shared" ref="L1395:O1395" si="1552">IFERROR(L1371/L1347,"-")</f>
        <v>0.15300923059498345</v>
      </c>
      <c r="M1395" s="1">
        <f t="shared" si="1552"/>
        <v>0.15699391577688007</v>
      </c>
      <c r="N1395" s="1" t="str">
        <f t="shared" si="1552"/>
        <v>-</v>
      </c>
      <c r="O1395" s="1" t="str">
        <f t="shared" si="1552"/>
        <v>-</v>
      </c>
      <c r="P1395" s="1" t="str">
        <f t="shared" si="1550"/>
        <v>-</v>
      </c>
      <c r="Q1395" s="1" t="str">
        <f t="shared" si="1550"/>
        <v>-</v>
      </c>
      <c r="S1395" s="3"/>
    </row>
    <row r="1396" spans="2:19" x14ac:dyDescent="0.5">
      <c r="B1396" s="5" t="str">
        <f t="shared" si="1507"/>
        <v>SPS1</v>
      </c>
      <c r="C1396" s="5" t="str">
        <f t="shared" si="1508"/>
        <v>CH</v>
      </c>
      <c r="D1396" t="s">
        <v>1389</v>
      </c>
      <c r="E1396" t="s">
        <v>1229</v>
      </c>
      <c r="F1396" s="1" t="str">
        <f t="shared" ref="F1396:K1396" si="1553">IFERROR(F1372/F1348,"-")</f>
        <v>-</v>
      </c>
      <c r="G1396" s="1">
        <f t="shared" si="1553"/>
        <v>8.4998076233608805E-2</v>
      </c>
      <c r="H1396" s="1">
        <f t="shared" si="1553"/>
        <v>8.6987349266193975E-2</v>
      </c>
      <c r="I1396" s="1">
        <f t="shared" si="1553"/>
        <v>9.0469845378851582E-2</v>
      </c>
      <c r="J1396" s="1">
        <f t="shared" si="1553"/>
        <v>9.5839180886861747E-2</v>
      </c>
      <c r="K1396" s="1">
        <f t="shared" si="1553"/>
        <v>0.1018963041179432</v>
      </c>
      <c r="L1396" s="1">
        <f t="shared" ref="L1396:O1396" si="1554">IFERROR(L1372/L1348,"-")</f>
        <v>0.10701648685752996</v>
      </c>
      <c r="M1396" s="1">
        <f t="shared" si="1554"/>
        <v>0.10973686319314073</v>
      </c>
      <c r="N1396" s="1" t="str">
        <f t="shared" si="1554"/>
        <v>-</v>
      </c>
      <c r="O1396" s="1" t="str">
        <f t="shared" si="1554"/>
        <v>-</v>
      </c>
      <c r="P1396" s="1" t="str">
        <f t="shared" si="1550"/>
        <v>-</v>
      </c>
      <c r="Q1396" s="1" t="str">
        <f t="shared" si="1550"/>
        <v>-</v>
      </c>
      <c r="S1396" s="3"/>
    </row>
    <row r="1397" spans="2:19" x14ac:dyDescent="0.5">
      <c r="B1397" s="5" t="str">
        <f t="shared" si="1507"/>
        <v>SPS1</v>
      </c>
      <c r="C1397" s="5" t="str">
        <f t="shared" si="1508"/>
        <v>CH</v>
      </c>
      <c r="D1397" t="s">
        <v>1390</v>
      </c>
      <c r="E1397" t="s">
        <v>1229</v>
      </c>
      <c r="F1397" s="1" t="str">
        <f t="shared" ref="F1397:K1397" si="1555">IFERROR(F1373/F1349,"-")</f>
        <v>-</v>
      </c>
      <c r="G1397" s="1">
        <f t="shared" si="1555"/>
        <v>5.6422133461237159E-2</v>
      </c>
      <c r="H1397" s="1">
        <f t="shared" si="1555"/>
        <v>5.7975700793458103E-2</v>
      </c>
      <c r="I1397" s="1">
        <f t="shared" si="1555"/>
        <v>6.1190288334601835E-2</v>
      </c>
      <c r="J1397" s="1">
        <f t="shared" si="1555"/>
        <v>6.5468237656190711E-2</v>
      </c>
      <c r="K1397" s="1">
        <f t="shared" si="1555"/>
        <v>6.9086814627224963E-2</v>
      </c>
      <c r="L1397" s="1">
        <f t="shared" ref="L1397:O1397" si="1556">IFERROR(L1373/L1349,"-")</f>
        <v>7.0888070999428079E-2</v>
      </c>
      <c r="M1397" s="1" t="str">
        <f t="shared" si="1556"/>
        <v>-</v>
      </c>
      <c r="N1397" s="1" t="str">
        <f t="shared" si="1556"/>
        <v>-</v>
      </c>
      <c r="O1397" s="1" t="str">
        <f t="shared" si="1556"/>
        <v>-</v>
      </c>
      <c r="P1397" s="1" t="str">
        <f t="shared" si="1550"/>
        <v>-</v>
      </c>
      <c r="Q1397" s="1" t="str">
        <f t="shared" si="1550"/>
        <v>-</v>
      </c>
      <c r="S1397" s="3"/>
    </row>
    <row r="1398" spans="2:19" x14ac:dyDescent="0.5">
      <c r="B1398" s="5" t="str">
        <f t="shared" si="1507"/>
        <v>SPS1</v>
      </c>
      <c r="C1398" s="5" t="str">
        <f t="shared" si="1508"/>
        <v>CH</v>
      </c>
      <c r="D1398" t="s">
        <v>1391</v>
      </c>
      <c r="E1398" t="s">
        <v>1229</v>
      </c>
      <c r="F1398" s="1" t="str">
        <f t="shared" ref="F1398:K1398" si="1557">IFERROR(F1374/F1350,"-")</f>
        <v>-</v>
      </c>
      <c r="G1398" s="1">
        <f t="shared" si="1557"/>
        <v>3.7689157759834328E-2</v>
      </c>
      <c r="H1398" s="1">
        <f t="shared" si="1557"/>
        <v>3.8567325198270823E-2</v>
      </c>
      <c r="I1398" s="1">
        <f t="shared" si="1557"/>
        <v>4.010031345951684E-2</v>
      </c>
      <c r="J1398" s="1">
        <f t="shared" si="1557"/>
        <v>4.4117153293017915E-2</v>
      </c>
      <c r="K1398" s="1">
        <f t="shared" si="1557"/>
        <v>4.627876995681502E-2</v>
      </c>
      <c r="L1398" s="1">
        <f t="shared" ref="L1398:O1398" si="1558">IFERROR(L1374/L1350,"-")</f>
        <v>4.8560091275316811E-2</v>
      </c>
      <c r="M1398" s="1" t="str">
        <f t="shared" si="1558"/>
        <v>-</v>
      </c>
      <c r="N1398" s="1" t="str">
        <f t="shared" si="1558"/>
        <v>-</v>
      </c>
      <c r="O1398" s="1" t="str">
        <f t="shared" si="1558"/>
        <v>-</v>
      </c>
      <c r="P1398" s="1" t="str">
        <f t="shared" si="1550"/>
        <v>-</v>
      </c>
      <c r="Q1398" s="1" t="str">
        <f t="shared" si="1550"/>
        <v>-</v>
      </c>
      <c r="S1398" s="3"/>
    </row>
    <row r="1399" spans="2:19" x14ac:dyDescent="0.5">
      <c r="B1399" s="9" t="str">
        <f>B1398</f>
        <v>SPS1</v>
      </c>
      <c r="C1399" s="9" t="str">
        <f>C1398</f>
        <v>CH</v>
      </c>
      <c r="D1399" s="2" t="s">
        <v>1394</v>
      </c>
      <c r="E1399" s="2" t="s">
        <v>8</v>
      </c>
      <c r="F1399" s="3">
        <f>F1400+F1406+F1411+F1425</f>
        <v>0.81411429885281505</v>
      </c>
      <c r="G1399" s="3">
        <f t="shared" ref="G1399" si="1559">G1400+G1406+G1411+G1425</f>
        <v>0.81166956557889314</v>
      </c>
      <c r="H1399" s="3">
        <f t="shared" ref="H1399" si="1560">H1400+H1406+H1411+H1425</f>
        <v>0.52967308771369959</v>
      </c>
      <c r="I1399" s="3">
        <f t="shared" ref="I1399" si="1561">I1400+I1406+I1411+I1425</f>
        <v>0.54979893483746378</v>
      </c>
      <c r="J1399" s="3">
        <f t="shared" ref="J1399" si="1562">J1400+J1406+J1411+J1425</f>
        <v>0.39919022408054117</v>
      </c>
      <c r="K1399" s="3">
        <f t="shared" ref="K1399" si="1563">K1400+K1406+K1411+K1425</f>
        <v>0.36965829509760406</v>
      </c>
      <c r="L1399" s="3">
        <f t="shared" ref="L1399:O1399" si="1564">L1400+L1406+L1411+L1425</f>
        <v>0.35845524835502435</v>
      </c>
      <c r="M1399" s="3">
        <f t="shared" si="1564"/>
        <v>0.3312396733333518</v>
      </c>
      <c r="N1399" s="3">
        <f t="shared" si="1564"/>
        <v>0.33012426301735209</v>
      </c>
      <c r="O1399" s="3">
        <f t="shared" si="1564"/>
        <v>0.33701271392161458</v>
      </c>
      <c r="P1399" s="3">
        <f>P1400+P1406+P1411+P1425</f>
        <v>0.34628530803737462</v>
      </c>
      <c r="Q1399" s="3">
        <f>Q1400+Q1406+Q1411+Q1425</f>
        <v>0.35555045431909332</v>
      </c>
      <c r="S1399" s="3"/>
    </row>
    <row r="1400" spans="2:19" x14ac:dyDescent="0.5">
      <c r="B1400" s="5" t="str">
        <f>B1399</f>
        <v>SPS1</v>
      </c>
      <c r="C1400" s="5" t="str">
        <f>C1399</f>
        <v>CH</v>
      </c>
      <c r="D1400" t="s">
        <v>1395</v>
      </c>
      <c r="E1400" t="s">
        <v>8</v>
      </c>
      <c r="F1400" s="1">
        <f>SUM(F1401:F1405)</f>
        <v>3.7005604370842736E-3</v>
      </c>
      <c r="G1400" s="1">
        <f t="shared" ref="G1400" si="1565">SUM(G1401:G1405)</f>
        <v>8.0875866506737604E-3</v>
      </c>
      <c r="H1400" s="1">
        <f t="shared" ref="H1400" si="1566">SUM(H1401:H1405)</f>
        <v>0.21406823372296965</v>
      </c>
      <c r="I1400" s="1">
        <f t="shared" ref="I1400" si="1567">SUM(I1401:I1405)</f>
        <v>0.33732649225855765</v>
      </c>
      <c r="J1400" s="1">
        <f t="shared" ref="J1400" si="1568">SUM(J1401:J1405)</f>
        <v>0.35304060299205903</v>
      </c>
      <c r="K1400" s="1">
        <f t="shared" ref="K1400" si="1569">SUM(K1401:K1405)</f>
        <v>0.35903091513369656</v>
      </c>
      <c r="L1400" s="1">
        <f t="shared" ref="L1400:O1400" si="1570">SUM(L1401:L1405)</f>
        <v>0.34254176898804728</v>
      </c>
      <c r="M1400" s="1">
        <f t="shared" si="1570"/>
        <v>0.32213048452852133</v>
      </c>
      <c r="N1400" s="1">
        <f t="shared" si="1570"/>
        <v>0.32838378869830731</v>
      </c>
      <c r="O1400" s="1">
        <f t="shared" si="1570"/>
        <v>0.33548750446239189</v>
      </c>
      <c r="P1400" s="1">
        <f>SUM(P1401:P1405)</f>
        <v>0.34474294833856661</v>
      </c>
      <c r="Q1400" s="1">
        <f>SUM(Q1401:Q1405)</f>
        <v>0.35398377759718835</v>
      </c>
      <c r="S1400" s="3"/>
    </row>
    <row r="1401" spans="2:19" x14ac:dyDescent="0.5">
      <c r="B1401" s="5" t="str">
        <f t="shared" ref="B1401:B1434" si="1571">B1400</f>
        <v>SPS1</v>
      </c>
      <c r="C1401" s="5" t="str">
        <f t="shared" ref="C1401:C1434" si="1572">C1400</f>
        <v>CH</v>
      </c>
      <c r="D1401" t="s">
        <v>1396</v>
      </c>
      <c r="E1401" t="s">
        <v>8</v>
      </c>
      <c r="F1401" s="1" cm="1">
        <f t="array" ref="F1401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401" s="1" cm="1">
        <f t="array" ref="G1401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401" s="1" cm="1">
        <f t="array" ref="H1401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401" s="1" cm="1">
        <f t="array" ref="I1401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401" s="1" cm="1">
        <f t="array" ref="J1401">SUMPRODUCT(("T_B_c-BeVELCEXT"=[1]OUT_TransportEnergyCons!$A$3:$A$1000)*1,("Var_Fin"=[1]OUT_TransportEnergyCons!$B$3:$B$1000)*1,ISNUMBER(SEARCH("ELC",[1]OUT_TransportEnergyCons!$C$3:$C$1000))*1,[1]OUT_TransportEnergyCons!H$3:H$1000)</f>
        <v>0</v>
      </c>
      <c r="K1401" s="1" cm="1">
        <f t="array" ref="K1401">SUMPRODUCT(("T_B_c-BeVELCEXT"=[1]OUT_TransportEnergyCons!$A$3:$A$1000)*1,("Var_Fin"=[1]OUT_TransportEnergyCons!$B$3:$B$1000)*1,ISNUMBER(SEARCH("ELC",[1]OUT_TransportEnergyCons!$C$3:$C$1000))*1,[1]OUT_TransportEnergyCons!I$3:I$1000)</f>
        <v>0</v>
      </c>
      <c r="L1401" s="1" cm="1">
        <f t="array" ref="L1401">SUMPRODUCT(("T_B_c-BeVELCEXT"=[1]OUT_TransportEnergyCons!$A$3:$A$1000)*1,("Var_Fin"=[1]OUT_TransportEnergyCons!$B$3:$B$1000)*1,ISNUMBER(SEARCH("ELC",[1]OUT_TransportEnergyCons!$C$3:$C$1000))*1,[1]OUT_TransportEnergyCons!J$3:J$1000)</f>
        <v>0</v>
      </c>
      <c r="M1401" s="1" cm="1">
        <f t="array" ref="M1401">SUMPRODUCT(("T_B_c-BeVELCEXT"=[1]OUT_TransportEnergyCons!$A$3:$A$1000)*1,("Var_Fin"=[1]OUT_TransportEnergyCons!$B$3:$B$1000)*1,ISNUMBER(SEARCH("ELC",[1]OUT_TransportEnergyCons!$C$3:$C$1000))*1,[1]OUT_TransportEnergyCons!K$3:K$1000)</f>
        <v>0</v>
      </c>
      <c r="N1401" s="1" cm="1">
        <f t="array" ref="N1401">SUMPRODUCT(("T_B_c-BeVELCEXT"=[1]OUT_TransportEnergyCons!$A$3:$A$1000)*1,("Var_Fin"=[1]OUT_TransportEnergyCons!$B$3:$B$1000)*1,ISNUMBER(SEARCH("ELC",[1]OUT_TransportEnergyCons!$C$3:$C$1000))*1,[1]OUT_TransportEnergyCons!L$3:L$1000)</f>
        <v>0</v>
      </c>
      <c r="O1401" s="1" cm="1">
        <f t="array" ref="O1401">SUMPRODUCT(("T_B_c-BeVELCEXT"=[1]OUT_TransportEnergyCons!$A$3:$A$1000)*1,("Var_Fin"=[1]OUT_TransportEnergyCons!$B$3:$B$1000)*1,ISNUMBER(SEARCH("ELC",[1]OUT_TransportEnergyCons!$C$3:$C$1000))*1,[1]OUT_TransportEnergyCons!M$3:M$1000)</f>
        <v>0</v>
      </c>
      <c r="P1401" s="1" cm="1">
        <f t="array" ref="P1401">SUMPRODUCT(("T_B_c-BeVELCEXT"=[1]OUT_TransportEnergyCons!$A$3:$A$1000)*1,("Var_Fin"=[1]OUT_TransportEnergyCons!$B$3:$B$1000)*1,ISNUMBER(SEARCH("ELC",[1]OUT_TransportEnergyCons!$C$3:$C$1000))*1,[1]OUT_TransportEnergyCons!N$3:N$1000)</f>
        <v>0</v>
      </c>
      <c r="Q1401" s="1" cm="1">
        <f t="array" ref="Q1401">SUMPRODUCT(("T_B_c-BeVELCEXT"=[1]OUT_TransportEnergyCons!$A$3:$A$1000)*1,("Var_Fin"=[1]OUT_TransportEnergyCons!$B$3:$B$1000)*1,ISNUMBER(SEARCH("ELC",[1]OUT_TransportEnergyCons!$C$3:$C$1000))*1,[1]OUT_TransportEnergyCons!O$3:O$1000)</f>
        <v>0</v>
      </c>
      <c r="S1401" s="3"/>
    </row>
    <row r="1402" spans="2:19" x14ac:dyDescent="0.5">
      <c r="B1402" s="5" t="str">
        <f t="shared" si="1571"/>
        <v>SPS1</v>
      </c>
      <c r="C1402" s="5" t="str">
        <f t="shared" si="1572"/>
        <v>CH</v>
      </c>
      <c r="D1402" t="s">
        <v>1397</v>
      </c>
      <c r="E1402" t="s">
        <v>8</v>
      </c>
      <c r="F1402" s="1" cm="1">
        <f t="array" ref="F1402">SUMPRODUCT(("T_B_c-BEVELC-S1"=[1]OUT_TransportEnergyCons!$A$3:$A$1000)*1,("Var_Fin"=[1]OUT_TransportEnergyCons!$B$3:$B$1000)*1,ISNUMBER(SEARCH("ELC",[1]OUT_TransportEnergyCons!$C$3:$C$1000))*1,[1]OUT_TransportEnergyCons!D$3:D$1000)</f>
        <v>6.3510938307278846E-4</v>
      </c>
      <c r="G1402" s="1" cm="1">
        <f t="array" ref="G1402">SUMPRODUCT(("T_B_c-BEVELC-S1"=[1]OUT_TransportEnergyCons!$A$3:$A$1000)*1,("Var_Fin"=[1]OUT_TransportEnergyCons!$B$3:$B$1000)*1,ISNUMBER(SEARCH("ELC",[1]OUT_TransportEnergyCons!$C$3:$C$1000))*1,[1]OUT_TransportEnergyCons!E$3:E$1000)</f>
        <v>1.681388529773983E-3</v>
      </c>
      <c r="H1402" s="1" cm="1">
        <f t="array" ref="H1402">SUMPRODUCT(("T_B_c-BEVELC-S1"=[1]OUT_TransportEnergyCons!$A$3:$A$1000)*1,("Var_Fin"=[1]OUT_TransportEnergyCons!$B$3:$B$1000)*1,ISNUMBER(SEARCH("ELC",[1]OUT_TransportEnergyCons!$C$3:$C$1000))*1,[1]OUT_TransportEnergyCons!F$3:F$1000)</f>
        <v>7.5980996420048949E-2</v>
      </c>
      <c r="I1402" s="1" cm="1">
        <f t="array" ref="I1402">SUMPRODUCT(("T_B_c-BEVELC-S1"=[1]OUT_TransportEnergyCons!$A$3:$A$1000)*1,("Var_Fin"=[1]OUT_TransportEnergyCons!$B$3:$B$1000)*1,ISNUMBER(SEARCH("ELC",[1]OUT_TransportEnergyCons!$C$3:$C$1000))*1,[1]OUT_TransportEnergyCons!G$3:G$1000)</f>
        <v>0.14934658191669831</v>
      </c>
      <c r="J1402" s="1" cm="1">
        <f t="array" ref="J1402">SUMPRODUCT(("T_B_c-BEVELC-S1"=[1]OUT_TransportEnergyCons!$A$3:$A$1000)*1,("Var_Fin"=[1]OUT_TransportEnergyCons!$B$3:$B$1000)*1,ISNUMBER(SEARCH("ELC",[1]OUT_TransportEnergyCons!$C$3:$C$1000))*1,[1]OUT_TransportEnergyCons!H$3:H$1000)</f>
        <v>0.13831087581789209</v>
      </c>
      <c r="K1402" s="1" cm="1">
        <f t="array" ref="K1402">SUMPRODUCT(("T_B_c-BEVELC-S1"=[1]OUT_TransportEnergyCons!$A$3:$A$1000)*1,("Var_Fin"=[1]OUT_TransportEnergyCons!$B$3:$B$1000)*1,ISNUMBER(SEARCH("ELC",[1]OUT_TransportEnergyCons!$C$3:$C$1000))*1,[1]OUT_TransportEnergyCons!I$3:I$1000)</f>
        <v>0.13748120023445384</v>
      </c>
      <c r="L1402" s="1" cm="1">
        <f t="array" ref="L1402">SUMPRODUCT(("T_B_c-BEVELC-S1"=[1]OUT_TransportEnergyCons!$A$3:$A$1000)*1,("Var_Fin"=[1]OUT_TransportEnergyCons!$B$3:$B$1000)*1,ISNUMBER(SEARCH("ELC",[1]OUT_TransportEnergyCons!$C$3:$C$1000))*1,[1]OUT_TransportEnergyCons!J$3:J$1000)</f>
        <v>0.13191007859377882</v>
      </c>
      <c r="M1402" s="1" cm="1">
        <f t="array" ref="M1402">SUMPRODUCT(("T_B_c-BEVELC-S1"=[1]OUT_TransportEnergyCons!$A$3:$A$1000)*1,("Var_Fin"=[1]OUT_TransportEnergyCons!$B$3:$B$1000)*1,ISNUMBER(SEARCH("ELC",[1]OUT_TransportEnergyCons!$C$3:$C$1000))*1,[1]OUT_TransportEnergyCons!K$3:K$1000)</f>
        <v>0.12280145573231302</v>
      </c>
      <c r="N1402" s="1" cm="1">
        <f t="array" ref="N1402">SUMPRODUCT(("T_B_c-BEVELC-S1"=[1]OUT_TransportEnergyCons!$A$3:$A$1000)*1,("Var_Fin"=[1]OUT_TransportEnergyCons!$B$3:$B$1000)*1,ISNUMBER(SEARCH("ELC",[1]OUT_TransportEnergyCons!$C$3:$C$1000))*1,[1]OUT_TransportEnergyCons!L$3:L$1000)</f>
        <v>0.12513439755279848</v>
      </c>
      <c r="O1402" s="1" cm="1">
        <f t="array" ref="O1402">SUMPRODUCT(("T_B_c-BEVELC-S1"=[1]OUT_TransportEnergyCons!$A$3:$A$1000)*1,("Var_Fin"=[1]OUT_TransportEnergyCons!$B$3:$B$1000)*1,ISNUMBER(SEARCH("ELC",[1]OUT_TransportEnergyCons!$C$3:$C$1000))*1,[1]OUT_TransportEnergyCons!M$3:M$1000)</f>
        <v>0.1275892615198064</v>
      </c>
      <c r="P1402" s="1" cm="1">
        <f t="array" ref="P1402">SUMPRODUCT(("T_B_c-BEVELC-S1"=[1]OUT_TransportEnergyCons!$A$3:$A$1000)*1,("Var_Fin"=[1]OUT_TransportEnergyCons!$B$3:$B$1000)*1,ISNUMBER(SEARCH("ELC",[1]OUT_TransportEnergyCons!$C$3:$C$1000))*1,[1]OUT_TransportEnergyCons!N$3:N$1000)</f>
        <v>0.13111800775364205</v>
      </c>
      <c r="Q1402" s="1" cm="1">
        <f t="array" ref="Q1402">SUMPRODUCT(("T_B_c-BEVELC-S1"=[1]OUT_TransportEnergyCons!$A$3:$A$1000)*1,("Var_Fin"=[1]OUT_TransportEnergyCons!$B$3:$B$1000)*1,ISNUMBER(SEARCH("ELC",[1]OUT_TransportEnergyCons!$C$3:$C$1000))*1,[1]OUT_TransportEnergyCons!O$3:O$1000)</f>
        <v>0.13434291595026873</v>
      </c>
      <c r="S1402" s="3"/>
    </row>
    <row r="1403" spans="2:19" x14ac:dyDescent="0.5">
      <c r="B1403" s="5" t="str">
        <f t="shared" si="1571"/>
        <v>SPS1</v>
      </c>
      <c r="C1403" s="5" t="str">
        <f t="shared" si="1572"/>
        <v>CH</v>
      </c>
      <c r="D1403" t="s">
        <v>1398</v>
      </c>
      <c r="E1403" t="s">
        <v>8</v>
      </c>
      <c r="F1403" s="1" cm="1">
        <f t="array" ref="F1403">SUMPRODUCT(("T_B_c-BEVELC-S2"=[1]OUT_TransportEnergyCons!$A$3:$A$1000)*1,("Var_Fin"=[1]OUT_TransportEnergyCons!$B$3:$B$1000)*1,ISNUMBER(SEARCH("ELC",[1]OUT_TransportEnergyCons!$C$3:$C$1000))*1,[1]OUT_TransportEnergyCons!D$3:D$1000)</f>
        <v>2.0691657740291702E-3</v>
      </c>
      <c r="G1403" s="1" cm="1">
        <f t="array" ref="G1403">SUMPRODUCT(("T_B_c-BEVELC-S2"=[1]OUT_TransportEnergyCons!$A$3:$A$1000)*1,("Var_Fin"=[1]OUT_TransportEnergyCons!$B$3:$B$1000)*1,ISNUMBER(SEARCH("ELC",[1]OUT_TransportEnergyCons!$C$3:$C$1000))*1,[1]OUT_TransportEnergyCons!E$3:E$1000)</f>
        <v>4.0995498809293599E-3</v>
      </c>
      <c r="H1403" s="1" cm="1">
        <f t="array" ref="H1403">SUMPRODUCT(("T_B_c-BEVELC-S2"=[1]OUT_TransportEnergyCons!$A$3:$A$1000)*1,("Var_Fin"=[1]OUT_TransportEnergyCons!$B$3:$B$1000)*1,ISNUMBER(SEARCH("ELC",[1]OUT_TransportEnergyCons!$C$3:$C$1000))*1,[1]OUT_TransportEnergyCons!F$3:F$1000)</f>
        <v>0.13418180691309292</v>
      </c>
      <c r="I1403" s="1" cm="1">
        <f t="array" ref="I1403">SUMPRODUCT(("T_B_c-BEVELC-S2"=[1]OUT_TransportEnergyCons!$A$3:$A$1000)*1,("Var_Fin"=[1]OUT_TransportEnergyCons!$B$3:$B$1000)*1,ISNUMBER(SEARCH("ELC",[1]OUT_TransportEnergyCons!$C$3:$C$1000))*1,[1]OUT_TransportEnergyCons!G$3:G$1000)</f>
        <v>0.18385965761453926</v>
      </c>
      <c r="J1403" s="1" cm="1">
        <f t="array" ref="J1403">SUMPRODUCT(("T_B_c-BEVELC-S2"=[1]OUT_TransportEnergyCons!$A$3:$A$1000)*1,("Var_Fin"=[1]OUT_TransportEnergyCons!$B$3:$B$1000)*1,ISNUMBER(SEARCH("ELC",[1]OUT_TransportEnergyCons!$C$3:$C$1000))*1,[1]OUT_TransportEnergyCons!H$3:H$1000)</f>
        <v>0.17094499022195375</v>
      </c>
      <c r="K1403" s="1" cm="1">
        <f t="array" ref="K1403">SUMPRODUCT(("T_B_c-BEVELC-S2"=[1]OUT_TransportEnergyCons!$A$3:$A$1000)*1,("Var_Fin"=[1]OUT_TransportEnergyCons!$B$3:$B$1000)*1,ISNUMBER(SEARCH("ELC",[1]OUT_TransportEnergyCons!$C$3:$C$1000))*1,[1]OUT_TransportEnergyCons!I$3:I$1000)</f>
        <v>0.16760464403178024</v>
      </c>
      <c r="L1403" s="1" cm="1">
        <f t="array" ref="L1403">SUMPRODUCT(("T_B_c-BEVELC-S2"=[1]OUT_TransportEnergyCons!$A$3:$A$1000)*1,("Var_Fin"=[1]OUT_TransportEnergyCons!$B$3:$B$1000)*1,ISNUMBER(SEARCH("ELC",[1]OUT_TransportEnergyCons!$C$3:$C$1000))*1,[1]OUT_TransportEnergyCons!J$3:J$1000)</f>
        <v>0.15964748572324411</v>
      </c>
      <c r="M1403" s="1" cm="1">
        <f t="array" ref="M1403">SUMPRODUCT(("T_B_c-BEVELC-S2"=[1]OUT_TransportEnergyCons!$A$3:$A$1000)*1,("Var_Fin"=[1]OUT_TransportEnergyCons!$B$3:$B$1000)*1,ISNUMBER(SEARCH("ELC",[1]OUT_TransportEnergyCons!$C$3:$C$1000))*1,[1]OUT_TransportEnergyCons!K$3:K$1000)</f>
        <v>0.14963998432614423</v>
      </c>
      <c r="N1403" s="1" cm="1">
        <f t="array" ref="N1403">SUMPRODUCT(("T_B_c-BEVELC-S2"=[1]OUT_TransportEnergyCons!$A$3:$A$1000)*1,("Var_Fin"=[1]OUT_TransportEnergyCons!$B$3:$B$1000)*1,ISNUMBER(SEARCH("ELC",[1]OUT_TransportEnergyCons!$C$3:$C$1000))*1,[1]OUT_TransportEnergyCons!L$3:L$1000)</f>
        <v>0.15338316047719464</v>
      </c>
      <c r="O1403" s="1" cm="1">
        <f t="array" ref="O1403">SUMPRODUCT(("T_B_c-BEVELC-S2"=[1]OUT_TransportEnergyCons!$A$3:$A$1000)*1,("Var_Fin"=[1]OUT_TransportEnergyCons!$B$3:$B$1000)*1,ISNUMBER(SEARCH("ELC",[1]OUT_TransportEnergyCons!$C$3:$C$1000))*1,[1]OUT_TransportEnergyCons!M$3:M$1000)</f>
        <v>0.15667141029495552</v>
      </c>
      <c r="P1403" s="1" cm="1">
        <f t="array" ref="P1403">SUMPRODUCT(("T_B_c-BEVELC-S2"=[1]OUT_TransportEnergyCons!$A$3:$A$1000)*1,("Var_Fin"=[1]OUT_TransportEnergyCons!$B$3:$B$1000)*1,ISNUMBER(SEARCH("ELC",[1]OUT_TransportEnergyCons!$C$3:$C$1000))*1,[1]OUT_TransportEnergyCons!N$3:N$1000)</f>
        <v>0.16100399096704196</v>
      </c>
      <c r="Q1403" s="1" cm="1">
        <f t="array" ref="Q1403">SUMPRODUCT(("T_B_c-BEVELC-S2"=[1]OUT_TransportEnergyCons!$A$3:$A$1000)*1,("Var_Fin"=[1]OUT_TransportEnergyCons!$B$3:$B$1000)*1,ISNUMBER(SEARCH("ELC",[1]OUT_TransportEnergyCons!$C$3:$C$1000))*1,[1]OUT_TransportEnergyCons!O$3:O$1000)</f>
        <v>0.16516557217232769</v>
      </c>
      <c r="S1403" s="3"/>
    </row>
    <row r="1404" spans="2:19" x14ac:dyDescent="0.5">
      <c r="B1404" s="5" t="str">
        <f t="shared" si="1571"/>
        <v>SPS1</v>
      </c>
      <c r="C1404" s="5" t="str">
        <f t="shared" si="1572"/>
        <v>CH</v>
      </c>
      <c r="D1404" t="s">
        <v>1399</v>
      </c>
      <c r="E1404" t="s">
        <v>8</v>
      </c>
      <c r="F1404" s="1" cm="1">
        <f t="array" ref="F1404">SUMPRODUCT(("T_B_c-BEVELC-S3"=[1]OUT_TransportEnergyCons!$A$3:$A$1000)*1,("Var_Fin"=[1]OUT_TransportEnergyCons!$B$3:$B$1000)*1,ISNUMBER(SEARCH("ELC",[1]OUT_TransportEnergyCons!$C$3:$C$1000))*1,[1]OUT_TransportEnergyCons!D$3:D$1000)</f>
        <v>9.9628527998231508E-4</v>
      </c>
      <c r="G1404" s="1" cm="1">
        <f t="array" ref="G1404">SUMPRODUCT(("T_B_c-BEVELC-S3"=[1]OUT_TransportEnergyCons!$A$3:$A$1000)*1,("Var_Fin"=[1]OUT_TransportEnergyCons!$B$3:$B$1000)*1,ISNUMBER(SEARCH("ELC",[1]OUT_TransportEnergyCons!$C$3:$C$1000))*1,[1]OUT_TransportEnergyCons!E$3:E$1000)</f>
        <v>2.0640923094050749E-3</v>
      </c>
      <c r="H1404" s="1" cm="1">
        <f t="array" ref="H1404">SUMPRODUCT(("T_B_c-BEVELC-S3"=[1]OUT_TransportEnergyCons!$A$3:$A$1000)*1,("Var_Fin"=[1]OUT_TransportEnergyCons!$B$3:$B$1000)*1,ISNUMBER(SEARCH("ELC",[1]OUT_TransportEnergyCons!$C$3:$C$1000))*1,[1]OUT_TransportEnergyCons!F$3:F$1000)</f>
        <v>3.1175245616303533E-3</v>
      </c>
      <c r="I1404" s="1" cm="1">
        <f t="array" ref="I1404">SUMPRODUCT(("T_B_c-BEVELC-S3"=[1]OUT_TransportEnergyCons!$A$3:$A$1000)*1,("Var_Fin"=[1]OUT_TransportEnergyCons!$B$3:$B$1000)*1,ISNUMBER(SEARCH("ELC",[1]OUT_TransportEnergyCons!$C$3:$C$1000))*1,[1]OUT_TransportEnergyCons!G$3:G$1000)</f>
        <v>3.5041849309735934E-3</v>
      </c>
      <c r="J1404" s="1" cm="1">
        <f t="array" ref="J1404">SUMPRODUCT(("T_B_c-BEVELC-S3"=[1]OUT_TransportEnergyCons!$A$3:$A$1000)*1,("Var_Fin"=[1]OUT_TransportEnergyCons!$B$3:$B$1000)*1,ISNUMBER(SEARCH("ELC",[1]OUT_TransportEnergyCons!$C$3:$C$1000))*1,[1]OUT_TransportEnergyCons!H$3:H$1000)</f>
        <v>4.3206714015198135E-2</v>
      </c>
      <c r="K1404" s="1" cm="1">
        <f t="array" ref="K1404">SUMPRODUCT(("T_B_c-BEVELC-S3"=[1]OUT_TransportEnergyCons!$A$3:$A$1000)*1,("Var_Fin"=[1]OUT_TransportEnergyCons!$B$3:$B$1000)*1,ISNUMBER(SEARCH("ELC",[1]OUT_TransportEnergyCons!$C$3:$C$1000))*1,[1]OUT_TransportEnergyCons!I$3:I$1000)</f>
        <v>5.3310771174678986E-2</v>
      </c>
      <c r="L1404" s="1" cm="1">
        <f t="array" ref="L1404">SUMPRODUCT(("T_B_c-BEVELC-S3"=[1]OUT_TransportEnergyCons!$A$3:$A$1000)*1,("Var_Fin"=[1]OUT_TransportEnergyCons!$B$3:$B$1000)*1,ISNUMBER(SEARCH("ELC",[1]OUT_TransportEnergyCons!$C$3:$C$1000))*1,[1]OUT_TransportEnergyCons!J$3:J$1000)</f>
        <v>5.0383846505536206E-2</v>
      </c>
      <c r="M1404" s="1" cm="1">
        <f t="array" ref="M1404">SUMPRODUCT(("T_B_c-BEVELC-S3"=[1]OUT_TransportEnergyCons!$A$3:$A$1000)*1,("Var_Fin"=[1]OUT_TransportEnergyCons!$B$3:$B$1000)*1,ISNUMBER(SEARCH("ELC",[1]OUT_TransportEnergyCons!$C$3:$C$1000))*1,[1]OUT_TransportEnergyCons!K$3:K$1000)</f>
        <v>4.8817697581723378E-2</v>
      </c>
      <c r="N1404" s="1" cm="1">
        <f t="array" ref="N1404">SUMPRODUCT(("T_B_c-BEVELC-S3"=[1]OUT_TransportEnergyCons!$A$3:$A$1000)*1,("Var_Fin"=[1]OUT_TransportEnergyCons!$B$3:$B$1000)*1,ISNUMBER(SEARCH("ELC",[1]OUT_TransportEnergyCons!$C$3:$C$1000))*1,[1]OUT_TransportEnergyCons!L$3:L$1000)</f>
        <v>4.9146577491215107E-2</v>
      </c>
      <c r="O1404" s="1" cm="1">
        <f t="array" ref="O1404">SUMPRODUCT(("T_B_c-BEVELC-S3"=[1]OUT_TransportEnergyCons!$A$3:$A$1000)*1,("Var_Fin"=[1]OUT_TransportEnergyCons!$B$3:$B$1000)*1,ISNUMBER(SEARCH("ELC",[1]OUT_TransportEnergyCons!$C$3:$C$1000))*1,[1]OUT_TransportEnergyCons!M$3:M$1000)</f>
        <v>5.0270322970952311E-2</v>
      </c>
      <c r="P1404" s="1" cm="1">
        <f t="array" ref="P1404">SUMPRODUCT(("T_B_c-BEVELC-S3"=[1]OUT_TransportEnergyCons!$A$3:$A$1000)*1,("Var_Fin"=[1]OUT_TransportEnergyCons!$B$3:$B$1000)*1,ISNUMBER(SEARCH("ELC",[1]OUT_TransportEnergyCons!$C$3:$C$1000))*1,[1]OUT_TransportEnergyCons!N$3:N$1000)</f>
        <v>5.1659963438810338E-2</v>
      </c>
      <c r="Q1404" s="1" cm="1">
        <f t="array" ref="Q1404">SUMPRODUCT(("T_B_c-BEVELC-S3"=[1]OUT_TransportEnergyCons!$A$3:$A$1000)*1,("Var_Fin"=[1]OUT_TransportEnergyCons!$B$3:$B$1000)*1,ISNUMBER(SEARCH("ELC",[1]OUT_TransportEnergyCons!$C$3:$C$1000))*1,[1]OUT_TransportEnergyCons!O$3:O$1000)</f>
        <v>5.29925489394035E-2</v>
      </c>
      <c r="S1404" s="3"/>
    </row>
    <row r="1405" spans="2:19" x14ac:dyDescent="0.5">
      <c r="B1405" s="5" t="str">
        <f t="shared" si="1571"/>
        <v>SPS1</v>
      </c>
      <c r="C1405" s="5" t="str">
        <f t="shared" si="1572"/>
        <v>CH</v>
      </c>
      <c r="D1405" t="s">
        <v>1400</v>
      </c>
      <c r="E1405" t="s">
        <v>8</v>
      </c>
      <c r="F1405" s="1" cm="1">
        <f t="array" ref="F1405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5" s="1" cm="1">
        <f t="array" ref="G1405">SUMPRODUCT(("T_B_c-BEVELC-S4"=[1]OUT_TransportEnergyCons!$A$3:$A$1000)*1,("Var_Fin"=[1]OUT_TransportEnergyCons!$B$3:$B$1000)*1,ISNUMBER(SEARCH("ELC",[1]OUT_TransportEnergyCons!$C$3:$C$1000))*1,[1]OUT_TransportEnergyCons!E$3:E$1000)</f>
        <v>2.4255593056534254E-4</v>
      </c>
      <c r="H1405" s="1" cm="1">
        <f t="array" ref="H1405">SUMPRODUCT(("T_B_c-BEVELC-S4"=[1]OUT_TransportEnergyCons!$A$3:$A$1000)*1,("Var_Fin"=[1]OUT_TransportEnergyCons!$B$3:$B$1000)*1,ISNUMBER(SEARCH("ELC",[1]OUT_TransportEnergyCons!$C$3:$C$1000))*1,[1]OUT_TransportEnergyCons!F$3:F$1000)</f>
        <v>7.8790582819742805E-4</v>
      </c>
      <c r="I1405" s="1" cm="1">
        <f t="array" ref="I1405">SUMPRODUCT(("T_B_c-BEVELC-S4"=[1]OUT_TransportEnergyCons!$A$3:$A$1000)*1,("Var_Fin"=[1]OUT_TransportEnergyCons!$B$3:$B$1000)*1,ISNUMBER(SEARCH("ELC",[1]OUT_TransportEnergyCons!$C$3:$C$1000))*1,[1]OUT_TransportEnergyCons!G$3:G$1000)</f>
        <v>6.1606779634651324E-4</v>
      </c>
      <c r="J1405" s="1" cm="1">
        <f t="array" ref="J1405">SUMPRODUCT(("T_B_c-BEVELC-S4"=[1]OUT_TransportEnergyCons!$A$3:$A$1000)*1,("Var_Fin"=[1]OUT_TransportEnergyCons!$B$3:$B$1000)*1,ISNUMBER(SEARCH("ELC",[1]OUT_TransportEnergyCons!$C$3:$C$1000))*1,[1]OUT_TransportEnergyCons!H$3:H$1000)</f>
        <v>5.7802293701505569E-4</v>
      </c>
      <c r="K1405" s="1" cm="1">
        <f t="array" ref="K1405">SUMPRODUCT(("T_B_c-BEVELC-S4"=[1]OUT_TransportEnergyCons!$A$3:$A$1000)*1,("Var_Fin"=[1]OUT_TransportEnergyCons!$B$3:$B$1000)*1,ISNUMBER(SEARCH("ELC",[1]OUT_TransportEnergyCons!$C$3:$C$1000))*1,[1]OUT_TransportEnergyCons!I$3:I$1000)</f>
        <v>6.3429969278347746E-4</v>
      </c>
      <c r="L1405" s="1" cm="1">
        <f t="array" ref="L1405">SUMPRODUCT(("T_B_c-BEVELC-S4"=[1]OUT_TransportEnergyCons!$A$3:$A$1000)*1,("Var_Fin"=[1]OUT_TransportEnergyCons!$B$3:$B$1000)*1,ISNUMBER(SEARCH("ELC",[1]OUT_TransportEnergyCons!$C$3:$C$1000))*1,[1]OUT_TransportEnergyCons!J$3:J$1000)</f>
        <v>6.0035816548815557E-4</v>
      </c>
      <c r="M1405" s="1" cm="1">
        <f t="array" ref="M1405">SUMPRODUCT(("T_B_c-BEVELC-S4"=[1]OUT_TransportEnergyCons!$A$3:$A$1000)*1,("Var_Fin"=[1]OUT_TransportEnergyCons!$B$3:$B$1000)*1,ISNUMBER(SEARCH("ELC",[1]OUT_TransportEnergyCons!$C$3:$C$1000))*1,[1]OUT_TransportEnergyCons!K$3:K$1000)</f>
        <v>8.7134688834067831E-4</v>
      </c>
      <c r="N1405" s="1" cm="1">
        <f t="array" ref="N1405">SUMPRODUCT(("T_B_c-BEVELC-S4"=[1]OUT_TransportEnergyCons!$A$3:$A$1000)*1,("Var_Fin"=[1]OUT_TransportEnergyCons!$B$3:$B$1000)*1,ISNUMBER(SEARCH("ELC",[1]OUT_TransportEnergyCons!$C$3:$C$1000))*1,[1]OUT_TransportEnergyCons!L$3:L$1000)</f>
        <v>7.1965317709911348E-4</v>
      </c>
      <c r="O1405" s="1" cm="1">
        <f t="array" ref="O1405">SUMPRODUCT(("T_B_c-BEVELC-S4"=[1]OUT_TransportEnergyCons!$A$3:$A$1000)*1,("Var_Fin"=[1]OUT_TransportEnergyCons!$B$3:$B$1000)*1,ISNUMBER(SEARCH("ELC",[1]OUT_TransportEnergyCons!$C$3:$C$1000))*1,[1]OUT_TransportEnergyCons!M$3:M$1000)</f>
        <v>9.5650967667768841E-4</v>
      </c>
      <c r="P1405" s="1" cm="1">
        <f t="array" ref="P1405">SUMPRODUCT(("T_B_c-BEVELC-S4"=[1]OUT_TransportEnergyCons!$A$3:$A$1000)*1,("Var_Fin"=[1]OUT_TransportEnergyCons!$B$3:$B$1000)*1,ISNUMBER(SEARCH("ELC",[1]OUT_TransportEnergyCons!$C$3:$C$1000))*1,[1]OUT_TransportEnergyCons!N$3:N$1000)</f>
        <v>9.6098617907225522E-4</v>
      </c>
      <c r="Q1405" s="1" cm="1">
        <f t="array" ref="Q1405">SUMPRODUCT(("T_B_c-BEVELC-S4"=[1]OUT_TransportEnergyCons!$A$3:$A$1000)*1,("Var_Fin"=[1]OUT_TransportEnergyCons!$B$3:$B$1000)*1,ISNUMBER(SEARCH("ELC",[1]OUT_TransportEnergyCons!$C$3:$C$1000))*1,[1]OUT_TransportEnergyCons!O$3:O$1000)</f>
        <v>1.4827405351884001E-3</v>
      </c>
      <c r="S1405" s="3"/>
    </row>
    <row r="1406" spans="2:19" x14ac:dyDescent="0.5">
      <c r="B1406" s="5" t="str">
        <f t="shared" si="1571"/>
        <v>SPS1</v>
      </c>
      <c r="C1406" s="5" t="str">
        <f t="shared" si="1572"/>
        <v>CH</v>
      </c>
      <c r="D1406" t="s">
        <v>1401</v>
      </c>
      <c r="E1406" t="s">
        <v>8</v>
      </c>
      <c r="F1406" s="1">
        <f>SUM(F1407:F1410)</f>
        <v>0</v>
      </c>
      <c r="G1406" s="1">
        <f t="shared" ref="G1406" si="1573">SUM(G1407:G1410)</f>
        <v>0</v>
      </c>
      <c r="H1406" s="1">
        <f t="shared" ref="H1406" si="1574">SUM(H1407:H1410)</f>
        <v>0</v>
      </c>
      <c r="I1406" s="1">
        <f t="shared" ref="I1406" si="1575">SUM(I1407:I1410)</f>
        <v>9.2115709860856763E-4</v>
      </c>
      <c r="J1406" s="1">
        <f t="shared" ref="J1406" si="1576">SUM(J1407:J1410)</f>
        <v>1.6918772031062537E-3</v>
      </c>
      <c r="K1406" s="1">
        <f t="shared" ref="K1406" si="1577">SUM(K1407:K1410)</f>
        <v>1.8231339440715241E-3</v>
      </c>
      <c r="L1406" s="1">
        <f t="shared" ref="L1406:O1406" si="1578">SUM(L1407:L1410)</f>
        <v>1.8844720599316021E-3</v>
      </c>
      <c r="M1406" s="1">
        <f t="shared" si="1578"/>
        <v>1.6106642845263668E-3</v>
      </c>
      <c r="N1406" s="1">
        <f t="shared" si="1578"/>
        <v>1.7404743190447725E-3</v>
      </c>
      <c r="O1406" s="1">
        <f t="shared" si="1578"/>
        <v>1.5252094592226712E-3</v>
      </c>
      <c r="P1406" s="1">
        <f>SUM(P1407:P1410)</f>
        <v>1.5423596988079925E-3</v>
      </c>
      <c r="Q1406" s="1">
        <f>SUM(Q1407:Q1410)</f>
        <v>1.5666767219049418E-3</v>
      </c>
      <c r="S1406" s="3"/>
    </row>
    <row r="1407" spans="2:19" x14ac:dyDescent="0.5">
      <c r="B1407" s="5" t="str">
        <f t="shared" si="1571"/>
        <v>SPS1</v>
      </c>
      <c r="C1407" s="5" t="str">
        <f t="shared" si="1572"/>
        <v>CH</v>
      </c>
      <c r="D1407" t="s">
        <v>1402</v>
      </c>
      <c r="E1407" t="s">
        <v>8</v>
      </c>
      <c r="F1407" s="1" cm="1">
        <f t="array" ref="F1407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SUMPRODUCT(("T_B_c-FCLH2O-S1"=[1]OUT_TransportEnergyCons!$A$3:$A$1000)*1,("Var_Fin"=[1]OUT_TransportEnergyCons!$B$3:$B$1000)*1,ISNUMBER(SEARCH("H2",[1]OUT_TransportEnergyCons!$C$3:$C$1000))*1,[1]OUT_TransportEnergyCons!G$3:G$1000)</f>
        <v>1.5825236583628146E-4</v>
      </c>
      <c r="J1407" s="1" cm="1">
        <f t="array" ref="J1407">SUMPRODUCT(("T_B_c-FCLH2O-S1"=[1]OUT_TransportEnergyCons!$A$3:$A$1000)*1,("Var_Fin"=[1]OUT_TransportEnergyCons!$B$3:$B$1000)*1,ISNUMBER(SEARCH("H2",[1]OUT_TransportEnergyCons!$C$3:$C$1000))*1,[1]OUT_TransportEnergyCons!H$3:H$1000)</f>
        <v>2.3540584178502569E-4</v>
      </c>
      <c r="K1407" s="1" cm="1">
        <f t="array" ref="K1407">SUMPRODUCT(("T_B_c-FCLH2O-S1"=[1]OUT_TransportEnergyCons!$A$3:$A$1000)*1,("Var_Fin"=[1]OUT_TransportEnergyCons!$B$3:$B$1000)*1,ISNUMBER(SEARCH("H2",[1]OUT_TransportEnergyCons!$C$3:$C$1000))*1,[1]OUT_TransportEnergyCons!I$3:I$1000)</f>
        <v>3.2165267087223598E-4</v>
      </c>
      <c r="L1407" s="1" cm="1">
        <f t="array" ref="L1407">SUMPRODUCT(("T_B_c-FCLH2O-S1"=[1]OUT_TransportEnergyCons!$A$3:$A$1000)*1,("Var_Fin"=[1]OUT_TransportEnergyCons!$B$3:$B$1000)*1,ISNUMBER(SEARCH("H2",[1]OUT_TransportEnergyCons!$C$3:$C$1000))*1,[1]OUT_TransportEnergyCons!J$3:J$1000)</f>
        <v>3.1316226076101442E-4</v>
      </c>
      <c r="M1407" s="1" cm="1">
        <f t="array" ref="M1407">SUMPRODUCT(("T_B_c-FCLH2O-S1"=[1]OUT_TransportEnergyCons!$A$3:$A$1000)*1,("Var_Fin"=[1]OUT_TransportEnergyCons!$B$3:$B$1000)*1,ISNUMBER(SEARCH("H2",[1]OUT_TransportEnergyCons!$C$3:$C$1000))*1,[1]OUT_TransportEnergyCons!K$3:K$1000)</f>
        <v>2.9783864991885363E-4</v>
      </c>
      <c r="N1407" s="1" cm="1">
        <f t="array" ref="N1407">SUMPRODUCT(("T_B_c-FCLH2O-S1"=[1]OUT_TransportEnergyCons!$A$3:$A$1000)*1,("Var_Fin"=[1]OUT_TransportEnergyCons!$B$3:$B$1000)*1,ISNUMBER(SEARCH("H2",[1]OUT_TransportEnergyCons!$C$3:$C$1000))*1,[1]OUT_TransportEnergyCons!L$3:L$1000)</f>
        <v>2.8130211326196972E-4</v>
      </c>
      <c r="O1407" s="1" cm="1">
        <f t="array" ref="O1407">SUMPRODUCT(("T_B_c-FCLH2O-S1"=[1]OUT_TransportEnergyCons!$A$3:$A$1000)*1,("Var_Fin"=[1]OUT_TransportEnergyCons!$B$3:$B$1000)*1,ISNUMBER(SEARCH("H2",[1]OUT_TransportEnergyCons!$C$3:$C$1000))*1,[1]OUT_TransportEnergyCons!M$3:M$1000)</f>
        <v>2.7710118373613007E-4</v>
      </c>
      <c r="P1407" s="1" cm="1">
        <f t="array" ref="P1407">SUMPRODUCT(("T_B_c-FCLH2O-S1"=[1]OUT_TransportEnergyCons!$A$3:$A$1000)*1,("Var_Fin"=[1]OUT_TransportEnergyCons!$B$3:$B$1000)*1,ISNUMBER(SEARCH("H2",[1]OUT_TransportEnergyCons!$C$3:$C$1000))*1,[1]OUT_TransportEnergyCons!N$3:N$1000)</f>
        <v>2.7536721112081099E-4</v>
      </c>
      <c r="Q1407" s="1" cm="1">
        <f t="array" ref="Q1407">SUMPRODUCT(("T_B_c-FCLH2O-S1"=[1]OUT_TransportEnergyCons!$A$3:$A$1000)*1,("Var_Fin"=[1]OUT_TransportEnergyCons!$B$3:$B$1000)*1,ISNUMBER(SEARCH("H2",[1]OUT_TransportEnergyCons!$C$3:$C$1000))*1,[1]OUT_TransportEnergyCons!O$3:O$1000)</f>
        <v>2.8137659460151842E-4</v>
      </c>
      <c r="S1407" s="3"/>
    </row>
    <row r="1408" spans="2:19" x14ac:dyDescent="0.5">
      <c r="B1408" s="5" t="str">
        <f t="shared" si="1571"/>
        <v>SPS1</v>
      </c>
      <c r="C1408" s="5" t="str">
        <f t="shared" si="1572"/>
        <v>CH</v>
      </c>
      <c r="D1408" t="s">
        <v>1403</v>
      </c>
      <c r="E1408" t="s">
        <v>8</v>
      </c>
      <c r="F1408" s="1" cm="1">
        <f t="array" ref="F1408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SUMPRODUCT(("T_B_c-FCLH2O-S2"=[1]OUT_TransportEnergyCons!$A$3:$A$1000)*1,("Var_Fin"=[1]OUT_TransportEnergyCons!$B$3:$B$1000)*1,ISNUMBER(SEARCH("H2",[1]OUT_TransportEnergyCons!$C$3:$C$1000))*1,[1]OUT_TransportEnergyCons!G$3:G$1000)</f>
        <v>2.1275380588877226E-4</v>
      </c>
      <c r="J1408" s="1" cm="1">
        <f t="array" ref="J1408">SUMPRODUCT(("T_B_c-FCLH2O-S2"=[1]OUT_TransportEnergyCons!$A$3:$A$1000)*1,("Var_Fin"=[1]OUT_TransportEnergyCons!$B$3:$B$1000)*1,ISNUMBER(SEARCH("H2",[1]OUT_TransportEnergyCons!$C$3:$C$1000))*1,[1]OUT_TransportEnergyCons!H$3:H$1000)</f>
        <v>3.5490084964074926E-4</v>
      </c>
      <c r="K1408" s="1" cm="1">
        <f t="array" ref="K1408">SUMPRODUCT(("T_B_c-FCLH2O-S2"=[1]OUT_TransportEnergyCons!$A$3:$A$1000)*1,("Var_Fin"=[1]OUT_TransportEnergyCons!$B$3:$B$1000)*1,ISNUMBER(SEARCH("H2",[1]OUT_TransportEnergyCons!$C$3:$C$1000))*1,[1]OUT_TransportEnergyCons!I$3:I$1000)</f>
        <v>4.7199727802859834E-4</v>
      </c>
      <c r="L1408" s="1" cm="1">
        <f t="array" ref="L1408">SUMPRODUCT(("T_B_c-FCLH2O-S2"=[1]OUT_TransportEnergyCons!$A$3:$A$1000)*1,("Var_Fin"=[1]OUT_TransportEnergyCons!$B$3:$B$1000)*1,ISNUMBER(SEARCH("H2",[1]OUT_TransportEnergyCons!$C$3:$C$1000))*1,[1]OUT_TransportEnergyCons!J$3:J$1000)</f>
        <v>4.4185182216326368E-4</v>
      </c>
      <c r="M1408" s="1" cm="1">
        <f t="array" ref="M1408">SUMPRODUCT(("T_B_c-FCLH2O-S2"=[1]OUT_TransportEnergyCons!$A$3:$A$1000)*1,("Var_Fin"=[1]OUT_TransportEnergyCons!$B$3:$B$1000)*1,ISNUMBER(SEARCH("H2",[1]OUT_TransportEnergyCons!$C$3:$C$1000))*1,[1]OUT_TransportEnergyCons!K$3:K$1000)</f>
        <v>4.184226910691496E-4</v>
      </c>
      <c r="N1408" s="1" cm="1">
        <f t="array" ref="N1408">SUMPRODUCT(("T_B_c-FCLH2O-S2"=[1]OUT_TransportEnergyCons!$A$3:$A$1000)*1,("Var_Fin"=[1]OUT_TransportEnergyCons!$B$3:$B$1000)*1,ISNUMBER(SEARCH("H2",[1]OUT_TransportEnergyCons!$C$3:$C$1000))*1,[1]OUT_TransportEnergyCons!L$3:L$1000)</f>
        <v>4.0615091374299845E-4</v>
      </c>
      <c r="O1408" s="1" cm="1">
        <f t="array" ref="O1408">SUMPRODUCT(("T_B_c-FCLH2O-S2"=[1]OUT_TransportEnergyCons!$A$3:$A$1000)*1,("Var_Fin"=[1]OUT_TransportEnergyCons!$B$3:$B$1000)*1,ISNUMBER(SEARCH("H2",[1]OUT_TransportEnergyCons!$C$3:$C$1000))*1,[1]OUT_TransportEnergyCons!M$3:M$1000)</f>
        <v>3.9806627720410579E-4</v>
      </c>
      <c r="P1408" s="1" cm="1">
        <f t="array" ref="P1408">SUMPRODUCT(("T_B_c-FCLH2O-S2"=[1]OUT_TransportEnergyCons!$A$3:$A$1000)*1,("Var_Fin"=[1]OUT_TransportEnergyCons!$B$3:$B$1000)*1,ISNUMBER(SEARCH("H2",[1]OUT_TransportEnergyCons!$C$3:$C$1000))*1,[1]OUT_TransportEnergyCons!N$3:N$1000)</f>
        <v>3.9565395545375733E-4</v>
      </c>
      <c r="Q1408" s="1" cm="1">
        <f t="array" ref="Q1408">SUMPRODUCT(("T_B_c-FCLH2O-S2"=[1]OUT_TransportEnergyCons!$A$3:$A$1000)*1,("Var_Fin"=[1]OUT_TransportEnergyCons!$B$3:$B$1000)*1,ISNUMBER(SEARCH("H2",[1]OUT_TransportEnergyCons!$C$3:$C$1000))*1,[1]OUT_TransportEnergyCons!O$3:O$1000)</f>
        <v>4.0622579017617777E-4</v>
      </c>
      <c r="S1408" s="3"/>
    </row>
    <row r="1409" spans="2:19" x14ac:dyDescent="0.5">
      <c r="B1409" s="5" t="str">
        <f t="shared" si="1571"/>
        <v>SPS1</v>
      </c>
      <c r="C1409" s="5" t="str">
        <f t="shared" si="1572"/>
        <v>CH</v>
      </c>
      <c r="D1409" t="s">
        <v>1404</v>
      </c>
      <c r="E1409" t="s">
        <v>8</v>
      </c>
      <c r="F1409" s="1" cm="1">
        <f t="array" ref="F1409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9" s="1" cm="1">
        <f t="array" ref="G1409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9" s="1" cm="1">
        <f t="array" ref="H1409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9" s="1" cm="1">
        <f t="array" ref="I1409">SUMPRODUCT(("T_B_c-FCLH2O-S3"=[1]OUT_TransportEnergyCons!$A$3:$A$1000)*1,("Var_Fin"=[1]OUT_TransportEnergyCons!$B$3:$B$1000)*1,ISNUMBER(SEARCH("H2",[1]OUT_TransportEnergyCons!$C$3:$C$1000))*1,[1]OUT_TransportEnergyCons!G$3:G$1000)</f>
        <v>2.5816354402910052E-4</v>
      </c>
      <c r="J1409" s="1" cm="1">
        <f t="array" ref="J1409">SUMPRODUCT(("T_B_c-FCLH2O-S3"=[1]OUT_TransportEnergyCons!$A$3:$A$1000)*1,("Var_Fin"=[1]OUT_TransportEnergyCons!$B$3:$B$1000)*1,ISNUMBER(SEARCH("H2",[1]OUT_TransportEnergyCons!$C$3:$C$1000))*1,[1]OUT_TransportEnergyCons!H$3:H$1000)</f>
        <v>5.0916456048861005E-4</v>
      </c>
      <c r="K1409" s="1" cm="1">
        <f t="array" ref="K1409">SUMPRODUCT(("T_B_c-FCLH2O-S3"=[1]OUT_TransportEnergyCons!$A$3:$A$1000)*1,("Var_Fin"=[1]OUT_TransportEnergyCons!$B$3:$B$1000)*1,ISNUMBER(SEARCH("H2",[1]OUT_TransportEnergyCons!$C$3:$C$1000))*1,[1]OUT_TransportEnergyCons!I$3:I$1000)</f>
        <v>4.5187253161497971E-4</v>
      </c>
      <c r="L1409" s="1" cm="1">
        <f t="array" ref="L1409">SUMPRODUCT(("T_B_c-FCLH2O-S3"=[1]OUT_TransportEnergyCons!$A$3:$A$1000)*1,("Var_Fin"=[1]OUT_TransportEnergyCons!$B$3:$B$1000)*1,ISNUMBER(SEARCH("H2",[1]OUT_TransportEnergyCons!$C$3:$C$1000))*1,[1]OUT_TransportEnergyCons!J$3:J$1000)</f>
        <v>6.0882149584247369E-4</v>
      </c>
      <c r="M1409" s="1" cm="1">
        <f t="array" ref="M1409">SUMPRODUCT(("T_B_c-FCLH2O-S3"=[1]OUT_TransportEnergyCons!$A$3:$A$1000)*1,("Var_Fin"=[1]OUT_TransportEnergyCons!$B$3:$B$1000)*1,ISNUMBER(SEARCH("H2",[1]OUT_TransportEnergyCons!$C$3:$C$1000))*1,[1]OUT_TransportEnergyCons!K$3:K$1000)</f>
        <v>3.8254598794526334E-4</v>
      </c>
      <c r="N1409" s="1" cm="1">
        <f t="array" ref="N1409">SUMPRODUCT(("T_B_c-FCLH2O-S3"=[1]OUT_TransportEnergyCons!$A$3:$A$1000)*1,("Var_Fin"=[1]OUT_TransportEnergyCons!$B$3:$B$1000)*1,ISNUMBER(SEARCH("H2",[1]OUT_TransportEnergyCons!$C$3:$C$1000))*1,[1]OUT_TransportEnergyCons!L$3:L$1000)</f>
        <v>5.5349414621667914E-4</v>
      </c>
      <c r="O1409" s="1" cm="1">
        <f t="array" ref="O1409">SUMPRODUCT(("T_B_c-FCLH2O-S3"=[1]OUT_TransportEnergyCons!$A$3:$A$1000)*1,("Var_Fin"=[1]OUT_TransportEnergyCons!$B$3:$B$1000)*1,ISNUMBER(SEARCH("H2",[1]OUT_TransportEnergyCons!$C$3:$C$1000))*1,[1]OUT_TransportEnergyCons!M$3:M$1000)</f>
        <v>3.7434258080501926E-4</v>
      </c>
      <c r="P1409" s="1" cm="1">
        <f t="array" ref="P1409">SUMPRODUCT(("T_B_c-FCLH2O-S3"=[1]OUT_TransportEnergyCons!$A$3:$A$1000)*1,("Var_Fin"=[1]OUT_TransportEnergyCons!$B$3:$B$1000)*1,ISNUMBER(SEARCH("H2",[1]OUT_TransportEnergyCons!$C$3:$C$1000))*1,[1]OUT_TransportEnergyCons!N$3:N$1000)</f>
        <v>3.7152890735400577E-4</v>
      </c>
      <c r="Q1409" s="1" cm="1">
        <f t="array" ref="Q1409">SUMPRODUCT(("T_B_c-FCLH2O-S3"=[1]OUT_TransportEnergyCons!$A$3:$A$1000)*1,("Var_Fin"=[1]OUT_TransportEnergyCons!$B$3:$B$1000)*1,ISNUMBER(SEARCH("H2",[1]OUT_TransportEnergyCons!$C$3:$C$1000))*1,[1]OUT_TransportEnergyCons!O$3:O$1000)</f>
        <v>3.7832948891893789E-4</v>
      </c>
      <c r="S1409" s="3"/>
    </row>
    <row r="1410" spans="2:19" x14ac:dyDescent="0.5">
      <c r="B1410" s="5" t="str">
        <f t="shared" si="1571"/>
        <v>SPS1</v>
      </c>
      <c r="C1410" s="5" t="str">
        <f t="shared" si="1572"/>
        <v>CH</v>
      </c>
      <c r="D1410" t="s">
        <v>1405</v>
      </c>
      <c r="E1410" t="s">
        <v>8</v>
      </c>
      <c r="F1410" s="1" cm="1">
        <f t="array" ref="F1410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10" s="1" cm="1">
        <f t="array" ref="G1410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10" s="1" cm="1">
        <f t="array" ref="H1410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10" s="1" cm="1">
        <f t="array" ref="I1410">SUMPRODUCT(("T_B_c-FCLH2O-S4"=[1]OUT_TransportEnergyCons!$A$3:$A$1000)*1,("Var_Fin"=[1]OUT_TransportEnergyCons!$B$3:$B$1000)*1,ISNUMBER(SEARCH("H2",[1]OUT_TransportEnergyCons!$C$3:$C$1000))*1,[1]OUT_TransportEnergyCons!G$3:G$1000)</f>
        <v>2.9198738285441333E-4</v>
      </c>
      <c r="J1410" s="1" cm="1">
        <f t="array" ref="J1410">SUMPRODUCT(("T_B_c-FCLH2O-S4"=[1]OUT_TransportEnergyCons!$A$3:$A$1000)*1,("Var_Fin"=[1]OUT_TransportEnergyCons!$B$3:$B$1000)*1,ISNUMBER(SEARCH("H2",[1]OUT_TransportEnergyCons!$C$3:$C$1000))*1,[1]OUT_TransportEnergyCons!H$3:H$1000)</f>
        <v>5.9240595119186871E-4</v>
      </c>
      <c r="K1410" s="1" cm="1">
        <f t="array" ref="K1410">SUMPRODUCT(("T_B_c-FCLH2O-S4"=[1]OUT_TransportEnergyCons!$A$3:$A$1000)*1,("Var_Fin"=[1]OUT_TransportEnergyCons!$B$3:$B$1000)*1,ISNUMBER(SEARCH("H2",[1]OUT_TransportEnergyCons!$C$3:$C$1000))*1,[1]OUT_TransportEnergyCons!I$3:I$1000)</f>
        <v>5.776114635557101E-4</v>
      </c>
      <c r="L1410" s="1" cm="1">
        <f t="array" ref="L1410">SUMPRODUCT(("T_B_c-FCLH2O-S4"=[1]OUT_TransportEnergyCons!$A$3:$A$1000)*1,("Var_Fin"=[1]OUT_TransportEnergyCons!$B$3:$B$1000)*1,ISNUMBER(SEARCH("H2",[1]OUT_TransportEnergyCons!$C$3:$C$1000))*1,[1]OUT_TransportEnergyCons!J$3:J$1000)</f>
        <v>5.2063648116485036E-4</v>
      </c>
      <c r="M1410" s="1" cm="1">
        <f t="array" ref="M1410">SUMPRODUCT(("T_B_c-FCLH2O-S4"=[1]OUT_TransportEnergyCons!$A$3:$A$1000)*1,("Var_Fin"=[1]OUT_TransportEnergyCons!$B$3:$B$1000)*1,ISNUMBER(SEARCH("H2",[1]OUT_TransportEnergyCons!$C$3:$C$1000))*1,[1]OUT_TransportEnergyCons!K$3:K$1000)</f>
        <v>5.118569555931004E-4</v>
      </c>
      <c r="N1410" s="1" cm="1">
        <f t="array" ref="N1410">SUMPRODUCT(("T_B_c-FCLH2O-S4"=[1]OUT_TransportEnergyCons!$A$3:$A$1000)*1,("Var_Fin"=[1]OUT_TransportEnergyCons!$B$3:$B$1000)*1,ISNUMBER(SEARCH("H2",[1]OUT_TransportEnergyCons!$C$3:$C$1000))*1,[1]OUT_TransportEnergyCons!L$3:L$1000)</f>
        <v>4.9952714582312521E-4</v>
      </c>
      <c r="O1410" s="1" cm="1">
        <f t="array" ref="O1410">SUMPRODUCT(("T_B_c-FCLH2O-S4"=[1]OUT_TransportEnergyCons!$A$3:$A$1000)*1,("Var_Fin"=[1]OUT_TransportEnergyCons!$B$3:$B$1000)*1,ISNUMBER(SEARCH("H2",[1]OUT_TransportEnergyCons!$C$3:$C$1000))*1,[1]OUT_TransportEnergyCons!M$3:M$1000)</f>
        <v>4.7569941747741608E-4</v>
      </c>
      <c r="P1410" s="1" cm="1">
        <f t="array" ref="P1410">SUMPRODUCT(("T_B_c-FCLH2O-S4"=[1]OUT_TransportEnergyCons!$A$3:$A$1000)*1,("Var_Fin"=[1]OUT_TransportEnergyCons!$B$3:$B$1000)*1,ISNUMBER(SEARCH("H2",[1]OUT_TransportEnergyCons!$C$3:$C$1000))*1,[1]OUT_TransportEnergyCons!N$3:N$1000)</f>
        <v>4.9980962487941843E-4</v>
      </c>
      <c r="Q1410" s="1" cm="1">
        <f t="array" ref="Q1410">SUMPRODUCT(("T_B_c-FCLH2O-S4"=[1]OUT_TransportEnergyCons!$A$3:$A$1000)*1,("Var_Fin"=[1]OUT_TransportEnergyCons!$B$3:$B$1000)*1,ISNUMBER(SEARCH("H2",[1]OUT_TransportEnergyCons!$C$3:$C$1000))*1,[1]OUT_TransportEnergyCons!O$3:O$1000)</f>
        <v>5.0074484820830764E-4</v>
      </c>
      <c r="S1410" s="3"/>
    </row>
    <row r="1411" spans="2:19" x14ac:dyDescent="0.5">
      <c r="B1411" s="5" t="str">
        <f t="shared" si="1571"/>
        <v>SPS1</v>
      </c>
      <c r="C1411" s="5" t="str">
        <f t="shared" si="1572"/>
        <v>CH</v>
      </c>
      <c r="D1411" t="s">
        <v>1406</v>
      </c>
      <c r="E1411" t="s">
        <v>8</v>
      </c>
      <c r="F1411" s="1">
        <f>SUM(F1416:F1424)</f>
        <v>0.81027423548191657</v>
      </c>
      <c r="G1411" s="1">
        <f t="shared" ref="G1411:K1411" si="1579">SUM(G1416:G1424)</f>
        <v>0.79943819854486209</v>
      </c>
      <c r="H1411" s="1">
        <f t="shared" si="1579"/>
        <v>0.23491993982669895</v>
      </c>
      <c r="I1411" s="1">
        <f t="shared" si="1579"/>
        <v>0.12952912831991409</v>
      </c>
      <c r="J1411" s="1">
        <f t="shared" si="1579"/>
        <v>4.1022609798508851E-2</v>
      </c>
      <c r="K1411" s="1">
        <f t="shared" si="1579"/>
        <v>5.5789236826373724E-3</v>
      </c>
      <c r="L1411" s="1">
        <f t="shared" ref="L1411:O1411" si="1580">SUM(L1416:L1424)</f>
        <v>5.8803386543416561E-3</v>
      </c>
      <c r="M1411" s="1">
        <f t="shared" si="1580"/>
        <v>1.6896619392091194E-3</v>
      </c>
      <c r="N1411" s="1">
        <f t="shared" si="1580"/>
        <v>0</v>
      </c>
      <c r="O1411" s="1">
        <f t="shared" si="1580"/>
        <v>0</v>
      </c>
      <c r="P1411" s="1">
        <f>SUM(P1416:P1424)</f>
        <v>0</v>
      </c>
      <c r="Q1411" s="1">
        <f>SUM(Q1416:Q1424)</f>
        <v>0</v>
      </c>
      <c r="S1411" s="3"/>
    </row>
    <row r="1412" spans="2:19" x14ac:dyDescent="0.5">
      <c r="B1412" s="5" t="str">
        <f t="shared" si="1571"/>
        <v>SPS1</v>
      </c>
      <c r="C1412" s="5" t="str">
        <f t="shared" si="1572"/>
        <v>CH</v>
      </c>
      <c r="D1412" t="s">
        <v>1407</v>
      </c>
      <c r="E1412" t="s">
        <v>8</v>
      </c>
      <c r="F1412" s="1">
        <f>IF(F1411-F1413&lt;0,0,F1411-F1413)</f>
        <v>0.79027081466848159</v>
      </c>
      <c r="G1412" s="1">
        <f t="shared" ref="G1412:K1412" si="1581">IF(G1411-G1413&lt;0,0,G1411-G1413)</f>
        <v>0.77860333999201525</v>
      </c>
      <c r="H1412" s="1">
        <f t="shared" si="1581"/>
        <v>0.22437618674712553</v>
      </c>
      <c r="I1412" s="1">
        <f t="shared" si="1581"/>
        <v>0.12246661140208992</v>
      </c>
      <c r="J1412" s="1">
        <f t="shared" si="1581"/>
        <v>3.7649969856434221E-2</v>
      </c>
      <c r="K1412" s="1">
        <f t="shared" si="1581"/>
        <v>4.6024177267015003E-3</v>
      </c>
      <c r="L1412" s="1">
        <f t="shared" ref="L1412:O1412" si="1582">IF(L1411-L1413&lt;0,0,L1411-L1413)</f>
        <v>3.3591558523416291E-3</v>
      </c>
      <c r="M1412" s="1">
        <f t="shared" si="1582"/>
        <v>0</v>
      </c>
      <c r="N1412" s="1">
        <f t="shared" si="1582"/>
        <v>0</v>
      </c>
      <c r="O1412" s="1">
        <f t="shared" si="1582"/>
        <v>0</v>
      </c>
      <c r="P1412" s="1">
        <f>IF(P1411-P1413&lt;0,0,P1411-P1413)</f>
        <v>0</v>
      </c>
      <c r="Q1412" s="1">
        <f>IF(Q1411-Q1413&lt;0,0,Q1411-Q1413)</f>
        <v>0</v>
      </c>
      <c r="S1412" s="3"/>
    </row>
    <row r="1413" spans="2:19" x14ac:dyDescent="0.5">
      <c r="B1413" s="5" t="str">
        <f t="shared" si="1571"/>
        <v>SPS1</v>
      </c>
      <c r="C1413" s="5" t="str">
        <f t="shared" si="1572"/>
        <v>CH</v>
      </c>
      <c r="D1413" t="s">
        <v>1408</v>
      </c>
      <c r="E1413" t="s">
        <v>8</v>
      </c>
      <c r="F1413" s="1">
        <f>SUM(F1414:F1415)</f>
        <v>2.0003420813435015E-2</v>
      </c>
      <c r="G1413" s="1">
        <f t="shared" ref="G1413" si="1583">SUM(G1414:G1415)</f>
        <v>2.0834858552846888E-2</v>
      </c>
      <c r="H1413" s="1">
        <f t="shared" ref="H1413" si="1584">SUM(H1414:H1415)</f>
        <v>1.0543753079573413E-2</v>
      </c>
      <c r="I1413" s="1">
        <f t="shared" ref="I1413" si="1585">SUM(I1414:I1415)</f>
        <v>7.0625169178241687E-3</v>
      </c>
      <c r="J1413" s="1">
        <f t="shared" ref="J1413" si="1586">SUM(J1414:J1415)</f>
        <v>3.3726399420746312E-3</v>
      </c>
      <c r="K1413" s="1">
        <f t="shared" ref="K1413" si="1587">SUM(K1414:K1415)</f>
        <v>9.7650595593587247E-4</v>
      </c>
      <c r="L1413" s="1">
        <f t="shared" ref="L1413:O1413" si="1588">SUM(L1414:L1415)</f>
        <v>2.521182802000027E-3</v>
      </c>
      <c r="M1413" s="1">
        <f t="shared" si="1588"/>
        <v>1.6907232803315233E-3</v>
      </c>
      <c r="N1413" s="1">
        <f t="shared" si="1588"/>
        <v>0</v>
      </c>
      <c r="O1413" s="1">
        <f t="shared" si="1588"/>
        <v>0</v>
      </c>
      <c r="P1413" s="1">
        <f>SUM(P1414:P1415)</f>
        <v>0</v>
      </c>
      <c r="Q1413" s="1">
        <f>SUM(Q1414:Q1415)</f>
        <v>0</v>
      </c>
      <c r="S1413" s="3"/>
    </row>
    <row r="1414" spans="2:19" x14ac:dyDescent="0.5">
      <c r="B1414" s="5" t="str">
        <f t="shared" si="1571"/>
        <v>SPS1</v>
      </c>
      <c r="C1414" s="5" t="str">
        <f t="shared" si="1572"/>
        <v>CH</v>
      </c>
      <c r="D1414" t="s">
        <v>1409</v>
      </c>
      <c r="E1414" t="s">
        <v>8</v>
      </c>
      <c r="F1414" s="1">
        <f>[1]Transport!B$26/SUM([1]Transport!B$22,[1]Transport!B$26)*F1411*(F$34+F$582)/(F$34+F$582+F$38)</f>
        <v>2.0003420813435015E-2</v>
      </c>
      <c r="G1414" s="1">
        <f>[1]Transport!C$26/SUM([1]Transport!C$22,[1]Transport!C$26)*G1411*(G$34+G$582)/(G$34+G$582+G$38)</f>
        <v>2.0834858552846888E-2</v>
      </c>
      <c r="H1414" s="1">
        <f>[1]Transport!D$26/SUM([1]Transport!D$22,[1]Transport!D$26)*H1411*(H$34+H$582)/(H$34+H$582+H$38)</f>
        <v>1.0543753079573413E-2</v>
      </c>
      <c r="I1414" s="1">
        <f>[1]Transport!E$26/SUM([1]Transport!E$22,[1]Transport!E$26)*I1411*(I$34+I$582)/(I$34+I$582+I$38)</f>
        <v>7.0625169178241687E-3</v>
      </c>
      <c r="J1414" s="1">
        <f>[1]Transport!F$26/SUM([1]Transport!F$22,[1]Transport!F$26)*J1411*(J$34+J$582)/(J$34+J$582+J$38)</f>
        <v>3.3620314860722022E-3</v>
      </c>
      <c r="K1414" s="1">
        <f>[1]Transport!G$26/SUM([1]Transport!G$22,[1]Transport!G$26)*K1411*(K$34+K$582)/(K$34+K$582+K$38)</f>
        <v>7.0673841143178409E-4</v>
      </c>
      <c r="L1414" s="1">
        <f>[1]Transport!H$26/SUM([1]Transport!H$22,[1]Transport!H$26)*L1411*(L$34+L$582)/(L$34+L$582+L$38)</f>
        <v>1.9206155897094109E-3</v>
      </c>
      <c r="M1414" s="1">
        <f>[1]Transport!I$26/SUM([1]Transport!I$22,[1]Transport!I$26)*M1411*(M$34+M$582)/(M$34+M$582+M$38)</f>
        <v>1.618504067015006E-3</v>
      </c>
      <c r="N1414" s="1">
        <f>[1]Transport!J$26/SUM([1]Transport!J$22,[1]Transport!J$26)*N1411*(N$34+N$582)/(N$34+N$582+N$38)</f>
        <v>0</v>
      </c>
      <c r="O1414" s="1">
        <f>[1]Transport!K$26/SUM([1]Transport!K$22,[1]Transport!K$26)*O1411*(O$34+O$582)/(O$34+O$582+O$38)</f>
        <v>0</v>
      </c>
      <c r="P1414" s="1">
        <f>[1]Transport!L$26/SUM([1]Transport!L$22,[1]Transport!L$26)*P1411*(P$34+P$582)/(P$34+P$582+P$38)</f>
        <v>0</v>
      </c>
      <c r="Q1414" s="1">
        <f>[1]Transport!M$26/SUM([1]Transport!M$22,[1]Transport!M$26)*Q1411*(Q$34+Q$582)/(Q$34+Q$582+Q$38)</f>
        <v>0</v>
      </c>
      <c r="S1414" s="3"/>
    </row>
    <row r="1415" spans="2:19" x14ac:dyDescent="0.5">
      <c r="B1415" s="5" t="str">
        <f t="shared" si="1571"/>
        <v>SPS1</v>
      </c>
      <c r="C1415" s="5" t="str">
        <f t="shared" si="1572"/>
        <v>CH</v>
      </c>
      <c r="D1415" t="s">
        <v>1410</v>
      </c>
      <c r="E1415" t="s">
        <v>8</v>
      </c>
      <c r="F1415" s="1">
        <f>(F$38+F$718)/([1]Transport!B$22+[1]Transport!B$26)*F1411</f>
        <v>0</v>
      </c>
      <c r="G1415" s="1">
        <f>(G$38+G$718)/([1]Transport!C$22+[1]Transport!C$26)*G1411</f>
        <v>0</v>
      </c>
      <c r="H1415" s="1">
        <f>(H$38+H$718)/([1]Transport!D$22+[1]Transport!D$26)*H1411</f>
        <v>0</v>
      </c>
      <c r="I1415" s="1">
        <f>(I$38+I$718)/([1]Transport!E$22+[1]Transport!E$26)*I1411</f>
        <v>0</v>
      </c>
      <c r="J1415" s="1">
        <f>(J$38+J$718)/([1]Transport!F$22+[1]Transport!F$26)*J1411</f>
        <v>1.0608456002429092E-5</v>
      </c>
      <c r="K1415" s="1">
        <f>(K$38+K$718)/([1]Transport!G$22+[1]Transport!G$26)*K1411</f>
        <v>2.6976754450408838E-4</v>
      </c>
      <c r="L1415" s="1">
        <f>(L$38+L$718)/([1]Transport!H$22+[1]Transport!H$26)*L1411</f>
        <v>6.0056721229061606E-4</v>
      </c>
      <c r="M1415" s="1">
        <f>(M$38+M$718)/([1]Transport!I$22+[1]Transport!I$26)*M1411</f>
        <v>7.2219213316517276E-5</v>
      </c>
      <c r="N1415" s="1">
        <f>(N$38+N$718)/([1]Transport!J$22+[1]Transport!J$26)*N1411</f>
        <v>0</v>
      </c>
      <c r="O1415" s="1">
        <f>(O$38+O$718)/([1]Transport!K$22+[1]Transport!K$26)*O1411</f>
        <v>0</v>
      </c>
      <c r="P1415" s="1">
        <f>(P$38+P$718)/([1]Transport!L$22+[1]Transport!L$26)*P1411</f>
        <v>0</v>
      </c>
      <c r="Q1415" s="1">
        <f>(Q$38+Q$718)/([1]Transport!M$22+[1]Transport!M$26)*Q1411</f>
        <v>0</v>
      </c>
      <c r="S1415" s="3"/>
    </row>
    <row r="1416" spans="2:19" x14ac:dyDescent="0.5">
      <c r="B1416" s="5" t="str">
        <f t="shared" si="1571"/>
        <v>SPS1</v>
      </c>
      <c r="C1416" s="5" t="str">
        <f t="shared" si="1572"/>
        <v>CH</v>
      </c>
      <c r="D1416" t="s">
        <v>1411</v>
      </c>
      <c r="E1416" t="s">
        <v>8</v>
      </c>
      <c r="F1416" s="1" cm="1">
        <f t="array" ref="F1416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SUMPRODUCT(("T_B_c-HYBDSL-S1"=[1]OUT_TransportEnergyCons!$A$3:$A$1000)*1,("Var_Fin"=[1]OUT_TransportEnergyCons!$B$3:$B$1000)*1,ISNUMBER(SEARCH("DSL",[1]OUT_TransportEnergyCons!$C$3:$C$1000))*1,[1]OUT_TransportEnergyCons!E$3:E$1000)</f>
        <v>0.13552807536179259</v>
      </c>
      <c r="H1416" s="1" cm="1">
        <f t="array" ref="H1416">SUMPRODUCT(("T_B_c-HYBDSL-S1"=[1]OUT_TransportEnergyCons!$A$3:$A$1000)*1,("Var_Fin"=[1]OUT_TransportEnergyCons!$B$3:$B$1000)*1,ISNUMBER(SEARCH("DSL",[1]OUT_TransportEnergyCons!$C$3:$C$1000))*1,[1]OUT_TransportEnergyCons!F$3:F$1000)</f>
        <v>0.10425402302773569</v>
      </c>
      <c r="I1416" s="1" cm="1">
        <f t="array" ref="I1416">SUMPRODUCT(("T_B_c-HYBDSL-S1"=[1]OUT_TransportEnergyCons!$A$3:$A$1000)*1,("Var_Fin"=[1]OUT_TransportEnergyCons!$B$3:$B$1000)*1,ISNUMBER(SEARCH("DSL",[1]OUT_TransportEnergyCons!$C$3:$C$1000))*1,[1]OUT_TransportEnergyCons!G$3:G$1000)</f>
        <v>4.7071868551516348E-4</v>
      </c>
      <c r="J1416" s="1" cm="1">
        <f t="array" ref="J1416">SUMPRODUCT(("T_B_c-HYBDSL-S1"=[1]OUT_TransportEnergyCons!$A$3:$A$1000)*1,("Var_Fin"=[1]OUT_TransportEnergyCons!$B$3:$B$1000)*1,ISNUMBER(SEARCH("DSL",[1]OUT_TransportEnergyCons!$C$3:$C$1000))*1,[1]OUT_TransportEnergyCons!H$3:H$1000)</f>
        <v>3.2924456521346199E-4</v>
      </c>
      <c r="K1416" s="1" cm="1">
        <f t="array" ref="K1416">SUMPRODUCT(("T_B_c-HYBDSL-S1"=[1]OUT_TransportEnergyCons!$A$3:$A$1000)*1,("Var_Fin"=[1]OUT_TransportEnergyCons!$B$3:$B$1000)*1,ISNUMBER(SEARCH("DSL",[1]OUT_TransportEnergyCons!$C$3:$C$1000))*1,[1]OUT_TransportEnergyCons!I$3:I$1000)</f>
        <v>3.0326527740385032E-4</v>
      </c>
      <c r="L1416" s="1" cm="1">
        <f t="array" ref="L1416">SUMPRODUCT(("T_B_c-HYBDSL-S1"=[1]OUT_TransportEnergyCons!$A$3:$A$1000)*1,("Var_Fin"=[1]OUT_TransportEnergyCons!$B$3:$B$1000)*1,ISNUMBER(SEARCH("DSL",[1]OUT_TransportEnergyCons!$C$3:$C$1000))*1,[1]OUT_TransportEnergyCons!J$3:J$1000)</f>
        <v>3.1611743092551937E-4</v>
      </c>
      <c r="M1416" s="1" cm="1">
        <f t="array" ref="M1416">SUMPRODUCT(("T_B_c-HYBDSL-S1"=[1]OUT_TransportEnergyCons!$A$3:$A$1000)*1,("Var_Fin"=[1]OUT_TransportEnergyCons!$B$3:$B$1000)*1,ISNUMBER(SEARCH("DSL",[1]OUT_TransportEnergyCons!$C$3:$C$1000))*1,[1]OUT_TransportEnergyCons!K$3:K$1000)</f>
        <v>2.4897363954340878E-4</v>
      </c>
      <c r="N1416" s="1" cm="1">
        <f t="array" ref="N1416">SUMPRODUCT(("T_B_c-HYBDSL-S1"=[1]OUT_TransportEnergyCons!$A$3:$A$1000)*1,("Var_Fin"=[1]OUT_TransportEnergyCons!$B$3:$B$1000)*1,ISNUMBER(SEARCH("DSL",[1]OUT_TransportEnergyCons!$C$3:$C$1000))*1,[1]OUT_TransportEnergyCons!L$3:L$1000)</f>
        <v>0</v>
      </c>
      <c r="O1416" s="1" cm="1">
        <f t="array" ref="O1416">SUMPRODUCT(("T_B_c-HYBDSL-S1"=[1]OUT_TransportEnergyCons!$A$3:$A$1000)*1,("Var_Fin"=[1]OUT_TransportEnergyCons!$B$3:$B$1000)*1,ISNUMBER(SEARCH("DSL",[1]OUT_TransportEnergyCons!$C$3:$C$1000))*1,[1]OUT_TransportEnergyCons!M$3:M$1000)</f>
        <v>0</v>
      </c>
      <c r="P1416" s="1" cm="1">
        <f t="array" ref="P1416">SUMPRODUCT(("T_B_c-HYBDSL-S1"=[1]OUT_TransportEnergyCons!$A$3:$A$1000)*1,("Var_Fin"=[1]OUT_TransportEnergyCons!$B$3:$B$1000)*1,ISNUMBER(SEARCH("DSL",[1]OUT_TransportEnergyCons!$C$3:$C$1000))*1,[1]OUT_TransportEnergyCons!N$3:N$1000)</f>
        <v>0</v>
      </c>
      <c r="Q1416" s="1" cm="1">
        <f t="array" ref="Q1416">SUMPRODUCT(("T_B_c-HYBDSL-S1"=[1]OUT_TransportEnergyCons!$A$3:$A$1000)*1,("Var_Fin"=[1]OUT_TransportEnergyCons!$B$3:$B$1000)*1,ISNUMBER(SEARCH("DSL",[1]OUT_TransportEnergyCons!$C$3:$C$1000))*1,[1]OUT_TransportEnergyCons!O$3:O$1000)</f>
        <v>0</v>
      </c>
      <c r="S1416" s="3"/>
    </row>
    <row r="1417" spans="2:19" x14ac:dyDescent="0.5">
      <c r="B1417" s="5" t="str">
        <f t="shared" si="1571"/>
        <v>SPS1</v>
      </c>
      <c r="C1417" s="5" t="str">
        <f t="shared" si="1572"/>
        <v>CH</v>
      </c>
      <c r="D1417" t="s">
        <v>1412</v>
      </c>
      <c r="E1417" t="s">
        <v>8</v>
      </c>
      <c r="F1417" s="1" cm="1">
        <f t="array" ref="F1417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SUMPRODUCT(("T_B_c-HYBDSL-S2"=[1]OUT_TransportEnergyCons!$A$3:$A$1000)*1,("Var_Fin"=[1]OUT_TransportEnergyCons!$B$3:$B$1000)*1,ISNUMBER(SEARCH("DSL",[1]OUT_TransportEnergyCons!$C$3:$C$1000))*1,[1]OUT_TransportEnergyCons!E$3:E$1000)</f>
        <v>1.0742881890729332E-3</v>
      </c>
      <c r="H1417" s="1" cm="1">
        <f t="array" ref="H1417">SUMPRODUCT(("T_B_c-HYBDSL-S2"=[1]OUT_TransportEnergyCons!$A$3:$A$1000)*1,("Var_Fin"=[1]OUT_TransportEnergyCons!$B$3:$B$1000)*1,ISNUMBER(SEARCH("DSL",[1]OUT_TransportEnergyCons!$C$3:$C$1000))*1,[1]OUT_TransportEnergyCons!F$3:F$1000)</f>
        <v>2.8962492107141298E-3</v>
      </c>
      <c r="I1417" s="1" cm="1">
        <f t="array" ref="I1417">SUMPRODUCT(("T_B_c-HYBDSL-S2"=[1]OUT_TransportEnergyCons!$A$3:$A$1000)*1,("Var_Fin"=[1]OUT_TransportEnergyCons!$B$3:$B$1000)*1,ISNUMBER(SEARCH("DSL",[1]OUT_TransportEnergyCons!$C$3:$C$1000))*1,[1]OUT_TransportEnergyCons!G$3:G$1000)</f>
        <v>3.1522044696017984E-3</v>
      </c>
      <c r="J1417" s="1" cm="1">
        <f t="array" ref="J1417">SUMPRODUCT(("T_B_c-HYBDSL-S2"=[1]OUT_TransportEnergyCons!$A$3:$A$1000)*1,("Var_Fin"=[1]OUT_TransportEnergyCons!$B$3:$B$1000)*1,ISNUMBER(SEARCH("DSL",[1]OUT_TransportEnergyCons!$C$3:$C$1000))*1,[1]OUT_TransportEnergyCons!H$3:H$1000)</f>
        <v>5.1096681884637771E-4</v>
      </c>
      <c r="K1417" s="1" cm="1">
        <f t="array" ref="K1417">SUMPRODUCT(("T_B_c-HYBDSL-S2"=[1]OUT_TransportEnergyCons!$A$3:$A$1000)*1,("Var_Fin"=[1]OUT_TransportEnergyCons!$B$3:$B$1000)*1,ISNUMBER(SEARCH("DSL",[1]OUT_TransportEnergyCons!$C$3:$C$1000))*1,[1]OUT_TransportEnergyCons!I$3:I$1000)</f>
        <v>4.7024094915297201E-4</v>
      </c>
      <c r="L1417" s="1" cm="1">
        <f t="array" ref="L1417">SUMPRODUCT(("T_B_c-HYBDSL-S2"=[1]OUT_TransportEnergyCons!$A$3:$A$1000)*1,("Var_Fin"=[1]OUT_TransportEnergyCons!$B$3:$B$1000)*1,ISNUMBER(SEARCH("DSL",[1]OUT_TransportEnergyCons!$C$3:$C$1000))*1,[1]OUT_TransportEnergyCons!J$3:J$1000)</f>
        <v>5.3422469728220021E-4</v>
      </c>
      <c r="M1417" s="1" cm="1">
        <f t="array" ref="M1417">SUMPRODUCT(("T_B_c-HYBDSL-S2"=[1]OUT_TransportEnergyCons!$A$3:$A$1000)*1,("Var_Fin"=[1]OUT_TransportEnergyCons!$B$3:$B$1000)*1,ISNUMBER(SEARCH("DSL",[1]OUT_TransportEnergyCons!$C$3:$C$1000))*1,[1]OUT_TransportEnergyCons!K$3:K$1000)</f>
        <v>3.9873844869854993E-4</v>
      </c>
      <c r="N1417" s="1" cm="1">
        <f t="array" ref="N1417">SUMPRODUCT(("T_B_c-HYBDSL-S2"=[1]OUT_TransportEnergyCons!$A$3:$A$1000)*1,("Var_Fin"=[1]OUT_TransportEnergyCons!$B$3:$B$1000)*1,ISNUMBER(SEARCH("DSL",[1]OUT_TransportEnergyCons!$C$3:$C$1000))*1,[1]OUT_TransportEnergyCons!L$3:L$1000)</f>
        <v>0</v>
      </c>
      <c r="O1417" s="1" cm="1">
        <f t="array" ref="O1417">SUMPRODUCT(("T_B_c-HYBDSL-S2"=[1]OUT_TransportEnergyCons!$A$3:$A$1000)*1,("Var_Fin"=[1]OUT_TransportEnergyCons!$B$3:$B$1000)*1,ISNUMBER(SEARCH("DSL",[1]OUT_TransportEnergyCons!$C$3:$C$1000))*1,[1]OUT_TransportEnergyCons!M$3:M$1000)</f>
        <v>0</v>
      </c>
      <c r="P1417" s="1" cm="1">
        <f t="array" ref="P1417">SUMPRODUCT(("T_B_c-HYBDSL-S2"=[1]OUT_TransportEnergyCons!$A$3:$A$1000)*1,("Var_Fin"=[1]OUT_TransportEnergyCons!$B$3:$B$1000)*1,ISNUMBER(SEARCH("DSL",[1]OUT_TransportEnergyCons!$C$3:$C$1000))*1,[1]OUT_TransportEnergyCons!N$3:N$1000)</f>
        <v>0</v>
      </c>
      <c r="Q1417" s="1" cm="1">
        <f t="array" ref="Q1417">SUMPRODUCT(("T_B_c-HYBDSL-S2"=[1]OUT_TransportEnergyCons!$A$3:$A$1000)*1,("Var_Fin"=[1]OUT_TransportEnergyCons!$B$3:$B$1000)*1,ISNUMBER(SEARCH("DSL",[1]OUT_TransportEnergyCons!$C$3:$C$1000))*1,[1]OUT_TransportEnergyCons!O$3:O$1000)</f>
        <v>0</v>
      </c>
      <c r="S1417" s="3"/>
    </row>
    <row r="1418" spans="2:19" x14ac:dyDescent="0.5">
      <c r="B1418" s="5" t="str">
        <f t="shared" si="1571"/>
        <v>SPS1</v>
      </c>
      <c r="C1418" s="5" t="str">
        <f t="shared" si="1572"/>
        <v>CH</v>
      </c>
      <c r="D1418" t="s">
        <v>1413</v>
      </c>
      <c r="E1418" t="s">
        <v>8</v>
      </c>
      <c r="F1418" s="1" cm="1">
        <f t="array" ref="F1418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8" s="1" cm="1">
        <f t="array" ref="G1418">SUMPRODUCT(("T_B_c-HYBDSL-S3"=[1]OUT_TransportEnergyCons!$A$3:$A$1000)*1,("Var_Fin"=[1]OUT_TransportEnergyCons!$B$3:$B$1000)*1,ISNUMBER(SEARCH("DSL",[1]OUT_TransportEnergyCons!$C$3:$C$1000))*1,[1]OUT_TransportEnergyCons!E$3:E$1000)</f>
        <v>6.8947350955189462E-4</v>
      </c>
      <c r="H1418" s="1" cm="1">
        <f t="array" ref="H1418">SUMPRODUCT(("T_B_c-HYBDSL-S3"=[1]OUT_TransportEnergyCons!$A$3:$A$1000)*1,("Var_Fin"=[1]OUT_TransportEnergyCons!$B$3:$B$1000)*1,ISNUMBER(SEARCH("DSL",[1]OUT_TransportEnergyCons!$C$3:$C$1000))*1,[1]OUT_TransportEnergyCons!F$3:F$1000)</f>
        <v>1.9346926450431654E-2</v>
      </c>
      <c r="I1418" s="1" cm="1">
        <f t="array" ref="I1418">SUMPRODUCT(("T_B_c-HYBDSL-S3"=[1]OUT_TransportEnergyCons!$A$3:$A$1000)*1,("Var_Fin"=[1]OUT_TransportEnergyCons!$B$3:$B$1000)*1,ISNUMBER(SEARCH("DSL",[1]OUT_TransportEnergyCons!$C$3:$C$1000))*1,[1]OUT_TransportEnergyCons!G$3:G$1000)</f>
        <v>2.6866073425319797E-2</v>
      </c>
      <c r="J1418" s="1" cm="1">
        <f t="array" ref="J1418">SUMPRODUCT(("T_B_c-HYBDSL-S3"=[1]OUT_TransportEnergyCons!$A$3:$A$1000)*1,("Var_Fin"=[1]OUT_TransportEnergyCons!$B$3:$B$1000)*1,ISNUMBER(SEARCH("DSL",[1]OUT_TransportEnergyCons!$C$3:$C$1000))*1,[1]OUT_TransportEnergyCons!H$3:H$1000)</f>
        <v>1.5819164436057657E-3</v>
      </c>
      <c r="K1418" s="1" cm="1">
        <f t="array" ref="K1418">SUMPRODUCT(("T_B_c-HYBDSL-S3"=[1]OUT_TransportEnergyCons!$A$3:$A$1000)*1,("Var_Fin"=[1]OUT_TransportEnergyCons!$B$3:$B$1000)*1,ISNUMBER(SEARCH("DSL",[1]OUT_TransportEnergyCons!$C$3:$C$1000))*1,[1]OUT_TransportEnergyCons!I$3:I$1000)</f>
        <v>6.0371604819427313E-4</v>
      </c>
      <c r="L1418" s="1" cm="1">
        <f t="array" ref="L1418">SUMPRODUCT(("T_B_c-HYBDSL-S3"=[1]OUT_TransportEnergyCons!$A$3:$A$1000)*1,("Var_Fin"=[1]OUT_TransportEnergyCons!$B$3:$B$1000)*1,ISNUMBER(SEARCH("DSL",[1]OUT_TransportEnergyCons!$C$3:$C$1000))*1,[1]OUT_TransportEnergyCons!J$3:J$1000)</f>
        <v>7.9179527610359624E-4</v>
      </c>
      <c r="M1418" s="1" cm="1">
        <f t="array" ref="M1418">SUMPRODUCT(("T_B_c-HYBDSL-S3"=[1]OUT_TransportEnergyCons!$A$3:$A$1000)*1,("Var_Fin"=[1]OUT_TransportEnergyCons!$B$3:$B$1000)*1,ISNUMBER(SEARCH("DSL",[1]OUT_TransportEnergyCons!$C$3:$C$1000))*1,[1]OUT_TransportEnergyCons!K$3:K$1000)</f>
        <v>0</v>
      </c>
      <c r="N1418" s="1" cm="1">
        <f t="array" ref="N1418">SUMPRODUCT(("T_B_c-HYBDSL-S3"=[1]OUT_TransportEnergyCons!$A$3:$A$1000)*1,("Var_Fin"=[1]OUT_TransportEnergyCons!$B$3:$B$1000)*1,ISNUMBER(SEARCH("DSL",[1]OUT_TransportEnergyCons!$C$3:$C$1000))*1,[1]OUT_TransportEnergyCons!L$3:L$1000)</f>
        <v>0</v>
      </c>
      <c r="O1418" s="1" cm="1">
        <f t="array" ref="O1418">SUMPRODUCT(("T_B_c-HYBDSL-S3"=[1]OUT_TransportEnergyCons!$A$3:$A$1000)*1,("Var_Fin"=[1]OUT_TransportEnergyCons!$B$3:$B$1000)*1,ISNUMBER(SEARCH("DSL",[1]OUT_TransportEnergyCons!$C$3:$C$1000))*1,[1]OUT_TransportEnergyCons!M$3:M$1000)</f>
        <v>0</v>
      </c>
      <c r="P1418" s="1" cm="1">
        <f t="array" ref="P1418">SUMPRODUCT(("T_B_c-HYBDSL-S3"=[1]OUT_TransportEnergyCons!$A$3:$A$1000)*1,("Var_Fin"=[1]OUT_TransportEnergyCons!$B$3:$B$1000)*1,ISNUMBER(SEARCH("DSL",[1]OUT_TransportEnergyCons!$C$3:$C$1000))*1,[1]OUT_TransportEnergyCons!N$3:N$1000)</f>
        <v>0</v>
      </c>
      <c r="Q1418" s="1" cm="1">
        <f t="array" ref="Q1418">SUMPRODUCT(("T_B_c-HYBDSL-S3"=[1]OUT_TransportEnergyCons!$A$3:$A$1000)*1,("Var_Fin"=[1]OUT_TransportEnergyCons!$B$3:$B$1000)*1,ISNUMBER(SEARCH("DSL",[1]OUT_TransportEnergyCons!$C$3:$C$1000))*1,[1]OUT_TransportEnergyCons!O$3:O$1000)</f>
        <v>0</v>
      </c>
      <c r="S1418" s="3"/>
    </row>
    <row r="1419" spans="2:19" x14ac:dyDescent="0.5">
      <c r="B1419" s="5" t="str">
        <f t="shared" si="1571"/>
        <v>SPS1</v>
      </c>
      <c r="C1419" s="5" t="str">
        <f t="shared" si="1572"/>
        <v>CH</v>
      </c>
      <c r="D1419" t="s">
        <v>1414</v>
      </c>
      <c r="E1419" t="s">
        <v>8</v>
      </c>
      <c r="F1419" s="1" cm="1">
        <f t="array" ref="F1419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9" s="1" cm="1">
        <f t="array" ref="G1419">SUMPRODUCT(("T_B_c-HYBDSL-S4"=[1]OUT_TransportEnergyCons!$A$3:$A$1000)*1,("Var_Fin"=[1]OUT_TransportEnergyCons!$B$3:$B$1000)*1,ISNUMBER(SEARCH("DSL",[1]OUT_TransportEnergyCons!$C$3:$C$1000))*1,[1]OUT_TransportEnergyCons!E$3:E$1000)</f>
        <v>3.5379840990632959E-4</v>
      </c>
      <c r="H1419" s="1" cm="1">
        <f t="array" ref="H1419">SUMPRODUCT(("T_B_c-HYBDSL-S4"=[1]OUT_TransportEnergyCons!$A$3:$A$1000)*1,("Var_Fin"=[1]OUT_TransportEnergyCons!$B$3:$B$1000)*1,ISNUMBER(SEARCH("DSL",[1]OUT_TransportEnergyCons!$C$3:$C$1000))*1,[1]OUT_TransportEnergyCons!F$3:F$1000)</f>
        <v>5.8592429127218425E-4</v>
      </c>
      <c r="I1419" s="1" cm="1">
        <f t="array" ref="I1419">SUMPRODUCT(("T_B_c-HYBDSL-S4"=[1]OUT_TransportEnergyCons!$A$3:$A$1000)*1,("Var_Fin"=[1]OUT_TransportEnergyCons!$B$3:$B$1000)*1,ISNUMBER(SEARCH("DSL",[1]OUT_TransportEnergyCons!$C$3:$C$1000))*1,[1]OUT_TransportEnergyCons!G$3:G$1000)</f>
        <v>1.1864936495314051E-3</v>
      </c>
      <c r="J1419" s="1" cm="1">
        <f t="array" ref="J1419">SUMPRODUCT(("T_B_c-HYBDSL-S4"=[1]OUT_TransportEnergyCons!$A$3:$A$1000)*1,("Var_Fin"=[1]OUT_TransportEnergyCons!$B$3:$B$1000)*1,ISNUMBER(SEARCH("DSL",[1]OUT_TransportEnergyCons!$C$3:$C$1000))*1,[1]OUT_TransportEnergyCons!H$3:H$1000)</f>
        <v>7.5680554211550238E-4</v>
      </c>
      <c r="K1419" s="1" cm="1">
        <f t="array" ref="K1419">SUMPRODUCT(("T_B_c-HYBDSL-S4"=[1]OUT_TransportEnergyCons!$A$3:$A$1000)*1,("Var_Fin"=[1]OUT_TransportEnergyCons!$B$3:$B$1000)*1,ISNUMBER(SEARCH("DSL",[1]OUT_TransportEnergyCons!$C$3:$C$1000))*1,[1]OUT_TransportEnergyCons!I$3:I$1000)</f>
        <v>7.3505598689615917E-4</v>
      </c>
      <c r="L1419" s="1" cm="1">
        <f t="array" ref="L1419">SUMPRODUCT(("T_B_c-HYBDSL-S4"=[1]OUT_TransportEnergyCons!$A$3:$A$1000)*1,("Var_Fin"=[1]OUT_TransportEnergyCons!$B$3:$B$1000)*1,ISNUMBER(SEARCH("DSL",[1]OUT_TransportEnergyCons!$C$3:$C$1000))*1,[1]OUT_TransportEnergyCons!J$3:J$1000)</f>
        <v>6.6959438641420318E-4</v>
      </c>
      <c r="M1419" s="1" cm="1">
        <f t="array" ref="M1419">SUMPRODUCT(("T_B_c-HYBDSL-S4"=[1]OUT_TransportEnergyCons!$A$3:$A$1000)*1,("Var_Fin"=[1]OUT_TransportEnergyCons!$B$3:$B$1000)*1,ISNUMBER(SEARCH("DSL",[1]OUT_TransportEnergyCons!$C$3:$C$1000))*1,[1]OUT_TransportEnergyCons!K$3:K$1000)</f>
        <v>0</v>
      </c>
      <c r="N1419" s="1" cm="1">
        <f t="array" ref="N1419">SUMPRODUCT(("T_B_c-HYBDSL-S4"=[1]OUT_TransportEnergyCons!$A$3:$A$1000)*1,("Var_Fin"=[1]OUT_TransportEnergyCons!$B$3:$B$1000)*1,ISNUMBER(SEARCH("DSL",[1]OUT_TransportEnergyCons!$C$3:$C$1000))*1,[1]OUT_TransportEnergyCons!L$3:L$1000)</f>
        <v>0</v>
      </c>
      <c r="O1419" s="1" cm="1">
        <f t="array" ref="O1419">SUMPRODUCT(("T_B_c-HYBDSL-S4"=[1]OUT_TransportEnergyCons!$A$3:$A$1000)*1,("Var_Fin"=[1]OUT_TransportEnergyCons!$B$3:$B$1000)*1,ISNUMBER(SEARCH("DSL",[1]OUT_TransportEnergyCons!$C$3:$C$1000))*1,[1]OUT_TransportEnergyCons!M$3:M$1000)</f>
        <v>0</v>
      </c>
      <c r="P1419" s="1" cm="1">
        <f t="array" ref="P1419">SUMPRODUCT(("T_B_c-HYBDSL-S4"=[1]OUT_TransportEnergyCons!$A$3:$A$1000)*1,("Var_Fin"=[1]OUT_TransportEnergyCons!$B$3:$B$1000)*1,ISNUMBER(SEARCH("DSL",[1]OUT_TransportEnergyCons!$C$3:$C$1000))*1,[1]OUT_TransportEnergyCons!N$3:N$1000)</f>
        <v>0</v>
      </c>
      <c r="Q1419" s="1" cm="1">
        <f t="array" ref="Q1419">SUMPRODUCT(("T_B_c-HYBDSL-S4"=[1]OUT_TransportEnergyCons!$A$3:$A$1000)*1,("Var_Fin"=[1]OUT_TransportEnergyCons!$B$3:$B$1000)*1,ISNUMBER(SEARCH("DSL",[1]OUT_TransportEnergyCons!$C$3:$C$1000))*1,[1]OUT_TransportEnergyCons!O$3:O$1000)</f>
        <v>0</v>
      </c>
      <c r="S1419" s="3"/>
    </row>
    <row r="1420" spans="2:19" x14ac:dyDescent="0.5">
      <c r="B1420" s="5" t="str">
        <f t="shared" si="1571"/>
        <v>SPS1</v>
      </c>
      <c r="C1420" s="5" t="str">
        <f t="shared" si="1572"/>
        <v>CH</v>
      </c>
      <c r="D1420" t="s">
        <v>2115</v>
      </c>
      <c r="E1420" t="s">
        <v>8</v>
      </c>
      <c r="F1420" s="1" cm="1">
        <f t="array" ref="F1420">SUMPRODUCT(("T_B_c-ICEDSLEXT"=[1]OUT_TransportEnergyCons!$A$3:$A$1000)*1,("Var_Fin"=[1]OUT_TransportEnergyCons!$B$3:$B$1000)*1,ISNUMBER(SEARCH("DSL",[1]OUT_TransportEnergyCons!$C$3:$C$1000))*1,[1]OUT_TransportEnergyCons!D$3:D$1000)</f>
        <v>6.0275961135293279E-3</v>
      </c>
      <c r="G1420" s="1" cm="1">
        <f t="array" ref="G1420">SUMPRODUCT(("T_B_c-ICEDSLEXT"=[1]OUT_TransportEnergyCons!$A$3:$A$1000)*1,("Var_Fin"=[1]OUT_TransportEnergyCons!$B$3:$B$1000)*1,ISNUMBER(SEARCH("DSL",[1]OUT_TransportEnergyCons!$C$3:$C$1000))*1,[1]OUT_TransportEnergyCons!E$3:E$1000)</f>
        <v>6.0169367714346953E-3</v>
      </c>
      <c r="H1420" s="1" cm="1">
        <f t="array" ref="H1420">SUMPRODUCT(("T_B_c-ICEDSLEXT"=[1]OUT_TransportEnergyCons!$A$3:$A$1000)*1,("Var_Fin"=[1]OUT_TransportEnergyCons!$B$3:$B$1000)*1,ISNUMBER(SEARCH("DSL",[1]OUT_TransportEnergyCons!$C$3:$C$1000))*1,[1]OUT_TransportEnergyCons!F$3:F$1000)</f>
        <v>5.9754279835991077E-3</v>
      </c>
      <c r="I1420" s="1" cm="1">
        <f t="array" ref="I1420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SUMPRODUCT(("T_B_c-ICEDSLEXT"=[1]OUT_TransportEnergyCons!$A$3:$A$1000)*1,("Var_Fin"=[1]OUT_TransportEnergyCons!$B$3:$B$1000)*1,ISNUMBER(SEARCH("DSL",[1]OUT_TransportEnergyCons!$C$3:$C$1000))*1,[1]OUT_TransportEnergyCons!H$3:H$1000)</f>
        <v>0</v>
      </c>
      <c r="K1420" s="1" cm="1">
        <f t="array" ref="K1420">SUMPRODUCT(("T_B_c-ICEDSLEXT"=[1]OUT_TransportEnergyCons!$A$3:$A$1000)*1,("Var_Fin"=[1]OUT_TransportEnergyCons!$B$3:$B$1000)*1,ISNUMBER(SEARCH("DSL",[1]OUT_TransportEnergyCons!$C$3:$C$1000))*1,[1]OUT_TransportEnergyCons!I$3:I$1000)</f>
        <v>0</v>
      </c>
      <c r="L1420" s="1" cm="1">
        <f t="array" ref="L1420">SUMPRODUCT(("T_B_c-ICEDSLEXT"=[1]OUT_TransportEnergyCons!$A$3:$A$1000)*1,("Var_Fin"=[1]OUT_TransportEnergyCons!$B$3:$B$1000)*1,ISNUMBER(SEARCH("DSL",[1]OUT_TransportEnergyCons!$C$3:$C$1000))*1,[1]OUT_TransportEnergyCons!J$3:J$1000)</f>
        <v>0</v>
      </c>
      <c r="M1420" s="1" cm="1">
        <f t="array" ref="M1420">SUMPRODUCT(("T_B_c-ICEDSLEXT"=[1]OUT_TransportEnergyCons!$A$3:$A$1000)*1,("Var_Fin"=[1]OUT_TransportEnergyCons!$B$3:$B$1000)*1,ISNUMBER(SEARCH("DSL",[1]OUT_TransportEnergyCons!$C$3:$C$1000))*1,[1]OUT_TransportEnergyCons!K$3:K$1000)</f>
        <v>0</v>
      </c>
      <c r="N1420" s="1" cm="1">
        <f t="array" ref="N1420">SUMPRODUCT(("T_B_c-ICEDSLEXT"=[1]OUT_TransportEnergyCons!$A$3:$A$1000)*1,("Var_Fin"=[1]OUT_TransportEnergyCons!$B$3:$B$1000)*1,ISNUMBER(SEARCH("DSL",[1]OUT_TransportEnergyCons!$C$3:$C$1000))*1,[1]OUT_TransportEnergyCons!L$3:L$1000)</f>
        <v>0</v>
      </c>
      <c r="O1420" s="1" cm="1">
        <f t="array" ref="O1420">SUMPRODUCT(("T_B_c-ICEDSLEXT"=[1]OUT_TransportEnergyCons!$A$3:$A$1000)*1,("Var_Fin"=[1]OUT_TransportEnergyCons!$B$3:$B$1000)*1,ISNUMBER(SEARCH("DSL",[1]OUT_TransportEnergyCons!$C$3:$C$1000))*1,[1]OUT_TransportEnergyCons!M$3:M$1000)</f>
        <v>0</v>
      </c>
      <c r="P1420" s="1" cm="1">
        <f t="array" ref="P1420">SUMPRODUCT(("T_B_c-ICEDSLEXT"=[1]OUT_TransportEnergyCons!$A$3:$A$1000)*1,("Var_Fin"=[1]OUT_TransportEnergyCons!$B$3:$B$1000)*1,ISNUMBER(SEARCH("DSL",[1]OUT_TransportEnergyCons!$C$3:$C$1000))*1,[1]OUT_TransportEnergyCons!N$3:N$1000)</f>
        <v>0</v>
      </c>
      <c r="Q1420" s="1" cm="1">
        <f t="array" ref="Q1420">SUMPRODUCT(("T_B_c-ICEDSLEXT"=[1]OUT_TransportEnergyCons!$A$3:$A$1000)*1,("Var_Fin"=[1]OUT_TransportEnergyCons!$B$3:$B$1000)*1,ISNUMBER(SEARCH("DSL",[1]OUT_TransportEnergyCons!$C$3:$C$1000))*1,[1]OUT_TransportEnergyCons!O$3:O$1000)</f>
        <v>0</v>
      </c>
      <c r="S1420" s="3"/>
    </row>
    <row r="1421" spans="2:19" x14ac:dyDescent="0.5">
      <c r="B1421" s="5" t="str">
        <f t="shared" si="1571"/>
        <v>SPS1</v>
      </c>
      <c r="C1421" s="5" t="str">
        <f t="shared" si="1572"/>
        <v>CH</v>
      </c>
      <c r="D1421" t="s">
        <v>1415</v>
      </c>
      <c r="E1421" t="s">
        <v>8</v>
      </c>
      <c r="F1421" s="1" cm="1">
        <f t="array" ref="F1421">SUMPRODUCT(("T_B_c-ICEDSL-S1"=[1]OUT_TransportEnergyCons!$A$3:$A$1000)*1,("Var_Fin"=[1]OUT_TransportEnergyCons!$B$3:$B$1000)*1,ISNUMBER(SEARCH("DSL",[1]OUT_TransportEnergyCons!$C$3:$C$1000))*1,[1]OUT_TransportEnergyCons!D$3:D$1000)</f>
        <v>0.11377932619172283</v>
      </c>
      <c r="G1421" s="1" cm="1">
        <f t="array" ref="G1421">SUMPRODUCT(("T_B_c-ICEDSL-S1"=[1]OUT_TransportEnergyCons!$A$3:$A$1000)*1,("Var_Fin"=[1]OUT_TransportEnergyCons!$B$3:$B$1000)*1,ISNUMBER(SEARCH("DSL",[1]OUT_TransportEnergyCons!$C$3:$C$1000))*1,[1]OUT_TransportEnergyCons!E$3:E$1000)</f>
        <v>0.13739763526041465</v>
      </c>
      <c r="H1421" s="1" cm="1">
        <f t="array" ref="H1421">SUMPRODUCT(("T_B_c-ICEDSL-S1"=[1]OUT_TransportEnergyCons!$A$3:$A$1000)*1,("Var_Fin"=[1]OUT_TransportEnergyCons!$B$3:$B$1000)*1,ISNUMBER(SEARCH("DSL",[1]OUT_TransportEnergyCons!$C$3:$C$1000))*1,[1]OUT_TransportEnergyCons!F$3:F$1000)</f>
        <v>9.749092675786308E-3</v>
      </c>
      <c r="I1421" s="1" cm="1">
        <f t="array" ref="I1421">SUMPRODUCT(("T_B_c-ICEDSL-S1"=[1]OUT_TransportEnergyCons!$A$3:$A$1000)*1,("Var_Fin"=[1]OUT_TransportEnergyCons!$B$3:$B$1000)*1,ISNUMBER(SEARCH("DSL",[1]OUT_TransportEnergyCons!$C$3:$C$1000))*1,[1]OUT_TransportEnergyCons!G$3:G$1000)</f>
        <v>1.6007068704957887E-3</v>
      </c>
      <c r="J1421" s="1" cm="1">
        <f t="array" ref="J1421">SUMPRODUCT(("T_B_c-ICEDSL-S1"=[1]OUT_TransportEnergyCons!$A$3:$A$1000)*1,("Var_Fin"=[1]OUT_TransportEnergyCons!$B$3:$B$1000)*1,ISNUMBER(SEARCH("DSL",[1]OUT_TransportEnergyCons!$C$3:$C$1000))*1,[1]OUT_TransportEnergyCons!H$3:H$1000)</f>
        <v>4.2765080611727418E-4</v>
      </c>
      <c r="K1421" s="1" cm="1">
        <f t="array" ref="K1421">SUMPRODUCT(("T_B_c-ICEDSL-S1"=[1]OUT_TransportEnergyCons!$A$3:$A$1000)*1,("Var_Fin"=[1]OUT_TransportEnergyCons!$B$3:$B$1000)*1,ISNUMBER(SEARCH("DSL",[1]OUT_TransportEnergyCons!$C$3:$C$1000))*1,[1]OUT_TransportEnergyCons!I$3:I$1000)</f>
        <v>3.8912813336403036E-4</v>
      </c>
      <c r="L1421" s="1" cm="1">
        <f t="array" ref="L1421">SUMPRODUCT(("T_B_c-ICEDSL-S1"=[1]OUT_TransportEnergyCons!$A$3:$A$1000)*1,("Var_Fin"=[1]OUT_TransportEnergyCons!$B$3:$B$1000)*1,ISNUMBER(SEARCH("DSL",[1]OUT_TransportEnergyCons!$C$3:$C$1000))*1,[1]OUT_TransportEnergyCons!J$3:J$1000)</f>
        <v>4.2343965838603662E-4</v>
      </c>
      <c r="M1421" s="1" cm="1">
        <f t="array" ref="M1421">SUMPRODUCT(("T_B_c-ICEDSL-S1"=[1]OUT_TransportEnergyCons!$A$3:$A$1000)*1,("Var_Fin"=[1]OUT_TransportEnergyCons!$B$3:$B$1000)*1,ISNUMBER(SEARCH("DSL",[1]OUT_TransportEnergyCons!$C$3:$C$1000))*1,[1]OUT_TransportEnergyCons!K$3:K$1000)</f>
        <v>3.3375976596994214E-4</v>
      </c>
      <c r="N1421" s="1" cm="1">
        <f t="array" ref="N1421">SUMPRODUCT(("T_B_c-ICEDSL-S1"=[1]OUT_TransportEnergyCons!$A$3:$A$1000)*1,("Var_Fin"=[1]OUT_TransportEnergyCons!$B$3:$B$1000)*1,ISNUMBER(SEARCH("DSL",[1]OUT_TransportEnergyCons!$C$3:$C$1000))*1,[1]OUT_TransportEnergyCons!L$3:L$1000)</f>
        <v>0</v>
      </c>
      <c r="O1421" s="1" cm="1">
        <f t="array" ref="O1421">SUMPRODUCT(("T_B_c-ICEDSL-S1"=[1]OUT_TransportEnergyCons!$A$3:$A$1000)*1,("Var_Fin"=[1]OUT_TransportEnergyCons!$B$3:$B$1000)*1,ISNUMBER(SEARCH("DSL",[1]OUT_TransportEnergyCons!$C$3:$C$1000))*1,[1]OUT_TransportEnergyCons!M$3:M$1000)</f>
        <v>0</v>
      </c>
      <c r="P1421" s="1" cm="1">
        <f t="array" ref="P1421">SUMPRODUCT(("T_B_c-ICEDSL-S1"=[1]OUT_TransportEnergyCons!$A$3:$A$1000)*1,("Var_Fin"=[1]OUT_TransportEnergyCons!$B$3:$B$1000)*1,ISNUMBER(SEARCH("DSL",[1]OUT_TransportEnergyCons!$C$3:$C$1000))*1,[1]OUT_TransportEnergyCons!N$3:N$1000)</f>
        <v>0</v>
      </c>
      <c r="Q1421" s="1" cm="1">
        <f t="array" ref="Q1421">SUMPRODUCT(("T_B_c-ICEDSL-S1"=[1]OUT_TransportEnergyCons!$A$3:$A$1000)*1,("Var_Fin"=[1]OUT_TransportEnergyCons!$B$3:$B$1000)*1,ISNUMBER(SEARCH("DSL",[1]OUT_TransportEnergyCons!$C$3:$C$1000))*1,[1]OUT_TransportEnergyCons!O$3:O$1000)</f>
        <v>0</v>
      </c>
      <c r="S1421" s="3"/>
    </row>
    <row r="1422" spans="2:19" x14ac:dyDescent="0.5">
      <c r="B1422" s="5" t="str">
        <f t="shared" si="1571"/>
        <v>SPS1</v>
      </c>
      <c r="C1422" s="5" t="str">
        <f t="shared" si="1572"/>
        <v>CH</v>
      </c>
      <c r="D1422" t="s">
        <v>1416</v>
      </c>
      <c r="E1422" t="s">
        <v>8</v>
      </c>
      <c r="F1422" s="1" cm="1">
        <f t="array" ref="F1422">SUMPRODUCT(("T_B_c-ICEDSL-S2"=[1]OUT_TransportEnergyCons!$A$3:$A$1000)*1,("Var_Fin"=[1]OUT_TransportEnergyCons!$B$3:$B$1000)*1,ISNUMBER(SEARCH("DSL",[1]OUT_TransportEnergyCons!$C$3:$C$1000))*1,[1]OUT_TransportEnergyCons!D$3:D$1000)</f>
        <v>0.51970179445922926</v>
      </c>
      <c r="G1422" s="1" cm="1">
        <f t="array" ref="G1422">SUMPRODUCT(("T_B_c-ICEDSL-S2"=[1]OUT_TransportEnergyCons!$A$3:$A$1000)*1,("Var_Fin"=[1]OUT_TransportEnergyCons!$B$3:$B$1000)*1,ISNUMBER(SEARCH("DSL",[1]OUT_TransportEnergyCons!$C$3:$C$1000))*1,[1]OUT_TransportEnergyCons!E$3:E$1000)</f>
        <v>0.3896495055524738</v>
      </c>
      <c r="H1422" s="1" cm="1">
        <f t="array" ref="H1422">SUMPRODUCT(("T_B_c-ICEDSL-S2"=[1]OUT_TransportEnergyCons!$A$3:$A$1000)*1,("Var_Fin"=[1]OUT_TransportEnergyCons!$B$3:$B$1000)*1,ISNUMBER(SEARCH("DSL",[1]OUT_TransportEnergyCons!$C$3:$C$1000))*1,[1]OUT_TransportEnergyCons!F$3:F$1000)</f>
        <v>3.8753100763999508E-2</v>
      </c>
      <c r="I1422" s="1" cm="1">
        <f t="array" ref="I1422">SUMPRODUCT(("T_B_c-ICEDSL-S2"=[1]OUT_TransportEnergyCons!$A$3:$A$1000)*1,("Var_Fin"=[1]OUT_TransportEnergyCons!$B$3:$B$1000)*1,ISNUMBER(SEARCH("DSL",[1]OUT_TransportEnergyCons!$C$3:$C$1000))*1,[1]OUT_TransportEnergyCons!G$3:G$1000)</f>
        <v>1.2948369596882E-2</v>
      </c>
      <c r="J1422" s="1" cm="1">
        <f t="array" ref="J1422">SUMPRODUCT(("T_B_c-ICEDSL-S2"=[1]OUT_TransportEnergyCons!$A$3:$A$1000)*1,("Var_Fin"=[1]OUT_TransportEnergyCons!$B$3:$B$1000)*1,ISNUMBER(SEARCH("DSL",[1]OUT_TransportEnergyCons!$C$3:$C$1000))*1,[1]OUT_TransportEnergyCons!H$3:H$1000)</f>
        <v>7.262846630701191E-4</v>
      </c>
      <c r="K1422" s="1" cm="1">
        <f t="array" ref="K1422">SUMPRODUCT(("T_B_c-ICEDSL-S2"=[1]OUT_TransportEnergyCons!$A$3:$A$1000)*1,("Var_Fin"=[1]OUT_TransportEnergyCons!$B$3:$B$1000)*1,ISNUMBER(SEARCH("DSL",[1]OUT_TransportEnergyCons!$C$3:$C$1000))*1,[1]OUT_TransportEnergyCons!I$3:I$1000)</f>
        <v>6.6278750927578471E-4</v>
      </c>
      <c r="L1422" s="1" cm="1">
        <f t="array" ref="L1422">SUMPRODUCT(("T_B_c-ICEDSL-S2"=[1]OUT_TransportEnergyCons!$A$3:$A$1000)*1,("Var_Fin"=[1]OUT_TransportEnergyCons!$B$3:$B$1000)*1,ISNUMBER(SEARCH("DSL",[1]OUT_TransportEnergyCons!$C$3:$C$1000))*1,[1]OUT_TransportEnergyCons!J$3:J$1000)</f>
        <v>8.9617590435761845E-4</v>
      </c>
      <c r="M1422" s="1" cm="1">
        <f t="array" ref="M1422">SUMPRODUCT(("T_B_c-ICEDSL-S2"=[1]OUT_TransportEnergyCons!$A$3:$A$1000)*1,("Var_Fin"=[1]OUT_TransportEnergyCons!$B$3:$B$1000)*1,ISNUMBER(SEARCH("DSL",[1]OUT_TransportEnergyCons!$C$3:$C$1000))*1,[1]OUT_TransportEnergyCons!K$3:K$1000)</f>
        <v>7.081900849972185E-4</v>
      </c>
      <c r="N1422" s="1" cm="1">
        <f t="array" ref="N1422">SUMPRODUCT(("T_B_c-ICEDSL-S2"=[1]OUT_TransportEnergyCons!$A$3:$A$1000)*1,("Var_Fin"=[1]OUT_TransportEnergyCons!$B$3:$B$1000)*1,ISNUMBER(SEARCH("DSL",[1]OUT_TransportEnergyCons!$C$3:$C$1000))*1,[1]OUT_TransportEnergyCons!L$3:L$1000)</f>
        <v>0</v>
      </c>
      <c r="O1422" s="1" cm="1">
        <f t="array" ref="O1422">SUMPRODUCT(("T_B_c-ICEDSL-S2"=[1]OUT_TransportEnergyCons!$A$3:$A$1000)*1,("Var_Fin"=[1]OUT_TransportEnergyCons!$B$3:$B$1000)*1,ISNUMBER(SEARCH("DSL",[1]OUT_TransportEnergyCons!$C$3:$C$1000))*1,[1]OUT_TransportEnergyCons!M$3:M$1000)</f>
        <v>0</v>
      </c>
      <c r="P1422" s="1" cm="1">
        <f t="array" ref="P1422">SUMPRODUCT(("T_B_c-ICEDSL-S2"=[1]OUT_TransportEnergyCons!$A$3:$A$1000)*1,("Var_Fin"=[1]OUT_TransportEnergyCons!$B$3:$B$1000)*1,ISNUMBER(SEARCH("DSL",[1]OUT_TransportEnergyCons!$C$3:$C$1000))*1,[1]OUT_TransportEnergyCons!N$3:N$1000)</f>
        <v>0</v>
      </c>
      <c r="Q1422" s="1" cm="1">
        <f t="array" ref="Q1422">SUMPRODUCT(("T_B_c-ICEDSL-S2"=[1]OUT_TransportEnergyCons!$A$3:$A$1000)*1,("Var_Fin"=[1]OUT_TransportEnergyCons!$B$3:$B$1000)*1,ISNUMBER(SEARCH("DSL",[1]OUT_TransportEnergyCons!$C$3:$C$1000))*1,[1]OUT_TransportEnergyCons!O$3:O$1000)</f>
        <v>0</v>
      </c>
      <c r="S1422" s="3"/>
    </row>
    <row r="1423" spans="2:19" x14ac:dyDescent="0.5">
      <c r="B1423" s="5" t="str">
        <f t="shared" si="1571"/>
        <v>SPS1</v>
      </c>
      <c r="C1423" s="5" t="str">
        <f t="shared" si="1572"/>
        <v>CH</v>
      </c>
      <c r="D1423" t="s">
        <v>1417</v>
      </c>
      <c r="E1423" t="s">
        <v>8</v>
      </c>
      <c r="F1423" s="1" cm="1">
        <f t="array" ref="F1423">SUMPRODUCT(("T_B_c-ICEDSL-S3"=[1]OUT_TransportEnergyCons!$A$3:$A$1000)*1,("Var_Fin"=[1]OUT_TransportEnergyCons!$B$3:$B$1000)*1,ISNUMBER(SEARCH("DSL",[1]OUT_TransportEnergyCons!$C$3:$C$1000))*1,[1]OUT_TransportEnergyCons!D$3:D$1000)</f>
        <v>0.15406643457305222</v>
      </c>
      <c r="G1423" s="1" cm="1">
        <f t="array" ref="G1423">SUMPRODUCT(("T_B_c-ICEDSL-S3"=[1]OUT_TransportEnergyCons!$A$3:$A$1000)*1,("Var_Fin"=[1]OUT_TransportEnergyCons!$B$3:$B$1000)*1,ISNUMBER(SEARCH("DSL",[1]OUT_TransportEnergyCons!$C$3:$C$1000))*1,[1]OUT_TransportEnergyCons!E$3:E$1000)</f>
        <v>0.12618517080577438</v>
      </c>
      <c r="H1423" s="1" cm="1">
        <f t="array" ref="H1423">SUMPRODUCT(("T_B_c-ICEDSL-S3"=[1]OUT_TransportEnergyCons!$A$3:$A$1000)*1,("Var_Fin"=[1]OUT_TransportEnergyCons!$B$3:$B$1000)*1,ISNUMBER(SEARCH("DSL",[1]OUT_TransportEnergyCons!$C$3:$C$1000))*1,[1]OUT_TransportEnergyCons!F$3:F$1000)</f>
        <v>5.0258845482508918E-2</v>
      </c>
      <c r="I1423" s="1" cm="1">
        <f t="array" ref="I1423">SUMPRODUCT(("T_B_c-ICEDSL-S3"=[1]OUT_TransportEnergyCons!$A$3:$A$1000)*1,("Var_Fin"=[1]OUT_TransportEnergyCons!$B$3:$B$1000)*1,ISNUMBER(SEARCH("DSL",[1]OUT_TransportEnergyCons!$C$3:$C$1000))*1,[1]OUT_TransportEnergyCons!G$3:G$1000)</f>
        <v>8.0523892906811556E-2</v>
      </c>
      <c r="J1423" s="1" cm="1">
        <f t="array" ref="J1423">SUMPRODUCT(("T_B_c-ICEDSL-S3"=[1]OUT_TransportEnergyCons!$A$3:$A$1000)*1,("Var_Fin"=[1]OUT_TransportEnergyCons!$B$3:$B$1000)*1,ISNUMBER(SEARCH("DSL",[1]OUT_TransportEnergyCons!$C$3:$C$1000))*1,[1]OUT_TransportEnergyCons!H$3:H$1000)</f>
        <v>3.5679691877518377E-2</v>
      </c>
      <c r="K1423" s="1" cm="1">
        <f t="array" ref="K1423">SUMPRODUCT(("T_B_c-ICEDSL-S3"=[1]OUT_TransportEnergyCons!$A$3:$A$1000)*1,("Var_Fin"=[1]OUT_TransportEnergyCons!$B$3:$B$1000)*1,ISNUMBER(SEARCH("DSL",[1]OUT_TransportEnergyCons!$C$3:$C$1000))*1,[1]OUT_TransportEnergyCons!I$3:I$1000)</f>
        <v>1.4361895228527705E-3</v>
      </c>
      <c r="L1423" s="1" cm="1">
        <f t="array" ref="L1423">SUMPRODUCT(("T_B_c-ICEDSL-S3"=[1]OUT_TransportEnergyCons!$A$3:$A$1000)*1,("Var_Fin"=[1]OUT_TransportEnergyCons!$B$3:$B$1000)*1,ISNUMBER(SEARCH("DSL",[1]OUT_TransportEnergyCons!$C$3:$C$1000))*1,[1]OUT_TransportEnergyCons!J$3:J$1000)</f>
        <v>1.3927580286632619E-3</v>
      </c>
      <c r="M1423" s="1" cm="1">
        <f t="array" ref="M1423">SUMPRODUCT(("T_B_c-ICEDSL-S3"=[1]OUT_TransportEnergyCons!$A$3:$A$1000)*1,("Var_Fin"=[1]OUT_TransportEnergyCons!$B$3:$B$1000)*1,ISNUMBER(SEARCH("DSL",[1]OUT_TransportEnergyCons!$C$3:$C$1000))*1,[1]OUT_TransportEnergyCons!K$3:K$1000)</f>
        <v>0</v>
      </c>
      <c r="N1423" s="1" cm="1">
        <f t="array" ref="N1423">SUMPRODUCT(("T_B_c-ICEDSL-S3"=[1]OUT_TransportEnergyCons!$A$3:$A$1000)*1,("Var_Fin"=[1]OUT_TransportEnergyCons!$B$3:$B$1000)*1,ISNUMBER(SEARCH("DSL",[1]OUT_TransportEnergyCons!$C$3:$C$1000))*1,[1]OUT_TransportEnergyCons!L$3:L$1000)</f>
        <v>0</v>
      </c>
      <c r="O1423" s="1" cm="1">
        <f t="array" ref="O1423">SUMPRODUCT(("T_B_c-ICEDSL-S3"=[1]OUT_TransportEnergyCons!$A$3:$A$1000)*1,("Var_Fin"=[1]OUT_TransportEnergyCons!$B$3:$B$1000)*1,ISNUMBER(SEARCH("DSL",[1]OUT_TransportEnergyCons!$C$3:$C$1000))*1,[1]OUT_TransportEnergyCons!M$3:M$1000)</f>
        <v>0</v>
      </c>
      <c r="P1423" s="1" cm="1">
        <f t="array" ref="P1423">SUMPRODUCT(("T_B_c-ICEDSL-S3"=[1]OUT_TransportEnergyCons!$A$3:$A$1000)*1,("Var_Fin"=[1]OUT_TransportEnergyCons!$B$3:$B$1000)*1,ISNUMBER(SEARCH("DSL",[1]OUT_TransportEnergyCons!$C$3:$C$1000))*1,[1]OUT_TransportEnergyCons!N$3:N$1000)</f>
        <v>0</v>
      </c>
      <c r="Q1423" s="1" cm="1">
        <f t="array" ref="Q1423">SUMPRODUCT(("T_B_c-ICEDSL-S3"=[1]OUT_TransportEnergyCons!$A$3:$A$1000)*1,("Var_Fin"=[1]OUT_TransportEnergyCons!$B$3:$B$1000)*1,ISNUMBER(SEARCH("DSL",[1]OUT_TransportEnergyCons!$C$3:$C$1000))*1,[1]OUT_TransportEnergyCons!O$3:O$1000)</f>
        <v>0</v>
      </c>
      <c r="S1423" s="3"/>
    </row>
    <row r="1424" spans="2:19" x14ac:dyDescent="0.5">
      <c r="B1424" s="5" t="str">
        <f t="shared" si="1571"/>
        <v>SPS1</v>
      </c>
      <c r="C1424" s="5" t="str">
        <f t="shared" si="1572"/>
        <v>CH</v>
      </c>
      <c r="D1424" t="s">
        <v>1418</v>
      </c>
      <c r="E1424" t="s">
        <v>8</v>
      </c>
      <c r="F1424" s="1" cm="1">
        <f t="array" ref="F1424">SUMPRODUCT(("T_B_c-ICEDSL-S4"=[1]OUT_TransportEnergyCons!$A$3:$A$1000)*1,("Var_Fin"=[1]OUT_TransportEnergyCons!$B$3:$B$1000)*1,ISNUMBER(SEARCH("DSL",[1]OUT_TransportEnergyCons!$C$3:$C$1000))*1,[1]OUT_TransportEnergyCons!D$3:D$1000)</f>
        <v>1.6699084144382939E-2</v>
      </c>
      <c r="G1424" s="1" cm="1">
        <f t="array" ref="G1424">SUMPRODUCT(("T_B_c-ICEDSL-S4"=[1]OUT_TransportEnergyCons!$A$3:$A$1000)*1,("Var_Fin"=[1]OUT_TransportEnergyCons!$B$3:$B$1000)*1,ISNUMBER(SEARCH("DSL",[1]OUT_TransportEnergyCons!$C$3:$C$1000))*1,[1]OUT_TransportEnergyCons!E$3:E$1000)</f>
        <v>2.5433146844408344E-3</v>
      </c>
      <c r="H1424" s="1" cm="1">
        <f t="array" ref="H1424">SUMPRODUCT(("T_B_c-ICEDSL-S4"=[1]OUT_TransportEnergyCons!$A$3:$A$1000)*1,("Var_Fin"=[1]OUT_TransportEnergyCons!$B$3:$B$1000)*1,ISNUMBER(SEARCH("DSL",[1]OUT_TransportEnergyCons!$C$3:$C$1000))*1,[1]OUT_TransportEnergyCons!F$3:F$1000)</f>
        <v>3.1003499406514596E-3</v>
      </c>
      <c r="I1424" s="1" cm="1">
        <f t="array" ref="I1424">SUMPRODUCT(("T_B_c-ICEDSL-S4"=[1]OUT_TransportEnergyCons!$A$3:$A$1000)*1,("Var_Fin"=[1]OUT_TransportEnergyCons!$B$3:$B$1000)*1,ISNUMBER(SEARCH("DSL",[1]OUT_TransportEnergyCons!$C$3:$C$1000))*1,[1]OUT_TransportEnergyCons!G$3:G$1000)</f>
        <v>2.7806687157565682E-3</v>
      </c>
      <c r="J1424" s="1" cm="1">
        <f t="array" ref="J1424">SUMPRODUCT(("T_B_c-ICEDSL-S4"=[1]OUT_TransportEnergyCons!$A$3:$A$1000)*1,("Var_Fin"=[1]OUT_TransportEnergyCons!$B$3:$B$1000)*1,ISNUMBER(SEARCH("DSL",[1]OUT_TransportEnergyCons!$C$3:$C$1000))*1,[1]OUT_TransportEnergyCons!H$3:H$1000)</f>
        <v>1.0100490820219694E-3</v>
      </c>
      <c r="K1424" s="1" cm="1">
        <f t="array" ref="K1424">SUMPRODUCT(("T_B_c-ICEDSL-S4"=[1]OUT_TransportEnergyCons!$A$3:$A$1000)*1,("Var_Fin"=[1]OUT_TransportEnergyCons!$B$3:$B$1000)*1,ISNUMBER(SEARCH("DSL",[1]OUT_TransportEnergyCons!$C$3:$C$1000))*1,[1]OUT_TransportEnergyCons!I$3:I$1000)</f>
        <v>9.7854025549753217E-4</v>
      </c>
      <c r="L1424" s="1" cm="1">
        <f t="array" ref="L1424">SUMPRODUCT(("T_B_c-ICEDSL-S4"=[1]OUT_TransportEnergyCons!$A$3:$A$1000)*1,("Var_Fin"=[1]OUT_TransportEnergyCons!$B$3:$B$1000)*1,ISNUMBER(SEARCH("DSL",[1]OUT_TransportEnergyCons!$C$3:$C$1000))*1,[1]OUT_TransportEnergyCons!J$3:J$1000)</f>
        <v>8.5623327220921976E-4</v>
      </c>
      <c r="M1424" s="1" cm="1">
        <f t="array" ref="M1424">SUMPRODUCT(("T_B_c-ICEDSL-S4"=[1]OUT_TransportEnergyCons!$A$3:$A$1000)*1,("Var_Fin"=[1]OUT_TransportEnergyCons!$B$3:$B$1000)*1,ISNUMBER(SEARCH("DSL",[1]OUT_TransportEnergyCons!$C$3:$C$1000))*1,[1]OUT_TransportEnergyCons!K$3:K$1000)</f>
        <v>0</v>
      </c>
      <c r="N1424" s="1" cm="1">
        <f t="array" ref="N1424">SUMPRODUCT(("T_B_c-ICEDSL-S4"=[1]OUT_TransportEnergyCons!$A$3:$A$1000)*1,("Var_Fin"=[1]OUT_TransportEnergyCons!$B$3:$B$1000)*1,ISNUMBER(SEARCH("DSL",[1]OUT_TransportEnergyCons!$C$3:$C$1000))*1,[1]OUT_TransportEnergyCons!L$3:L$1000)</f>
        <v>0</v>
      </c>
      <c r="O1424" s="1" cm="1">
        <f t="array" ref="O1424">SUMPRODUCT(("T_B_c-ICEDSL-S4"=[1]OUT_TransportEnergyCons!$A$3:$A$1000)*1,("Var_Fin"=[1]OUT_TransportEnergyCons!$B$3:$B$1000)*1,ISNUMBER(SEARCH("DSL",[1]OUT_TransportEnergyCons!$C$3:$C$1000))*1,[1]OUT_TransportEnergyCons!M$3:M$1000)</f>
        <v>0</v>
      </c>
      <c r="P1424" s="1" cm="1">
        <f t="array" ref="P1424">SUMPRODUCT(("T_B_c-ICEDSL-S4"=[1]OUT_TransportEnergyCons!$A$3:$A$1000)*1,("Var_Fin"=[1]OUT_TransportEnergyCons!$B$3:$B$1000)*1,ISNUMBER(SEARCH("DSL",[1]OUT_TransportEnergyCons!$C$3:$C$1000))*1,[1]OUT_TransportEnergyCons!N$3:N$1000)</f>
        <v>0</v>
      </c>
      <c r="Q1424" s="1" cm="1">
        <f t="array" ref="Q1424">SUMPRODUCT(("T_B_c-ICEDSL-S4"=[1]OUT_TransportEnergyCons!$A$3:$A$1000)*1,("Var_Fin"=[1]OUT_TransportEnergyCons!$B$3:$B$1000)*1,ISNUMBER(SEARCH("DSL",[1]OUT_TransportEnergyCons!$C$3:$C$1000))*1,[1]OUT_TransportEnergyCons!O$3:O$1000)</f>
        <v>0</v>
      </c>
      <c r="S1424" s="3"/>
    </row>
    <row r="1425" spans="2:19" x14ac:dyDescent="0.5">
      <c r="B1425" s="5" t="str">
        <f t="shared" si="1571"/>
        <v>SPS1</v>
      </c>
      <c r="C1425" s="5" t="str">
        <f t="shared" si="1572"/>
        <v>CH</v>
      </c>
      <c r="D1425" t="s">
        <v>1419</v>
      </c>
      <c r="E1425" t="s">
        <v>8</v>
      </c>
      <c r="F1425" s="1">
        <f>SUM(F1430:F1434)</f>
        <v>1.39502933814298E-4</v>
      </c>
      <c r="G1425" s="1">
        <f t="shared" ref="G1425" si="1589">SUM(G1430:G1434)</f>
        <v>4.1437803833573152E-3</v>
      </c>
      <c r="H1425" s="1">
        <f t="shared" ref="H1425" si="1590">SUM(H1430:H1434)</f>
        <v>8.0684914164030994E-2</v>
      </c>
      <c r="I1425" s="1">
        <f t="shared" ref="I1425" si="1591">SUM(I1430:I1434)</f>
        <v>8.2022157160383483E-2</v>
      </c>
      <c r="J1425" s="1">
        <f t="shared" ref="J1425" si="1592">SUM(J1430:J1434)</f>
        <v>3.4351340868669948E-3</v>
      </c>
      <c r="K1425" s="1">
        <f t="shared" ref="K1425" si="1593">SUM(K1430:K1434)</f>
        <v>3.2253223371986515E-3</v>
      </c>
      <c r="L1425" s="1">
        <f t="shared" ref="L1425:O1425" si="1594">SUM(L1430:L1434)</f>
        <v>8.148668652703828E-3</v>
      </c>
      <c r="M1425" s="1">
        <f t="shared" si="1594"/>
        <v>5.8088625810949791E-3</v>
      </c>
      <c r="N1425" s="1">
        <f t="shared" si="1594"/>
        <v>0</v>
      </c>
      <c r="O1425" s="1">
        <f t="shared" si="1594"/>
        <v>0</v>
      </c>
      <c r="P1425" s="1">
        <f>SUM(P1430:P1434)</f>
        <v>0</v>
      </c>
      <c r="Q1425" s="1">
        <f>SUM(Q1430:Q1434)</f>
        <v>0</v>
      </c>
      <c r="S1425" s="3"/>
    </row>
    <row r="1426" spans="2:19" x14ac:dyDescent="0.5">
      <c r="B1426" s="5" t="str">
        <f t="shared" si="1571"/>
        <v>SPS1</v>
      </c>
      <c r="C1426" s="5" t="str">
        <f t="shared" si="1572"/>
        <v>CH</v>
      </c>
      <c r="D1426" t="s">
        <v>1420</v>
      </c>
      <c r="E1426" t="s">
        <v>8</v>
      </c>
      <c r="F1426" s="1">
        <f>IF(F1425-F1427&lt;0,0,F1425-F1427)</f>
        <v>1.2886496924199582E-4</v>
      </c>
      <c r="G1426" s="1">
        <f t="shared" ref="G1426:K1426" si="1595">IF(G1425-G1427&lt;0,0,G1425-G1427)</f>
        <v>3.6368010960745687E-3</v>
      </c>
      <c r="H1426" s="1">
        <f t="shared" si="1595"/>
        <v>8.0190430612000235E-2</v>
      </c>
      <c r="I1426" s="1">
        <f t="shared" si="1595"/>
        <v>8.1558565782001297E-2</v>
      </c>
      <c r="J1426" s="1">
        <f t="shared" si="1595"/>
        <v>0</v>
      </c>
      <c r="K1426" s="1">
        <f t="shared" si="1595"/>
        <v>0</v>
      </c>
      <c r="L1426" s="1">
        <f t="shared" ref="L1426:O1426" si="1596">IF(L1425-L1427&lt;0,0,L1425-L1427)</f>
        <v>0</v>
      </c>
      <c r="M1426" s="1">
        <f t="shared" si="1596"/>
        <v>0</v>
      </c>
      <c r="N1426" s="1">
        <f t="shared" si="1596"/>
        <v>0</v>
      </c>
      <c r="O1426" s="1">
        <f t="shared" si="1596"/>
        <v>0</v>
      </c>
      <c r="P1426" s="1">
        <f>IF(P1425-P1427&lt;0,0,P1425-P1427)</f>
        <v>0</v>
      </c>
      <c r="Q1426" s="1">
        <f>IF(Q1425-Q1427&lt;0,0,Q1425-Q1427)</f>
        <v>0</v>
      </c>
      <c r="S1426" s="3"/>
    </row>
    <row r="1427" spans="2:19" x14ac:dyDescent="0.5">
      <c r="B1427" s="5" t="str">
        <f t="shared" si="1571"/>
        <v>SPS1</v>
      </c>
      <c r="C1427" s="5" t="str">
        <f t="shared" si="1572"/>
        <v>CH</v>
      </c>
      <c r="D1427" t="s">
        <v>1421</v>
      </c>
      <c r="E1427" t="s">
        <v>8</v>
      </c>
      <c r="F1427" s="1">
        <f>SUM(F1428:F1429)</f>
        <v>1.0637964572302189E-5</v>
      </c>
      <c r="G1427" s="1">
        <f t="shared" ref="G1427" si="1597">SUM(G1428:G1429)</f>
        <v>5.069792872827467E-4</v>
      </c>
      <c r="H1427" s="1">
        <f t="shared" ref="H1427" si="1598">SUM(H1428:H1429)</f>
        <v>4.944835520307592E-4</v>
      </c>
      <c r="I1427" s="1">
        <f t="shared" ref="I1427" si="1599">SUM(I1428:I1429)</f>
        <v>4.6359137838218833E-4</v>
      </c>
      <c r="J1427" s="1">
        <f t="shared" ref="J1427" si="1600">SUM(J1428:J1429)</f>
        <v>1.2289051602778874E-2</v>
      </c>
      <c r="K1427" s="1">
        <f t="shared" ref="K1427" si="1601">SUM(K1428:K1429)</f>
        <v>0.10346598133656623</v>
      </c>
      <c r="L1427" s="1">
        <f t="shared" ref="L1427:O1427" si="1602">SUM(L1428:L1429)</f>
        <v>2.5674572734763572</v>
      </c>
      <c r="M1427" s="1">
        <f t="shared" si="1602"/>
        <v>8.6572732174947351</v>
      </c>
      <c r="N1427" s="1">
        <f t="shared" si="1602"/>
        <v>0</v>
      </c>
      <c r="O1427" s="1">
        <f t="shared" si="1602"/>
        <v>0</v>
      </c>
      <c r="P1427" s="1">
        <f>SUM(P1428:P1429)</f>
        <v>0</v>
      </c>
      <c r="Q1427" s="1">
        <f>SUM(Q1428:Q1429)</f>
        <v>0</v>
      </c>
      <c r="S1427" s="3"/>
    </row>
    <row r="1428" spans="2:19" x14ac:dyDescent="0.5">
      <c r="B1428" s="5" t="str">
        <f t="shared" si="1571"/>
        <v>SPS1</v>
      </c>
      <c r="C1428" s="5" t="str">
        <f t="shared" si="1572"/>
        <v>CH</v>
      </c>
      <c r="D1428" t="s">
        <v>1422</v>
      </c>
      <c r="E1428" t="s">
        <v>8</v>
      </c>
      <c r="F1428" s="1">
        <f>IF(SUM([1]Transport!B$24,[1]Transport!B$27)=0,0,[1]Transport!B$27/SUM([1]Transport!B$24,[1]Transport!B$27)*F1425*(F$47+F$614)/(F$47+F$614+F$49))</f>
        <v>1.0637964572302189E-5</v>
      </c>
      <c r="G1428" s="1">
        <f>IF(SUM([1]Transport!C$24,[1]Transport!C$27)=0,0,[1]Transport!C$27/SUM([1]Transport!C$24,[1]Transport!C$27)*G1425*(G$47+G$614)/(G$47+G$614+G$49))</f>
        <v>5.069792872827467E-4</v>
      </c>
      <c r="H1428" s="1">
        <f>IF(SUM([1]Transport!D$24,[1]Transport!D$27)=0,0,[1]Transport!D$27/SUM([1]Transport!D$24,[1]Transport!D$27)*H1425*(H$47+H$614)/(H$47+H$614+H$49))</f>
        <v>4.944835520307592E-4</v>
      </c>
      <c r="I1428" s="1">
        <f>IF(SUM([1]Transport!E$24,[1]Transport!E$27)=0,0,[1]Transport!E$27/SUM([1]Transport!E$24,[1]Transport!E$27)*I1425*(I$47+I$614)/(I$47+I$614+I$49))</f>
        <v>4.6359137838218833E-4</v>
      </c>
      <c r="J1428" s="1">
        <f>IF(SUM([1]Transport!F$24,[1]Transport!F$27)=0,0,[1]Transport!F$27/SUM([1]Transport!F$24,[1]Transport!F$27)*J1425*(J$47+J$614)/(J$47+J$614+J$49))</f>
        <v>3.7360005386892682E-5</v>
      </c>
      <c r="K1428" s="1">
        <f>IF(SUM([1]Transport!G$24,[1]Transport!G$27)=0,0,[1]Transport!G$27/SUM([1]Transport!G$24,[1]Transport!G$27)*K1425*(K$47+K$614)/(K$47+K$614+K$49))</f>
        <v>3.6899024117901277E-4</v>
      </c>
      <c r="L1428" s="1">
        <f>IF(SUM([1]Transport!H$24,[1]Transport!H$27)=0,0,[1]Transport!H$27/SUM([1]Transport!H$24,[1]Transport!H$27)*L1425*(L$47+L$614)/(L$47+L$614+L$49))</f>
        <v>2.7500633210197057E-3</v>
      </c>
      <c r="M1428" s="1">
        <f>IF(SUM([1]Transport!I$24,[1]Transport!I$27)=0,0,[1]Transport!I$27/SUM([1]Transport!I$24,[1]Transport!I$27)*M1425*(M$47+M$614)/(M$47+M$614+M$49))</f>
        <v>5.3371158702353889E-3</v>
      </c>
      <c r="N1428" s="1">
        <f>IF(SUM([1]Transport!J$24,[1]Transport!J$27)=0,0,[1]Transport!J$27/SUM([1]Transport!J$24,[1]Transport!J$27)*N1425*(N$47+N$614)/(N$47+N$614+N$49))</f>
        <v>0</v>
      </c>
      <c r="O1428" s="1">
        <f>IF(SUM([1]Transport!K$24,[1]Transport!K$27)=0,0,[1]Transport!K$27/SUM([1]Transport!K$24,[1]Transport!K$27)*O1425*(O$47+O$614)/(O$47+O$614+O$49))</f>
        <v>0</v>
      </c>
      <c r="P1428" s="1">
        <f>IF(SUM([1]Transport!L$24,[1]Transport!L$27)=0,0,[1]Transport!L$27/SUM([1]Transport!L$24,[1]Transport!L$27)*P1425*(P$47+P$614)/(P$47+P$614+P$49))</f>
        <v>0</v>
      </c>
      <c r="Q1428" s="1">
        <f>IF(SUM([1]Transport!M$24,[1]Transport!M$27)=0,0,[1]Transport!M$27/SUM([1]Transport!M$24,[1]Transport!M$27)*Q1425*(Q$47+Q$614)/(Q$47+Q$614+Q$49))</f>
        <v>0</v>
      </c>
      <c r="S1428" s="3"/>
    </row>
    <row r="1429" spans="2:19" x14ac:dyDescent="0.5">
      <c r="B1429" s="5" t="str">
        <f t="shared" si="1571"/>
        <v>SPS1</v>
      </c>
      <c r="C1429" s="5" t="str">
        <f t="shared" si="1572"/>
        <v>CH</v>
      </c>
      <c r="D1429" t="s">
        <v>1423</v>
      </c>
      <c r="E1429" t="s">
        <v>8</v>
      </c>
      <c r="F1429" s="1">
        <f>IF(([1]Transport!B$24+[1]Transport!B$27)=0,0,(F$49+F$716)/([1]Transport!B$24+[1]Transport!B$27)*F1425)</f>
        <v>0</v>
      </c>
      <c r="G1429" s="1">
        <f>IF(([1]Transport!C$24+[1]Transport!C$27)=0,0,(G$49+G$716)/([1]Transport!C$24+[1]Transport!C$27)*G1425)</f>
        <v>0</v>
      </c>
      <c r="H1429" s="1">
        <f>IF(([1]Transport!D$24+[1]Transport!D$27)=0,0,(H$49+H$716)/([1]Transport!D$24+[1]Transport!D$27)*H1425)</f>
        <v>0</v>
      </c>
      <c r="I1429" s="1">
        <f>IF(([1]Transport!E$24+[1]Transport!E$27)=0,0,(I$49+I$716)/([1]Transport!E$24+[1]Transport!E$27)*I1425)</f>
        <v>0</v>
      </c>
      <c r="J1429" s="1">
        <f>IF(([1]Transport!F$24+[1]Transport!F$27)=0,0,(J$49+J$716)/([1]Transport!F$24+[1]Transport!F$27)*J1425)</f>
        <v>1.2251691597391982E-2</v>
      </c>
      <c r="K1429" s="1">
        <f>IF(([1]Transport!G$24+[1]Transport!G$27)=0,0,(K$49+K$716)/([1]Transport!G$24+[1]Transport!G$27)*K1425)</f>
        <v>0.10309699109538722</v>
      </c>
      <c r="L1429" s="1">
        <f>IF(([1]Transport!H$24+[1]Transport!H$27)=0,0,(L$49+L$716)/([1]Transport!H$24+[1]Transport!H$27)*L1425)</f>
        <v>2.5647072101553374</v>
      </c>
      <c r="M1429" s="1">
        <f>IF(([1]Transport!I$24+[1]Transport!I$27)=0,0,(M$49+M$716)/([1]Transport!I$24+[1]Transport!I$27)*M1425)</f>
        <v>8.6519361016245</v>
      </c>
      <c r="N1429" s="1">
        <f>IF(([1]Transport!J$24+[1]Transport!J$27)=0,0,(N$49+N$716)/([1]Transport!J$24+[1]Transport!J$27)*N1425)</f>
        <v>0</v>
      </c>
      <c r="O1429" s="1">
        <f>IF(([1]Transport!K$24+[1]Transport!K$27)=0,0,(O$49+O$716)/([1]Transport!K$24+[1]Transport!K$27)*O1425)</f>
        <v>0</v>
      </c>
      <c r="P1429" s="1">
        <f>IF(([1]Transport!L$24+[1]Transport!L$27)=0,0,(P$49+P$716)/([1]Transport!L$24+[1]Transport!L$27)*P1425)</f>
        <v>0</v>
      </c>
      <c r="Q1429" s="1">
        <f>IF(([1]Transport!M$24+[1]Transport!M$27)=0,0,(Q$49+Q$716)/([1]Transport!M$24+[1]Transport!M$27)*Q1425)</f>
        <v>0</v>
      </c>
      <c r="S1429" s="3"/>
    </row>
    <row r="1430" spans="2:19" x14ac:dyDescent="0.5">
      <c r="B1430" s="5" t="str">
        <f t="shared" si="1571"/>
        <v>SPS1</v>
      </c>
      <c r="C1430" s="5" t="str">
        <f t="shared" si="1572"/>
        <v>CH</v>
      </c>
      <c r="D1430" t="s">
        <v>2118</v>
      </c>
      <c r="E1430" t="s">
        <v>8</v>
      </c>
      <c r="F1430" s="1" cm="1">
        <f t="array" ref="F1430">SUMPRODUCT(("T_B_c-ICEngaEXT"=[1]OUT_TransportEnergyCons!$A$3:$A$1000)*1,("Var_Fin"=[1]OUT_TransportEnergyCons!$B$3:$B$1000)*1,ISNUMBER(SEARCH("nga",[1]OUT_TransportEnergyCons!$C$3:$C$1000))*1,[1]OUT_TransportEnergyCons!D$3:D$1000)</f>
        <v>1.39502933814298E-4</v>
      </c>
      <c r="G1430" s="1" cm="1">
        <f t="array" ref="G1430">SUMPRODUCT(("T_B_c-ICEngaEXT"=[1]OUT_TransportEnergyCons!$A$3:$A$1000)*1,("Var_Fin"=[1]OUT_TransportEnergyCons!$B$3:$B$1000)*1,ISNUMBER(SEARCH("nga",[1]OUT_TransportEnergyCons!$C$3:$C$1000))*1,[1]OUT_TransportEnergyCons!E$3:E$1000)</f>
        <v>1.4108145484054179E-4</v>
      </c>
      <c r="H1430" s="1" cm="1">
        <f t="array" ref="H1430">SUMPRODUCT(("T_B_c-ICEngaEXT"=[1]OUT_TransportEnergyCons!$A$3:$A$1000)*1,("Var_Fin"=[1]OUT_TransportEnergyCons!$B$3:$B$1000)*1,ISNUMBER(SEARCH("nga",[1]OUT_TransportEnergyCons!$C$3:$C$1000))*1,[1]OUT_TransportEnergyCons!F$3:F$1000)</f>
        <v>9.9033961169991267E-5</v>
      </c>
      <c r="I1430" s="1" cm="1">
        <f t="array" ref="I1430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30" s="1" cm="1">
        <f t="array" ref="J1430">SUMPRODUCT(("T_B_c-ICEngaEXT"=[1]OUT_TransportEnergyCons!$A$3:$A$1000)*1,("Var_Fin"=[1]OUT_TransportEnergyCons!$B$3:$B$1000)*1,ISNUMBER(SEARCH("nga",[1]OUT_TransportEnergyCons!$C$3:$C$1000))*1,[1]OUT_TransportEnergyCons!H$3:H$1000)</f>
        <v>0</v>
      </c>
      <c r="K1430" s="1" cm="1">
        <f t="array" ref="K1430">SUMPRODUCT(("T_B_c-ICEngaEXT"=[1]OUT_TransportEnergyCons!$A$3:$A$1000)*1,("Var_Fin"=[1]OUT_TransportEnergyCons!$B$3:$B$1000)*1,ISNUMBER(SEARCH("nga",[1]OUT_TransportEnergyCons!$C$3:$C$1000))*1,[1]OUT_TransportEnergyCons!I$3:I$1000)</f>
        <v>0</v>
      </c>
      <c r="L1430" s="1" cm="1">
        <f t="array" ref="L1430">SUMPRODUCT(("T_B_c-ICEngaEXT"=[1]OUT_TransportEnergyCons!$A$3:$A$1000)*1,("Var_Fin"=[1]OUT_TransportEnergyCons!$B$3:$B$1000)*1,ISNUMBER(SEARCH("nga",[1]OUT_TransportEnergyCons!$C$3:$C$1000))*1,[1]OUT_TransportEnergyCons!J$3:J$1000)</f>
        <v>0</v>
      </c>
      <c r="M1430" s="1" cm="1">
        <f t="array" ref="M1430">SUMPRODUCT(("T_B_c-ICEngaEXT"=[1]OUT_TransportEnergyCons!$A$3:$A$1000)*1,("Var_Fin"=[1]OUT_TransportEnergyCons!$B$3:$B$1000)*1,ISNUMBER(SEARCH("nga",[1]OUT_TransportEnergyCons!$C$3:$C$1000))*1,[1]OUT_TransportEnergyCons!K$3:K$1000)</f>
        <v>0</v>
      </c>
      <c r="N1430" s="1" cm="1">
        <f t="array" ref="N1430">SUMPRODUCT(("T_B_c-ICEngaEXT"=[1]OUT_TransportEnergyCons!$A$3:$A$1000)*1,("Var_Fin"=[1]OUT_TransportEnergyCons!$B$3:$B$1000)*1,ISNUMBER(SEARCH("nga",[1]OUT_TransportEnergyCons!$C$3:$C$1000))*1,[1]OUT_TransportEnergyCons!L$3:L$1000)</f>
        <v>0</v>
      </c>
      <c r="O1430" s="1" cm="1">
        <f t="array" ref="O1430">SUMPRODUCT(("T_B_c-ICEngaEXT"=[1]OUT_TransportEnergyCons!$A$3:$A$1000)*1,("Var_Fin"=[1]OUT_TransportEnergyCons!$B$3:$B$1000)*1,ISNUMBER(SEARCH("nga",[1]OUT_TransportEnergyCons!$C$3:$C$1000))*1,[1]OUT_TransportEnergyCons!M$3:M$1000)</f>
        <v>0</v>
      </c>
      <c r="P1430" s="1" cm="1">
        <f t="array" ref="P1430">SUMPRODUCT(("T_B_c-ICEngaEXT"=[1]OUT_TransportEnergyCons!$A$3:$A$1000)*1,("Var_Fin"=[1]OUT_TransportEnergyCons!$B$3:$B$1000)*1,ISNUMBER(SEARCH("nga",[1]OUT_TransportEnergyCons!$C$3:$C$1000))*1,[1]OUT_TransportEnergyCons!N$3:N$1000)</f>
        <v>0</v>
      </c>
      <c r="Q1430" s="1" cm="1">
        <f t="array" ref="Q1430">SUMPRODUCT(("T_B_c-ICEngaEXT"=[1]OUT_TransportEnergyCons!$A$3:$A$1000)*1,("Var_Fin"=[1]OUT_TransportEnergyCons!$B$3:$B$1000)*1,ISNUMBER(SEARCH("nga",[1]OUT_TransportEnergyCons!$C$3:$C$1000))*1,[1]OUT_TransportEnergyCons!O$3:O$1000)</f>
        <v>0</v>
      </c>
      <c r="S1430" s="3"/>
    </row>
    <row r="1431" spans="2:19" x14ac:dyDescent="0.5">
      <c r="B1431" s="5" t="str">
        <f t="shared" si="1571"/>
        <v>SPS1</v>
      </c>
      <c r="C1431" s="5" t="str">
        <f t="shared" si="1572"/>
        <v>CH</v>
      </c>
      <c r="D1431" t="s">
        <v>1424</v>
      </c>
      <c r="E1431" t="s">
        <v>8</v>
      </c>
      <c r="F1431" s="1" cm="1">
        <f t="array" ref="F1431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SUMPRODUCT(("T_B_c-ICEnga-S1"=[1]OUT_TransportEnergyCons!$A$3:$A$1000)*1,("Var_Fin"=[1]OUT_TransportEnergyCons!$B$3:$B$1000)*1,ISNUMBER(SEARCH("nga",[1]OUT_TransportEnergyCons!$C$3:$C$1000))*1,[1]OUT_TransportEnergyCons!E$3:E$1000)</f>
        <v>2.3847623081413361E-3</v>
      </c>
      <c r="H1431" s="1" cm="1">
        <f t="array" ref="H1431">SUMPRODUCT(("T_B_c-ICEnga-S1"=[1]OUT_TransportEnergyCons!$A$3:$A$1000)*1,("Var_Fin"=[1]OUT_TransportEnergyCons!$B$3:$B$1000)*1,ISNUMBER(SEARCH("nga",[1]OUT_TransportEnergyCons!$C$3:$C$1000))*1,[1]OUT_TransportEnergyCons!F$3:F$1000)</f>
        <v>4.6398892847288346E-4</v>
      </c>
      <c r="I1431" s="1" cm="1">
        <f t="array" ref="I1431">SUMPRODUCT(("T_B_c-ICEnga-S1"=[1]OUT_TransportEnergyCons!$A$3:$A$1000)*1,("Var_Fin"=[1]OUT_TransportEnergyCons!$B$3:$B$1000)*1,ISNUMBER(SEARCH("nga",[1]OUT_TransportEnergyCons!$C$3:$C$1000))*1,[1]OUT_TransportEnergyCons!G$3:G$1000)</f>
        <v>5.9939845266580741E-4</v>
      </c>
      <c r="J1431" s="1" cm="1">
        <f t="array" ref="J1431">SUMPRODUCT(("T_B_c-ICEnga-S1"=[1]OUT_TransportEnergyCons!$A$3:$A$1000)*1,("Var_Fin"=[1]OUT_TransportEnergyCons!$B$3:$B$1000)*1,ISNUMBER(SEARCH("nga",[1]OUT_TransportEnergyCons!$C$3:$C$1000))*1,[1]OUT_TransportEnergyCons!H$3:H$1000)</f>
        <v>4.4442976416385875E-4</v>
      </c>
      <c r="K1431" s="1" cm="1">
        <f t="array" ref="K1431">SUMPRODUCT(("T_B_c-ICEnga-S1"=[1]OUT_TransportEnergyCons!$A$3:$A$1000)*1,("Var_Fin"=[1]OUT_TransportEnergyCons!$B$3:$B$1000)*1,ISNUMBER(SEARCH("nga",[1]OUT_TransportEnergyCons!$C$3:$C$1000))*1,[1]OUT_TransportEnergyCons!I$3:I$1000)</f>
        <v>4.1717297605598142E-4</v>
      </c>
      <c r="L1431" s="1" cm="1">
        <f t="array" ref="L1431">SUMPRODUCT(("T_B_c-ICEnga-S1"=[1]OUT_TransportEnergyCons!$A$3:$A$1000)*1,("Var_Fin"=[1]OUT_TransportEnergyCons!$B$3:$B$1000)*1,ISNUMBER(SEARCH("nga",[1]OUT_TransportEnergyCons!$C$3:$C$1000))*1,[1]OUT_TransportEnergyCons!J$3:J$1000)</f>
        <v>5.4707814806611037E-4</v>
      </c>
      <c r="M1431" s="1" cm="1">
        <f t="array" ref="M1431">SUMPRODUCT(("T_B_c-ICEnga-S1"=[1]OUT_TransportEnergyCons!$A$3:$A$1000)*1,("Var_Fin"=[1]OUT_TransportEnergyCons!$B$3:$B$1000)*1,ISNUMBER(SEARCH("nga",[1]OUT_TransportEnergyCons!$C$3:$C$1000))*1,[1]OUT_TransportEnergyCons!K$3:K$1000)</f>
        <v>4.6783671929099494E-4</v>
      </c>
      <c r="N1431" s="1" cm="1">
        <f t="array" ref="N1431">SUMPRODUCT(("T_B_c-ICEnga-S1"=[1]OUT_TransportEnergyCons!$A$3:$A$1000)*1,("Var_Fin"=[1]OUT_TransportEnergyCons!$B$3:$B$1000)*1,ISNUMBER(SEARCH("nga",[1]OUT_TransportEnergyCons!$C$3:$C$1000))*1,[1]OUT_TransportEnergyCons!L$3:L$1000)</f>
        <v>0</v>
      </c>
      <c r="O1431" s="1" cm="1">
        <f t="array" ref="O1431">SUMPRODUCT(("T_B_c-ICEnga-S1"=[1]OUT_TransportEnergyCons!$A$3:$A$1000)*1,("Var_Fin"=[1]OUT_TransportEnergyCons!$B$3:$B$1000)*1,ISNUMBER(SEARCH("nga",[1]OUT_TransportEnergyCons!$C$3:$C$1000))*1,[1]OUT_TransportEnergyCons!M$3:M$1000)</f>
        <v>0</v>
      </c>
      <c r="P1431" s="1" cm="1">
        <f t="array" ref="P1431">SUMPRODUCT(("T_B_c-ICEnga-S1"=[1]OUT_TransportEnergyCons!$A$3:$A$1000)*1,("Var_Fin"=[1]OUT_TransportEnergyCons!$B$3:$B$1000)*1,ISNUMBER(SEARCH("nga",[1]OUT_TransportEnergyCons!$C$3:$C$1000))*1,[1]OUT_TransportEnergyCons!N$3:N$1000)</f>
        <v>0</v>
      </c>
      <c r="Q1431" s="1" cm="1">
        <f t="array" ref="Q1431">SUMPRODUCT(("T_B_c-ICEnga-S1"=[1]OUT_TransportEnergyCons!$A$3:$A$1000)*1,("Var_Fin"=[1]OUT_TransportEnergyCons!$B$3:$B$1000)*1,ISNUMBER(SEARCH("nga",[1]OUT_TransportEnergyCons!$C$3:$C$1000))*1,[1]OUT_TransportEnergyCons!O$3:O$1000)</f>
        <v>0</v>
      </c>
      <c r="S1431" s="3"/>
    </row>
    <row r="1432" spans="2:19" x14ac:dyDescent="0.5">
      <c r="B1432" s="5" t="str">
        <f t="shared" si="1571"/>
        <v>SPS1</v>
      </c>
      <c r="C1432" s="5" t="str">
        <f t="shared" si="1572"/>
        <v>CH</v>
      </c>
      <c r="D1432" t="s">
        <v>1425</v>
      </c>
      <c r="E1432" t="s">
        <v>8</v>
      </c>
      <c r="F1432" s="1" cm="1">
        <f t="array" ref="F1432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SUMPRODUCT(("T_B_c-ICEnga-S2"=[1]OUT_TransportEnergyCons!$A$3:$A$1000)*1,("Var_Fin"=[1]OUT_TransportEnergyCons!$B$3:$B$1000)*1,ISNUMBER(SEARCH("nga",[1]OUT_TransportEnergyCons!$C$3:$C$1000))*1,[1]OUT_TransportEnergyCons!E$3:E$1000)</f>
        <v>5.8044127722717894E-4</v>
      </c>
      <c r="H1432" s="1" cm="1">
        <f t="array" ref="H1432">SUMPRODUCT(("T_B_c-ICEnga-S2"=[1]OUT_TransportEnergyCons!$A$3:$A$1000)*1,("Var_Fin"=[1]OUT_TransportEnergyCons!$B$3:$B$1000)*1,ISNUMBER(SEARCH("nga",[1]OUT_TransportEnergyCons!$C$3:$C$1000))*1,[1]OUT_TransportEnergyCons!F$3:F$1000)</f>
        <v>1.3487685983512628E-3</v>
      </c>
      <c r="I1432" s="1" cm="1">
        <f t="array" ref="I1432">SUMPRODUCT(("T_B_c-ICEnga-S2"=[1]OUT_TransportEnergyCons!$A$3:$A$1000)*1,("Var_Fin"=[1]OUT_TransportEnergyCons!$B$3:$B$1000)*1,ISNUMBER(SEARCH("nga",[1]OUT_TransportEnergyCons!$C$3:$C$1000))*1,[1]OUT_TransportEnergyCons!G$3:G$1000)</f>
        <v>1.6644263260638453E-3</v>
      </c>
      <c r="J1432" s="1" cm="1">
        <f t="array" ref="J1432">SUMPRODUCT(("T_B_c-ICEnga-S2"=[1]OUT_TransportEnergyCons!$A$3:$A$1000)*1,("Var_Fin"=[1]OUT_TransportEnergyCons!$B$3:$B$1000)*1,ISNUMBER(SEARCH("nga",[1]OUT_TransportEnergyCons!$C$3:$C$1000))*1,[1]OUT_TransportEnergyCons!H$3:H$1000)</f>
        <v>7.0762700790324409E-4</v>
      </c>
      <c r="K1432" s="1" cm="1">
        <f t="array" ref="K1432">SUMPRODUCT(("T_B_c-ICEnga-S2"=[1]OUT_TransportEnergyCons!$A$3:$A$1000)*1,("Var_Fin"=[1]OUT_TransportEnergyCons!$B$3:$B$1000)*1,ISNUMBER(SEARCH("nga",[1]OUT_TransportEnergyCons!$C$3:$C$1000))*1,[1]OUT_TransportEnergyCons!I$3:I$1000)</f>
        <v>6.9824241962962604E-4</v>
      </c>
      <c r="L1432" s="1" cm="1">
        <f t="array" ref="L1432">SUMPRODUCT(("T_B_c-ICEnga-S2"=[1]OUT_TransportEnergyCons!$A$3:$A$1000)*1,("Var_Fin"=[1]OUT_TransportEnergyCons!$B$3:$B$1000)*1,ISNUMBER(SEARCH("nga",[1]OUT_TransportEnergyCons!$C$3:$C$1000))*1,[1]OUT_TransportEnergyCons!J$3:J$1000)</f>
        <v>5.4299213683242243E-3</v>
      </c>
      <c r="M1432" s="1" cm="1">
        <f t="array" ref="M1432">SUMPRODUCT(("T_B_c-ICEnga-S2"=[1]OUT_TransportEnergyCons!$A$3:$A$1000)*1,("Var_Fin"=[1]OUT_TransportEnergyCons!$B$3:$B$1000)*1,ISNUMBER(SEARCH("nga",[1]OUT_TransportEnergyCons!$C$3:$C$1000))*1,[1]OUT_TransportEnergyCons!K$3:K$1000)</f>
        <v>5.3410258618039842E-3</v>
      </c>
      <c r="N1432" s="1" cm="1">
        <f t="array" ref="N1432">SUMPRODUCT(("T_B_c-ICEnga-S2"=[1]OUT_TransportEnergyCons!$A$3:$A$1000)*1,("Var_Fin"=[1]OUT_TransportEnergyCons!$B$3:$B$1000)*1,ISNUMBER(SEARCH("nga",[1]OUT_TransportEnergyCons!$C$3:$C$1000))*1,[1]OUT_TransportEnergyCons!L$3:L$1000)</f>
        <v>0</v>
      </c>
      <c r="O1432" s="1" cm="1">
        <f t="array" ref="O1432">SUMPRODUCT(("T_B_c-ICEnga-S2"=[1]OUT_TransportEnergyCons!$A$3:$A$1000)*1,("Var_Fin"=[1]OUT_TransportEnergyCons!$B$3:$B$1000)*1,ISNUMBER(SEARCH("nga",[1]OUT_TransportEnergyCons!$C$3:$C$1000))*1,[1]OUT_TransportEnergyCons!M$3:M$1000)</f>
        <v>0</v>
      </c>
      <c r="P1432" s="1" cm="1">
        <f t="array" ref="P1432">SUMPRODUCT(("T_B_c-ICEnga-S2"=[1]OUT_TransportEnergyCons!$A$3:$A$1000)*1,("Var_Fin"=[1]OUT_TransportEnergyCons!$B$3:$B$1000)*1,ISNUMBER(SEARCH("nga",[1]OUT_TransportEnergyCons!$C$3:$C$1000))*1,[1]OUT_TransportEnergyCons!N$3:N$1000)</f>
        <v>0</v>
      </c>
      <c r="Q1432" s="1" cm="1">
        <f t="array" ref="Q1432">SUMPRODUCT(("T_B_c-ICEnga-S2"=[1]OUT_TransportEnergyCons!$A$3:$A$1000)*1,("Var_Fin"=[1]OUT_TransportEnergyCons!$B$3:$B$1000)*1,ISNUMBER(SEARCH("nga",[1]OUT_TransportEnergyCons!$C$3:$C$1000))*1,[1]OUT_TransportEnergyCons!O$3:O$1000)</f>
        <v>0</v>
      </c>
      <c r="S1432" s="3"/>
    </row>
    <row r="1433" spans="2:19" x14ac:dyDescent="0.5">
      <c r="B1433" s="5" t="str">
        <f t="shared" si="1571"/>
        <v>SPS1</v>
      </c>
      <c r="C1433" s="5" t="str">
        <f t="shared" si="1572"/>
        <v>CH</v>
      </c>
      <c r="D1433" t="s">
        <v>1426</v>
      </c>
      <c r="E1433" t="s">
        <v>8</v>
      </c>
      <c r="F1433" s="1" cm="1">
        <f t="array" ref="F1433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3" s="1" cm="1">
        <f t="array" ref="G1433">SUMPRODUCT(("T_B_c-ICEnga-S3"=[1]OUT_TransportEnergyCons!$A$3:$A$1000)*1,("Var_Fin"=[1]OUT_TransportEnergyCons!$B$3:$B$1000)*1,ISNUMBER(SEARCH("nga",[1]OUT_TransportEnergyCons!$C$3:$C$1000))*1,[1]OUT_TransportEnergyCons!E$3:E$1000)</f>
        <v>7.8047330521179145E-4</v>
      </c>
      <c r="H1433" s="1" cm="1">
        <f t="array" ref="H1433">SUMPRODUCT(("T_B_c-ICEnga-S3"=[1]OUT_TransportEnergyCons!$A$3:$A$1000)*1,("Var_Fin"=[1]OUT_TransportEnergyCons!$B$3:$B$1000)*1,ISNUMBER(SEARCH("nga",[1]OUT_TransportEnergyCons!$C$3:$C$1000))*1,[1]OUT_TransportEnergyCons!F$3:F$1000)</f>
        <v>7.7498381442275124E-2</v>
      </c>
      <c r="I1433" s="1" cm="1">
        <f t="array" ref="I1433">SUMPRODUCT(("T_B_c-ICEnga-S3"=[1]OUT_TransportEnergyCons!$A$3:$A$1000)*1,("Var_Fin"=[1]OUT_TransportEnergyCons!$B$3:$B$1000)*1,ISNUMBER(SEARCH("nga",[1]OUT_TransportEnergyCons!$C$3:$C$1000))*1,[1]OUT_TransportEnergyCons!G$3:G$1000)</f>
        <v>7.8031408823094728E-2</v>
      </c>
      <c r="J1433" s="1" cm="1">
        <f t="array" ref="J1433">SUMPRODUCT(("T_B_c-ICEnga-S3"=[1]OUT_TransportEnergyCons!$A$3:$A$1000)*1,("Var_Fin"=[1]OUT_TransportEnergyCons!$B$3:$B$1000)*1,ISNUMBER(SEARCH("nga",[1]OUT_TransportEnergyCons!$C$3:$C$1000))*1,[1]OUT_TransportEnergyCons!H$3:H$1000)</f>
        <v>1.1935204065406141E-3</v>
      </c>
      <c r="K1433" s="1" cm="1">
        <f t="array" ref="K1433">SUMPRODUCT(("T_B_c-ICEnga-S3"=[1]OUT_TransportEnergyCons!$A$3:$A$1000)*1,("Var_Fin"=[1]OUT_TransportEnergyCons!$B$3:$B$1000)*1,ISNUMBER(SEARCH("nga",[1]OUT_TransportEnergyCons!$C$3:$C$1000))*1,[1]OUT_TransportEnergyCons!I$3:I$1000)</f>
        <v>1.0230127495117374E-3</v>
      </c>
      <c r="L1433" s="1" cm="1">
        <f t="array" ref="L1433">SUMPRODUCT(("T_B_c-ICEnga-S3"=[1]OUT_TransportEnergyCons!$A$3:$A$1000)*1,("Var_Fin"=[1]OUT_TransportEnergyCons!$B$3:$B$1000)*1,ISNUMBER(SEARCH("nga",[1]OUT_TransportEnergyCons!$C$3:$C$1000))*1,[1]OUT_TransportEnergyCons!J$3:J$1000)</f>
        <v>1.2066205916053611E-3</v>
      </c>
      <c r="M1433" s="1" cm="1">
        <f t="array" ref="M1433">SUMPRODUCT(("T_B_c-ICEnga-S3"=[1]OUT_TransportEnergyCons!$A$3:$A$1000)*1,("Var_Fin"=[1]OUT_TransportEnergyCons!$B$3:$B$1000)*1,ISNUMBER(SEARCH("nga",[1]OUT_TransportEnergyCons!$C$3:$C$1000))*1,[1]OUT_TransportEnergyCons!K$3:K$1000)</f>
        <v>0</v>
      </c>
      <c r="N1433" s="1" cm="1">
        <f t="array" ref="N1433">SUMPRODUCT(("T_B_c-ICEnga-S3"=[1]OUT_TransportEnergyCons!$A$3:$A$1000)*1,("Var_Fin"=[1]OUT_TransportEnergyCons!$B$3:$B$1000)*1,ISNUMBER(SEARCH("nga",[1]OUT_TransportEnergyCons!$C$3:$C$1000))*1,[1]OUT_TransportEnergyCons!L$3:L$1000)</f>
        <v>0</v>
      </c>
      <c r="O1433" s="1" cm="1">
        <f t="array" ref="O1433">SUMPRODUCT(("T_B_c-ICEnga-S3"=[1]OUT_TransportEnergyCons!$A$3:$A$1000)*1,("Var_Fin"=[1]OUT_TransportEnergyCons!$B$3:$B$1000)*1,ISNUMBER(SEARCH("nga",[1]OUT_TransportEnergyCons!$C$3:$C$1000))*1,[1]OUT_TransportEnergyCons!M$3:M$1000)</f>
        <v>0</v>
      </c>
      <c r="P1433" s="1" cm="1">
        <f t="array" ref="P1433">SUMPRODUCT(("T_B_c-ICEnga-S3"=[1]OUT_TransportEnergyCons!$A$3:$A$1000)*1,("Var_Fin"=[1]OUT_TransportEnergyCons!$B$3:$B$1000)*1,ISNUMBER(SEARCH("nga",[1]OUT_TransportEnergyCons!$C$3:$C$1000))*1,[1]OUT_TransportEnergyCons!N$3:N$1000)</f>
        <v>0</v>
      </c>
      <c r="Q1433" s="1" cm="1">
        <f t="array" ref="Q1433">SUMPRODUCT(("T_B_c-ICEnga-S3"=[1]OUT_TransportEnergyCons!$A$3:$A$1000)*1,("Var_Fin"=[1]OUT_TransportEnergyCons!$B$3:$B$1000)*1,ISNUMBER(SEARCH("nga",[1]OUT_TransportEnergyCons!$C$3:$C$1000))*1,[1]OUT_TransportEnergyCons!O$3:O$1000)</f>
        <v>0</v>
      </c>
      <c r="S1433" s="3"/>
    </row>
    <row r="1434" spans="2:19" x14ac:dyDescent="0.5">
      <c r="B1434" s="5" t="str">
        <f t="shared" si="1571"/>
        <v>SPS1</v>
      </c>
      <c r="C1434" s="5" t="str">
        <f t="shared" si="1572"/>
        <v>CH</v>
      </c>
      <c r="D1434" t="s">
        <v>1427</v>
      </c>
      <c r="E1434" t="s">
        <v>8</v>
      </c>
      <c r="F1434" s="1" cm="1">
        <f t="array" ref="F1434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4" s="1" cm="1">
        <f t="array" ref="G1434">SUMPRODUCT(("T_B_c-ICEnga-S4"=[1]OUT_TransportEnergyCons!$A$3:$A$1000)*1,("Var_Fin"=[1]OUT_TransportEnergyCons!$B$3:$B$1000)*1,ISNUMBER(SEARCH("nga",[1]OUT_TransportEnergyCons!$C$3:$C$1000))*1,[1]OUT_TransportEnergyCons!E$3:E$1000)</f>
        <v>2.5702203793646726E-4</v>
      </c>
      <c r="H1434" s="1" cm="1">
        <f t="array" ref="H1434">SUMPRODUCT(("T_B_c-ICEnga-S4"=[1]OUT_TransportEnergyCons!$A$3:$A$1000)*1,("Var_Fin"=[1]OUT_TransportEnergyCons!$B$3:$B$1000)*1,ISNUMBER(SEARCH("nga",[1]OUT_TransportEnergyCons!$C$3:$C$1000))*1,[1]OUT_TransportEnergyCons!F$3:F$1000)</f>
        <v>1.2747412337617335E-3</v>
      </c>
      <c r="I1434" s="1" cm="1">
        <f t="array" ref="I1434">SUMPRODUCT(("T_B_c-ICEnga-S4"=[1]OUT_TransportEnergyCons!$A$3:$A$1000)*1,("Var_Fin"=[1]OUT_TransportEnergyCons!$B$3:$B$1000)*1,ISNUMBER(SEARCH("nga",[1]OUT_TransportEnergyCons!$C$3:$C$1000))*1,[1]OUT_TransportEnergyCons!G$3:G$1000)</f>
        <v>1.7269235585591037E-3</v>
      </c>
      <c r="J1434" s="1" cm="1">
        <f t="array" ref="J1434">SUMPRODUCT(("T_B_c-ICEnga-S4"=[1]OUT_TransportEnergyCons!$A$3:$A$1000)*1,("Var_Fin"=[1]OUT_TransportEnergyCons!$B$3:$B$1000)*1,ISNUMBER(SEARCH("nga",[1]OUT_TransportEnergyCons!$C$3:$C$1000))*1,[1]OUT_TransportEnergyCons!H$3:H$1000)</f>
        <v>1.0895569082592777E-3</v>
      </c>
      <c r="K1434" s="1" cm="1">
        <f t="array" ref="K1434">SUMPRODUCT(("T_B_c-ICEnga-S4"=[1]OUT_TransportEnergyCons!$A$3:$A$1000)*1,("Var_Fin"=[1]OUT_TransportEnergyCons!$B$3:$B$1000)*1,ISNUMBER(SEARCH("nga",[1]OUT_TransportEnergyCons!$C$3:$C$1000))*1,[1]OUT_TransportEnergyCons!I$3:I$1000)</f>
        <v>1.0868941920013065E-3</v>
      </c>
      <c r="L1434" s="1" cm="1">
        <f t="array" ref="L1434">SUMPRODUCT(("T_B_c-ICEnga-S4"=[1]OUT_TransportEnergyCons!$A$3:$A$1000)*1,("Var_Fin"=[1]OUT_TransportEnergyCons!$B$3:$B$1000)*1,ISNUMBER(SEARCH("nga",[1]OUT_TransportEnergyCons!$C$3:$C$1000))*1,[1]OUT_TransportEnergyCons!J$3:J$1000)</f>
        <v>9.6504854470813313E-4</v>
      </c>
      <c r="M1434" s="1" cm="1">
        <f t="array" ref="M1434">SUMPRODUCT(("T_B_c-ICEnga-S4"=[1]OUT_TransportEnergyCons!$A$3:$A$1000)*1,("Var_Fin"=[1]OUT_TransportEnergyCons!$B$3:$B$1000)*1,ISNUMBER(SEARCH("nga",[1]OUT_TransportEnergyCons!$C$3:$C$1000))*1,[1]OUT_TransportEnergyCons!K$3:K$1000)</f>
        <v>0</v>
      </c>
      <c r="N1434" s="1" cm="1">
        <f t="array" ref="N1434">SUMPRODUCT(("T_B_c-ICEnga-S4"=[1]OUT_TransportEnergyCons!$A$3:$A$1000)*1,("Var_Fin"=[1]OUT_TransportEnergyCons!$B$3:$B$1000)*1,ISNUMBER(SEARCH("nga",[1]OUT_TransportEnergyCons!$C$3:$C$1000))*1,[1]OUT_TransportEnergyCons!L$3:L$1000)</f>
        <v>0</v>
      </c>
      <c r="O1434" s="1" cm="1">
        <f t="array" ref="O1434">SUMPRODUCT(("T_B_c-ICEnga-S4"=[1]OUT_TransportEnergyCons!$A$3:$A$1000)*1,("Var_Fin"=[1]OUT_TransportEnergyCons!$B$3:$B$1000)*1,ISNUMBER(SEARCH("nga",[1]OUT_TransportEnergyCons!$C$3:$C$1000))*1,[1]OUT_TransportEnergyCons!M$3:M$1000)</f>
        <v>0</v>
      </c>
      <c r="P1434" s="1" cm="1">
        <f t="array" ref="P1434">SUMPRODUCT(("T_B_c-ICEnga-S4"=[1]OUT_TransportEnergyCons!$A$3:$A$1000)*1,("Var_Fin"=[1]OUT_TransportEnergyCons!$B$3:$B$1000)*1,ISNUMBER(SEARCH("nga",[1]OUT_TransportEnergyCons!$C$3:$C$1000))*1,[1]OUT_TransportEnergyCons!N$3:N$1000)</f>
        <v>0</v>
      </c>
      <c r="Q1434" s="1" cm="1">
        <f t="array" ref="Q1434">SUMPRODUCT(("T_B_c-ICEnga-S4"=[1]OUT_TransportEnergyCons!$A$3:$A$1000)*1,("Var_Fin"=[1]OUT_TransportEnergyCons!$B$3:$B$1000)*1,ISNUMBER(SEARCH("nga",[1]OUT_TransportEnergyCons!$C$3:$C$1000))*1,[1]OUT_TransportEnergyCons!O$3:O$1000)</f>
        <v>0</v>
      </c>
      <c r="S1434" s="3"/>
    </row>
    <row r="1435" spans="2:19" x14ac:dyDescent="0.5">
      <c r="B1435" s="5" t="str">
        <f>B1434</f>
        <v>SPS1</v>
      </c>
      <c r="C1435" s="5" t="str">
        <f>C1434</f>
        <v>CH</v>
      </c>
      <c r="D1435" s="2" t="s">
        <v>1392</v>
      </c>
      <c r="E1435" s="2" t="s">
        <v>1131</v>
      </c>
      <c r="F1435" s="3">
        <f>SUM(F1436:F1458)</f>
        <v>0.13148540695791341</v>
      </c>
      <c r="G1435" s="3">
        <f t="shared" ref="G1435" si="1603">SUM(G1436:G1458)</f>
        <v>0.13271157032789116</v>
      </c>
      <c r="H1435" s="3">
        <f t="shared" ref="H1435" si="1604">SUM(H1436:H1458)</f>
        <v>0.13414903035063414</v>
      </c>
      <c r="I1435" s="3">
        <f t="shared" ref="I1435" si="1605">SUM(I1436:I1458)</f>
        <v>0.1362670501324614</v>
      </c>
      <c r="J1435" s="3">
        <f t="shared" ref="J1435" si="1606">SUM(J1436:J1458)</f>
        <v>0.13577826514337465</v>
      </c>
      <c r="K1435" s="3">
        <f t="shared" ref="K1435" si="1607">SUM(K1436:K1458)</f>
        <v>0.13591560084332069</v>
      </c>
      <c r="L1435" s="3">
        <f t="shared" ref="L1435:O1435" si="1608">SUM(L1436:L1458)</f>
        <v>0.13636539563037381</v>
      </c>
      <c r="M1435" s="3">
        <f t="shared" si="1608"/>
        <v>0.13615201093058776</v>
      </c>
      <c r="N1435" s="3">
        <f t="shared" si="1608"/>
        <v>0.14020995533367392</v>
      </c>
      <c r="O1435" s="3">
        <f t="shared" si="1608"/>
        <v>0.14429807209295611</v>
      </c>
      <c r="P1435" s="3">
        <f>SUM(P1436:P1458)</f>
        <v>0.14827806421461451</v>
      </c>
      <c r="Q1435" s="3">
        <f>SUM(Q1436:Q1458)</f>
        <v>0.15210629647734797</v>
      </c>
      <c r="S1435" s="3"/>
    </row>
    <row r="1436" spans="2:19" x14ac:dyDescent="0.5">
      <c r="B1436" s="5" t="str">
        <f>B1435</f>
        <v>SPS1</v>
      </c>
      <c r="C1436" s="5" t="str">
        <f>C1435</f>
        <v>CH</v>
      </c>
      <c r="D1436" t="s">
        <v>1428</v>
      </c>
      <c r="E1436" t="str">
        <f>E1435</f>
        <v>billion km/yr.</v>
      </c>
      <c r="F1436" s="1" cm="1">
        <f t="array" ref="F1436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6" s="1" cm="1">
        <f t="array" ref="G1436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6" s="1" cm="1">
        <f t="array" ref="H1436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6" s="1" cm="1">
        <f t="array" ref="I1436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6" s="1" cm="1">
        <f t="array" ref="J1436">SUMPRODUCT(("T_B_c-BeVELCEXT"=[1]OUT_TransportEnergyCons!$A$3:$A$1000)*1,("var_fout"=[1]OUT_TransportEnergyCons!$B$3:$B$1000)*1,ISNUMBER(SEARCH("TPBSc",[1]OUT_TransportEnergyCons!$C$3:$C$1000))*1,[1]OUT_TransportEnergyCons!H$3:H$1000)</f>
        <v>0</v>
      </c>
      <c r="K1436" s="1" cm="1">
        <f t="array" ref="K1436">SUMPRODUCT(("T_B_c-BeVELCEXT"=[1]OUT_TransportEnergyCons!$A$3:$A$1000)*1,("var_fout"=[1]OUT_TransportEnergyCons!$B$3:$B$1000)*1,ISNUMBER(SEARCH("TPBSc",[1]OUT_TransportEnergyCons!$C$3:$C$1000))*1,[1]OUT_TransportEnergyCons!I$3:I$1000)</f>
        <v>0</v>
      </c>
      <c r="L1436" s="1" cm="1">
        <f t="array" ref="L1436">SUMPRODUCT(("T_B_c-BeVELCEXT"=[1]OUT_TransportEnergyCons!$A$3:$A$1000)*1,("var_fout"=[1]OUT_TransportEnergyCons!$B$3:$B$1000)*1,ISNUMBER(SEARCH("TPBSc",[1]OUT_TransportEnergyCons!$C$3:$C$1000))*1,[1]OUT_TransportEnergyCons!J$3:J$1000)</f>
        <v>0</v>
      </c>
      <c r="M1436" s="1" cm="1">
        <f t="array" ref="M1436">SUMPRODUCT(("T_B_c-BeVELCEXT"=[1]OUT_TransportEnergyCons!$A$3:$A$1000)*1,("var_fout"=[1]OUT_TransportEnergyCons!$B$3:$B$1000)*1,ISNUMBER(SEARCH("TPBSc",[1]OUT_TransportEnergyCons!$C$3:$C$1000))*1,[1]OUT_TransportEnergyCons!K$3:K$1000)</f>
        <v>0</v>
      </c>
      <c r="N1436" s="1" cm="1">
        <f t="array" ref="N1436">SUMPRODUCT(("T_B_c-BeVELCEXT"=[1]OUT_TransportEnergyCons!$A$3:$A$1000)*1,("var_fout"=[1]OUT_TransportEnergyCons!$B$3:$B$1000)*1,ISNUMBER(SEARCH("TPBSc",[1]OUT_TransportEnergyCons!$C$3:$C$1000))*1,[1]OUT_TransportEnergyCons!L$3:L$1000)</f>
        <v>0</v>
      </c>
      <c r="O1436" s="1" cm="1">
        <f t="array" ref="O1436">SUMPRODUCT(("T_B_c-BeVELCEXT"=[1]OUT_TransportEnergyCons!$A$3:$A$1000)*1,("var_fout"=[1]OUT_TransportEnergyCons!$B$3:$B$1000)*1,ISNUMBER(SEARCH("TPBSc",[1]OUT_TransportEnergyCons!$C$3:$C$1000))*1,[1]OUT_TransportEnergyCons!M$3:M$1000)</f>
        <v>0</v>
      </c>
      <c r="P1436" s="1" cm="1">
        <f t="array" ref="P1436">SUMPRODUCT(("T_B_c-BeVELCEXT"=[1]OUT_TransportEnergyCons!$A$3:$A$1000)*1,("var_fout"=[1]OUT_TransportEnergyCons!$B$3:$B$1000)*1,ISNUMBER(SEARCH("TPBSc",[1]OUT_TransportEnergyCons!$C$3:$C$1000))*1,[1]OUT_TransportEnergyCons!N$3:N$1000)</f>
        <v>0</v>
      </c>
      <c r="Q1436" s="1" cm="1">
        <f t="array" ref="Q1436">SUMPRODUCT(("T_B_c-BeVELCEXT"=[1]OUT_TransportEnergyCons!$A$3:$A$1000)*1,("var_fout"=[1]OUT_TransportEnergyCons!$B$3:$B$1000)*1,ISNUMBER(SEARCH("TPBSc",[1]OUT_TransportEnergyCons!$C$3:$C$1000))*1,[1]OUT_TransportEnergyCons!O$3:O$1000)</f>
        <v>0</v>
      </c>
      <c r="S1436" s="3"/>
    </row>
    <row r="1437" spans="2:19" x14ac:dyDescent="0.5">
      <c r="B1437" s="5" t="str">
        <f t="shared" ref="B1437:B1458" si="1609">B1436</f>
        <v>SPS1</v>
      </c>
      <c r="C1437" s="5" t="str">
        <f t="shared" ref="C1437:C1458" si="1610">C1436</f>
        <v>CH</v>
      </c>
      <c r="D1437" t="s">
        <v>1429</v>
      </c>
      <c r="E1437" t="str">
        <f t="shared" ref="E1437:E1458" si="1611">E1436</f>
        <v>billion km/yr.</v>
      </c>
      <c r="F1437" s="1" cm="1">
        <f t="array" ref="F1437">SUMPRODUCT(("T_B_c-BEVELC-S1"=[1]OUT_TransportEnergyCons!$A$3:$A$1000)*1,("var_fout"=[1]OUT_TransportEnergyCons!$B$3:$B$1000)*1,ISNUMBER(SEARCH("TPBSc",[1]OUT_TransportEnergyCons!$C$3:$C$1000))*1,[1]OUT_TransportEnergyCons!D$3:D$1000)</f>
        <v>2.405116154346073E-4</v>
      </c>
      <c r="G1437" s="1" cm="1">
        <f t="array" ref="G1437">SUMPRODUCT(("T_B_c-BEVELC-S1"=[1]OUT_TransportEnergyCons!$A$3:$A$1000)*1,("var_fout"=[1]OUT_TransportEnergyCons!$B$3:$B$1000)*1,ISNUMBER(SEARCH("TPBSc",[1]OUT_TransportEnergyCons!$C$3:$C$1000))*1,[1]OUT_TransportEnergyCons!E$3:E$1000)</f>
        <v>6.4878795439689979E-4</v>
      </c>
      <c r="H1437" s="1" cm="1">
        <f t="array" ref="H1437">SUMPRODUCT(("T_B_c-BEVELC-S1"=[1]OUT_TransportEnergyCons!$A$3:$A$1000)*1,("var_fout"=[1]OUT_TransportEnergyCons!$B$3:$B$1000)*1,ISNUMBER(SEARCH("TPBSc",[1]OUT_TransportEnergyCons!$C$3:$C$1000))*1,[1]OUT_TransportEnergyCons!F$3:F$1000)</f>
        <v>3.133229716179553E-2</v>
      </c>
      <c r="I1437" s="1" cm="1">
        <f t="array" ref="I1437">SUMPRODUCT(("T_B_c-BEVELC-S1"=[1]OUT_TransportEnergyCons!$A$3:$A$1000)*1,("var_fout"=[1]OUT_TransportEnergyCons!$B$3:$B$1000)*1,ISNUMBER(SEARCH("TPBSc",[1]OUT_TransportEnergyCons!$C$3:$C$1000))*1,[1]OUT_TransportEnergyCons!G$3:G$1000)</f>
        <v>6.4827487279347354E-2</v>
      </c>
      <c r="J1437" s="1" cm="1">
        <f t="array" ref="J1437">SUMPRODUCT(("T_B_c-BEVELC-S1"=[1]OUT_TransportEnergyCons!$A$3:$A$1000)*1,("var_fout"=[1]OUT_TransportEnergyCons!$B$3:$B$1000)*1,ISNUMBER(SEARCH("TPBSc",[1]OUT_TransportEnergyCons!$C$3:$C$1000))*1,[1]OUT_TransportEnergyCons!H$3:H$1000)</f>
        <v>6.4891850061261303E-2</v>
      </c>
      <c r="K1437" s="1" cm="1">
        <f t="array" ref="K1437">SUMPRODUCT(("T_B_c-BEVELC-S1"=[1]OUT_TransportEnergyCons!$A$3:$A$1000)*1,("var_fout"=[1]OUT_TransportEnergyCons!$B$3:$B$1000)*1,ISNUMBER(SEARCH("TPBSc",[1]OUT_TransportEnergyCons!$C$3:$C$1000))*1,[1]OUT_TransportEnergyCons!I$3:I$1000)</f>
        <v>6.4918664087700237E-2</v>
      </c>
      <c r="L1437" s="1" cm="1">
        <f t="array" ref="L1437">SUMPRODUCT(("T_B_c-BEVELC-S1"=[1]OUT_TransportEnergyCons!$A$3:$A$1000)*1,("var_fout"=[1]OUT_TransportEnergyCons!$B$3:$B$1000)*1,ISNUMBER(SEARCH("TPBSc",[1]OUT_TransportEnergyCons!$C$3:$C$1000))*1,[1]OUT_TransportEnergyCons!J$3:J$1000)</f>
        <v>6.504807111117808E-2</v>
      </c>
      <c r="M1437" s="1" cm="1">
        <f t="array" ref="M1437">SUMPRODUCT(("T_B_c-BEVELC-S1"=[1]OUT_TransportEnergyCons!$A$3:$A$1000)*1,("var_fout"=[1]OUT_TransportEnergyCons!$B$3:$B$1000)*1,ISNUMBER(SEARCH("TPBSc",[1]OUT_TransportEnergyCons!$C$3:$C$1000))*1,[1]OUT_TransportEnergyCons!K$3:K$1000)</f>
        <v>6.5113151761329674E-2</v>
      </c>
      <c r="N1437" s="1" cm="1">
        <f t="array" ref="N1437">SUMPRODUCT(("T_B_c-BEVELC-S1"=[1]OUT_TransportEnergyCons!$A$3:$A$1000)*1,("var_fout"=[1]OUT_TransportEnergyCons!$B$3:$B$1000)*1,ISNUMBER(SEARCH("TPBSc",[1]OUT_TransportEnergyCons!$C$3:$C$1000))*1,[1]OUT_TransportEnergyCons!L$3:L$1000)</f>
        <v>6.7247163886067107E-2</v>
      </c>
      <c r="O1437" s="1" cm="1">
        <f t="array" ref="O1437">SUMPRODUCT(("T_B_c-BEVELC-S1"=[1]OUT_TransportEnergyCons!$A$3:$A$1000)*1,("var_fout"=[1]OUT_TransportEnergyCons!$B$3:$B$1000)*1,ISNUMBER(SEARCH("TPBSc",[1]OUT_TransportEnergyCons!$C$3:$C$1000))*1,[1]OUT_TransportEnergyCons!M$3:M$1000)</f>
        <v>6.9198949886354749E-2</v>
      </c>
      <c r="P1437" s="1" cm="1">
        <f t="array" ref="P1437">SUMPRODUCT(("T_B_c-BEVELC-S1"=[1]OUT_TransportEnergyCons!$A$3:$A$1000)*1,("var_fout"=[1]OUT_TransportEnergyCons!$B$3:$B$1000)*1,ISNUMBER(SEARCH("TPBSc",[1]OUT_TransportEnergyCons!$C$3:$C$1000))*1,[1]OUT_TransportEnergyCons!N$3:N$1000)</f>
        <v>7.1112790682109628E-2</v>
      </c>
      <c r="Q1437" s="1" cm="1">
        <f t="array" ref="Q1437">SUMPRODUCT(("T_B_c-BEVELC-S1"=[1]OUT_TransportEnergyCons!$A$3:$A$1000)*1,("var_fout"=[1]OUT_TransportEnergyCons!$B$3:$B$1000)*1,ISNUMBER(SEARCH("TPBSc",[1]OUT_TransportEnergyCons!$C$3:$C$1000))*1,[1]OUT_TransportEnergyCons!O$3:O$1000)</f>
        <v>7.2861842742041966E-2</v>
      </c>
      <c r="S1437" s="3"/>
    </row>
    <row r="1438" spans="2:19" x14ac:dyDescent="0.5">
      <c r="B1438" s="5" t="str">
        <f t="shared" si="1609"/>
        <v>SPS1</v>
      </c>
      <c r="C1438" s="5" t="str">
        <f t="shared" si="1610"/>
        <v>CH</v>
      </c>
      <c r="D1438" t="s">
        <v>1430</v>
      </c>
      <c r="E1438" t="str">
        <f t="shared" si="1611"/>
        <v>billion km/yr.</v>
      </c>
      <c r="F1438" s="1" cm="1">
        <f t="array" ref="F1438">SUMPRODUCT(("T_B_c-BEVELC-S2"=[1]OUT_TransportEnergyCons!$A$3:$A$1000)*1,("var_fout"=[1]OUT_TransportEnergyCons!$B$3:$B$1000)*1,ISNUMBER(SEARCH("TPBSc",[1]OUT_TransportEnergyCons!$C$3:$C$1000))*1,[1]OUT_TransportEnergyCons!D$3:D$1000)</f>
        <v>5.6939449638660421E-4</v>
      </c>
      <c r="G1438" s="1" cm="1">
        <f t="array" ref="G1438">SUMPRODUCT(("T_B_c-BEVELC-S2"=[1]OUT_TransportEnergyCons!$A$3:$A$1000)*1,("var_fout"=[1]OUT_TransportEnergyCons!$B$3:$B$1000)*1,ISNUMBER(SEARCH("TPBSc",[1]OUT_TransportEnergyCons!$C$3:$C$1000))*1,[1]OUT_TransportEnergyCons!E$3:E$1000)</f>
        <v>1.1415593156104849E-3</v>
      </c>
      <c r="H1438" s="1" cm="1">
        <f t="array" ref="H1438">SUMPRODUCT(("T_B_c-BEVELC-S2"=[1]OUT_TransportEnergyCons!$A$3:$A$1000)*1,("var_fout"=[1]OUT_TransportEnergyCons!$B$3:$B$1000)*1,ISNUMBER(SEARCH("TPBSc",[1]OUT_TransportEnergyCons!$C$3:$C$1000))*1,[1]OUT_TransportEnergyCons!F$3:F$1000)</f>
        <v>4.0129944013969847E-2</v>
      </c>
      <c r="I1438" s="1" cm="1">
        <f t="array" ref="I1438">SUMPRODUCT(("T_B_c-BEVELC-S2"=[1]OUT_TransportEnergyCons!$A$3:$A$1000)*1,("var_fout"=[1]OUT_TransportEnergyCons!$B$3:$B$1000)*1,ISNUMBER(SEARCH("TPBSc",[1]OUT_TransportEnergyCons!$C$3:$C$1000))*1,[1]OUT_TransportEnergyCons!G$3:G$1000)</f>
        <v>5.6187093213782055E-2</v>
      </c>
      <c r="J1438" s="1" cm="1">
        <f t="array" ref="J1438">SUMPRODUCT(("T_B_c-BEVELC-S2"=[1]OUT_TransportEnergyCons!$A$3:$A$1000)*1,("var_fout"=[1]OUT_TransportEnergyCons!$B$3:$B$1000)*1,ISNUMBER(SEARCH("TPBSc",[1]OUT_TransportEnergyCons!$C$3:$C$1000))*1,[1]OUT_TransportEnergyCons!H$3:H$1000)</f>
        <v>5.7564239183459376E-2</v>
      </c>
      <c r="K1438" s="1" cm="1">
        <f t="array" ref="K1438">SUMPRODUCT(("T_B_c-BEVELC-S2"=[1]OUT_TransportEnergyCons!$A$3:$A$1000)*1,("var_fout"=[1]OUT_TransportEnergyCons!$B$3:$B$1000)*1,ISNUMBER(SEARCH("TPBSc",[1]OUT_TransportEnergyCons!$C$3:$C$1000))*1,[1]OUT_TransportEnergyCons!I$3:I$1000)</f>
        <v>5.7603094134814216E-2</v>
      </c>
      <c r="L1438" s="1" cm="1">
        <f t="array" ref="L1438">SUMPRODUCT(("T_B_c-BEVELC-S2"=[1]OUT_TransportEnergyCons!$A$3:$A$1000)*1,("var_fout"=[1]OUT_TransportEnergyCons!$B$3:$B$1000)*1,ISNUMBER(SEARCH("TPBSc",[1]OUT_TransportEnergyCons!$C$3:$C$1000))*1,[1]OUT_TransportEnergyCons!J$3:J$1000)</f>
        <v>5.7167162139094403E-2</v>
      </c>
      <c r="M1438" s="1" cm="1">
        <f t="array" ref="M1438">SUMPRODUCT(("T_B_c-BEVELC-S2"=[1]OUT_TransportEnergyCons!$A$3:$A$1000)*1,("var_fout"=[1]OUT_TransportEnergyCons!$B$3:$B$1000)*1,ISNUMBER(SEARCH("TPBSc",[1]OUT_TransportEnergyCons!$C$3:$C$1000))*1,[1]OUT_TransportEnergyCons!K$3:K$1000)</f>
        <v>5.7282933594744102E-2</v>
      </c>
      <c r="N1438" s="1" cm="1">
        <f t="array" ref="N1438">SUMPRODUCT(("T_B_c-BEVELC-S2"=[1]OUT_TransportEnergyCons!$A$3:$A$1000)*1,("var_fout"=[1]OUT_TransportEnergyCons!$B$3:$B$1000)*1,ISNUMBER(SEARCH("TPBSc",[1]OUT_TransportEnergyCons!$C$3:$C$1000))*1,[1]OUT_TransportEnergyCons!L$3:L$1000)</f>
        <v>5.9713839894475366E-2</v>
      </c>
      <c r="O1438" s="1" cm="1">
        <f t="array" ref="O1438">SUMPRODUCT(("T_B_c-BEVELC-S2"=[1]OUT_TransportEnergyCons!$A$3:$A$1000)*1,("var_fout"=[1]OUT_TransportEnergyCons!$B$3:$B$1000)*1,ISNUMBER(SEARCH("TPBSc",[1]OUT_TransportEnergyCons!$C$3:$C$1000))*1,[1]OUT_TransportEnergyCons!M$3:M$1000)</f>
        <v>6.1480378344326049E-2</v>
      </c>
      <c r="P1438" s="1" cm="1">
        <f t="array" ref="P1438">SUMPRODUCT(("T_B_c-BEVELC-S2"=[1]OUT_TransportEnergyCons!$A$3:$A$1000)*1,("var_fout"=[1]OUT_TransportEnergyCons!$B$3:$B$1000)*1,ISNUMBER(SEARCH("TPBSc",[1]OUT_TransportEnergyCons!$C$3:$C$1000))*1,[1]OUT_TransportEnergyCons!N$3:N$1000)</f>
        <v>6.3180552603469581E-2</v>
      </c>
      <c r="Q1438" s="1" cm="1">
        <f t="array" ref="Q1438">SUMPRODUCT(("T_B_c-BEVELC-S2"=[1]OUT_TransportEnergyCons!$A$3:$A$1000)*1,("var_fout"=[1]OUT_TransportEnergyCons!$B$3:$B$1000)*1,ISNUMBER(SEARCH("TPBSc",[1]OUT_TransportEnergyCons!$C$3:$C$1000))*1,[1]OUT_TransportEnergyCons!O$3:O$1000)</f>
        <v>6.4813623924713903E-2</v>
      </c>
      <c r="S1438" s="3"/>
    </row>
    <row r="1439" spans="2:19" x14ac:dyDescent="0.5">
      <c r="B1439" s="5" t="str">
        <f t="shared" si="1609"/>
        <v>SPS1</v>
      </c>
      <c r="C1439" s="5" t="str">
        <f t="shared" si="1610"/>
        <v>CH</v>
      </c>
      <c r="D1439" t="s">
        <v>1431</v>
      </c>
      <c r="E1439" t="str">
        <f t="shared" si="1611"/>
        <v>billion km/yr.</v>
      </c>
      <c r="F1439" s="1" cm="1">
        <f t="array" ref="F1439">SUMPRODUCT(("T_B_c-BEVELC-S3"=[1]OUT_TransportEnergyCons!$A$3:$A$1000)*1,("var_fout"=[1]OUT_TransportEnergyCons!$B$3:$B$1000)*1,ISNUMBER(SEARCH("TPBSc",[1]OUT_TransportEnergyCons!$C$3:$C$1000))*1,[1]OUT_TransportEnergyCons!D$3:D$1000)</f>
        <v>1.8229072330037306E-4</v>
      </c>
      <c r="G1439" s="1" cm="1">
        <f t="array" ref="G1439">SUMPRODUCT(("T_B_c-BEVELC-S3"=[1]OUT_TransportEnergyCons!$A$3:$A$1000)*1,("var_fout"=[1]OUT_TransportEnergyCons!$B$3:$B$1000)*1,ISNUMBER(SEARCH("TPBSc",[1]OUT_TransportEnergyCons!$C$3:$C$1000))*1,[1]OUT_TransportEnergyCons!E$3:E$1000)</f>
        <v>3.8268556002010886E-4</v>
      </c>
      <c r="H1439" s="1" cm="1">
        <f t="array" ref="H1439">SUMPRODUCT(("T_B_c-BEVELC-S3"=[1]OUT_TransportEnergyCons!$A$3:$A$1000)*1,("var_fout"=[1]OUT_TransportEnergyCons!$B$3:$B$1000)*1,ISNUMBER(SEARCH("TPBSc",[1]OUT_TransportEnergyCons!$C$3:$C$1000))*1,[1]OUT_TransportEnergyCons!F$3:F$1000)</f>
        <v>5.8943023975450352E-4</v>
      </c>
      <c r="I1439" s="1" cm="1">
        <f t="array" ref="I1439">SUMPRODUCT(("T_B_c-BEVELC-S3"=[1]OUT_TransportEnergyCons!$A$3:$A$1000)*1,("var_fout"=[1]OUT_TransportEnergyCons!$B$3:$B$1000)*1,ISNUMBER(SEARCH("TPBSc",[1]OUT_TransportEnergyCons!$C$3:$C$1000))*1,[1]OUT_TransportEnergyCons!G$3:G$1000)</f>
        <v>6.9846378869986461E-4</v>
      </c>
      <c r="J1439" s="1" cm="1">
        <f t="array" ref="J1439">SUMPRODUCT(("T_B_c-BEVELC-S3"=[1]OUT_TransportEnergyCons!$A$3:$A$1000)*1,("var_fout"=[1]OUT_TransportEnergyCons!$B$3:$B$1000)*1,ISNUMBER(SEARCH("TPBSc",[1]OUT_TransportEnergyCons!$C$3:$C$1000))*1,[1]OUT_TransportEnergyCons!H$3:H$1000)</f>
        <v>9.8205941524111186E-3</v>
      </c>
      <c r="K1439" s="1" cm="1">
        <f t="array" ref="K1439">SUMPRODUCT(("T_B_c-BEVELC-S3"=[1]OUT_TransportEnergyCons!$A$3:$A$1000)*1,("var_fout"=[1]OUT_TransportEnergyCons!$B$3:$B$1000)*1,ISNUMBER(SEARCH("TPBSc",[1]OUT_TransportEnergyCons!$C$3:$C$1000))*1,[1]OUT_TransportEnergyCons!I$3:I$1000)</f>
        <v>1.2254388583652116E-2</v>
      </c>
      <c r="L1439" s="1" cm="1">
        <f t="array" ref="L1439">SUMPRODUCT(("T_B_c-BEVELC-S3"=[1]OUT_TransportEnergyCons!$A$3:$A$1000)*1,("var_fout"=[1]OUT_TransportEnergyCons!$B$3:$B$1000)*1,ISNUMBER(SEARCH("TPBSc",[1]OUT_TransportEnergyCons!$C$3:$C$1000))*1,[1]OUT_TransportEnergyCons!J$3:J$1000)</f>
        <v>1.2346029185985008E-2</v>
      </c>
      <c r="M1439" s="1" cm="1">
        <f t="array" ref="M1439">SUMPRODUCT(("T_B_c-BEVELC-S3"=[1]OUT_TransportEnergyCons!$A$3:$A$1000)*1,("var_fout"=[1]OUT_TransportEnergyCons!$B$3:$B$1000)*1,ISNUMBER(SEARCH("TPBSc",[1]OUT_TransportEnergyCons!$C$3:$C$1000))*1,[1]OUT_TransportEnergyCons!K$3:K$1000)</f>
        <v>1.2408637190181315E-2</v>
      </c>
      <c r="N1439" s="1" cm="1">
        <f t="array" ref="N1439">SUMPRODUCT(("T_B_c-BEVELC-S3"=[1]OUT_TransportEnergyCons!$A$3:$A$1000)*1,("var_fout"=[1]OUT_TransportEnergyCons!$B$3:$B$1000)*1,ISNUMBER(SEARCH("TPBSc",[1]OUT_TransportEnergyCons!$C$3:$C$1000))*1,[1]OUT_TransportEnergyCons!L$3:L$1000)</f>
        <v>1.2822826548282063E-2</v>
      </c>
      <c r="O1439" s="1" cm="1">
        <f t="array" ref="O1439">SUMPRODUCT(("T_B_c-BEVELC-S3"=[1]OUT_TransportEnergyCons!$A$3:$A$1000)*1,("var_fout"=[1]OUT_TransportEnergyCons!$B$3:$B$1000)*1,ISNUMBER(SEARCH("TPBSc",[1]OUT_TransportEnergyCons!$C$3:$C$1000))*1,[1]OUT_TransportEnergyCons!M$3:M$1000)</f>
        <v>1.3178004143831728E-2</v>
      </c>
      <c r="P1439" s="1" cm="1">
        <f t="array" ref="P1439">SUMPRODUCT(("T_B_c-BEVELC-S3"=[1]OUT_TransportEnergyCons!$A$3:$A$1000)*1,("var_fout"=[1]OUT_TransportEnergyCons!$B$3:$B$1000)*1,ISNUMBER(SEARCH("TPBSc",[1]OUT_TransportEnergyCons!$C$3:$C$1000))*1,[1]OUT_TransportEnergyCons!N$3:N$1000)</f>
        <v>1.3542288412593036E-2</v>
      </c>
      <c r="Q1439" s="1" cm="1">
        <f t="array" ref="Q1439">SUMPRODUCT(("T_B_c-BEVELC-S3"=[1]OUT_TransportEnergyCons!$A$3:$A$1000)*1,("var_fout"=[1]OUT_TransportEnergyCons!$B$3:$B$1000)*1,ISNUMBER(SEARCH("TPBSc",[1]OUT_TransportEnergyCons!$C$3:$C$1000))*1,[1]OUT_TransportEnergyCons!O$3:O$1000)</f>
        <v>1.3891616131433722E-2</v>
      </c>
      <c r="S1439" s="3"/>
    </row>
    <row r="1440" spans="2:19" x14ac:dyDescent="0.5">
      <c r="B1440" s="5" t="str">
        <f t="shared" si="1609"/>
        <v>SPS1</v>
      </c>
      <c r="C1440" s="5" t="str">
        <f t="shared" si="1610"/>
        <v>CH</v>
      </c>
      <c r="D1440" t="s">
        <v>1432</v>
      </c>
      <c r="E1440" t="str">
        <f t="shared" si="1611"/>
        <v>billion km/yr.</v>
      </c>
      <c r="F1440" s="1" cm="1">
        <f t="array" ref="F1440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SUMPRODUCT(("T_B_c-BEVELC-S4"=[1]OUT_TransportEnergyCons!$A$3:$A$1000)*1,("var_fout"=[1]OUT_TransportEnergyCons!$B$3:$B$1000)*1,ISNUMBER(SEARCH("TPBSc",[1]OUT_TransportEnergyCons!$C$3:$C$1000))*1,[1]OUT_TransportEnergyCons!E$3:E$1000)</f>
        <v>3.0667387109214905E-5</v>
      </c>
      <c r="H1440" s="1" cm="1">
        <f t="array" ref="H1440">SUMPRODUCT(("T_B_c-BEVELC-S4"=[1]OUT_TransportEnergyCons!$A$3:$A$1000)*1,("var_fout"=[1]OUT_TransportEnergyCons!$B$3:$B$1000)*1,ISNUMBER(SEARCH("TPBSc",[1]OUT_TransportEnergyCons!$C$3:$C$1000))*1,[1]OUT_TransportEnergyCons!F$3:F$1000)</f>
        <v>1.0206275582541818E-4</v>
      </c>
      <c r="I1440" s="1" cm="1">
        <f t="array" ref="I1440">SUMPRODUCT(("T_B_c-BEVELC-S4"=[1]OUT_TransportEnergyCons!$A$3:$A$1000)*1,("var_fout"=[1]OUT_TransportEnergyCons!$B$3:$B$1000)*1,ISNUMBER(SEARCH("TPBSc",[1]OUT_TransportEnergyCons!$C$3:$C$1000))*1,[1]OUT_TransportEnergyCons!G$3:G$1000)</f>
        <v>8.4961393174668782E-5</v>
      </c>
      <c r="J1440" s="1" cm="1">
        <f t="array" ref="J1440">SUMPRODUCT(("T_B_c-BEVELC-S4"=[1]OUT_TransportEnergyCons!$A$3:$A$1000)*1,("var_fout"=[1]OUT_TransportEnergyCons!$B$3:$B$1000)*1,ISNUMBER(SEARCH("TPBSc",[1]OUT_TransportEnergyCons!$C$3:$C$1000))*1,[1]OUT_TransportEnergyCons!H$3:H$1000)</f>
        <v>8.666649853461409E-5</v>
      </c>
      <c r="K1440" s="1" cm="1">
        <f t="array" ref="K1440">SUMPRODUCT(("T_B_c-BEVELC-S4"=[1]OUT_TransportEnergyCons!$A$3:$A$1000)*1,("var_fout"=[1]OUT_TransportEnergyCons!$B$3:$B$1000)*1,ISNUMBER(SEARCH("TPBSc",[1]OUT_TransportEnergyCons!$C$3:$C$1000))*1,[1]OUT_TransportEnergyCons!I$3:I$1000)</f>
        <v>1.0007605675394891E-4</v>
      </c>
      <c r="L1440" s="1" cm="1">
        <f t="array" ref="L1440">SUMPRODUCT(("T_B_c-BEVELC-S4"=[1]OUT_TransportEnergyCons!$A$3:$A$1000)*1,("var_fout"=[1]OUT_TransportEnergyCons!$B$3:$B$1000)*1,ISNUMBER(SEARCH("TPBSc",[1]OUT_TransportEnergyCons!$C$3:$C$1000))*1,[1]OUT_TransportEnergyCons!J$3:J$1000)</f>
        <v>9.9483217446489508E-5</v>
      </c>
      <c r="M1440" s="1" cm="1">
        <f t="array" ref="M1440">SUMPRODUCT(("T_B_c-BEVELC-S4"=[1]OUT_TransportEnergyCons!$A$3:$A$1000)*1,("var_fout"=[1]OUT_TransportEnergyCons!$B$3:$B$1000)*1,ISNUMBER(SEARCH("TPBSc",[1]OUT_TransportEnergyCons!$C$3:$C$1000))*1,[1]OUT_TransportEnergyCons!K$3:K$1000)</f>
        <v>1.5087200159356952E-4</v>
      </c>
      <c r="N1440" s="1" cm="1">
        <f t="array" ref="N1440">SUMPRODUCT(("T_B_c-BEVELC-S4"=[1]OUT_TransportEnergyCons!$A$3:$A$1000)*1,("var_fout"=[1]OUT_TransportEnergyCons!$B$3:$B$1000)*1,ISNUMBER(SEARCH("TPBSc",[1]OUT_TransportEnergyCons!$C$3:$C$1000))*1,[1]OUT_TransportEnergyCons!L$3:L$1000)</f>
        <v>1.2628196588657225E-4</v>
      </c>
      <c r="O1440" s="1" cm="1">
        <f t="array" ref="O1440">SUMPRODUCT(("T_B_c-BEVELC-S4"=[1]OUT_TransportEnergyCons!$A$3:$A$1000)*1,("var_fout"=[1]OUT_TransportEnergyCons!$B$3:$B$1000)*1,ISNUMBER(SEARCH("TPBSc",[1]OUT_TransportEnergyCons!$C$3:$C$1000))*1,[1]OUT_TransportEnergyCons!M$3:M$1000)</f>
        <v>1.6784463155889359E-4</v>
      </c>
      <c r="P1440" s="1" cm="1">
        <f t="array" ref="P1440">SUMPRODUCT(("T_B_c-BEVELC-S4"=[1]OUT_TransportEnergyCons!$A$3:$A$1000)*1,("var_fout"=[1]OUT_TransportEnergyCons!$B$3:$B$1000)*1,ISNUMBER(SEARCH("TPBSc",[1]OUT_TransportEnergyCons!$C$3:$C$1000))*1,[1]OUT_TransportEnergyCons!N$3:N$1000)</f>
        <v>1.686301509461083E-4</v>
      </c>
      <c r="Q1440" s="1" cm="1">
        <f t="array" ref="Q1440">SUMPRODUCT(("T_B_c-BEVELC-S4"=[1]OUT_TransportEnergyCons!$A$3:$A$1000)*1,("var_fout"=[1]OUT_TransportEnergyCons!$B$3:$B$1000)*1,ISNUMBER(SEARCH("TPBSc",[1]OUT_TransportEnergyCons!$C$3:$C$1000))*1,[1]OUT_TransportEnergyCons!O$3:O$1000)</f>
        <v>2.6018559445268924E-4</v>
      </c>
      <c r="S1440" s="3"/>
    </row>
    <row r="1441" spans="2:19" x14ac:dyDescent="0.5">
      <c r="B1441" s="5" t="str">
        <f t="shared" si="1609"/>
        <v>SPS1</v>
      </c>
      <c r="C1441" s="5" t="str">
        <f t="shared" si="1610"/>
        <v>CH</v>
      </c>
      <c r="D1441" t="s">
        <v>1433</v>
      </c>
      <c r="E1441" t="str">
        <f t="shared" si="1611"/>
        <v>billion km/yr.</v>
      </c>
      <c r="F1441" s="1" cm="1">
        <f t="array" ref="F1441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SUMPRODUCT(("T_B_c-FCLH2O-S1"=[1]OUT_TransportEnergyCons!$A$3:$A$1000)*1,("var_fout"=[1]OUT_TransportEnergyCons!$B$3:$B$1000)*1,ISNUMBER(SEARCH("TPBSc",[1]OUT_TransportEnergyCons!$C$3:$C$1000))*1,[1]OUT_TransportEnergyCons!G$3:G$1000)</f>
        <v>3.7094633352250163E-5</v>
      </c>
      <c r="J1441" s="1" cm="1">
        <f t="array" ref="J1441">SUMPRODUCT(("T_B_c-FCLH2O-S1"=[1]OUT_TransportEnergyCons!$A$3:$A$1000)*1,("var_fout"=[1]OUT_TransportEnergyCons!$B$3:$B$1000)*1,ISNUMBER(SEARCH("TPBSc",[1]OUT_TransportEnergyCons!$C$3:$C$1000))*1,[1]OUT_TransportEnergyCons!H$3:H$1000)</f>
        <v>5.7128407924307606E-5</v>
      </c>
      <c r="K1441" s="1" cm="1">
        <f t="array" ref="K1441">SUMPRODUCT(("T_B_c-FCLH2O-S1"=[1]OUT_TransportEnergyCons!$A$3:$A$1000)*1,("var_fout"=[1]OUT_TransportEnergyCons!$B$3:$B$1000)*1,ISNUMBER(SEARCH("TPBSc",[1]OUT_TransportEnergyCons!$C$3:$C$1000))*1,[1]OUT_TransportEnergyCons!I$3:I$1000)</f>
        <v>8.0950589137401924E-5</v>
      </c>
      <c r="L1441" s="1" cm="1">
        <f t="array" ref="L1441">SUMPRODUCT(("T_B_c-FCLH2O-S1"=[1]OUT_TransportEnergyCons!$A$3:$A$1000)*1,("var_fout"=[1]OUT_TransportEnergyCons!$B$3:$B$1000)*1,ISNUMBER(SEARCH("TPBSc",[1]OUT_TransportEnergyCons!$C$3:$C$1000))*1,[1]OUT_TransportEnergyCons!J$3:J$1000)</f>
        <v>8.4066845552120377E-5</v>
      </c>
      <c r="M1441" s="1" cm="1">
        <f t="array" ref="M1441">SUMPRODUCT(("T_B_c-FCLH2O-S1"=[1]OUT_TransportEnergyCons!$A$3:$A$1000)*1,("var_fout"=[1]OUT_TransportEnergyCons!$B$3:$B$1000)*1,ISNUMBER(SEARCH("TPBSc",[1]OUT_TransportEnergyCons!$C$3:$C$1000))*1,[1]OUT_TransportEnergyCons!K$3:K$1000)</f>
        <v>8.5210866614845185E-5</v>
      </c>
      <c r="N1441" s="1" cm="1">
        <f t="array" ref="N1441">SUMPRODUCT(("T_B_c-FCLH2O-S1"=[1]OUT_TransportEnergyCons!$A$3:$A$1000)*1,("var_fout"=[1]OUT_TransportEnergyCons!$B$3:$B$1000)*1,ISNUMBER(SEARCH("TPBSc",[1]OUT_TransportEnergyCons!$C$3:$C$1000))*1,[1]OUT_TransportEnergyCons!L$3:L$1000)</f>
        <v>8.3767012884330375E-5</v>
      </c>
      <c r="O1441" s="1" cm="1">
        <f t="array" ref="O1441">SUMPRODUCT(("T_B_c-FCLH2O-S1"=[1]OUT_TransportEnergyCons!$A$3:$A$1000)*1,("var_fout"=[1]OUT_TransportEnergyCons!$B$3:$B$1000)*1,ISNUMBER(SEARCH("TPBSc",[1]OUT_TransportEnergyCons!$C$3:$C$1000))*1,[1]OUT_TransportEnergyCons!M$3:M$1000)</f>
        <v>8.4083846636826579E-5</v>
      </c>
      <c r="P1441" s="1" cm="1">
        <f t="array" ref="P1441">SUMPRODUCT(("T_B_c-FCLH2O-S1"=[1]OUT_TransportEnergyCons!$A$3:$A$1000)*1,("var_fout"=[1]OUT_TransportEnergyCons!$B$3:$B$1000)*1,ISNUMBER(SEARCH("TPBSc",[1]OUT_TransportEnergyCons!$C$3:$C$1000))*1,[1]OUT_TransportEnergyCons!N$3:N$1000)</f>
        <v>8.3557688337922658E-5</v>
      </c>
      <c r="Q1441" s="1" cm="1">
        <f t="array" ref="Q1441">SUMPRODUCT(("T_B_c-FCLH2O-S1"=[1]OUT_TransportEnergyCons!$A$3:$A$1000)*1,("var_fout"=[1]OUT_TransportEnergyCons!$B$3:$B$1000)*1,ISNUMBER(SEARCH("TPBSc",[1]OUT_TransportEnergyCons!$C$3:$C$1000))*1,[1]OUT_TransportEnergyCons!O$3:O$1000)</f>
        <v>8.53811813745127E-5</v>
      </c>
      <c r="S1441" s="3"/>
    </row>
    <row r="1442" spans="2:19" x14ac:dyDescent="0.5">
      <c r="B1442" s="5" t="str">
        <f t="shared" si="1609"/>
        <v>SPS1</v>
      </c>
      <c r="C1442" s="5" t="str">
        <f t="shared" si="1610"/>
        <v>CH</v>
      </c>
      <c r="D1442" t="s">
        <v>1434</v>
      </c>
      <c r="E1442" t="str">
        <f t="shared" si="1611"/>
        <v>billion km/yr.</v>
      </c>
      <c r="F1442" s="1" cm="1">
        <f t="array" ref="F1442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SUMPRODUCT(("T_B_c-FCLH2O-S2"=[1]OUT_TransportEnergyCons!$A$3:$A$1000)*1,("var_fout"=[1]OUT_TransportEnergyCons!$B$3:$B$1000)*1,ISNUMBER(SEARCH("TPBSc",[1]OUT_TransportEnergyCons!$C$3:$C$1000))*1,[1]OUT_TransportEnergyCons!G$3:G$1000)</f>
        <v>3.5976990793663472E-5</v>
      </c>
      <c r="J1442" s="1" cm="1">
        <f t="array" ref="J1442">SUMPRODUCT(("T_B_c-FCLH2O-S2"=[1]OUT_TransportEnergyCons!$A$3:$A$1000)*1,("var_fout"=[1]OUT_TransportEnergyCons!$B$3:$B$1000)*1,ISNUMBER(SEARCH("TPBSc",[1]OUT_TransportEnergyCons!$C$3:$C$1000))*1,[1]OUT_TransportEnergyCons!H$3:H$1000)</f>
        <v>6.2020030792035336E-5</v>
      </c>
      <c r="K1442" s="1" cm="1">
        <f t="array" ref="K1442">SUMPRODUCT(("T_B_c-FCLH2O-S2"=[1]OUT_TransportEnergyCons!$A$3:$A$1000)*1,("var_fout"=[1]OUT_TransportEnergyCons!$B$3:$B$1000)*1,ISNUMBER(SEARCH("TPBSc",[1]OUT_TransportEnergyCons!$C$3:$C$1000))*1,[1]OUT_TransportEnergyCons!I$3:I$1000)</f>
        <v>8.5571880849345461E-5</v>
      </c>
      <c r="L1442" s="1" cm="1">
        <f t="array" ref="L1442">SUMPRODUCT(("T_B_c-FCLH2O-S2"=[1]OUT_TransportEnergyCons!$A$3:$A$1000)*1,("var_fout"=[1]OUT_TransportEnergyCons!$B$3:$B$1000)*1,ISNUMBER(SEARCH("TPBSc",[1]OUT_TransportEnergyCons!$C$3:$C$1000))*1,[1]OUT_TransportEnergyCons!J$3:J$1000)</f>
        <v>8.5446216775962843E-5</v>
      </c>
      <c r="M1442" s="1" cm="1">
        <f t="array" ref="M1442">SUMPRODUCT(("T_B_c-FCLH2O-S2"=[1]OUT_TransportEnergyCons!$A$3:$A$1000)*1,("var_fout"=[1]OUT_TransportEnergyCons!$B$3:$B$1000)*1,ISNUMBER(SEARCH("TPBSc",[1]OUT_TransportEnergyCons!$C$3:$C$1000))*1,[1]OUT_TransportEnergyCons!K$3:K$1000)</f>
        <v>8.6302482092760584E-5</v>
      </c>
      <c r="N1442" s="1" cm="1">
        <f t="array" ref="N1442">SUMPRODUCT(("T_B_c-FCLH2O-S2"=[1]OUT_TransportEnergyCons!$A$3:$A$1000)*1,("var_fout"=[1]OUT_TransportEnergyCons!$B$3:$B$1000)*1,ISNUMBER(SEARCH("TPBSc",[1]OUT_TransportEnergyCons!$C$3:$C$1000))*1,[1]OUT_TransportEnergyCons!L$3:L$1000)</f>
        <v>8.7245570346778644E-5</v>
      </c>
      <c r="O1442" s="1" cm="1">
        <f t="array" ref="O1442">SUMPRODUCT(("T_B_c-FCLH2O-S2"=[1]OUT_TransportEnergyCons!$A$3:$A$1000)*1,("var_fout"=[1]OUT_TransportEnergyCons!$B$3:$B$1000)*1,ISNUMBER(SEARCH("TPBSc",[1]OUT_TransportEnergyCons!$C$3:$C$1000))*1,[1]OUT_TransportEnergyCons!M$3:M$1000)</f>
        <v>8.710203197904358E-5</v>
      </c>
      <c r="P1442" s="1" cm="1">
        <f t="array" ref="P1442">SUMPRODUCT(("T_B_c-FCLH2O-S2"=[1]OUT_TransportEnergyCons!$A$3:$A$1000)*1,("var_fout"=[1]OUT_TransportEnergyCons!$B$3:$B$1000)*1,ISNUMBER(SEARCH("TPBSc",[1]OUT_TransportEnergyCons!$C$3:$C$1000))*1,[1]OUT_TransportEnergyCons!N$3:N$1000)</f>
        <v>8.6574184888558255E-5</v>
      </c>
      <c r="Q1442" s="1" cm="1">
        <f t="array" ref="Q1442">SUMPRODUCT(("T_B_c-FCLH2O-S2"=[1]OUT_TransportEnergyCons!$A$3:$A$1000)*1,("var_fout"=[1]OUT_TransportEnergyCons!$B$3:$B$1000)*1,ISNUMBER(SEARCH("TPBSc",[1]OUT_TransportEnergyCons!$C$3:$C$1000))*1,[1]OUT_TransportEnergyCons!O$3:O$1000)</f>
        <v>8.8887438582231979E-5</v>
      </c>
      <c r="S1442" s="3"/>
    </row>
    <row r="1443" spans="2:19" x14ac:dyDescent="0.5">
      <c r="B1443" s="5" t="str">
        <f t="shared" si="1609"/>
        <v>SPS1</v>
      </c>
      <c r="C1443" s="5" t="str">
        <f t="shared" si="1610"/>
        <v>CH</v>
      </c>
      <c r="D1443" t="s">
        <v>1435</v>
      </c>
      <c r="E1443" t="str">
        <f t="shared" si="1611"/>
        <v>billion km/yr.</v>
      </c>
      <c r="F1443" s="1" cm="1">
        <f t="array" ref="F1443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3" s="1" cm="1">
        <f t="array" ref="H1443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3" s="1" cm="1">
        <f t="array" ref="I1443">SUMPRODUCT(("T_B_c-FCLH2O-S3"=[1]OUT_TransportEnergyCons!$A$3:$A$1000)*1,("var_fout"=[1]OUT_TransportEnergyCons!$B$3:$B$1000)*1,ISNUMBER(SEARCH("TPBSc",[1]OUT_TransportEnergyCons!$C$3:$C$1000))*1,[1]OUT_TransportEnergyCons!G$3:G$1000)</f>
        <v>2.9200463176470873E-5</v>
      </c>
      <c r="J1443" s="1" cm="1">
        <f t="array" ref="J1443">SUMPRODUCT(("T_B_c-FCLH2O-S3"=[1]OUT_TransportEnergyCons!$A$3:$A$1000)*1,("var_fout"=[1]OUT_TransportEnergyCons!$B$3:$B$1000)*1,ISNUMBER(SEARCH("TPBSc",[1]OUT_TransportEnergyCons!$C$3:$C$1000))*1,[1]OUT_TransportEnergyCons!H$3:H$1000)</f>
        <v>5.9507230017894818E-5</v>
      </c>
      <c r="K1443" s="1" cm="1">
        <f t="array" ref="K1443">SUMPRODUCT(("T_B_c-FCLH2O-S3"=[1]OUT_TransportEnergyCons!$A$3:$A$1000)*1,("var_fout"=[1]OUT_TransportEnergyCons!$B$3:$B$1000)*1,ISNUMBER(SEARCH("TPBSc",[1]OUT_TransportEnergyCons!$C$3:$C$1000))*1,[1]OUT_TransportEnergyCons!I$3:I$1000)</f>
        <v>5.6483324894061058E-5</v>
      </c>
      <c r="L1443" s="1" cm="1">
        <f t="array" ref="L1443">SUMPRODUCT(("T_B_c-FCLH2O-S3"=[1]OUT_TransportEnergyCons!$A$3:$A$1000)*1,("var_fout"=[1]OUT_TransportEnergyCons!$B$3:$B$1000)*1,ISNUMBER(SEARCH("TPBSc",[1]OUT_TransportEnergyCons!$C$3:$C$1000))*1,[1]OUT_TransportEnergyCons!J$3:J$1000)</f>
        <v>7.8857861750518282E-5</v>
      </c>
      <c r="M1443" s="1" cm="1">
        <f t="array" ref="M1443">SUMPRODUCT(("T_B_c-FCLH2O-S3"=[1]OUT_TransportEnergyCons!$A$3:$A$1000)*1,("var_fout"=[1]OUT_TransportEnergyCons!$B$3:$B$1000)*1,ISNUMBER(SEARCH("TPBSc",[1]OUT_TransportEnergyCons!$C$3:$C$1000))*1,[1]OUT_TransportEnergyCons!K$3:K$1000)</f>
        <v>5.4313405745362222E-5</v>
      </c>
      <c r="N1443" s="1" cm="1">
        <f t="array" ref="N1443">SUMPRODUCT(("T_B_c-FCLH2O-S3"=[1]OUT_TransportEnergyCons!$A$3:$A$1000)*1,("var_fout"=[1]OUT_TransportEnergyCons!$B$3:$B$1000)*1,ISNUMBER(SEARCH("TPBSc",[1]OUT_TransportEnergyCons!$C$3:$C$1000))*1,[1]OUT_TransportEnergyCons!L$3:L$1000)</f>
        <v>7.9650142347913064E-5</v>
      </c>
      <c r="O1443" s="1" cm="1">
        <f t="array" ref="O1443">SUMPRODUCT(("T_B_c-FCLH2O-S3"=[1]OUT_TransportEnergyCons!$A$3:$A$1000)*1,("var_fout"=[1]OUT_TransportEnergyCons!$B$3:$B$1000)*1,ISNUMBER(SEARCH("TPBSc",[1]OUT_TransportEnergyCons!$C$3:$C$1000))*1,[1]OUT_TransportEnergyCons!M$3:M$1000)</f>
        <v>5.4874823744112957E-5</v>
      </c>
      <c r="P1443" s="1" cm="1">
        <f t="array" ref="P1443">SUMPRODUCT(("T_B_c-FCLH2O-S3"=[1]OUT_TransportEnergyCons!$A$3:$A$1000)*1,("var_fout"=[1]OUT_TransportEnergyCons!$B$3:$B$1000)*1,ISNUMBER(SEARCH("TPBSc",[1]OUT_TransportEnergyCons!$C$3:$C$1000))*1,[1]OUT_TransportEnergyCons!N$3:N$1000)</f>
        <v>5.4462367767649303E-5</v>
      </c>
      <c r="Q1443" s="1" cm="1">
        <f t="array" ref="Q1443">SUMPRODUCT(("T_B_c-FCLH2O-S3"=[1]OUT_TransportEnergyCons!$A$3:$A$1000)*1,("var_fout"=[1]OUT_TransportEnergyCons!$B$3:$B$1000)*1,ISNUMBER(SEARCH("TPBSc",[1]OUT_TransportEnergyCons!$C$3:$C$1000))*1,[1]OUT_TransportEnergyCons!O$3:O$1000)</f>
        <v>5.5459264016883373E-5</v>
      </c>
      <c r="S1443" s="3"/>
    </row>
    <row r="1444" spans="2:19" x14ac:dyDescent="0.5">
      <c r="B1444" s="5" t="str">
        <f t="shared" si="1609"/>
        <v>SPS1</v>
      </c>
      <c r="C1444" s="5" t="str">
        <f t="shared" si="1610"/>
        <v>CH</v>
      </c>
      <c r="D1444" t="s">
        <v>1436</v>
      </c>
      <c r="E1444" t="str">
        <f t="shared" si="1611"/>
        <v>billion km/yr.</v>
      </c>
      <c r="F1444" s="1" cm="1">
        <f t="array" ref="F1444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4" s="1" cm="1">
        <f t="array" ref="H1444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4" s="1" cm="1">
        <f t="array" ref="I1444">SUMPRODUCT(("T_B_c-FCLH2O-S4"=[1]OUT_TransportEnergyCons!$A$3:$A$1000)*1,("var_fout"=[1]OUT_TransportEnergyCons!$B$3:$B$1000)*1,ISNUMBER(SEARCH("TPBSc",[1]OUT_TransportEnergyCons!$C$3:$C$1000))*1,[1]OUT_TransportEnergyCons!G$3:G$1000)</f>
        <v>2.2160864254768298E-5</v>
      </c>
      <c r="J1444" s="1" cm="1">
        <f t="array" ref="J1444">SUMPRODUCT(("T_B_c-FCLH2O-S4"=[1]OUT_TransportEnergyCons!$A$3:$A$1000)*1,("var_fout"=[1]OUT_TransportEnergyCons!$B$3:$B$1000)*1,ISNUMBER(SEARCH("TPBSc",[1]OUT_TransportEnergyCons!$C$3:$C$1000))*1,[1]OUT_TransportEnergyCons!H$3:H$1000)</f>
        <v>4.6507546328393001E-5</v>
      </c>
      <c r="K1444" s="1" cm="1">
        <f t="array" ref="K1444">SUMPRODUCT(("T_B_c-FCLH2O-S4"=[1]OUT_TransportEnergyCons!$A$3:$A$1000)*1,("var_fout"=[1]OUT_TransportEnergyCons!$B$3:$B$1000)*1,ISNUMBER(SEARCH("TPBSc",[1]OUT_TransportEnergyCons!$C$3:$C$1000))*1,[1]OUT_TransportEnergyCons!I$3:I$1000)</f>
        <v>4.8530128855905327E-5</v>
      </c>
      <c r="L1444" s="1" cm="1">
        <f t="array" ref="L1444">SUMPRODUCT(("T_B_c-FCLH2O-S4"=[1]OUT_TransportEnergyCons!$A$3:$A$1000)*1,("var_fout"=[1]OUT_TransportEnergyCons!$B$3:$B$1000)*1,ISNUMBER(SEARCH("TPBSc",[1]OUT_TransportEnergyCons!$C$3:$C$1000))*1,[1]OUT_TransportEnergyCons!J$3:J$1000)</f>
        <v>4.6728487420475411E-5</v>
      </c>
      <c r="M1444" s="1" cm="1">
        <f t="array" ref="M1444">SUMPRODUCT(("T_B_c-FCLH2O-S4"=[1]OUT_TransportEnergyCons!$A$3:$A$1000)*1,("var_fout"=[1]OUT_TransportEnergyCons!$B$3:$B$1000)*1,ISNUMBER(SEARCH("TPBSc",[1]OUT_TransportEnergyCons!$C$3:$C$1000))*1,[1]OUT_TransportEnergyCons!K$3:K$1000)</f>
        <v>4.8788028366323634E-5</v>
      </c>
      <c r="N1444" s="1" cm="1">
        <f t="array" ref="N1444">SUMPRODUCT(("T_B_c-FCLH2O-S4"=[1]OUT_TransportEnergyCons!$A$3:$A$1000)*1,("var_fout"=[1]OUT_TransportEnergyCons!$B$3:$B$1000)*1,ISNUMBER(SEARCH("TPBSc",[1]OUT_TransportEnergyCons!$C$3:$C$1000))*1,[1]OUT_TransportEnergyCons!L$3:L$1000)</f>
        <v>4.9180313383781673E-5</v>
      </c>
      <c r="O1444" s="1" cm="1">
        <f t="array" ref="O1444">SUMPRODUCT(("T_B_c-FCLH2O-S4"=[1]OUT_TransportEnergyCons!$A$3:$A$1000)*1,("var_fout"=[1]OUT_TransportEnergyCons!$B$3:$B$1000)*1,ISNUMBER(SEARCH("TPBSc",[1]OUT_TransportEnergyCons!$C$3:$C$1000))*1,[1]OUT_TransportEnergyCons!M$3:M$1000)</f>
        <v>4.6834384524731168E-5</v>
      </c>
      <c r="P1444" s="1" cm="1">
        <f t="array" ref="P1444">SUMPRODUCT(("T_B_c-FCLH2O-S4"=[1]OUT_TransportEnergyCons!$A$3:$A$1000)*1,("var_fout"=[1]OUT_TransportEnergyCons!$B$3:$B$1000)*1,ISNUMBER(SEARCH("TPBSc",[1]OUT_TransportEnergyCons!$C$3:$C$1000))*1,[1]OUT_TransportEnergyCons!N$3:N$1000)</f>
        <v>4.9208124502014249E-5</v>
      </c>
      <c r="Q1444" s="1" cm="1">
        <f t="array" ref="Q1444">SUMPRODUCT(("T_B_c-FCLH2O-S4"=[1]OUT_TransportEnergyCons!$A$3:$A$1000)*1,("var_fout"=[1]OUT_TransportEnergyCons!$B$3:$B$1000)*1,ISNUMBER(SEARCH("TPBSc",[1]OUT_TransportEnergyCons!$C$3:$C$1000))*1,[1]OUT_TransportEnergyCons!O$3:O$1000)</f>
        <v>4.9300200732071304E-5</v>
      </c>
      <c r="S1444" s="3"/>
    </row>
    <row r="1445" spans="2:19" x14ac:dyDescent="0.5">
      <c r="B1445" s="5" t="str">
        <f t="shared" si="1609"/>
        <v>SPS1</v>
      </c>
      <c r="C1445" s="5" t="str">
        <f t="shared" si="1610"/>
        <v>CH</v>
      </c>
      <c r="D1445" t="s">
        <v>1437</v>
      </c>
      <c r="E1445" t="str">
        <f t="shared" si="1611"/>
        <v>billion km/yr.</v>
      </c>
      <c r="F1445" s="1" cm="1">
        <f t="array" ref="F1445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SUMPRODUCT(("T_B_c-HYBDSL-S1"=[1]OUT_TransportEnergyCons!$A$3:$A$1000)*1,("var_fout"=[1]OUT_TransportEnergyCons!$B$3:$B$1000)*1,ISNUMBER(SEARCH("TPBSc",[1]OUT_TransportEnergyCons!$C$3:$C$1000))*1,[1]OUT_TransportEnergyCons!E$3:E$1000)</f>
        <v>2.2025168938752646E-2</v>
      </c>
      <c r="H1445" s="1" cm="1">
        <f t="array" ref="H1445">SUMPRODUCT(("T_B_c-HYBDSL-S1"=[1]OUT_TransportEnergyCons!$A$3:$A$1000)*1,("var_fout"=[1]OUT_TransportEnergyCons!$B$3:$B$1000)*1,ISNUMBER(SEARCH("TPBSc",[1]OUT_TransportEnergyCons!$C$3:$C$1000))*1,[1]OUT_TransportEnergyCons!F$3:F$1000)</f>
        <v>1.6958038101218421E-2</v>
      </c>
      <c r="I1445" s="1" cm="1">
        <f t="array" ref="I1445">SUMPRODUCT(("T_B_c-HYBDSL-S1"=[1]OUT_TransportEnergyCons!$A$3:$A$1000)*1,("var_fout"=[1]OUT_TransportEnergyCons!$B$3:$B$1000)*1,ISNUMBER(SEARCH("TPBSc",[1]OUT_TransportEnergyCons!$C$3:$C$1000))*1,[1]OUT_TransportEnergyCons!G$3:G$1000)</f>
        <v>8.09411579700025E-5</v>
      </c>
      <c r="J1445" s="1" cm="1">
        <f t="array" ref="J1445">SUMPRODUCT(("T_B_c-HYBDSL-S1"=[1]OUT_TransportEnergyCons!$A$3:$A$1000)*1,("var_fout"=[1]OUT_TransportEnergyCons!$B$3:$B$1000)*1,ISNUMBER(SEARCH("TPBSc",[1]OUT_TransportEnergyCons!$C$3:$C$1000))*1,[1]OUT_TransportEnergyCons!H$3:H$1000)</f>
        <v>6.0405886812788251E-5</v>
      </c>
      <c r="K1445" s="1" cm="1">
        <f t="array" ref="K1445">SUMPRODUCT(("T_B_c-HYBDSL-S1"=[1]OUT_TransportEnergyCons!$A$3:$A$1000)*1,("var_fout"=[1]OUT_TransportEnergyCons!$B$3:$B$1000)*1,ISNUMBER(SEARCH("TPBSc",[1]OUT_TransportEnergyCons!$C$3:$C$1000))*1,[1]OUT_TransportEnergyCons!I$3:I$1000)</f>
        <v>5.9146357383314185E-5</v>
      </c>
      <c r="L1445" s="1" cm="1">
        <f t="array" ref="L1445">SUMPRODUCT(("T_B_c-HYBDSL-S1"=[1]OUT_TransportEnergyCons!$A$3:$A$1000)*1,("var_fout"=[1]OUT_TransportEnergyCons!$B$3:$B$1000)*1,ISNUMBER(SEARCH("TPBSc",[1]OUT_TransportEnergyCons!$C$3:$C$1000))*1,[1]OUT_TransportEnergyCons!J$3:J$1000)</f>
        <v>6.4877378602091283E-5</v>
      </c>
      <c r="M1445" s="1" cm="1">
        <f t="array" ref="M1445">SUMPRODUCT(("T_B_c-HYBDSL-S1"=[1]OUT_TransportEnergyCons!$A$3:$A$1000)*1,("var_fout"=[1]OUT_TransportEnergyCons!$B$3:$B$1000)*1,ISNUMBER(SEARCH("TPBSc",[1]OUT_TransportEnergyCons!$C$3:$C$1000))*1,[1]OUT_TransportEnergyCons!K$3:K$1000)</f>
        <v>5.23117962963109E-5</v>
      </c>
      <c r="N1445" s="1" cm="1">
        <f t="array" ref="N1445">SUMPRODUCT(("T_B_c-HYBDSL-S1"=[1]OUT_TransportEnergyCons!$A$3:$A$1000)*1,("var_fout"=[1]OUT_TransportEnergyCons!$B$3:$B$1000)*1,ISNUMBER(SEARCH("TPBSc",[1]OUT_TransportEnergyCons!$C$3:$C$1000))*1,[1]OUT_TransportEnergyCons!L$3:L$1000)</f>
        <v>0</v>
      </c>
      <c r="O1445" s="1" cm="1">
        <f t="array" ref="O1445">SUMPRODUCT(("T_B_c-HYBDSL-S1"=[1]OUT_TransportEnergyCons!$A$3:$A$1000)*1,("var_fout"=[1]OUT_TransportEnergyCons!$B$3:$B$1000)*1,ISNUMBER(SEARCH("TPBSc",[1]OUT_TransportEnergyCons!$C$3:$C$1000))*1,[1]OUT_TransportEnergyCons!M$3:M$1000)</f>
        <v>0</v>
      </c>
      <c r="P1445" s="1" cm="1">
        <f t="array" ref="P1445">SUMPRODUCT(("T_B_c-HYBDSL-S1"=[1]OUT_TransportEnergyCons!$A$3:$A$1000)*1,("var_fout"=[1]OUT_TransportEnergyCons!$B$3:$B$1000)*1,ISNUMBER(SEARCH("TPBSc",[1]OUT_TransportEnergyCons!$C$3:$C$1000))*1,[1]OUT_TransportEnergyCons!N$3:N$1000)</f>
        <v>0</v>
      </c>
      <c r="Q1445" s="1" cm="1">
        <f t="array" ref="Q1445">SUMPRODUCT(("T_B_c-HYBDSL-S1"=[1]OUT_TransportEnergyCons!$A$3:$A$1000)*1,("var_fout"=[1]OUT_TransportEnergyCons!$B$3:$B$1000)*1,ISNUMBER(SEARCH("TPBSc",[1]OUT_TransportEnergyCons!$C$3:$C$1000))*1,[1]OUT_TransportEnergyCons!O$3:O$1000)</f>
        <v>0</v>
      </c>
      <c r="S1445" s="3"/>
    </row>
    <row r="1446" spans="2:19" x14ac:dyDescent="0.5">
      <c r="B1446" s="5" t="str">
        <f t="shared" si="1609"/>
        <v>SPS1</v>
      </c>
      <c r="C1446" s="5" t="str">
        <f t="shared" si="1610"/>
        <v>CH</v>
      </c>
      <c r="D1446" t="s">
        <v>1438</v>
      </c>
      <c r="E1446" t="str">
        <f t="shared" si="1611"/>
        <v>billion km/yr.</v>
      </c>
      <c r="F1446" s="1" cm="1">
        <f t="array" ref="F1446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SUMPRODUCT(("T_B_c-HYBDSL-S2"=[1]OUT_TransportEnergyCons!$A$3:$A$1000)*1,("var_fout"=[1]OUT_TransportEnergyCons!$B$3:$B$1000)*1,ISNUMBER(SEARCH("TPBSc",[1]OUT_TransportEnergyCons!$C$3:$C$1000))*1,[1]OUT_TransportEnergyCons!E$3:E$1000)</f>
        <v>1.2514805777883692E-4</v>
      </c>
      <c r="H1446" s="1" cm="1">
        <f t="array" ref="H1446">SUMPRODUCT(("T_B_c-HYBDSL-S2"=[1]OUT_TransportEnergyCons!$A$3:$A$1000)*1,("var_fout"=[1]OUT_TransportEnergyCons!$B$3:$B$1000)*1,ISNUMBER(SEARCH("TPBSc",[1]OUT_TransportEnergyCons!$C$3:$C$1000))*1,[1]OUT_TransportEnergyCons!F$3:F$1000)</f>
        <v>3.4789178818642012E-4</v>
      </c>
      <c r="I1446" s="1" cm="1">
        <f t="array" ref="I1446">SUMPRODUCT(("T_B_c-HYBDSL-S2"=[1]OUT_TransportEnergyCons!$A$3:$A$1000)*1,("var_fout"=[1]OUT_TransportEnergyCons!$B$3:$B$1000)*1,ISNUMBER(SEARCH("TPBSc",[1]OUT_TransportEnergyCons!$C$3:$C$1000))*1,[1]OUT_TransportEnergyCons!G$3:G$1000)</f>
        <v>3.8321341120146668E-4</v>
      </c>
      <c r="J1446" s="1" cm="1">
        <f t="array" ref="J1446">SUMPRODUCT(("T_B_c-HYBDSL-S2"=[1]OUT_TransportEnergyCons!$A$3:$A$1000)*1,("var_fout"=[1]OUT_TransportEnergyCons!$B$3:$B$1000)*1,ISNUMBER(SEARCH("TPBSc",[1]OUT_TransportEnergyCons!$C$3:$C$1000))*1,[1]OUT_TransportEnergyCons!H$3:H$1000)</f>
        <v>6.6981480468164659E-5</v>
      </c>
      <c r="K1446" s="1" cm="1">
        <f t="array" ref="K1446">SUMPRODUCT(("T_B_c-HYBDSL-S2"=[1]OUT_TransportEnergyCons!$A$3:$A$1000)*1,("var_fout"=[1]OUT_TransportEnergyCons!$B$3:$B$1000)*1,ISNUMBER(SEARCH("TPBSc",[1]OUT_TransportEnergyCons!$C$3:$C$1000))*1,[1]OUT_TransportEnergyCons!I$3:I$1000)</f>
        <v>6.5555063986271378E-5</v>
      </c>
      <c r="L1446" s="1" cm="1">
        <f t="array" ref="L1446">SUMPRODUCT(("T_B_c-HYBDSL-S2"=[1]OUT_TransportEnergyCons!$A$3:$A$1000)*1,("var_fout"=[1]OUT_TransportEnergyCons!$B$3:$B$1000)*1,ISNUMBER(SEARCH("TPBSc",[1]OUT_TransportEnergyCons!$C$3:$C$1000))*1,[1]OUT_TransportEnergyCons!J$3:J$1000)</f>
        <v>7.8688038623724E-5</v>
      </c>
      <c r="M1446" s="1" cm="1">
        <f t="array" ref="M1446">SUMPRODUCT(("T_B_c-HYBDSL-S2"=[1]OUT_TransportEnergyCons!$A$3:$A$1000)*1,("var_fout"=[1]OUT_TransportEnergyCons!$B$3:$B$1000)*1,ISNUMBER(SEARCH("TPBSc",[1]OUT_TransportEnergyCons!$C$3:$C$1000))*1,[1]OUT_TransportEnergyCons!K$3:K$1000)</f>
        <v>6.0166600128311791E-5</v>
      </c>
      <c r="N1446" s="1" cm="1">
        <f t="array" ref="N1446">SUMPRODUCT(("T_B_c-HYBDSL-S2"=[1]OUT_TransportEnergyCons!$A$3:$A$1000)*1,("var_fout"=[1]OUT_TransportEnergyCons!$B$3:$B$1000)*1,ISNUMBER(SEARCH("TPBSc",[1]OUT_TransportEnergyCons!$C$3:$C$1000))*1,[1]OUT_TransportEnergyCons!L$3:L$1000)</f>
        <v>0</v>
      </c>
      <c r="O1446" s="1" cm="1">
        <f t="array" ref="O1446">SUMPRODUCT(("T_B_c-HYBDSL-S2"=[1]OUT_TransportEnergyCons!$A$3:$A$1000)*1,("var_fout"=[1]OUT_TransportEnergyCons!$B$3:$B$1000)*1,ISNUMBER(SEARCH("TPBSc",[1]OUT_TransportEnergyCons!$C$3:$C$1000))*1,[1]OUT_TransportEnergyCons!M$3:M$1000)</f>
        <v>0</v>
      </c>
      <c r="P1446" s="1" cm="1">
        <f t="array" ref="P1446">SUMPRODUCT(("T_B_c-HYBDSL-S2"=[1]OUT_TransportEnergyCons!$A$3:$A$1000)*1,("var_fout"=[1]OUT_TransportEnergyCons!$B$3:$B$1000)*1,ISNUMBER(SEARCH("TPBSc",[1]OUT_TransportEnergyCons!$C$3:$C$1000))*1,[1]OUT_TransportEnergyCons!N$3:N$1000)</f>
        <v>0</v>
      </c>
      <c r="Q1446" s="1" cm="1">
        <f t="array" ref="Q1446">SUMPRODUCT(("T_B_c-HYBDSL-S2"=[1]OUT_TransportEnergyCons!$A$3:$A$1000)*1,("var_fout"=[1]OUT_TransportEnergyCons!$B$3:$B$1000)*1,ISNUMBER(SEARCH("TPBSc",[1]OUT_TransportEnergyCons!$C$3:$C$1000))*1,[1]OUT_TransportEnergyCons!O$3:O$1000)</f>
        <v>0</v>
      </c>
      <c r="S1446" s="3"/>
    </row>
    <row r="1447" spans="2:19" x14ac:dyDescent="0.5">
      <c r="B1447" s="5" t="str">
        <f t="shared" si="1609"/>
        <v>SPS1</v>
      </c>
      <c r="C1447" s="5" t="str">
        <f t="shared" si="1610"/>
        <v>CH</v>
      </c>
      <c r="D1447" t="s">
        <v>1439</v>
      </c>
      <c r="E1447" t="str">
        <f t="shared" si="1611"/>
        <v>billion km/yr.</v>
      </c>
      <c r="F1447" s="1" cm="1">
        <f t="array" ref="F1447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7" s="1" cm="1">
        <f t="array" ref="G1447">SUMPRODUCT(("T_B_c-HYBDSL-S3"=[1]OUT_TransportEnergyCons!$A$3:$A$1000)*1,("var_fout"=[1]OUT_TransportEnergyCons!$B$3:$B$1000)*1,ISNUMBER(SEARCH("TPBSc",[1]OUT_TransportEnergyCons!$C$3:$C$1000))*1,[1]OUT_TransportEnergyCons!E$3:E$1000)</f>
        <v>5.3941531017331165E-5</v>
      </c>
      <c r="H1447" s="1" cm="1">
        <f t="array" ref="H1447">SUMPRODUCT(("T_B_c-HYBDSL-S3"=[1]OUT_TransportEnergyCons!$A$3:$A$1000)*1,("var_fout"=[1]OUT_TransportEnergyCons!$B$3:$B$1000)*1,ISNUMBER(SEARCH("TPBSc",[1]OUT_TransportEnergyCons!$C$3:$C$1000))*1,[1]OUT_TransportEnergyCons!F$3:F$1000)</f>
        <v>1.5874291349620828E-3</v>
      </c>
      <c r="I1447" s="1" cm="1">
        <f t="array" ref="I1447">SUMPRODUCT(("T_B_c-HYBDSL-S3"=[1]OUT_TransportEnergyCons!$A$3:$A$1000)*1,("var_fout"=[1]OUT_TransportEnergyCons!$B$3:$B$1000)*1,ISNUMBER(SEARCH("TPBSc",[1]OUT_TransportEnergyCons!$C$3:$C$1000))*1,[1]OUT_TransportEnergyCons!G$3:G$1000)</f>
        <v>2.2564583069418754E-3</v>
      </c>
      <c r="J1447" s="1" cm="1">
        <f t="array" ref="J1447">SUMPRODUCT(("T_B_c-HYBDSL-S3"=[1]OUT_TransportEnergyCons!$A$3:$A$1000)*1,("var_fout"=[1]OUT_TransportEnergyCons!$B$3:$B$1000)*1,ISNUMBER(SEARCH("TPBSc",[1]OUT_TransportEnergyCons!$C$3:$C$1000))*1,[1]OUT_TransportEnergyCons!H$3:H$1000)</f>
        <v>1.4204319578099318E-4</v>
      </c>
      <c r="K1447" s="1" cm="1">
        <f t="array" ref="K1447">SUMPRODUCT(("T_B_c-HYBDSL-S3"=[1]OUT_TransportEnergyCons!$A$3:$A$1000)*1,("var_fout"=[1]OUT_TransportEnergyCons!$B$3:$B$1000)*1,ISNUMBER(SEARCH("TPBSc",[1]OUT_TransportEnergyCons!$C$3:$C$1000))*1,[1]OUT_TransportEnergyCons!I$3:I$1000)</f>
        <v>5.7893140049017023E-5</v>
      </c>
      <c r="L1447" s="1" cm="1">
        <f t="array" ref="L1447">SUMPRODUCT(("T_B_c-HYBDSL-S3"=[1]OUT_TransportEnergyCons!$A$3:$A$1000)*1,("var_fout"=[1]OUT_TransportEnergyCons!$B$3:$B$1000)*1,ISNUMBER(SEARCH("TPBSc",[1]OUT_TransportEnergyCons!$C$3:$C$1000))*1,[1]OUT_TransportEnergyCons!J$3:J$1000)</f>
        <v>7.80121996245223E-5</v>
      </c>
      <c r="M1447" s="1" cm="1">
        <f t="array" ref="M1447">SUMPRODUCT(("T_B_c-HYBDSL-S3"=[1]OUT_TransportEnergyCons!$A$3:$A$1000)*1,("var_fout"=[1]OUT_TransportEnergyCons!$B$3:$B$1000)*1,ISNUMBER(SEARCH("TPBSc",[1]OUT_TransportEnergyCons!$C$3:$C$1000))*1,[1]OUT_TransportEnergyCons!K$3:K$1000)</f>
        <v>0</v>
      </c>
      <c r="N1447" s="1" cm="1">
        <f t="array" ref="N1447">SUMPRODUCT(("T_B_c-HYBDSL-S3"=[1]OUT_TransportEnergyCons!$A$3:$A$1000)*1,("var_fout"=[1]OUT_TransportEnergyCons!$B$3:$B$1000)*1,ISNUMBER(SEARCH("TPBSc",[1]OUT_TransportEnergyCons!$C$3:$C$1000))*1,[1]OUT_TransportEnergyCons!L$3:L$1000)</f>
        <v>0</v>
      </c>
      <c r="O1447" s="1" cm="1">
        <f t="array" ref="O1447">SUMPRODUCT(("T_B_c-HYBDSL-S3"=[1]OUT_TransportEnergyCons!$A$3:$A$1000)*1,("var_fout"=[1]OUT_TransportEnergyCons!$B$3:$B$1000)*1,ISNUMBER(SEARCH("TPBSc",[1]OUT_TransportEnergyCons!$C$3:$C$1000))*1,[1]OUT_TransportEnergyCons!M$3:M$1000)</f>
        <v>0</v>
      </c>
      <c r="P1447" s="1" cm="1">
        <f t="array" ref="P1447">SUMPRODUCT(("T_B_c-HYBDSL-S3"=[1]OUT_TransportEnergyCons!$A$3:$A$1000)*1,("var_fout"=[1]OUT_TransportEnergyCons!$B$3:$B$1000)*1,ISNUMBER(SEARCH("TPBSc",[1]OUT_TransportEnergyCons!$C$3:$C$1000))*1,[1]OUT_TransportEnergyCons!N$3:N$1000)</f>
        <v>0</v>
      </c>
      <c r="Q1447" s="1" cm="1">
        <f t="array" ref="Q1447">SUMPRODUCT(("T_B_c-HYBDSL-S3"=[1]OUT_TransportEnergyCons!$A$3:$A$1000)*1,("var_fout"=[1]OUT_TransportEnergyCons!$B$3:$B$1000)*1,ISNUMBER(SEARCH("TPBSc",[1]OUT_TransportEnergyCons!$C$3:$C$1000))*1,[1]OUT_TransportEnergyCons!O$3:O$1000)</f>
        <v>0</v>
      </c>
      <c r="S1447" s="3"/>
    </row>
    <row r="1448" spans="2:19" x14ac:dyDescent="0.5">
      <c r="B1448" s="5" t="str">
        <f t="shared" si="1609"/>
        <v>SPS1</v>
      </c>
      <c r="C1448" s="5" t="str">
        <f t="shared" si="1610"/>
        <v>CH</v>
      </c>
      <c r="D1448" t="s">
        <v>1440</v>
      </c>
      <c r="E1448" t="str">
        <f t="shared" si="1611"/>
        <v>billion km/yr.</v>
      </c>
      <c r="F1448" s="1" cm="1">
        <f t="array" ref="F1448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8" s="1" cm="1">
        <f t="array" ref="G1448">SUMPRODUCT(("T_B_c-HYBDSL-S4"=[1]OUT_TransportEnergyCons!$A$3:$A$1000)*1,("var_fout"=[1]OUT_TransportEnergyCons!$B$3:$B$1000)*1,ISNUMBER(SEARCH("TPBSc",[1]OUT_TransportEnergyCons!$C$3:$C$1000))*1,[1]OUT_TransportEnergyCons!E$3:E$1000)</f>
        <v>1.8663375532299495E-5</v>
      </c>
      <c r="H1448" s="1" cm="1">
        <f t="array" ref="H1448">SUMPRODUCT(("T_B_c-HYBDSL-S4"=[1]OUT_TransportEnergyCons!$A$3:$A$1000)*1,("var_fout"=[1]OUT_TransportEnergyCons!$B$3:$B$1000)*1,ISNUMBER(SEARCH("TPBSc",[1]OUT_TransportEnergyCons!$C$3:$C$1000))*1,[1]OUT_TransportEnergyCons!F$3:F$1000)</f>
        <v>3.1655575179237417E-5</v>
      </c>
      <c r="I1448" s="1" cm="1">
        <f t="array" ref="I1448">SUMPRODUCT(("T_B_c-HYBDSL-S4"=[1]OUT_TransportEnergyCons!$A$3:$A$1000)*1,("var_fout"=[1]OUT_TransportEnergyCons!$B$3:$B$1000)*1,ISNUMBER(SEARCH("TPBSc",[1]OUT_TransportEnergyCons!$C$3:$C$1000))*1,[1]OUT_TransportEnergyCons!G$3:G$1000)</f>
        <v>6.6360261196290584E-5</v>
      </c>
      <c r="J1448" s="1" cm="1">
        <f t="array" ref="J1448">SUMPRODUCT(("T_B_c-HYBDSL-S4"=[1]OUT_TransportEnergyCons!$A$3:$A$1000)*1,("var_fout"=[1]OUT_TransportEnergyCons!$B$3:$B$1000)*1,ISNUMBER(SEARCH("TPBSc",[1]OUT_TransportEnergyCons!$C$3:$C$1000))*1,[1]OUT_TransportEnergyCons!H$3:H$1000)</f>
        <v>4.6539598413137757E-5</v>
      </c>
      <c r="K1448" s="1" cm="1">
        <f t="array" ref="K1448">SUMPRODUCT(("T_B_c-HYBDSL-S4"=[1]OUT_TransportEnergyCons!$A$3:$A$1000)*1,("var_fout"=[1]OUT_TransportEnergyCons!$B$3:$B$1000)*1,ISNUMBER(SEARCH("TPBSc",[1]OUT_TransportEnergyCons!$C$3:$C$1000))*1,[1]OUT_TransportEnergyCons!I$3:I$1000)</f>
        <v>4.7652827704116452E-5</v>
      </c>
      <c r="L1448" s="1" cm="1">
        <f t="array" ref="L1448">SUMPRODUCT(("T_B_c-HYBDSL-S4"=[1]OUT_TransportEnergyCons!$A$3:$A$1000)*1,("var_fout"=[1]OUT_TransportEnergyCons!$B$3:$B$1000)*1,ISNUMBER(SEARCH("TPBSc",[1]OUT_TransportEnergyCons!$C$3:$C$1000))*1,[1]OUT_TransportEnergyCons!J$3:J$1000)</f>
        <v>4.5705176899027264E-5</v>
      </c>
      <c r="M1448" s="1" cm="1">
        <f t="array" ref="M1448">SUMPRODUCT(("T_B_c-HYBDSL-S4"=[1]OUT_TransportEnergyCons!$A$3:$A$1000)*1,("var_fout"=[1]OUT_TransportEnergyCons!$B$3:$B$1000)*1,ISNUMBER(SEARCH("TPBSc",[1]OUT_TransportEnergyCons!$C$3:$C$1000))*1,[1]OUT_TransportEnergyCons!K$3:K$1000)</f>
        <v>0</v>
      </c>
      <c r="N1448" s="1" cm="1">
        <f t="array" ref="N1448">SUMPRODUCT(("T_B_c-HYBDSL-S4"=[1]OUT_TransportEnergyCons!$A$3:$A$1000)*1,("var_fout"=[1]OUT_TransportEnergyCons!$B$3:$B$1000)*1,ISNUMBER(SEARCH("TPBSc",[1]OUT_TransportEnergyCons!$C$3:$C$1000))*1,[1]OUT_TransportEnergyCons!L$3:L$1000)</f>
        <v>0</v>
      </c>
      <c r="O1448" s="1" cm="1">
        <f t="array" ref="O1448">SUMPRODUCT(("T_B_c-HYBDSL-S4"=[1]OUT_TransportEnergyCons!$A$3:$A$1000)*1,("var_fout"=[1]OUT_TransportEnergyCons!$B$3:$B$1000)*1,ISNUMBER(SEARCH("TPBSc",[1]OUT_TransportEnergyCons!$C$3:$C$1000))*1,[1]OUT_TransportEnergyCons!M$3:M$1000)</f>
        <v>0</v>
      </c>
      <c r="P1448" s="1" cm="1">
        <f t="array" ref="P1448">SUMPRODUCT(("T_B_c-HYBDSL-S4"=[1]OUT_TransportEnergyCons!$A$3:$A$1000)*1,("var_fout"=[1]OUT_TransportEnergyCons!$B$3:$B$1000)*1,ISNUMBER(SEARCH("TPBSc",[1]OUT_TransportEnergyCons!$C$3:$C$1000))*1,[1]OUT_TransportEnergyCons!N$3:N$1000)</f>
        <v>0</v>
      </c>
      <c r="Q1448" s="1" cm="1">
        <f t="array" ref="Q1448">SUMPRODUCT(("T_B_c-HYBDSL-S4"=[1]OUT_TransportEnergyCons!$A$3:$A$1000)*1,("var_fout"=[1]OUT_TransportEnergyCons!$B$3:$B$1000)*1,ISNUMBER(SEARCH("TPBSc",[1]OUT_TransportEnergyCons!$C$3:$C$1000))*1,[1]OUT_TransportEnergyCons!O$3:O$1000)</f>
        <v>0</v>
      </c>
      <c r="S1448" s="3"/>
    </row>
    <row r="1449" spans="2:19" x14ac:dyDescent="0.5">
      <c r="B1449" s="5" t="str">
        <f t="shared" si="1609"/>
        <v>SPS1</v>
      </c>
      <c r="C1449" s="5" t="str">
        <f t="shared" si="1610"/>
        <v>CH</v>
      </c>
      <c r="D1449" t="s">
        <v>2116</v>
      </c>
      <c r="E1449" t="str">
        <f t="shared" si="1611"/>
        <v>billion km/yr.</v>
      </c>
      <c r="F1449" s="1" cm="1">
        <f t="array" ref="F1449">SUMPRODUCT(("T_B_c-ICEDSLEXT"=[1]OUT_TransportEnergyCons!$A$3:$A$1000)*1,("var_fout"=[1]OUT_TransportEnergyCons!$B$3:$B$1000)*1,ISNUMBER(SEARCH("TPBSc",[1]OUT_TransportEnergyCons!$C$3:$C$1000))*1,[1]OUT_TransportEnergyCons!D$3:D$1000)</f>
        <v>5.9976085782620515E-2</v>
      </c>
      <c r="G1449" s="1" cm="1">
        <f t="array" ref="G1449">SUMPRODUCT(("T_B_c-ICEDSLEXT"=[1]OUT_TransportEnergyCons!$A$3:$A$1000)*1,("var_fout"=[1]OUT_TransportEnergyCons!$B$3:$B$1000)*1,ISNUMBER(SEARCH("TPBSc",[1]OUT_TransportEnergyCons!$C$3:$C$1000))*1,[1]OUT_TransportEnergyCons!E$3:E$1000)</f>
        <v>4.8013510713604601E-2</v>
      </c>
      <c r="H1449" s="1" cm="1">
        <f t="array" ref="H1449">SUMPRODUCT(("T_B_c-ICEDSLEXT"=[1]OUT_TransportEnergyCons!$A$3:$A$1000)*1,("var_fout"=[1]OUT_TransportEnergyCons!$B$3:$B$1000)*1,ISNUMBER(SEARCH("TPBSc",[1]OUT_TransportEnergyCons!$C$3:$C$1000))*1,[1]OUT_TransportEnergyCons!F$3:F$1000)</f>
        <v>3.0020205029206205E-2</v>
      </c>
      <c r="I1449" s="1" cm="1">
        <f t="array" ref="I1449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SUMPRODUCT(("T_B_c-ICEDSLEXT"=[1]OUT_TransportEnergyCons!$A$3:$A$1000)*1,("var_fout"=[1]OUT_TransportEnergyCons!$B$3:$B$1000)*1,ISNUMBER(SEARCH("TPBSc",[1]OUT_TransportEnergyCons!$C$3:$C$1000))*1,[1]OUT_TransportEnergyCons!H$3:H$1000)</f>
        <v>0</v>
      </c>
      <c r="K1449" s="1" cm="1">
        <f t="array" ref="K1449">SUMPRODUCT(("T_B_c-ICEDSLEXT"=[1]OUT_TransportEnergyCons!$A$3:$A$1000)*1,("var_fout"=[1]OUT_TransportEnergyCons!$B$3:$B$1000)*1,ISNUMBER(SEARCH("TPBSc",[1]OUT_TransportEnergyCons!$C$3:$C$1000))*1,[1]OUT_TransportEnergyCons!I$3:I$1000)</f>
        <v>0</v>
      </c>
      <c r="L1449" s="1" cm="1">
        <f t="array" ref="L1449">SUMPRODUCT(("T_B_c-ICEDSLEXT"=[1]OUT_TransportEnergyCons!$A$3:$A$1000)*1,("var_fout"=[1]OUT_TransportEnergyCons!$B$3:$B$1000)*1,ISNUMBER(SEARCH("TPBSc",[1]OUT_TransportEnergyCons!$C$3:$C$1000))*1,[1]OUT_TransportEnergyCons!J$3:J$1000)</f>
        <v>0</v>
      </c>
      <c r="M1449" s="1" cm="1">
        <f t="array" ref="M1449">SUMPRODUCT(("T_B_c-ICEDSLEXT"=[1]OUT_TransportEnergyCons!$A$3:$A$1000)*1,("var_fout"=[1]OUT_TransportEnergyCons!$B$3:$B$1000)*1,ISNUMBER(SEARCH("TPBSc",[1]OUT_TransportEnergyCons!$C$3:$C$1000))*1,[1]OUT_TransportEnergyCons!K$3:K$1000)</f>
        <v>0</v>
      </c>
      <c r="N1449" s="1" cm="1">
        <f t="array" ref="N1449">SUMPRODUCT(("T_B_c-ICEDSLEXT"=[1]OUT_TransportEnergyCons!$A$3:$A$1000)*1,("var_fout"=[1]OUT_TransportEnergyCons!$B$3:$B$1000)*1,ISNUMBER(SEARCH("TPBSc",[1]OUT_TransportEnergyCons!$C$3:$C$1000))*1,[1]OUT_TransportEnergyCons!L$3:L$1000)</f>
        <v>0</v>
      </c>
      <c r="O1449" s="1" cm="1">
        <f t="array" ref="O1449">SUMPRODUCT(("T_B_c-ICEDSLEXT"=[1]OUT_TransportEnergyCons!$A$3:$A$1000)*1,("var_fout"=[1]OUT_TransportEnergyCons!$B$3:$B$1000)*1,ISNUMBER(SEARCH("TPBSc",[1]OUT_TransportEnergyCons!$C$3:$C$1000))*1,[1]OUT_TransportEnergyCons!M$3:M$1000)</f>
        <v>0</v>
      </c>
      <c r="P1449" s="1" cm="1">
        <f t="array" ref="P1449">SUMPRODUCT(("T_B_c-ICEDSLEXT"=[1]OUT_TransportEnergyCons!$A$3:$A$1000)*1,("var_fout"=[1]OUT_TransportEnergyCons!$B$3:$B$1000)*1,ISNUMBER(SEARCH("TPBSc",[1]OUT_TransportEnergyCons!$C$3:$C$1000))*1,[1]OUT_TransportEnergyCons!N$3:N$1000)</f>
        <v>0</v>
      </c>
      <c r="Q1449" s="1" cm="1">
        <f t="array" ref="Q1449">SUMPRODUCT(("T_B_c-ICEDSLEXT"=[1]OUT_TransportEnergyCons!$A$3:$A$1000)*1,("var_fout"=[1]OUT_TransportEnergyCons!$B$3:$B$1000)*1,ISNUMBER(SEARCH("TPBSc",[1]OUT_TransportEnergyCons!$C$3:$C$1000))*1,[1]OUT_TransportEnergyCons!O$3:O$1000)</f>
        <v>0</v>
      </c>
      <c r="S1449" s="3"/>
    </row>
    <row r="1450" spans="2:19" x14ac:dyDescent="0.5">
      <c r="B1450" s="5" t="str">
        <f t="shared" si="1609"/>
        <v>SPS1</v>
      </c>
      <c r="C1450" s="5" t="str">
        <f t="shared" si="1610"/>
        <v>CH</v>
      </c>
      <c r="D1450" t="s">
        <v>1441</v>
      </c>
      <c r="E1450" t="str">
        <f t="shared" si="1611"/>
        <v>billion km/yr.</v>
      </c>
      <c r="F1450" s="1" cm="1">
        <f t="array" ref="F1450">SUMPRODUCT(("T_B_c-ICEDSL-S1"=[1]OUT_TransportEnergyCons!$A$3:$A$1000)*1,("var_fout"=[1]OUT_TransportEnergyCons!$B$3:$B$1000)*1,ISNUMBER(SEARCH("TPBSc",[1]OUT_TransportEnergyCons!$C$3:$C$1000))*1,[1]OUT_TransportEnergyCons!D$3:D$1000)</f>
        <v>1.4099439378793497E-2</v>
      </c>
      <c r="G1450" s="1" cm="1">
        <f t="array" ref="G1450">SUMPRODUCT(("T_B_c-ICEDSL-S1"=[1]OUT_TransportEnergyCons!$A$3:$A$1000)*1,("var_fout"=[1]OUT_TransportEnergyCons!$B$3:$B$1000)*1,ISNUMBER(SEARCH("TPBSc",[1]OUT_TransportEnergyCons!$C$3:$C$1000))*1,[1]OUT_TransportEnergyCons!E$3:E$1000)</f>
        <v>1.7091226393690505E-2</v>
      </c>
      <c r="H1450" s="1" cm="1">
        <f t="array" ref="H1450">SUMPRODUCT(("T_B_c-ICEDSL-S1"=[1]OUT_TransportEnergyCons!$A$3:$A$1000)*1,("var_fout"=[1]OUT_TransportEnergyCons!$B$3:$B$1000)*1,ISNUMBER(SEARCH("TPBSc",[1]OUT_TransportEnergyCons!$C$3:$C$1000))*1,[1]OUT_TransportEnergyCons!F$3:F$1000)</f>
        <v>1.2318936232453956E-3</v>
      </c>
      <c r="I1450" s="1" cm="1">
        <f t="array" ref="I1450">SUMPRODUCT(("T_B_c-ICEDSL-S1"=[1]OUT_TransportEnergyCons!$A$3:$A$1000)*1,("var_fout"=[1]OUT_TransportEnergyCons!$B$3:$B$1000)*1,ISNUMBER(SEARCH("TPBSc",[1]OUT_TransportEnergyCons!$C$3:$C$1000))*1,[1]OUT_TransportEnergyCons!G$3:G$1000)</f>
        <v>2.0685569350058621E-4</v>
      </c>
      <c r="J1450" s="1" cm="1">
        <f t="array" ref="J1450">SUMPRODUCT(("T_B_c-ICEDSL-S1"=[1]OUT_TransportEnergyCons!$A$3:$A$1000)*1,("var_fout"=[1]OUT_TransportEnergyCons!$B$3:$B$1000)*1,ISNUMBER(SEARCH("TPBSc",[1]OUT_TransportEnergyCons!$C$3:$C$1000))*1,[1]OUT_TransportEnergyCons!H$3:H$1000)</f>
        <v>6.2335409237108196E-5</v>
      </c>
      <c r="K1450" s="1" cm="1">
        <f t="array" ref="K1450">SUMPRODUCT(("T_B_c-ICEDSL-S1"=[1]OUT_TransportEnergyCons!$A$3:$A$1000)*1,("var_fout"=[1]OUT_TransportEnergyCons!$B$3:$B$1000)*1,ISNUMBER(SEARCH("TPBSc",[1]OUT_TransportEnergyCons!$C$3:$C$1000))*1,[1]OUT_TransportEnergyCons!I$3:I$1000)</f>
        <v>6.0375453864045566E-5</v>
      </c>
      <c r="L1450" s="1" cm="1">
        <f t="array" ref="L1450">SUMPRODUCT(("T_B_c-ICEDSL-S1"=[1]OUT_TransportEnergyCons!$A$3:$A$1000)*1,("var_fout"=[1]OUT_TransportEnergyCons!$B$3:$B$1000)*1,ISNUMBER(SEARCH("TPBSc",[1]OUT_TransportEnergyCons!$C$3:$C$1000))*1,[1]OUT_TransportEnergyCons!J$3:J$1000)</f>
        <v>6.9216282266604292E-5</v>
      </c>
      <c r="M1450" s="1" cm="1">
        <f t="array" ref="M1450">SUMPRODUCT(("T_B_c-ICEDSL-S1"=[1]OUT_TransportEnergyCons!$A$3:$A$1000)*1,("var_fout"=[1]OUT_TransportEnergyCons!$B$3:$B$1000)*1,ISNUMBER(SEARCH("TPBSc",[1]OUT_TransportEnergyCons!$C$3:$C$1000))*1,[1]OUT_TransportEnergyCons!K$3:K$1000)</f>
        <v>5.5811222038802612E-5</v>
      </c>
      <c r="N1450" s="1" cm="1">
        <f t="array" ref="N1450">SUMPRODUCT(("T_B_c-ICEDSL-S1"=[1]OUT_TransportEnergyCons!$A$3:$A$1000)*1,("var_fout"=[1]OUT_TransportEnergyCons!$B$3:$B$1000)*1,ISNUMBER(SEARCH("TPBSc",[1]OUT_TransportEnergyCons!$C$3:$C$1000))*1,[1]OUT_TransportEnergyCons!L$3:L$1000)</f>
        <v>0</v>
      </c>
      <c r="O1450" s="1" cm="1">
        <f t="array" ref="O1450">SUMPRODUCT(("T_B_c-ICEDSL-S1"=[1]OUT_TransportEnergyCons!$A$3:$A$1000)*1,("var_fout"=[1]OUT_TransportEnergyCons!$B$3:$B$1000)*1,ISNUMBER(SEARCH("TPBSc",[1]OUT_TransportEnergyCons!$C$3:$C$1000))*1,[1]OUT_TransportEnergyCons!M$3:M$1000)</f>
        <v>0</v>
      </c>
      <c r="P1450" s="1" cm="1">
        <f t="array" ref="P1450">SUMPRODUCT(("T_B_c-ICEDSL-S1"=[1]OUT_TransportEnergyCons!$A$3:$A$1000)*1,("var_fout"=[1]OUT_TransportEnergyCons!$B$3:$B$1000)*1,ISNUMBER(SEARCH("TPBSc",[1]OUT_TransportEnergyCons!$C$3:$C$1000))*1,[1]OUT_TransportEnergyCons!N$3:N$1000)</f>
        <v>0</v>
      </c>
      <c r="Q1450" s="1" cm="1">
        <f t="array" ref="Q1450">SUMPRODUCT(("T_B_c-ICEDSL-S1"=[1]OUT_TransportEnergyCons!$A$3:$A$1000)*1,("var_fout"=[1]OUT_TransportEnergyCons!$B$3:$B$1000)*1,ISNUMBER(SEARCH("TPBSc",[1]OUT_TransportEnergyCons!$C$3:$C$1000))*1,[1]OUT_TransportEnergyCons!O$3:O$1000)</f>
        <v>0</v>
      </c>
      <c r="S1450" s="3"/>
    </row>
    <row r="1451" spans="2:19" x14ac:dyDescent="0.5">
      <c r="B1451" s="5" t="str">
        <f t="shared" si="1609"/>
        <v>SPS1</v>
      </c>
      <c r="C1451" s="5" t="str">
        <f t="shared" si="1610"/>
        <v>CH</v>
      </c>
      <c r="D1451" t="s">
        <v>1442</v>
      </c>
      <c r="E1451" t="str">
        <f t="shared" si="1611"/>
        <v>billion km/yr.</v>
      </c>
      <c r="F1451" s="1" cm="1">
        <f t="array" ref="F1451">SUMPRODUCT(("T_B_c-ICEDSL-S2"=[1]OUT_TransportEnergyCons!$A$3:$A$1000)*1,("var_fout"=[1]OUT_TransportEnergyCons!$B$3:$B$1000)*1,ISNUMBER(SEARCH("TPBSc",[1]OUT_TransportEnergyCons!$C$3:$C$1000))*1,[1]OUT_TransportEnergyCons!D$3:D$1000)</f>
        <v>4.545615794414247E-2</v>
      </c>
      <c r="G1451" s="1" cm="1">
        <f t="array" ref="G1451">SUMPRODUCT(("T_B_c-ICEDSL-S2"=[1]OUT_TransportEnergyCons!$A$3:$A$1000)*1,("var_fout"=[1]OUT_TransportEnergyCons!$B$3:$B$1000)*1,ISNUMBER(SEARCH("TPBSc",[1]OUT_TransportEnergyCons!$C$3:$C$1000))*1,[1]OUT_TransportEnergyCons!E$3:E$1000)</f>
        <v>3.4222017409392909E-2</v>
      </c>
      <c r="H1451" s="1" cm="1">
        <f t="array" ref="H1451">SUMPRODUCT(("T_B_c-ICEDSL-S2"=[1]OUT_TransportEnergyCons!$A$3:$A$1000)*1,("var_fout"=[1]OUT_TransportEnergyCons!$B$3:$B$1000)*1,ISNUMBER(SEARCH("TPBSc",[1]OUT_TransportEnergyCons!$C$3:$C$1000))*1,[1]OUT_TransportEnergyCons!F$3:F$1000)</f>
        <v>3.4363773869928236E-3</v>
      </c>
      <c r="I1451" s="1" cm="1">
        <f t="array" ref="I1451">SUMPRODUCT(("T_B_c-ICEDSL-S2"=[1]OUT_TransportEnergyCons!$A$3:$A$1000)*1,("var_fout"=[1]OUT_TransportEnergyCons!$B$3:$B$1000)*1,ISNUMBER(SEARCH("TPBSc",[1]OUT_TransportEnergyCons!$C$3:$C$1000))*1,[1]OUT_TransportEnergyCons!G$3:G$1000)</f>
        <v>1.1514238982950529E-3</v>
      </c>
      <c r="J1451" s="1" cm="1">
        <f t="array" ref="J1451">SUMPRODUCT(("T_B_c-ICEDSL-S2"=[1]OUT_TransportEnergyCons!$A$3:$A$1000)*1,("var_fout"=[1]OUT_TransportEnergyCons!$B$3:$B$1000)*1,ISNUMBER(SEARCH("TPBSc",[1]OUT_TransportEnergyCons!$C$3:$C$1000))*1,[1]OUT_TransportEnergyCons!H$3:H$1000)</f>
        <v>7.387518290369907E-5</v>
      </c>
      <c r="K1451" s="1" cm="1">
        <f t="array" ref="K1451">SUMPRODUCT(("T_B_c-ICEDSL-S2"=[1]OUT_TransportEnergyCons!$A$3:$A$1000)*1,("var_fout"=[1]OUT_TransportEnergyCons!$B$3:$B$1000)*1,ISNUMBER(SEARCH("TPBSc",[1]OUT_TransportEnergyCons!$C$3:$C$1000))*1,[1]OUT_TransportEnergyCons!I$3:I$1000)</f>
        <v>7.1660010415855937E-5</v>
      </c>
      <c r="L1451" s="1" cm="1">
        <f t="array" ref="L1451">SUMPRODUCT(("T_B_c-ICEDSL-S2"=[1]OUT_TransportEnergyCons!$A$3:$A$1000)*1,("var_fout"=[1]OUT_TransportEnergyCons!$B$3:$B$1000)*1,ISNUMBER(SEARCH("TPBSc",[1]OUT_TransportEnergyCons!$C$3:$C$1000))*1,[1]OUT_TransportEnergyCons!J$3:J$1000)</f>
        <v>1.0284510582185656E-4</v>
      </c>
      <c r="M1451" s="1" cm="1">
        <f t="array" ref="M1451">SUMPRODUCT(("T_B_c-ICEDSL-S2"=[1]OUT_TransportEnergyCons!$A$3:$A$1000)*1,("var_fout"=[1]OUT_TransportEnergyCons!$B$3:$B$1000)*1,ISNUMBER(SEARCH("TPBSc",[1]OUT_TransportEnergyCons!$C$3:$C$1000))*1,[1]OUT_TransportEnergyCons!K$3:K$1000)</f>
        <v>8.2891556115698321E-5</v>
      </c>
      <c r="N1451" s="1" cm="1">
        <f t="array" ref="N1451">SUMPRODUCT(("T_B_c-ICEDSL-S2"=[1]OUT_TransportEnergyCons!$A$3:$A$1000)*1,("var_fout"=[1]OUT_TransportEnergyCons!$B$3:$B$1000)*1,ISNUMBER(SEARCH("TPBSc",[1]OUT_TransportEnergyCons!$C$3:$C$1000))*1,[1]OUT_TransportEnergyCons!L$3:L$1000)</f>
        <v>0</v>
      </c>
      <c r="O1451" s="1" cm="1">
        <f t="array" ref="O1451">SUMPRODUCT(("T_B_c-ICEDSL-S2"=[1]OUT_TransportEnergyCons!$A$3:$A$1000)*1,("var_fout"=[1]OUT_TransportEnergyCons!$B$3:$B$1000)*1,ISNUMBER(SEARCH("TPBSc",[1]OUT_TransportEnergyCons!$C$3:$C$1000))*1,[1]OUT_TransportEnergyCons!M$3:M$1000)</f>
        <v>0</v>
      </c>
      <c r="P1451" s="1" cm="1">
        <f t="array" ref="P1451">SUMPRODUCT(("T_B_c-ICEDSL-S2"=[1]OUT_TransportEnergyCons!$A$3:$A$1000)*1,("var_fout"=[1]OUT_TransportEnergyCons!$B$3:$B$1000)*1,ISNUMBER(SEARCH("TPBSc",[1]OUT_TransportEnergyCons!$C$3:$C$1000))*1,[1]OUT_TransportEnergyCons!N$3:N$1000)</f>
        <v>0</v>
      </c>
      <c r="Q1451" s="1" cm="1">
        <f t="array" ref="Q1451">SUMPRODUCT(("T_B_c-ICEDSL-S2"=[1]OUT_TransportEnergyCons!$A$3:$A$1000)*1,("var_fout"=[1]OUT_TransportEnergyCons!$B$3:$B$1000)*1,ISNUMBER(SEARCH("TPBSc",[1]OUT_TransportEnergyCons!$C$3:$C$1000))*1,[1]OUT_TransportEnergyCons!O$3:O$1000)</f>
        <v>0</v>
      </c>
      <c r="S1451" s="3"/>
    </row>
    <row r="1452" spans="2:19" x14ac:dyDescent="0.5">
      <c r="B1452" s="5" t="str">
        <f t="shared" si="1609"/>
        <v>SPS1</v>
      </c>
      <c r="C1452" s="5" t="str">
        <f t="shared" si="1610"/>
        <v>CH</v>
      </c>
      <c r="D1452" t="s">
        <v>1443</v>
      </c>
      <c r="E1452" t="str">
        <f t="shared" si="1611"/>
        <v>billion km/yr.</v>
      </c>
      <c r="F1452" s="1" cm="1">
        <f t="array" ref="F1452">SUMPRODUCT(("T_B_c-ICEDSL-S3"=[1]OUT_TransportEnergyCons!$A$3:$A$1000)*1,("var_fout"=[1]OUT_TransportEnergyCons!$B$3:$B$1000)*1,ISNUMBER(SEARCH("TPBSc",[1]OUT_TransportEnergyCons!$C$3:$C$1000))*1,[1]OUT_TransportEnergyCons!D$3:D$1000)</f>
        <v>8.9280771620788447E-3</v>
      </c>
      <c r="G1452" s="1" cm="1">
        <f t="array" ref="G1452">SUMPRODUCT(("T_B_c-ICEDSL-S3"=[1]OUT_TransportEnergyCons!$A$3:$A$1000)*1,("var_fout"=[1]OUT_TransportEnergyCons!$B$3:$B$1000)*1,ISNUMBER(SEARCH("TPBSc",[1]OUT_TransportEnergyCons!$C$3:$C$1000))*1,[1]OUT_TransportEnergyCons!E$3:E$1000)</f>
        <v>7.3437196480965429E-3</v>
      </c>
      <c r="H1452" s="1" cm="1">
        <f t="array" ref="H1452">SUMPRODUCT(("T_B_c-ICEDSL-S3"=[1]OUT_TransportEnergyCons!$A$3:$A$1000)*1,("var_fout"=[1]OUT_TransportEnergyCons!$B$3:$B$1000)*1,ISNUMBER(SEARCH("TPBSc",[1]OUT_TransportEnergyCons!$C$3:$C$1000))*1,[1]OUT_TransportEnergyCons!F$3:F$1000)</f>
        <v>2.9416198394224863E-3</v>
      </c>
      <c r="I1452" s="1" cm="1">
        <f t="array" ref="I1452">SUMPRODUCT(("T_B_c-ICEDSL-S3"=[1]OUT_TransportEnergyCons!$A$3:$A$1000)*1,("var_fout"=[1]OUT_TransportEnergyCons!$B$3:$B$1000)*1,ISNUMBER(SEARCH("TPBSc",[1]OUT_TransportEnergyCons!$C$3:$C$1000))*1,[1]OUT_TransportEnergyCons!G$3:G$1000)</f>
        <v>5.1586833234829547E-3</v>
      </c>
      <c r="J1452" s="1" cm="1">
        <f t="array" ref="J1452">SUMPRODUCT(("T_B_c-ICEDSL-S3"=[1]OUT_TransportEnergyCons!$A$3:$A$1000)*1,("var_fout"=[1]OUT_TransportEnergyCons!$B$3:$B$1000)*1,ISNUMBER(SEARCH("TPBSc",[1]OUT_TransportEnergyCons!$C$3:$C$1000))*1,[1]OUT_TransportEnergyCons!H$3:H$1000)</f>
        <v>2.4353769868608261E-3</v>
      </c>
      <c r="K1452" s="1" cm="1">
        <f t="array" ref="K1452">SUMPRODUCT(("T_B_c-ICEDSL-S3"=[1]OUT_TransportEnergyCons!$A$3:$A$1000)*1,("var_fout"=[1]OUT_TransportEnergyCons!$B$3:$B$1000)*1,ISNUMBER(SEARCH("TPBSc",[1]OUT_TransportEnergyCons!$C$3:$C$1000))*1,[1]OUT_TransportEnergyCons!I$3:I$1000)</f>
        <v>1.0489177121132769E-4</v>
      </c>
      <c r="L1452" s="1" cm="1">
        <f t="array" ref="L1452">SUMPRODUCT(("T_B_c-ICEDSL-S3"=[1]OUT_TransportEnergyCons!$A$3:$A$1000)*1,("var_fout"=[1]OUT_TransportEnergyCons!$B$3:$B$1000)*1,ISNUMBER(SEARCH("TPBSc",[1]OUT_TransportEnergyCons!$C$3:$C$1000))*1,[1]OUT_TransportEnergyCons!J$3:J$1000)</f>
        <v>1.0459379999340342E-4</v>
      </c>
      <c r="M1452" s="1" cm="1">
        <f t="array" ref="M1452">SUMPRODUCT(("T_B_c-ICEDSL-S3"=[1]OUT_TransportEnergyCons!$A$3:$A$1000)*1,("var_fout"=[1]OUT_TransportEnergyCons!$B$3:$B$1000)*1,ISNUMBER(SEARCH("TPBSc",[1]OUT_TransportEnergyCons!$C$3:$C$1000))*1,[1]OUT_TransportEnergyCons!K$3:K$1000)</f>
        <v>0</v>
      </c>
      <c r="N1452" s="1" cm="1">
        <f t="array" ref="N1452">SUMPRODUCT(("T_B_c-ICEDSL-S3"=[1]OUT_TransportEnergyCons!$A$3:$A$1000)*1,("var_fout"=[1]OUT_TransportEnergyCons!$B$3:$B$1000)*1,ISNUMBER(SEARCH("TPBSc",[1]OUT_TransportEnergyCons!$C$3:$C$1000))*1,[1]OUT_TransportEnergyCons!L$3:L$1000)</f>
        <v>0</v>
      </c>
      <c r="O1452" s="1" cm="1">
        <f t="array" ref="O1452">SUMPRODUCT(("T_B_c-ICEDSL-S3"=[1]OUT_TransportEnergyCons!$A$3:$A$1000)*1,("var_fout"=[1]OUT_TransportEnergyCons!$B$3:$B$1000)*1,ISNUMBER(SEARCH("TPBSc",[1]OUT_TransportEnergyCons!$C$3:$C$1000))*1,[1]OUT_TransportEnergyCons!M$3:M$1000)</f>
        <v>0</v>
      </c>
      <c r="P1452" s="1" cm="1">
        <f t="array" ref="P1452">SUMPRODUCT(("T_B_c-ICEDSL-S3"=[1]OUT_TransportEnergyCons!$A$3:$A$1000)*1,("var_fout"=[1]OUT_TransportEnergyCons!$B$3:$B$1000)*1,ISNUMBER(SEARCH("TPBSc",[1]OUT_TransportEnergyCons!$C$3:$C$1000))*1,[1]OUT_TransportEnergyCons!N$3:N$1000)</f>
        <v>0</v>
      </c>
      <c r="Q1452" s="1" cm="1">
        <f t="array" ref="Q1452">SUMPRODUCT(("T_B_c-ICEDSL-S3"=[1]OUT_TransportEnergyCons!$A$3:$A$1000)*1,("var_fout"=[1]OUT_TransportEnergyCons!$B$3:$B$1000)*1,ISNUMBER(SEARCH("TPBSc",[1]OUT_TransportEnergyCons!$C$3:$C$1000))*1,[1]OUT_TransportEnergyCons!O$3:O$1000)</f>
        <v>0</v>
      </c>
      <c r="S1452" s="3"/>
    </row>
    <row r="1453" spans="2:19" x14ac:dyDescent="0.5">
      <c r="B1453" s="5" t="str">
        <f t="shared" si="1609"/>
        <v>SPS1</v>
      </c>
      <c r="C1453" s="5" t="str">
        <f t="shared" si="1610"/>
        <v>CH</v>
      </c>
      <c r="D1453" t="s">
        <v>1444</v>
      </c>
      <c r="E1453" t="str">
        <f t="shared" si="1611"/>
        <v>billion km/yr.</v>
      </c>
      <c r="F1453" s="1" cm="1">
        <f t="array" ref="F1453">SUMPRODUCT(("T_B_c-ICEDSL-S4"=[1]OUT_TransportEnergyCons!$A$3:$A$1000)*1,("var_fout"=[1]OUT_TransportEnergyCons!$B$3:$B$1000)*1,ISNUMBER(SEARCH("TPBSc",[1]OUT_TransportEnergyCons!$C$3:$C$1000))*1,[1]OUT_TransportEnergyCons!D$3:D$1000)</f>
        <v>6.4536084458166458E-4</v>
      </c>
      <c r="G1453" s="1" cm="1">
        <f t="array" ref="G1453">SUMPRODUCT(("T_B_c-ICEDSL-S4"=[1]OUT_TransportEnergyCons!$A$3:$A$1000)*1,("var_fout"=[1]OUT_TransportEnergyCons!$B$3:$B$1000)*1,ISNUMBER(SEARCH("TPBSc",[1]OUT_TransportEnergyCons!$C$3:$C$1000))*1,[1]OUT_TransportEnergyCons!E$3:E$1000)</f>
        <v>9.9298621655176741E-5</v>
      </c>
      <c r="H1453" s="1" cm="1">
        <f t="array" ref="H1453">SUMPRODUCT(("T_B_c-ICEDSL-S4"=[1]OUT_TransportEnergyCons!$A$3:$A$1000)*1,("var_fout"=[1]OUT_TransportEnergyCons!$B$3:$B$1000)*1,ISNUMBER(SEARCH("TPBSc",[1]OUT_TransportEnergyCons!$C$3:$C$1000))*1,[1]OUT_TransportEnergyCons!F$3:F$1000)</f>
        <v>1.2258251391734129E-4</v>
      </c>
      <c r="I1453" s="1" cm="1">
        <f t="array" ref="I1453">SUMPRODUCT(("T_B_c-ICEDSL-S4"=[1]OUT_TransportEnergyCons!$A$3:$A$1000)*1,("var_fout"=[1]OUT_TransportEnergyCons!$B$3:$B$1000)*1,ISNUMBER(SEARCH("TPBSc",[1]OUT_TransportEnergyCons!$C$3:$C$1000))*1,[1]OUT_TransportEnergyCons!G$3:G$1000)</f>
        <v>1.1392070792859783E-4</v>
      </c>
      <c r="J1453" s="1" cm="1">
        <f t="array" ref="J1453">SUMPRODUCT(("T_B_c-ICEDSL-S4"=[1]OUT_TransportEnergyCons!$A$3:$A$1000)*1,("var_fout"=[1]OUT_TransportEnergyCons!$B$3:$B$1000)*1,ISNUMBER(SEARCH("TPBSc",[1]OUT_TransportEnergyCons!$C$3:$C$1000))*1,[1]OUT_TransportEnergyCons!H$3:H$1000)</f>
        <v>4.7153028683096663E-5</v>
      </c>
      <c r="K1453" s="1" cm="1">
        <f t="array" ref="K1453">SUMPRODUCT(("T_B_c-ICEDSL-S4"=[1]OUT_TransportEnergyCons!$A$3:$A$1000)*1,("var_fout"=[1]OUT_TransportEnergyCons!$B$3:$B$1000)*1,ISNUMBER(SEARCH("TPBSc",[1]OUT_TransportEnergyCons!$C$3:$C$1000))*1,[1]OUT_TransportEnergyCons!I$3:I$1000)</f>
        <v>4.7917874741672511E-5</v>
      </c>
      <c r="L1453" s="1" cm="1">
        <f t="array" ref="L1453">SUMPRODUCT(("T_B_c-ICEDSL-S4"=[1]OUT_TransportEnergyCons!$A$3:$A$1000)*1,("var_fout"=[1]OUT_TransportEnergyCons!$B$3:$B$1000)*1,ISNUMBER(SEARCH("TPBSc",[1]OUT_TransportEnergyCons!$C$3:$C$1000))*1,[1]OUT_TransportEnergyCons!J$3:J$1000)</f>
        <v>4.3987490520242477E-5</v>
      </c>
      <c r="M1453" s="1" cm="1">
        <f t="array" ref="M1453">SUMPRODUCT(("T_B_c-ICEDSL-S4"=[1]OUT_TransportEnergyCons!$A$3:$A$1000)*1,("var_fout"=[1]OUT_TransportEnergyCons!$B$3:$B$1000)*1,ISNUMBER(SEARCH("TPBSc",[1]OUT_TransportEnergyCons!$C$3:$C$1000))*1,[1]OUT_TransportEnergyCons!K$3:K$1000)</f>
        <v>0</v>
      </c>
      <c r="N1453" s="1" cm="1">
        <f t="array" ref="N1453">SUMPRODUCT(("T_B_c-ICEDSL-S4"=[1]OUT_TransportEnergyCons!$A$3:$A$1000)*1,("var_fout"=[1]OUT_TransportEnergyCons!$B$3:$B$1000)*1,ISNUMBER(SEARCH("TPBSc",[1]OUT_TransportEnergyCons!$C$3:$C$1000))*1,[1]OUT_TransportEnergyCons!L$3:L$1000)</f>
        <v>0</v>
      </c>
      <c r="O1453" s="1" cm="1">
        <f t="array" ref="O1453">SUMPRODUCT(("T_B_c-ICEDSL-S4"=[1]OUT_TransportEnergyCons!$A$3:$A$1000)*1,("var_fout"=[1]OUT_TransportEnergyCons!$B$3:$B$1000)*1,ISNUMBER(SEARCH("TPBSc",[1]OUT_TransportEnergyCons!$C$3:$C$1000))*1,[1]OUT_TransportEnergyCons!M$3:M$1000)</f>
        <v>0</v>
      </c>
      <c r="P1453" s="1" cm="1">
        <f t="array" ref="P1453">SUMPRODUCT(("T_B_c-ICEDSL-S4"=[1]OUT_TransportEnergyCons!$A$3:$A$1000)*1,("var_fout"=[1]OUT_TransportEnergyCons!$B$3:$B$1000)*1,ISNUMBER(SEARCH("TPBSc",[1]OUT_TransportEnergyCons!$C$3:$C$1000))*1,[1]OUT_TransportEnergyCons!N$3:N$1000)</f>
        <v>0</v>
      </c>
      <c r="Q1453" s="1" cm="1">
        <f t="array" ref="Q1453">SUMPRODUCT(("T_B_c-ICEDSL-S4"=[1]OUT_TransportEnergyCons!$A$3:$A$1000)*1,("var_fout"=[1]OUT_TransportEnergyCons!$B$3:$B$1000)*1,ISNUMBER(SEARCH("TPBSc",[1]OUT_TransportEnergyCons!$C$3:$C$1000))*1,[1]OUT_TransportEnergyCons!O$3:O$1000)</f>
        <v>0</v>
      </c>
      <c r="S1453" s="3"/>
    </row>
    <row r="1454" spans="2:19" x14ac:dyDescent="0.5">
      <c r="B1454" s="5" t="str">
        <f t="shared" si="1609"/>
        <v>SPS1</v>
      </c>
      <c r="C1454" s="5" t="str">
        <f t="shared" si="1610"/>
        <v>CH</v>
      </c>
      <c r="D1454" t="s">
        <v>2119</v>
      </c>
      <c r="E1454" t="str">
        <f t="shared" si="1611"/>
        <v>billion km/yr.</v>
      </c>
      <c r="F1454" s="1" cm="1">
        <f t="array" ref="F1454">SUMPRODUCT(("T_B_c-ICEngaEXT"=[1]OUT_TransportEnergyCons!$A$3:$A$1000)*1,("var_fout"=[1]OUT_TransportEnergyCons!$B$3:$B$1000)*1,ISNUMBER(SEARCH("TPBSc",[1]OUT_TransportEnergyCons!$C$3:$C$1000))*1,[1]OUT_TransportEnergyCons!D$3:D$1000)</f>
        <v>1.3880890105748226E-3</v>
      </c>
      <c r="G1454" s="1" cm="1">
        <f t="array" ref="G1454">SUMPRODUCT(("T_B_c-ICEngaEXT"=[1]OUT_TransportEnergyCons!$A$3:$A$1000)*1,("var_fout"=[1]OUT_TransportEnergyCons!$B$3:$B$1000)*1,ISNUMBER(SEARCH("TPBSc",[1]OUT_TransportEnergyCons!$C$3:$C$1000))*1,[1]OUT_TransportEnergyCons!E$3:E$1000)</f>
        <v>1.1253782110570831E-3</v>
      </c>
      <c r="H1454" s="1" cm="1">
        <f t="array" ref="H1454">SUMPRODUCT(("T_B_c-ICEngaEXT"=[1]OUT_TransportEnergyCons!$A$3:$A$1000)*1,("var_fout"=[1]OUT_TransportEnergyCons!$B$3:$B$1000)*1,ISNUMBER(SEARCH("TPBSc",[1]OUT_TransportEnergyCons!$C$3:$C$1000))*1,[1]OUT_TransportEnergyCons!F$3:F$1000)</f>
        <v>4.9681571272754339E-4</v>
      </c>
      <c r="I1454" s="1" cm="1">
        <f t="array" ref="I1454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4" s="1" cm="1">
        <f t="array" ref="J1454">SUMPRODUCT(("T_B_c-ICEngaEXT"=[1]OUT_TransportEnergyCons!$A$3:$A$1000)*1,("var_fout"=[1]OUT_TransportEnergyCons!$B$3:$B$1000)*1,ISNUMBER(SEARCH("TPBSc",[1]OUT_TransportEnergyCons!$C$3:$C$1000))*1,[1]OUT_TransportEnergyCons!H$3:H$1000)</f>
        <v>0</v>
      </c>
      <c r="K1454" s="1" cm="1">
        <f t="array" ref="K1454">SUMPRODUCT(("T_B_c-ICEngaEXT"=[1]OUT_TransportEnergyCons!$A$3:$A$1000)*1,("var_fout"=[1]OUT_TransportEnergyCons!$B$3:$B$1000)*1,ISNUMBER(SEARCH("TPBSc",[1]OUT_TransportEnergyCons!$C$3:$C$1000))*1,[1]OUT_TransportEnergyCons!I$3:I$1000)</f>
        <v>0</v>
      </c>
      <c r="L1454" s="1" cm="1">
        <f t="array" ref="L1454">SUMPRODUCT(("T_B_c-ICEngaEXT"=[1]OUT_TransportEnergyCons!$A$3:$A$1000)*1,("var_fout"=[1]OUT_TransportEnergyCons!$B$3:$B$1000)*1,ISNUMBER(SEARCH("TPBSc",[1]OUT_TransportEnergyCons!$C$3:$C$1000))*1,[1]OUT_TransportEnergyCons!J$3:J$1000)</f>
        <v>0</v>
      </c>
      <c r="M1454" s="1" cm="1">
        <f t="array" ref="M1454">SUMPRODUCT(("T_B_c-ICEngaEXT"=[1]OUT_TransportEnergyCons!$A$3:$A$1000)*1,("var_fout"=[1]OUT_TransportEnergyCons!$B$3:$B$1000)*1,ISNUMBER(SEARCH("TPBSc",[1]OUT_TransportEnergyCons!$C$3:$C$1000))*1,[1]OUT_TransportEnergyCons!K$3:K$1000)</f>
        <v>0</v>
      </c>
      <c r="N1454" s="1" cm="1">
        <f t="array" ref="N1454">SUMPRODUCT(("T_B_c-ICEngaEXT"=[1]OUT_TransportEnergyCons!$A$3:$A$1000)*1,("var_fout"=[1]OUT_TransportEnergyCons!$B$3:$B$1000)*1,ISNUMBER(SEARCH("TPBSc",[1]OUT_TransportEnergyCons!$C$3:$C$1000))*1,[1]OUT_TransportEnergyCons!L$3:L$1000)</f>
        <v>0</v>
      </c>
      <c r="O1454" s="1" cm="1">
        <f t="array" ref="O1454">SUMPRODUCT(("T_B_c-ICEngaEXT"=[1]OUT_TransportEnergyCons!$A$3:$A$1000)*1,("var_fout"=[1]OUT_TransportEnergyCons!$B$3:$B$1000)*1,ISNUMBER(SEARCH("TPBSc",[1]OUT_TransportEnergyCons!$C$3:$C$1000))*1,[1]OUT_TransportEnergyCons!M$3:M$1000)</f>
        <v>0</v>
      </c>
      <c r="P1454" s="1" cm="1">
        <f t="array" ref="P1454">SUMPRODUCT(("T_B_c-ICEngaEXT"=[1]OUT_TransportEnergyCons!$A$3:$A$1000)*1,("var_fout"=[1]OUT_TransportEnergyCons!$B$3:$B$1000)*1,ISNUMBER(SEARCH("TPBSc",[1]OUT_TransportEnergyCons!$C$3:$C$1000))*1,[1]OUT_TransportEnergyCons!N$3:N$1000)</f>
        <v>0</v>
      </c>
      <c r="Q1454" s="1" cm="1">
        <f t="array" ref="Q1454">SUMPRODUCT(("T_B_c-ICEngaEXT"=[1]OUT_TransportEnergyCons!$A$3:$A$1000)*1,("var_fout"=[1]OUT_TransportEnergyCons!$B$3:$B$1000)*1,ISNUMBER(SEARCH("TPBSc",[1]OUT_TransportEnergyCons!$C$3:$C$1000))*1,[1]OUT_TransportEnergyCons!O$3:O$1000)</f>
        <v>0</v>
      </c>
      <c r="S1454" s="3"/>
    </row>
    <row r="1455" spans="2:19" x14ac:dyDescent="0.5">
      <c r="B1455" s="5" t="str">
        <f t="shared" si="1609"/>
        <v>SPS1</v>
      </c>
      <c r="C1455" s="5" t="str">
        <f t="shared" si="1610"/>
        <v>CH</v>
      </c>
      <c r="D1455" t="s">
        <v>1445</v>
      </c>
      <c r="E1455" t="str">
        <f t="shared" si="1611"/>
        <v>billion km/yr.</v>
      </c>
      <c r="F1455" s="1" cm="1">
        <f t="array" ref="F1455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SUMPRODUCT(("T_B_c-ICEnga-S1"=[1]OUT_TransportEnergyCons!$A$3:$A$1000)*1,("var_fout"=[1]OUT_TransportEnergyCons!$B$3:$B$1000)*1,ISNUMBER(SEARCH("TPBSc",[1]OUT_TransportEnergyCons!$C$3:$C$1000))*1,[1]OUT_TransportEnergyCons!E$3:E$1000)</f>
        <v>2.867379051205561E-4</v>
      </c>
      <c r="H1455" s="1" cm="1">
        <f t="array" ref="H1455">SUMPRODUCT(("T_B_c-ICEnga-S1"=[1]OUT_TransportEnergyCons!$A$3:$A$1000)*1,("var_fout"=[1]OUT_TransportEnergyCons!$B$3:$B$1000)*1,ISNUMBER(SEARCH("TPBSc",[1]OUT_TransportEnergyCons!$C$3:$C$1000))*1,[1]OUT_TransportEnergyCons!F$3:F$1000)</f>
        <v>5.717216779529767E-5</v>
      </c>
      <c r="I1455" s="1" cm="1">
        <f t="array" ref="I1455">SUMPRODUCT(("T_B_c-ICEnga-S1"=[1]OUT_TransportEnergyCons!$A$3:$A$1000)*1,("var_fout"=[1]OUT_TransportEnergyCons!$B$3:$B$1000)*1,ISNUMBER(SEARCH("TPBSc",[1]OUT_TransportEnergyCons!$C$3:$C$1000))*1,[1]OUT_TransportEnergyCons!G$3:G$1000)</f>
        <v>7.6526813189998986E-5</v>
      </c>
      <c r="J1455" s="1" cm="1">
        <f t="array" ref="J1455">SUMPRODUCT(("T_B_c-ICEnga-S1"=[1]OUT_TransportEnergyCons!$A$3:$A$1000)*1,("var_fout"=[1]OUT_TransportEnergyCons!$B$3:$B$1000)*1,ISNUMBER(SEARCH("TPBSc",[1]OUT_TransportEnergyCons!$C$3:$C$1000))*1,[1]OUT_TransportEnergyCons!H$3:H$1000)</f>
        <v>6.078534105282269E-5</v>
      </c>
      <c r="K1455" s="1" cm="1">
        <f t="array" ref="K1455">SUMPRODUCT(("T_B_c-ICEnga-S1"=[1]OUT_TransportEnergyCons!$A$3:$A$1000)*1,("var_fout"=[1]OUT_TransportEnergyCons!$B$3:$B$1000)*1,ISNUMBER(SEARCH("TPBSc",[1]OUT_TransportEnergyCons!$C$3:$C$1000))*1,[1]OUT_TransportEnergyCons!I$3:I$1000)</f>
        <v>6.0739233080545013E-5</v>
      </c>
      <c r="L1455" s="1" cm="1">
        <f t="array" ref="L1455">SUMPRODUCT(("T_B_c-ICEnga-S1"=[1]OUT_TransportEnergyCons!$A$3:$A$1000)*1,("var_fout"=[1]OUT_TransportEnergyCons!$B$3:$B$1000)*1,ISNUMBER(SEARCH("TPBSc",[1]OUT_TransportEnergyCons!$C$3:$C$1000))*1,[1]OUT_TransportEnergyCons!J$3:J$1000)</f>
        <v>8.4704227996715401E-5</v>
      </c>
      <c r="M1455" s="1" cm="1">
        <f t="array" ref="M1455">SUMPRODUCT(("T_B_c-ICEnga-S1"=[1]OUT_TransportEnergyCons!$A$3:$A$1000)*1,("var_fout"=[1]OUT_TransportEnergyCons!$B$3:$B$1000)*1,ISNUMBER(SEARCH("TPBSc",[1]OUT_TransportEnergyCons!$C$3:$C$1000))*1,[1]OUT_TransportEnergyCons!K$3:K$1000)</f>
        <v>7.3862504677767166E-5</v>
      </c>
      <c r="N1455" s="1" cm="1">
        <f t="array" ref="N1455">SUMPRODUCT(("T_B_c-ICEnga-S1"=[1]OUT_TransportEnergyCons!$A$3:$A$1000)*1,("var_fout"=[1]OUT_TransportEnergyCons!$B$3:$B$1000)*1,ISNUMBER(SEARCH("TPBSc",[1]OUT_TransportEnergyCons!$C$3:$C$1000))*1,[1]OUT_TransportEnergyCons!L$3:L$1000)</f>
        <v>0</v>
      </c>
      <c r="O1455" s="1" cm="1">
        <f t="array" ref="O1455">SUMPRODUCT(("T_B_c-ICEnga-S1"=[1]OUT_TransportEnergyCons!$A$3:$A$1000)*1,("var_fout"=[1]OUT_TransportEnergyCons!$B$3:$B$1000)*1,ISNUMBER(SEARCH("TPBSc",[1]OUT_TransportEnergyCons!$C$3:$C$1000))*1,[1]OUT_TransportEnergyCons!M$3:M$1000)</f>
        <v>0</v>
      </c>
      <c r="P1455" s="1" cm="1">
        <f t="array" ref="P1455">SUMPRODUCT(("T_B_c-ICEnga-S1"=[1]OUT_TransportEnergyCons!$A$3:$A$1000)*1,("var_fout"=[1]OUT_TransportEnergyCons!$B$3:$B$1000)*1,ISNUMBER(SEARCH("TPBSc",[1]OUT_TransportEnergyCons!$C$3:$C$1000))*1,[1]OUT_TransportEnergyCons!N$3:N$1000)</f>
        <v>0</v>
      </c>
      <c r="Q1455" s="1" cm="1">
        <f t="array" ref="Q1455">SUMPRODUCT(("T_B_c-ICEnga-S1"=[1]OUT_TransportEnergyCons!$A$3:$A$1000)*1,("var_fout"=[1]OUT_TransportEnergyCons!$B$3:$B$1000)*1,ISNUMBER(SEARCH("TPBSc",[1]OUT_TransportEnergyCons!$C$3:$C$1000))*1,[1]OUT_TransportEnergyCons!O$3:O$1000)</f>
        <v>0</v>
      </c>
      <c r="S1455" s="3"/>
    </row>
    <row r="1456" spans="2:19" x14ac:dyDescent="0.5">
      <c r="B1456" s="5" t="str">
        <f t="shared" si="1609"/>
        <v>SPS1</v>
      </c>
      <c r="C1456" s="5" t="str">
        <f t="shared" si="1610"/>
        <v>CH</v>
      </c>
      <c r="D1456" t="s">
        <v>1446</v>
      </c>
      <c r="E1456" t="str">
        <f t="shared" si="1611"/>
        <v>billion km/yr.</v>
      </c>
      <c r="F1456" s="1" cm="1">
        <f t="array" ref="F1456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SUMPRODUCT(("T_B_c-ICEnga-S2"=[1]OUT_TransportEnergyCons!$A$3:$A$1000)*1,("var_fout"=[1]OUT_TransportEnergyCons!$B$3:$B$1000)*1,ISNUMBER(SEARCH("TPBSc",[1]OUT_TransportEnergyCons!$C$3:$C$1000))*1,[1]OUT_TransportEnergyCons!E$3:E$1000)</f>
        <v>4.9336391930889053E-5</v>
      </c>
      <c r="H1456" s="1" cm="1">
        <f t="array" ref="H1456">SUMPRODUCT(("T_B_c-ICEnga-S2"=[1]OUT_TransportEnergyCons!$A$3:$A$1000)*1,("var_fout"=[1]OUT_TransportEnergyCons!$B$3:$B$1000)*1,ISNUMBER(SEARCH("TPBSc",[1]OUT_TransportEnergyCons!$C$3:$C$1000))*1,[1]OUT_TransportEnergyCons!F$3:F$1000)</f>
        <v>1.1737704804387133E-4</v>
      </c>
      <c r="I1456" s="1" cm="1">
        <f t="array" ref="I1456">SUMPRODUCT(("T_B_c-ICEnga-S2"=[1]OUT_TransportEnergyCons!$A$3:$A$1000)*1,("var_fout"=[1]OUT_TransportEnergyCons!$B$3:$B$1000)*1,ISNUMBER(SEARCH("TPBSc",[1]OUT_TransportEnergyCons!$C$3:$C$1000))*1,[1]OUT_TransportEnergyCons!G$3:G$1000)</f>
        <v>1.4846580315175086E-4</v>
      </c>
      <c r="J1456" s="1" cm="1">
        <f t="array" ref="J1456">SUMPRODUCT(("T_B_c-ICEnga-S2"=[1]OUT_TransportEnergyCons!$A$3:$A$1000)*1,("var_fout"=[1]OUT_TransportEnergyCons!$B$3:$B$1000)*1,ISNUMBER(SEARCH("TPBSc",[1]OUT_TransportEnergyCons!$C$3:$C$1000))*1,[1]OUT_TransportEnergyCons!H$3:H$1000)</f>
        <v>6.7804172419547515E-5</v>
      </c>
      <c r="K1456" s="1" cm="1">
        <f t="array" ref="K1456">SUMPRODUCT(("T_B_c-ICEnga-S2"=[1]OUT_TransportEnergyCons!$A$3:$A$1000)*1,("var_fout"=[1]OUT_TransportEnergyCons!$B$3:$B$1000)*1,ISNUMBER(SEARCH("TPBSc",[1]OUT_TransportEnergyCons!$C$3:$C$1000))*1,[1]OUT_TransportEnergyCons!I$3:I$1000)</f>
        <v>7.1129743964160096E-5</v>
      </c>
      <c r="L1456" s="1" cm="1">
        <f t="array" ref="L1456">SUMPRODUCT(("T_B_c-ICEnga-S2"=[1]OUT_TransportEnergyCons!$A$3:$A$1000)*1,("var_fout"=[1]OUT_TransportEnergyCons!$B$3:$B$1000)*1,ISNUMBER(SEARCH("TPBSc",[1]OUT_TransportEnergyCons!$C$3:$C$1000))*1,[1]OUT_TransportEnergyCons!J$3:J$1000)</f>
        <v>6.0461357971574659E-4</v>
      </c>
      <c r="M1456" s="1" cm="1">
        <f t="array" ref="M1456">SUMPRODUCT(("T_B_c-ICEnga-S2"=[1]OUT_TransportEnergyCons!$A$3:$A$1000)*1,("var_fout"=[1]OUT_TransportEnergyCons!$B$3:$B$1000)*1,ISNUMBER(SEARCH("TPBSc",[1]OUT_TransportEnergyCons!$C$3:$C$1000))*1,[1]OUT_TransportEnergyCons!K$3:K$1000)</f>
        <v>5.967579206629047E-4</v>
      </c>
      <c r="N1456" s="1" cm="1">
        <f t="array" ref="N1456">SUMPRODUCT(("T_B_c-ICEnga-S2"=[1]OUT_TransportEnergyCons!$A$3:$A$1000)*1,("var_fout"=[1]OUT_TransportEnergyCons!$B$3:$B$1000)*1,ISNUMBER(SEARCH("TPBSc",[1]OUT_TransportEnergyCons!$C$3:$C$1000))*1,[1]OUT_TransportEnergyCons!L$3:L$1000)</f>
        <v>0</v>
      </c>
      <c r="O1456" s="1" cm="1">
        <f t="array" ref="O1456">SUMPRODUCT(("T_B_c-ICEnga-S2"=[1]OUT_TransportEnergyCons!$A$3:$A$1000)*1,("var_fout"=[1]OUT_TransportEnergyCons!$B$3:$B$1000)*1,ISNUMBER(SEARCH("TPBSc",[1]OUT_TransportEnergyCons!$C$3:$C$1000))*1,[1]OUT_TransportEnergyCons!M$3:M$1000)</f>
        <v>0</v>
      </c>
      <c r="P1456" s="1" cm="1">
        <f t="array" ref="P1456">SUMPRODUCT(("T_B_c-ICEnga-S2"=[1]OUT_TransportEnergyCons!$A$3:$A$1000)*1,("var_fout"=[1]OUT_TransportEnergyCons!$B$3:$B$1000)*1,ISNUMBER(SEARCH("TPBSc",[1]OUT_TransportEnergyCons!$C$3:$C$1000))*1,[1]OUT_TransportEnergyCons!N$3:N$1000)</f>
        <v>0</v>
      </c>
      <c r="Q1456" s="1" cm="1">
        <f t="array" ref="Q1456">SUMPRODUCT(("T_B_c-ICEnga-S2"=[1]OUT_TransportEnergyCons!$A$3:$A$1000)*1,("var_fout"=[1]OUT_TransportEnergyCons!$B$3:$B$1000)*1,ISNUMBER(SEARCH("TPBSc",[1]OUT_TransportEnergyCons!$C$3:$C$1000))*1,[1]OUT_TransportEnergyCons!O$3:O$1000)</f>
        <v>0</v>
      </c>
      <c r="S1456" s="3"/>
    </row>
    <row r="1457" spans="2:19" x14ac:dyDescent="0.5">
      <c r="B1457" s="5" t="str">
        <f t="shared" si="1609"/>
        <v>SPS1</v>
      </c>
      <c r="C1457" s="5" t="str">
        <f t="shared" si="1610"/>
        <v>CH</v>
      </c>
      <c r="D1457" t="s">
        <v>1447</v>
      </c>
      <c r="E1457" t="str">
        <f t="shared" si="1611"/>
        <v>billion km/yr.</v>
      </c>
      <c r="F1457" s="1" cm="1">
        <f t="array" ref="F1457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7" s="1" cm="1">
        <f t="array" ref="G1457">SUMPRODUCT(("T_B_c-ICEnga-S3"=[1]OUT_TransportEnergyCons!$A$3:$A$1000)*1,("var_fout"=[1]OUT_TransportEnergyCons!$B$3:$B$1000)*1,ISNUMBER(SEARCH("TPBSc",[1]OUT_TransportEnergyCons!$C$3:$C$1000))*1,[1]OUT_TransportEnergyCons!E$3:E$1000)</f>
        <v>4.4035968989592566E-5</v>
      </c>
      <c r="H1457" s="1" cm="1">
        <f t="array" ref="H1457">SUMPRODUCT(("T_B_c-ICEnga-S3"=[1]OUT_TransportEnergyCons!$A$3:$A$1000)*1,("var_fout"=[1]OUT_TransportEnergyCons!$B$3:$B$1000)*1,ISNUMBER(SEARCH("TPBSc",[1]OUT_TransportEnergyCons!$C$3:$C$1000))*1,[1]OUT_TransportEnergyCons!F$3:F$1000)</f>
        <v>4.5970727038878115E-3</v>
      </c>
      <c r="I1457" s="1" cm="1">
        <f t="array" ref="I1457">SUMPRODUCT(("T_B_c-ICEnga-S3"=[1]OUT_TransportEnergyCons!$A$3:$A$1000)*1,("var_fout"=[1]OUT_TransportEnergyCons!$B$3:$B$1000)*1,ISNUMBER(SEARCH("TPBSc",[1]OUT_TransportEnergyCons!$C$3:$C$1000))*1,[1]OUT_TransportEnergyCons!G$3:G$1000)</f>
        <v>4.6327383813849817E-3</v>
      </c>
      <c r="J1457" s="1" cm="1">
        <f t="array" ref="J1457">SUMPRODUCT(("T_B_c-ICEnga-S3"=[1]OUT_TransportEnergyCons!$A$3:$A$1000)*1,("var_fout"=[1]OUT_TransportEnergyCons!$B$3:$B$1000)*1,ISNUMBER(SEARCH("TPBSc",[1]OUT_TransportEnergyCons!$C$3:$C$1000))*1,[1]OUT_TransportEnergyCons!H$3:H$1000)</f>
        <v>7.8436649793473537E-5</v>
      </c>
      <c r="K1457" s="1" cm="1">
        <f t="array" ref="K1457">SUMPRODUCT(("T_B_c-ICEnga-S3"=[1]OUT_TransportEnergyCons!$A$3:$A$1000)*1,("var_fout"=[1]OUT_TransportEnergyCons!$B$3:$B$1000)*1,ISNUMBER(SEARCH("TPBSc",[1]OUT_TransportEnergyCons!$C$3:$C$1000))*1,[1]OUT_TransportEnergyCons!I$3:I$1000)</f>
        <v>7.0629488861620744E-5</v>
      </c>
      <c r="L1457" s="1" cm="1">
        <f t="array" ref="L1457">SUMPRODUCT(("T_B_c-ICEnga-S3"=[1]OUT_TransportEnergyCons!$A$3:$A$1000)*1,("var_fout"=[1]OUT_TransportEnergyCons!$B$3:$B$1000)*1,ISNUMBER(SEARCH("TPBSc",[1]OUT_TransportEnergyCons!$C$3:$C$1000))*1,[1]OUT_TransportEnergyCons!J$3:J$1000)</f>
        <v>8.5444887530066602E-5</v>
      </c>
      <c r="M1457" s="1" cm="1">
        <f t="array" ref="M1457">SUMPRODUCT(("T_B_c-ICEnga-S3"=[1]OUT_TransportEnergyCons!$A$3:$A$1000)*1,("var_fout"=[1]OUT_TransportEnergyCons!$B$3:$B$1000)*1,ISNUMBER(SEARCH("TPBSc",[1]OUT_TransportEnergyCons!$C$3:$C$1000))*1,[1]OUT_TransportEnergyCons!K$3:K$1000)</f>
        <v>0</v>
      </c>
      <c r="N1457" s="1" cm="1">
        <f t="array" ref="N1457">SUMPRODUCT(("T_B_c-ICEnga-S3"=[1]OUT_TransportEnergyCons!$A$3:$A$1000)*1,("var_fout"=[1]OUT_TransportEnergyCons!$B$3:$B$1000)*1,ISNUMBER(SEARCH("TPBSc",[1]OUT_TransportEnergyCons!$C$3:$C$1000))*1,[1]OUT_TransportEnergyCons!L$3:L$1000)</f>
        <v>0</v>
      </c>
      <c r="O1457" s="1" cm="1">
        <f t="array" ref="O1457">SUMPRODUCT(("T_B_c-ICEnga-S3"=[1]OUT_TransportEnergyCons!$A$3:$A$1000)*1,("var_fout"=[1]OUT_TransportEnergyCons!$B$3:$B$1000)*1,ISNUMBER(SEARCH("TPBSc",[1]OUT_TransportEnergyCons!$C$3:$C$1000))*1,[1]OUT_TransportEnergyCons!M$3:M$1000)</f>
        <v>0</v>
      </c>
      <c r="P1457" s="1" cm="1">
        <f t="array" ref="P1457">SUMPRODUCT(("T_B_c-ICEnga-S3"=[1]OUT_TransportEnergyCons!$A$3:$A$1000)*1,("var_fout"=[1]OUT_TransportEnergyCons!$B$3:$B$1000)*1,ISNUMBER(SEARCH("TPBSc",[1]OUT_TransportEnergyCons!$C$3:$C$1000))*1,[1]OUT_TransportEnergyCons!N$3:N$1000)</f>
        <v>0</v>
      </c>
      <c r="Q1457" s="1" cm="1">
        <f t="array" ref="Q1457">SUMPRODUCT(("T_B_c-ICEnga-S3"=[1]OUT_TransportEnergyCons!$A$3:$A$1000)*1,("var_fout"=[1]OUT_TransportEnergyCons!$B$3:$B$1000)*1,ISNUMBER(SEARCH("TPBSc",[1]OUT_TransportEnergyCons!$C$3:$C$1000))*1,[1]OUT_TransportEnergyCons!O$3:O$1000)</f>
        <v>0</v>
      </c>
      <c r="S1457" s="3"/>
    </row>
    <row r="1458" spans="2:19" x14ac:dyDescent="0.5">
      <c r="B1458" s="5" t="str">
        <f t="shared" si="1609"/>
        <v>SPS1</v>
      </c>
      <c r="C1458" s="5" t="str">
        <f t="shared" si="1610"/>
        <v>CH</v>
      </c>
      <c r="D1458" t="s">
        <v>1448</v>
      </c>
      <c r="E1458" t="str">
        <f t="shared" si="1611"/>
        <v>billion km/yr.</v>
      </c>
      <c r="F1458" s="1" cm="1">
        <f t="array" ref="F1458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8" s="1" cm="1">
        <f t="array" ref="G1458">SUMPRODUCT(("T_B_c-ICEnga-S4"=[1]OUT_TransportEnergyCons!$A$3:$A$1000)*1,("var_fout"=[1]OUT_TransportEnergyCons!$B$3:$B$1000)*1,ISNUMBER(SEARCH("TPBSc",[1]OUT_TransportEnergyCons!$C$3:$C$1000))*1,[1]OUT_TransportEnergyCons!E$3:E$1000)</f>
        <v>9.6869441355416505E-6</v>
      </c>
      <c r="H1458" s="1" cm="1">
        <f t="array" ref="H1458">SUMPRODUCT(("T_B_c-ICEnga-S4"=[1]OUT_TransportEnergyCons!$A$3:$A$1000)*1,("var_fout"=[1]OUT_TransportEnergyCons!$B$3:$B$1000)*1,ISNUMBER(SEARCH("TPBSc",[1]OUT_TransportEnergyCons!$C$3:$C$1000))*1,[1]OUT_TransportEnergyCons!F$3:F$1000)</f>
        <v>4.9165554503870535E-5</v>
      </c>
      <c r="I1458" s="1" cm="1">
        <f t="array" ref="I1458">SUMPRODUCT(("T_B_c-ICEnga-S4"=[1]OUT_TransportEnergyCons!$A$3:$A$1000)*1,("var_fout"=[1]OUT_TransportEnergyCons!$B$3:$B$1000)*1,ISNUMBER(SEARCH("TPBSc",[1]OUT_TransportEnergyCons!$C$3:$C$1000))*1,[1]OUT_TransportEnergyCons!G$3:G$1000)</f>
        <v>6.9023747636730797E-5</v>
      </c>
      <c r="J1458" s="1" cm="1">
        <f t="array" ref="J1458">SUMPRODUCT(("T_B_c-ICEnga-S4"=[1]OUT_TransportEnergyCons!$A$3:$A$1000)*1,("var_fout"=[1]OUT_TransportEnergyCons!$B$3:$B$1000)*1,ISNUMBER(SEARCH("TPBSc",[1]OUT_TransportEnergyCons!$C$3:$C$1000))*1,[1]OUT_TransportEnergyCons!H$3:H$1000)</f>
        <v>4.8015100219941822E-5</v>
      </c>
      <c r="K1458" s="1" cm="1">
        <f t="array" ref="K1458">SUMPRODUCT(("T_B_c-ICEnga-S4"=[1]OUT_TransportEnergyCons!$A$3:$A$1000)*1,("var_fout"=[1]OUT_TransportEnergyCons!$B$3:$B$1000)*1,ISNUMBER(SEARCH("TPBSc",[1]OUT_TransportEnergyCons!$C$3:$C$1000))*1,[1]OUT_TransportEnergyCons!I$3:I$1000)</f>
        <v>5.0251091401480721E-5</v>
      </c>
      <c r="L1458" s="1" cm="1">
        <f t="array" ref="L1458">SUMPRODUCT(("T_B_c-ICEnga-S4"=[1]OUT_TransportEnergyCons!$A$3:$A$1000)*1,("var_fout"=[1]OUT_TransportEnergyCons!$B$3:$B$1000)*1,ISNUMBER(SEARCH("TPBSc",[1]OUT_TransportEnergyCons!$C$3:$C$1000))*1,[1]OUT_TransportEnergyCons!J$3:J$1000)</f>
        <v>4.6862397576703059E-5</v>
      </c>
      <c r="M1458" s="1" cm="1">
        <f t="array" ref="M1458">SUMPRODUCT(("T_B_c-ICEnga-S4"=[1]OUT_TransportEnergyCons!$A$3:$A$1000)*1,("var_fout"=[1]OUT_TransportEnergyCons!$B$3:$B$1000)*1,ISNUMBER(SEARCH("TPBSc",[1]OUT_TransportEnergyCons!$C$3:$C$1000))*1,[1]OUT_TransportEnergyCons!K$3:K$1000)</f>
        <v>0</v>
      </c>
      <c r="N1458" s="1" cm="1">
        <f t="array" ref="N1458">SUMPRODUCT(("T_B_c-ICEnga-S4"=[1]OUT_TransportEnergyCons!$A$3:$A$1000)*1,("var_fout"=[1]OUT_TransportEnergyCons!$B$3:$B$1000)*1,ISNUMBER(SEARCH("TPBSc",[1]OUT_TransportEnergyCons!$C$3:$C$1000))*1,[1]OUT_TransportEnergyCons!L$3:L$1000)</f>
        <v>0</v>
      </c>
      <c r="O1458" s="1" cm="1">
        <f t="array" ref="O1458">SUMPRODUCT(("T_B_c-ICEnga-S4"=[1]OUT_TransportEnergyCons!$A$3:$A$1000)*1,("var_fout"=[1]OUT_TransportEnergyCons!$B$3:$B$1000)*1,ISNUMBER(SEARCH("TPBSc",[1]OUT_TransportEnergyCons!$C$3:$C$1000))*1,[1]OUT_TransportEnergyCons!M$3:M$1000)</f>
        <v>0</v>
      </c>
      <c r="P1458" s="1" cm="1">
        <f t="array" ref="P1458">SUMPRODUCT(("T_B_c-ICEnga-S4"=[1]OUT_TransportEnergyCons!$A$3:$A$1000)*1,("var_fout"=[1]OUT_TransportEnergyCons!$B$3:$B$1000)*1,ISNUMBER(SEARCH("TPBSc",[1]OUT_TransportEnergyCons!$C$3:$C$1000))*1,[1]OUT_TransportEnergyCons!N$3:N$1000)</f>
        <v>0</v>
      </c>
      <c r="Q1458" s="1" cm="1">
        <f t="array" ref="Q1458">SUMPRODUCT(("T_B_c-ICEnga-S4"=[1]OUT_TransportEnergyCons!$A$3:$A$1000)*1,("var_fout"=[1]OUT_TransportEnergyCons!$B$3:$B$1000)*1,ISNUMBER(SEARCH("TPBSc",[1]OUT_TransportEnergyCons!$C$3:$C$1000))*1,[1]OUT_TransportEnergyCons!O$3:O$1000)</f>
        <v>0</v>
      </c>
      <c r="S1458" s="3"/>
    </row>
    <row r="1459" spans="2:19" x14ac:dyDescent="0.5">
      <c r="B1459" s="5" t="str">
        <f>B1458</f>
        <v>SPS1</v>
      </c>
      <c r="C1459" s="5" t="str">
        <f>C1458</f>
        <v>CH</v>
      </c>
      <c r="D1459" s="2" t="s">
        <v>1393</v>
      </c>
      <c r="E1459" s="2" t="s">
        <v>1229</v>
      </c>
      <c r="F1459" s="19" t="s">
        <v>292</v>
      </c>
      <c r="G1459" s="19" t="s">
        <v>292</v>
      </c>
      <c r="H1459" s="19" t="s">
        <v>292</v>
      </c>
      <c r="I1459" s="19" t="s">
        <v>292</v>
      </c>
      <c r="J1459" s="19" t="s">
        <v>292</v>
      </c>
      <c r="K1459" s="19" t="s">
        <v>292</v>
      </c>
      <c r="L1459" s="19" t="s">
        <v>292</v>
      </c>
      <c r="M1459" s="19" t="s">
        <v>292</v>
      </c>
      <c r="N1459" s="19" t="s">
        <v>292</v>
      </c>
      <c r="O1459" s="19" t="s">
        <v>292</v>
      </c>
      <c r="P1459" s="19" t="s">
        <v>292</v>
      </c>
      <c r="Q1459" s="19" t="s">
        <v>292</v>
      </c>
      <c r="S1459" s="3"/>
    </row>
    <row r="1460" spans="2:19" x14ac:dyDescent="0.5">
      <c r="B1460" s="5" t="str">
        <f t="shared" ref="B1460:B1482" si="1612">B1459</f>
        <v>SPS1</v>
      </c>
      <c r="C1460" s="5" t="str">
        <f t="shared" ref="C1460:C1482" si="1613">C1459</f>
        <v>CH</v>
      </c>
      <c r="D1460" t="s">
        <v>1449</v>
      </c>
      <c r="E1460" t="s">
        <v>1229</v>
      </c>
      <c r="F1460" s="1" t="str">
        <f>IFERROR(F1436/F1401,"-")</f>
        <v>-</v>
      </c>
      <c r="G1460" s="1" t="str">
        <f t="shared" ref="G1460:K1460" si="1614">IFERROR(G1436/G1401,"-")</f>
        <v>-</v>
      </c>
      <c r="H1460" s="1" t="str">
        <f t="shared" si="1614"/>
        <v>-</v>
      </c>
      <c r="I1460" s="1" t="str">
        <f t="shared" si="1614"/>
        <v>-</v>
      </c>
      <c r="J1460" s="1" t="str">
        <f t="shared" si="1614"/>
        <v>-</v>
      </c>
      <c r="K1460" s="1" t="str">
        <f t="shared" si="1614"/>
        <v>-</v>
      </c>
      <c r="L1460" s="1" t="str">
        <f t="shared" ref="L1460:O1460" si="1615">IFERROR(L1436/L1401,"-")</f>
        <v>-</v>
      </c>
      <c r="M1460" s="1" t="str">
        <f t="shared" si="1615"/>
        <v>-</v>
      </c>
      <c r="N1460" s="1" t="str">
        <f t="shared" si="1615"/>
        <v>-</v>
      </c>
      <c r="O1460" s="1" t="str">
        <f t="shared" si="1615"/>
        <v>-</v>
      </c>
      <c r="P1460" s="1" t="str">
        <f t="shared" ref="P1460:Q1464" si="1616">IFERROR(P1436/P1401,"-")</f>
        <v>-</v>
      </c>
      <c r="Q1460" s="1" t="str">
        <f t="shared" si="1616"/>
        <v>-</v>
      </c>
      <c r="S1460" s="3"/>
    </row>
    <row r="1461" spans="2:19" x14ac:dyDescent="0.5">
      <c r="B1461" s="5" t="str">
        <f t="shared" si="1612"/>
        <v>SPS1</v>
      </c>
      <c r="C1461" s="5" t="str">
        <f t="shared" si="1613"/>
        <v>CH</v>
      </c>
      <c r="D1461" t="s">
        <v>1450</v>
      </c>
      <c r="E1461" t="s">
        <v>1229</v>
      </c>
      <c r="F1461" s="1">
        <f t="shared" ref="F1461:K1461" si="1617">IFERROR(F1437/F1402,"-")</f>
        <v>0.37869321701871755</v>
      </c>
      <c r="G1461" s="1">
        <f t="shared" si="1617"/>
        <v>0.38586438702785236</v>
      </c>
      <c r="H1461" s="1">
        <f t="shared" si="1617"/>
        <v>0.41237017988787444</v>
      </c>
      <c r="I1461" s="1">
        <f t="shared" si="1617"/>
        <v>0.43407412775945864</v>
      </c>
      <c r="J1461" s="1">
        <f t="shared" si="1617"/>
        <v>0.46917387860880572</v>
      </c>
      <c r="K1461" s="1">
        <f t="shared" si="1617"/>
        <v>0.47220030067377256</v>
      </c>
      <c r="L1461" s="1">
        <f t="shared" ref="L1461:O1461" si="1618">IFERROR(L1437/L1402,"-")</f>
        <v>0.49312434504338093</v>
      </c>
      <c r="M1461" s="1">
        <f t="shared" si="1618"/>
        <v>0.53023110656982464</v>
      </c>
      <c r="N1461" s="1">
        <f t="shared" si="1618"/>
        <v>0.53739950965675309</v>
      </c>
      <c r="O1461" s="1">
        <f t="shared" si="1618"/>
        <v>0.5423571628370355</v>
      </c>
      <c r="P1461" s="1">
        <f t="shared" si="1616"/>
        <v>0.54235716283703472</v>
      </c>
      <c r="Q1461" s="1">
        <f t="shared" si="1616"/>
        <v>0.54235716283703472</v>
      </c>
      <c r="S1461" s="3"/>
    </row>
    <row r="1462" spans="2:19" x14ac:dyDescent="0.5">
      <c r="B1462" s="5" t="str">
        <f t="shared" si="1612"/>
        <v>SPS1</v>
      </c>
      <c r="C1462" s="5" t="str">
        <f t="shared" si="1613"/>
        <v>CH</v>
      </c>
      <c r="D1462" t="s">
        <v>1451</v>
      </c>
      <c r="E1462" t="s">
        <v>1229</v>
      </c>
      <c r="F1462" s="1">
        <f t="shared" ref="F1462:K1462" si="1619">IFERROR(F1438/F1403,"-")</f>
        <v>0.27518070496490687</v>
      </c>
      <c r="G1462" s="1">
        <f t="shared" si="1619"/>
        <v>0.27845967210226885</v>
      </c>
      <c r="H1462" s="1">
        <f t="shared" si="1619"/>
        <v>0.29907142359441674</v>
      </c>
      <c r="I1462" s="1">
        <f t="shared" si="1619"/>
        <v>0.30559772569346333</v>
      </c>
      <c r="J1462" s="1">
        <f t="shared" si="1619"/>
        <v>0.3367413055434873</v>
      </c>
      <c r="K1462" s="1">
        <f t="shared" si="1619"/>
        <v>0.34368435592925362</v>
      </c>
      <c r="L1462" s="1">
        <f t="shared" ref="L1462:O1462" si="1620">IFERROR(L1438/L1403,"-")</f>
        <v>0.35808369846923976</v>
      </c>
      <c r="M1462" s="1">
        <f t="shared" si="1620"/>
        <v>0.38280499595545575</v>
      </c>
      <c r="N1462" s="1">
        <f t="shared" si="1620"/>
        <v>0.38931157572120678</v>
      </c>
      <c r="O1462" s="1">
        <f t="shared" si="1620"/>
        <v>0.39241606511730998</v>
      </c>
      <c r="P1462" s="1">
        <f t="shared" si="1616"/>
        <v>0.39241606511731031</v>
      </c>
      <c r="Q1462" s="1">
        <f t="shared" si="1616"/>
        <v>0.39241606511730998</v>
      </c>
      <c r="S1462" s="3"/>
    </row>
    <row r="1463" spans="2:19" x14ac:dyDescent="0.5">
      <c r="B1463" s="5" t="str">
        <f t="shared" si="1612"/>
        <v>SPS1</v>
      </c>
      <c r="C1463" s="5" t="str">
        <f t="shared" si="1613"/>
        <v>CH</v>
      </c>
      <c r="D1463" t="s">
        <v>1452</v>
      </c>
      <c r="E1463" t="s">
        <v>1229</v>
      </c>
      <c r="F1463" s="1">
        <f t="shared" ref="F1463:K1463" si="1621">IFERROR(F1439/F1404,"-")</f>
        <v>0.18297040713439919</v>
      </c>
      <c r="G1463" s="1">
        <f t="shared" si="1621"/>
        <v>0.18540137874473686</v>
      </c>
      <c r="H1463" s="1">
        <f t="shared" si="1621"/>
        <v>0.18906995858478584</v>
      </c>
      <c r="I1463" s="1">
        <f t="shared" si="1621"/>
        <v>0.19932275335303304</v>
      </c>
      <c r="J1463" s="1">
        <f t="shared" si="1621"/>
        <v>0.22729324310468704</v>
      </c>
      <c r="K1463" s="1">
        <f t="shared" si="1621"/>
        <v>0.2298670290005593</v>
      </c>
      <c r="L1463" s="1">
        <f t="shared" ref="L1463:O1463" si="1622">IFERROR(L1439/L1404,"-")</f>
        <v>0.24503943311728729</v>
      </c>
      <c r="M1463" s="1">
        <f t="shared" si="1622"/>
        <v>0.2541831713674863</v>
      </c>
      <c r="N1463" s="1">
        <f t="shared" si="1622"/>
        <v>0.26090985787513132</v>
      </c>
      <c r="O1463" s="1">
        <f t="shared" si="1622"/>
        <v>0.26214281836713821</v>
      </c>
      <c r="P1463" s="1">
        <f t="shared" si="1616"/>
        <v>0.26214281836713776</v>
      </c>
      <c r="Q1463" s="1">
        <f t="shared" si="1616"/>
        <v>0.26214281836713799</v>
      </c>
      <c r="S1463" s="3"/>
    </row>
    <row r="1464" spans="2:19" x14ac:dyDescent="0.5">
      <c r="B1464" s="5" t="str">
        <f t="shared" si="1612"/>
        <v>SPS1</v>
      </c>
      <c r="C1464" s="5" t="str">
        <f t="shared" si="1613"/>
        <v>CH</v>
      </c>
      <c r="D1464" t="s">
        <v>1453</v>
      </c>
      <c r="E1464" t="s">
        <v>1229</v>
      </c>
      <c r="F1464" s="1" t="str">
        <f t="shared" ref="F1464:K1464" si="1623">IFERROR(F1440/F1405,"-")</f>
        <v>-</v>
      </c>
      <c r="G1464" s="1">
        <f t="shared" si="1623"/>
        <v>0.12643429100140419</v>
      </c>
      <c r="H1464" s="1">
        <f t="shared" si="1623"/>
        <v>0.12953674433265391</v>
      </c>
      <c r="I1464" s="1">
        <f t="shared" si="1623"/>
        <v>0.13790916142430765</v>
      </c>
      <c r="J1464" s="1">
        <f t="shared" si="1623"/>
        <v>0.14993608901087033</v>
      </c>
      <c r="K1464" s="1">
        <f t="shared" si="1623"/>
        <v>0.15777408990187003</v>
      </c>
      <c r="L1464" s="1">
        <f t="shared" ref="L1464:O1464" si="1624">IFERROR(L1440/L1405,"-")</f>
        <v>0.16570644519442654</v>
      </c>
      <c r="M1464" s="1">
        <f t="shared" si="1624"/>
        <v>0.17314803508494511</v>
      </c>
      <c r="N1464" s="1">
        <f t="shared" si="1624"/>
        <v>0.17547614587850308</v>
      </c>
      <c r="O1464" s="1">
        <f t="shared" si="1624"/>
        <v>0.1754761458785028</v>
      </c>
      <c r="P1464" s="1">
        <f t="shared" si="1616"/>
        <v>0.17547614587850305</v>
      </c>
      <c r="Q1464" s="1">
        <f t="shared" si="1616"/>
        <v>0.17547614587850296</v>
      </c>
      <c r="S1464" s="3"/>
    </row>
    <row r="1465" spans="2:19" x14ac:dyDescent="0.5">
      <c r="B1465" s="5" t="str">
        <f t="shared" si="1612"/>
        <v>SPS1</v>
      </c>
      <c r="C1465" s="5" t="str">
        <f t="shared" si="1613"/>
        <v>CH</v>
      </c>
      <c r="D1465" t="s">
        <v>1454</v>
      </c>
      <c r="E1465" t="s">
        <v>1229</v>
      </c>
      <c r="F1465" s="1" t="str">
        <f>IFERROR(F1441/F1407,"-")</f>
        <v>-</v>
      </c>
      <c r="G1465" s="1" t="str">
        <f t="shared" ref="G1465:K1465" si="1625">IFERROR(G1441/G1407,"-")</f>
        <v>-</v>
      </c>
      <c r="H1465" s="1" t="str">
        <f t="shared" si="1625"/>
        <v>-</v>
      </c>
      <c r="I1465" s="1">
        <f t="shared" si="1625"/>
        <v>0.234401761744441</v>
      </c>
      <c r="J1465" s="1">
        <f t="shared" si="1625"/>
        <v>0.24268050228115273</v>
      </c>
      <c r="K1465" s="1">
        <f t="shared" si="1625"/>
        <v>0.25167081286123194</v>
      </c>
      <c r="L1465" s="1">
        <f t="shared" ref="L1465:O1465" si="1626">IFERROR(L1441/L1407,"-")</f>
        <v>0.26844500786215381</v>
      </c>
      <c r="M1465" s="1">
        <f t="shared" si="1626"/>
        <v>0.28609741092387087</v>
      </c>
      <c r="N1465" s="1">
        <f t="shared" si="1626"/>
        <v>0.29778309132829095</v>
      </c>
      <c r="O1465" s="1">
        <f t="shared" si="1626"/>
        <v>0.30344095071385735</v>
      </c>
      <c r="P1465" s="1">
        <f t="shared" ref="P1465:Q1468" si="1627">IFERROR(P1441/P1407,"-")</f>
        <v>0.30344095071385846</v>
      </c>
      <c r="Q1465" s="1">
        <f t="shared" si="1627"/>
        <v>0.30344095071385851</v>
      </c>
      <c r="S1465" s="3"/>
    </row>
    <row r="1466" spans="2:19" x14ac:dyDescent="0.5">
      <c r="B1466" s="5" t="str">
        <f t="shared" si="1612"/>
        <v>SPS1</v>
      </c>
      <c r="C1466" s="5" t="str">
        <f t="shared" si="1613"/>
        <v>CH</v>
      </c>
      <c r="D1466" t="s">
        <v>1455</v>
      </c>
      <c r="E1466" t="s">
        <v>1229</v>
      </c>
      <c r="F1466" s="1" t="str">
        <f t="shared" ref="F1466:K1466" si="1628">IFERROR(F1442/F1408,"-")</f>
        <v>-</v>
      </c>
      <c r="G1466" s="1" t="str">
        <f t="shared" si="1628"/>
        <v>-</v>
      </c>
      <c r="H1466" s="1" t="str">
        <f t="shared" si="1628"/>
        <v>-</v>
      </c>
      <c r="I1466" s="1">
        <f t="shared" si="1628"/>
        <v>0.16910151451049601</v>
      </c>
      <c r="J1466" s="1">
        <f t="shared" si="1628"/>
        <v>0.1747531200751295</v>
      </c>
      <c r="K1466" s="1">
        <f t="shared" si="1628"/>
        <v>0.1812974032535854</v>
      </c>
      <c r="L1466" s="1">
        <f t="shared" ref="L1466:O1466" si="1629">IFERROR(L1442/L1408,"-")</f>
        <v>0.19338206269610125</v>
      </c>
      <c r="M1466" s="1">
        <f t="shared" si="1629"/>
        <v>0.20625669672034591</v>
      </c>
      <c r="N1466" s="1">
        <f t="shared" si="1629"/>
        <v>0.21481072033728166</v>
      </c>
      <c r="O1466" s="1">
        <f t="shared" si="1629"/>
        <v>0.21881288862453074</v>
      </c>
      <c r="P1466" s="1">
        <f t="shared" si="1627"/>
        <v>0.21881288862453127</v>
      </c>
      <c r="Q1466" s="1">
        <f t="shared" si="1627"/>
        <v>0.21881288862453074</v>
      </c>
      <c r="S1466" s="3"/>
    </row>
    <row r="1467" spans="2:19" x14ac:dyDescent="0.5">
      <c r="B1467" s="5" t="str">
        <f t="shared" si="1612"/>
        <v>SPS1</v>
      </c>
      <c r="C1467" s="5" t="str">
        <f t="shared" si="1613"/>
        <v>CH</v>
      </c>
      <c r="D1467" t="s">
        <v>1456</v>
      </c>
      <c r="E1467" t="s">
        <v>1229</v>
      </c>
      <c r="F1467" s="1" t="str">
        <f t="shared" ref="F1467:K1467" si="1630">IFERROR(F1443/F1409,"-")</f>
        <v>-</v>
      </c>
      <c r="G1467" s="1" t="str">
        <f t="shared" si="1630"/>
        <v>-</v>
      </c>
      <c r="H1467" s="1" t="str">
        <f t="shared" si="1630"/>
        <v>-</v>
      </c>
      <c r="I1467" s="1">
        <f t="shared" si="1630"/>
        <v>0.113108391373723</v>
      </c>
      <c r="J1467" s="1">
        <f t="shared" si="1630"/>
        <v>0.11687229362701489</v>
      </c>
      <c r="K1467" s="1">
        <f t="shared" si="1630"/>
        <v>0.12499835892257324</v>
      </c>
      <c r="L1467" s="1">
        <f t="shared" ref="L1467:O1467" si="1631">IFERROR(L1443/L1409,"-")</f>
        <v>0.12952542295077232</v>
      </c>
      <c r="M1467" s="1">
        <f t="shared" si="1631"/>
        <v>0.14197876191851125</v>
      </c>
      <c r="N1467" s="1">
        <f t="shared" si="1631"/>
        <v>0.14390421812470627</v>
      </c>
      <c r="O1467" s="1">
        <f t="shared" si="1631"/>
        <v>0.14658985260534696</v>
      </c>
      <c r="P1467" s="1">
        <f t="shared" si="1627"/>
        <v>0.14658985260534693</v>
      </c>
      <c r="Q1467" s="1">
        <f t="shared" si="1627"/>
        <v>0.14658985260534702</v>
      </c>
      <c r="S1467" s="3"/>
    </row>
    <row r="1468" spans="2:19" x14ac:dyDescent="0.5">
      <c r="B1468" s="5" t="str">
        <f t="shared" si="1612"/>
        <v>SPS1</v>
      </c>
      <c r="C1468" s="5" t="str">
        <f t="shared" si="1613"/>
        <v>CH</v>
      </c>
      <c r="D1468" t="s">
        <v>1457</v>
      </c>
      <c r="E1468" t="s">
        <v>1229</v>
      </c>
      <c r="F1468" s="1" t="str">
        <f t="shared" ref="F1468:K1468" si="1632">IFERROR(F1444/F1410,"-")</f>
        <v>-</v>
      </c>
      <c r="G1468" s="1" t="str">
        <f t="shared" si="1632"/>
        <v>-</v>
      </c>
      <c r="H1468" s="1" t="str">
        <f t="shared" si="1632"/>
        <v>-</v>
      </c>
      <c r="I1468" s="1">
        <f t="shared" si="1632"/>
        <v>7.5896650184428815E-2</v>
      </c>
      <c r="J1468" s="1">
        <f t="shared" si="1632"/>
        <v>7.8506210538270088E-2</v>
      </c>
      <c r="K1468" s="1">
        <f t="shared" si="1632"/>
        <v>8.4018638683448915E-2</v>
      </c>
      <c r="L1468" s="1">
        <f t="shared" ref="L1468:O1468" si="1633">IFERROR(L1444/L1410,"-")</f>
        <v>8.9752618402627188E-2</v>
      </c>
      <c r="M1468" s="1">
        <f t="shared" si="1633"/>
        <v>9.5315747560354686E-2</v>
      </c>
      <c r="N1468" s="1">
        <f t="shared" si="1633"/>
        <v>9.8453735287482566E-2</v>
      </c>
      <c r="O1468" s="1">
        <f t="shared" si="1633"/>
        <v>9.8453735287482538E-2</v>
      </c>
      <c r="P1468" s="1">
        <f t="shared" si="1627"/>
        <v>9.8453735287482622E-2</v>
      </c>
      <c r="Q1468" s="1">
        <f t="shared" si="1627"/>
        <v>9.8453735287482455E-2</v>
      </c>
      <c r="S1468" s="3"/>
    </row>
    <row r="1469" spans="2:19" x14ac:dyDescent="0.5">
      <c r="B1469" s="5" t="str">
        <f t="shared" si="1612"/>
        <v>SPS1</v>
      </c>
      <c r="C1469" s="5" t="str">
        <f t="shared" si="1613"/>
        <v>CH</v>
      </c>
      <c r="D1469" t="s">
        <v>1458</v>
      </c>
      <c r="E1469" t="s">
        <v>1229</v>
      </c>
      <c r="F1469" s="1" t="str">
        <f>IFERROR(F1445/F1416,"-")</f>
        <v>-</v>
      </c>
      <c r="G1469" s="1">
        <f t="shared" ref="G1469:K1469" si="1634">IFERROR(G1445/G1416,"-")</f>
        <v>0.16251369968883858</v>
      </c>
      <c r="H1469" s="1">
        <f t="shared" si="1634"/>
        <v>0.16266075503586958</v>
      </c>
      <c r="I1469" s="1">
        <f t="shared" si="1634"/>
        <v>0.17195229435478848</v>
      </c>
      <c r="J1469" s="1">
        <f t="shared" si="1634"/>
        <v>0.18346813644023183</v>
      </c>
      <c r="K1469" s="1">
        <f t="shared" si="1634"/>
        <v>0.19503174873709841</v>
      </c>
      <c r="L1469" s="1">
        <f t="shared" ref="L1469:O1469" si="1635">IFERROR(L1445/L1416,"-")</f>
        <v>0.2052318925031916</v>
      </c>
      <c r="M1469" s="1">
        <f t="shared" si="1635"/>
        <v>0.21010977865867719</v>
      </c>
      <c r="N1469" s="1" t="str">
        <f t="shared" si="1635"/>
        <v>-</v>
      </c>
      <c r="O1469" s="1" t="str">
        <f t="shared" si="1635"/>
        <v>-</v>
      </c>
      <c r="P1469" s="1" t="str">
        <f t="shared" ref="P1469:Q1477" si="1636">IFERROR(P1445/P1416,"-")</f>
        <v>-</v>
      </c>
      <c r="Q1469" s="1" t="str">
        <f t="shared" si="1636"/>
        <v>-</v>
      </c>
      <c r="S1469" s="3"/>
    </row>
    <row r="1470" spans="2:19" x14ac:dyDescent="0.5">
      <c r="B1470" s="5" t="str">
        <f t="shared" si="1612"/>
        <v>SPS1</v>
      </c>
      <c r="C1470" s="5" t="str">
        <f t="shared" si="1613"/>
        <v>CH</v>
      </c>
      <c r="D1470" t="s">
        <v>1459</v>
      </c>
      <c r="E1470" t="s">
        <v>1229</v>
      </c>
      <c r="F1470" s="1" t="str">
        <f t="shared" ref="F1470:K1470" si="1637">IFERROR(F1446/F1417,"-")</f>
        <v>-</v>
      </c>
      <c r="G1470" s="1">
        <f t="shared" si="1637"/>
        <v>0.11649393435744144</v>
      </c>
      <c r="H1470" s="1">
        <f t="shared" si="1637"/>
        <v>0.12011804332978661</v>
      </c>
      <c r="I1470" s="1">
        <f t="shared" si="1637"/>
        <v>0.12156997266420222</v>
      </c>
      <c r="J1470" s="1">
        <f t="shared" si="1637"/>
        <v>0.13108773015709785</v>
      </c>
      <c r="K1470" s="1">
        <f t="shared" si="1637"/>
        <v>0.13940739126261406</v>
      </c>
      <c r="L1470" s="1">
        <f t="shared" ref="L1470:O1470" si="1638">IFERROR(L1446/L1417,"-")</f>
        <v>0.14729389903544207</v>
      </c>
      <c r="M1470" s="1">
        <f t="shared" si="1638"/>
        <v>0.1508923965689557</v>
      </c>
      <c r="N1470" s="1" t="str">
        <f t="shared" si="1638"/>
        <v>-</v>
      </c>
      <c r="O1470" s="1" t="str">
        <f t="shared" si="1638"/>
        <v>-</v>
      </c>
      <c r="P1470" s="1" t="str">
        <f t="shared" si="1636"/>
        <v>-</v>
      </c>
      <c r="Q1470" s="1" t="str">
        <f t="shared" si="1636"/>
        <v>-</v>
      </c>
      <c r="S1470" s="3"/>
    </row>
    <row r="1471" spans="2:19" x14ac:dyDescent="0.5">
      <c r="B1471" s="5" t="str">
        <f t="shared" si="1612"/>
        <v>SPS1</v>
      </c>
      <c r="C1471" s="5" t="str">
        <f t="shared" si="1613"/>
        <v>CH</v>
      </c>
      <c r="D1471" t="s">
        <v>1460</v>
      </c>
      <c r="E1471" t="s">
        <v>1229</v>
      </c>
      <c r="F1471" s="1" t="str">
        <f t="shared" ref="F1471:K1471" si="1639">IFERROR(F1447/F1418,"-")</f>
        <v>-</v>
      </c>
      <c r="G1471" s="1">
        <f t="shared" si="1639"/>
        <v>7.8235828164578886E-2</v>
      </c>
      <c r="H1471" s="1">
        <f t="shared" si="1639"/>
        <v>8.2050714310058545E-2</v>
      </c>
      <c r="I1471" s="1">
        <f t="shared" si="1639"/>
        <v>8.3989136455470542E-2</v>
      </c>
      <c r="J1471" s="1">
        <f t="shared" si="1639"/>
        <v>8.9791844793790015E-2</v>
      </c>
      <c r="K1471" s="1">
        <f t="shared" si="1639"/>
        <v>9.5894651504091322E-2</v>
      </c>
      <c r="L1471" s="1">
        <f t="shared" ref="L1471:O1471" si="1640">IFERROR(L1447/L1418,"-")</f>
        <v>9.8525719941672654E-2</v>
      </c>
      <c r="M1471" s="1" t="str">
        <f t="shared" si="1640"/>
        <v>-</v>
      </c>
      <c r="N1471" s="1" t="str">
        <f t="shared" si="1640"/>
        <v>-</v>
      </c>
      <c r="O1471" s="1" t="str">
        <f t="shared" si="1640"/>
        <v>-</v>
      </c>
      <c r="P1471" s="1" t="str">
        <f t="shared" si="1636"/>
        <v>-</v>
      </c>
      <c r="Q1471" s="1" t="str">
        <f t="shared" si="1636"/>
        <v>-</v>
      </c>
      <c r="S1471" s="3"/>
    </row>
    <row r="1472" spans="2:19" x14ac:dyDescent="0.5">
      <c r="B1472" s="5" t="str">
        <f t="shared" si="1612"/>
        <v>SPS1</v>
      </c>
      <c r="C1472" s="5" t="str">
        <f t="shared" si="1613"/>
        <v>CH</v>
      </c>
      <c r="D1472" t="s">
        <v>1461</v>
      </c>
      <c r="E1472" t="s">
        <v>1229</v>
      </c>
      <c r="F1472" s="1" t="str">
        <f t="shared" ref="F1472:K1472" si="1641">IFERROR(F1448/F1419,"-")</f>
        <v>-</v>
      </c>
      <c r="G1472" s="1">
        <f t="shared" si="1641"/>
        <v>5.2751439830497668E-2</v>
      </c>
      <c r="H1472" s="1">
        <f t="shared" si="1641"/>
        <v>5.4026732891557475E-2</v>
      </c>
      <c r="I1472" s="1">
        <f t="shared" si="1641"/>
        <v>5.5929723030965203E-2</v>
      </c>
      <c r="J1472" s="1">
        <f t="shared" si="1641"/>
        <v>6.1494790700191468E-2</v>
      </c>
      <c r="K1472" s="1">
        <f t="shared" si="1641"/>
        <v>6.4828841004798632E-2</v>
      </c>
      <c r="L1472" s="1">
        <f t="shared" ref="L1472:O1472" si="1642">IFERROR(L1448/L1419,"-")</f>
        <v>6.8258004885295709E-2</v>
      </c>
      <c r="M1472" s="1" t="str">
        <f t="shared" si="1642"/>
        <v>-</v>
      </c>
      <c r="N1472" s="1" t="str">
        <f t="shared" si="1642"/>
        <v>-</v>
      </c>
      <c r="O1472" s="1" t="str">
        <f t="shared" si="1642"/>
        <v>-</v>
      </c>
      <c r="P1472" s="1" t="str">
        <f t="shared" si="1636"/>
        <v>-</v>
      </c>
      <c r="Q1472" s="1" t="str">
        <f t="shared" si="1636"/>
        <v>-</v>
      </c>
      <c r="S1472" s="3"/>
    </row>
    <row r="1473" spans="2:19" x14ac:dyDescent="0.5">
      <c r="B1473" s="5" t="str">
        <f t="shared" si="1612"/>
        <v>SPS1</v>
      </c>
      <c r="C1473" s="5" t="str">
        <f t="shared" si="1613"/>
        <v>CH</v>
      </c>
      <c r="D1473" t="s">
        <v>2117</v>
      </c>
      <c r="E1473" t="s">
        <v>1229</v>
      </c>
      <c r="F1473" s="1">
        <f>IFERROR(F1449/F1420,"-")</f>
        <v>9.9502495941956575</v>
      </c>
      <c r="G1473" s="1">
        <f t="shared" ref="G1473:K1473" si="1643">IFERROR(G1449/G1420,"-")</f>
        <v>7.9797266512003127</v>
      </c>
      <c r="H1473" s="1">
        <f t="shared" si="1643"/>
        <v>5.0239422367072857</v>
      </c>
      <c r="I1473" s="1" t="str">
        <f t="shared" si="1643"/>
        <v>-</v>
      </c>
      <c r="J1473" s="1" t="str">
        <f t="shared" si="1643"/>
        <v>-</v>
      </c>
      <c r="K1473" s="1" t="str">
        <f t="shared" si="1643"/>
        <v>-</v>
      </c>
      <c r="L1473" s="1" t="str">
        <f t="shared" ref="L1473:O1473" si="1644">IFERROR(L1449/L1420,"-")</f>
        <v>-</v>
      </c>
      <c r="M1473" s="1" t="str">
        <f t="shared" si="1644"/>
        <v>-</v>
      </c>
      <c r="N1473" s="1" t="str">
        <f t="shared" si="1644"/>
        <v>-</v>
      </c>
      <c r="O1473" s="1" t="str">
        <f t="shared" si="1644"/>
        <v>-</v>
      </c>
      <c r="P1473" s="1" t="str">
        <f t="shared" si="1636"/>
        <v>-</v>
      </c>
      <c r="Q1473" s="1" t="str">
        <f t="shared" si="1636"/>
        <v>-</v>
      </c>
      <c r="S1473" s="3"/>
    </row>
    <row r="1474" spans="2:19" x14ac:dyDescent="0.5">
      <c r="B1474" s="5" t="str">
        <f t="shared" si="1612"/>
        <v>SPS1</v>
      </c>
      <c r="C1474" s="5" t="str">
        <f t="shared" si="1613"/>
        <v>CH</v>
      </c>
      <c r="D1474" t="s">
        <v>1462</v>
      </c>
      <c r="E1474" t="s">
        <v>1229</v>
      </c>
      <c r="F1474" s="1">
        <f t="shared" ref="F1474:K1474" si="1645">IFERROR(F1450/F1421,"-")</f>
        <v>0.12391916748597512</v>
      </c>
      <c r="G1474" s="1">
        <f t="shared" si="1645"/>
        <v>0.12439243485738959</v>
      </c>
      <c r="H1474" s="1">
        <f t="shared" si="1645"/>
        <v>0.12635982282792668</v>
      </c>
      <c r="I1474" s="1">
        <f t="shared" si="1645"/>
        <v>0.12922771640039038</v>
      </c>
      <c r="J1474" s="1">
        <f t="shared" si="1645"/>
        <v>0.14576240321645512</v>
      </c>
      <c r="K1474" s="1">
        <f t="shared" si="1645"/>
        <v>0.15515571527069252</v>
      </c>
      <c r="L1474" s="1">
        <f t="shared" ref="L1474:O1474" si="1646">IFERROR(L1450/L1421,"-")</f>
        <v>0.16346197361490875</v>
      </c>
      <c r="M1474" s="1">
        <f t="shared" si="1646"/>
        <v>0.16721974224966613</v>
      </c>
      <c r="N1474" s="1" t="str">
        <f t="shared" si="1646"/>
        <v>-</v>
      </c>
      <c r="O1474" s="1" t="str">
        <f t="shared" si="1646"/>
        <v>-</v>
      </c>
      <c r="P1474" s="1" t="str">
        <f t="shared" si="1636"/>
        <v>-</v>
      </c>
      <c r="Q1474" s="1" t="str">
        <f t="shared" si="1636"/>
        <v>-</v>
      </c>
      <c r="S1474" s="3"/>
    </row>
    <row r="1475" spans="2:19" x14ac:dyDescent="0.5">
      <c r="B1475" s="5" t="str">
        <f t="shared" si="1612"/>
        <v>SPS1</v>
      </c>
      <c r="C1475" s="5" t="str">
        <f t="shared" si="1613"/>
        <v>CH</v>
      </c>
      <c r="D1475" t="s">
        <v>1463</v>
      </c>
      <c r="E1475" t="s">
        <v>1229</v>
      </c>
      <c r="F1475" s="1">
        <f t="shared" ref="F1475:K1475" si="1647">IFERROR(F1451/F1422,"-")</f>
        <v>8.7465847585616749E-2</v>
      </c>
      <c r="G1475" s="1">
        <f t="shared" si="1647"/>
        <v>8.7827693662463166E-2</v>
      </c>
      <c r="H1475" s="1">
        <f t="shared" si="1647"/>
        <v>8.8673611123915974E-2</v>
      </c>
      <c r="I1475" s="1">
        <f t="shared" si="1647"/>
        <v>8.8924237888013222E-2</v>
      </c>
      <c r="J1475" s="1">
        <f t="shared" si="1647"/>
        <v>0.10171656742883306</v>
      </c>
      <c r="K1475" s="1">
        <f t="shared" si="1647"/>
        <v>0.10811913232063994</v>
      </c>
      <c r="L1475" s="1">
        <f t="shared" ref="L1475:O1475" si="1648">IFERROR(L1451/L1422,"-")</f>
        <v>0.11475995429220588</v>
      </c>
      <c r="M1475" s="1">
        <f t="shared" si="1648"/>
        <v>0.11704704410825505</v>
      </c>
      <c r="N1475" s="1" t="str">
        <f t="shared" si="1648"/>
        <v>-</v>
      </c>
      <c r="O1475" s="1" t="str">
        <f t="shared" si="1648"/>
        <v>-</v>
      </c>
      <c r="P1475" s="1" t="str">
        <f t="shared" si="1636"/>
        <v>-</v>
      </c>
      <c r="Q1475" s="1" t="str">
        <f t="shared" si="1636"/>
        <v>-</v>
      </c>
      <c r="S1475" s="3"/>
    </row>
    <row r="1476" spans="2:19" x14ac:dyDescent="0.5">
      <c r="B1476" s="5" t="str">
        <f t="shared" si="1612"/>
        <v>SPS1</v>
      </c>
      <c r="C1476" s="5" t="str">
        <f t="shared" si="1613"/>
        <v>CH</v>
      </c>
      <c r="D1476" t="s">
        <v>1464</v>
      </c>
      <c r="E1476" t="s">
        <v>1229</v>
      </c>
      <c r="F1476" s="1">
        <f t="shared" ref="F1476:K1476" si="1649">IFERROR(F1452/F1423,"-")</f>
        <v>5.7949527986548573E-2</v>
      </c>
      <c r="G1476" s="1">
        <f t="shared" si="1649"/>
        <v>5.8197960990202864E-2</v>
      </c>
      <c r="H1476" s="1">
        <f t="shared" si="1649"/>
        <v>5.8529395396601951E-2</v>
      </c>
      <c r="I1476" s="1">
        <f t="shared" si="1649"/>
        <v>6.4064008051038707E-2</v>
      </c>
      <c r="J1476" s="1">
        <f t="shared" si="1649"/>
        <v>6.8256670915797527E-2</v>
      </c>
      <c r="K1476" s="1">
        <f t="shared" si="1649"/>
        <v>7.3034769814346132E-2</v>
      </c>
      <c r="L1476" s="1">
        <f t="shared" ref="L1476:O1476" si="1650">IFERROR(L1452/L1423,"-")</f>
        <v>7.5098328525731228E-2</v>
      </c>
      <c r="M1476" s="1" t="str">
        <f t="shared" si="1650"/>
        <v>-</v>
      </c>
      <c r="N1476" s="1" t="str">
        <f t="shared" si="1650"/>
        <v>-</v>
      </c>
      <c r="O1476" s="1" t="str">
        <f t="shared" si="1650"/>
        <v>-</v>
      </c>
      <c r="P1476" s="1" t="str">
        <f t="shared" si="1636"/>
        <v>-</v>
      </c>
      <c r="Q1476" s="1" t="str">
        <f t="shared" si="1636"/>
        <v>-</v>
      </c>
      <c r="S1476" s="3"/>
    </row>
    <row r="1477" spans="2:19" x14ac:dyDescent="0.5">
      <c r="B1477" s="5" t="str">
        <f t="shared" si="1612"/>
        <v>SPS1</v>
      </c>
      <c r="C1477" s="5" t="str">
        <f t="shared" si="1613"/>
        <v>CH</v>
      </c>
      <c r="D1477" t="s">
        <v>1465</v>
      </c>
      <c r="E1477" t="s">
        <v>1229</v>
      </c>
      <c r="F1477" s="1">
        <f t="shared" ref="F1477:K1477" si="1651">IFERROR(F1453/F1424,"-")</f>
        <v>3.8646481387947504E-2</v>
      </c>
      <c r="G1477" s="1">
        <f t="shared" si="1651"/>
        <v>3.9042994664660713E-2</v>
      </c>
      <c r="H1477" s="1">
        <f t="shared" si="1651"/>
        <v>3.953828318218288E-2</v>
      </c>
      <c r="I1477" s="1">
        <f t="shared" si="1651"/>
        <v>4.0968817062985559E-2</v>
      </c>
      <c r="J1477" s="1">
        <f t="shared" si="1651"/>
        <v>4.6683898359377994E-2</v>
      </c>
      <c r="K1477" s="1">
        <f t="shared" si="1651"/>
        <v>4.8968731201874768E-2</v>
      </c>
      <c r="L1477" s="1">
        <f t="shared" ref="L1477:O1477" si="1652">IFERROR(L1453/L1424,"-")</f>
        <v>5.1373255335835838E-2</v>
      </c>
      <c r="M1477" s="1" t="str">
        <f t="shared" si="1652"/>
        <v>-</v>
      </c>
      <c r="N1477" s="1" t="str">
        <f t="shared" si="1652"/>
        <v>-</v>
      </c>
      <c r="O1477" s="1" t="str">
        <f t="shared" si="1652"/>
        <v>-</v>
      </c>
      <c r="P1477" s="1" t="str">
        <f t="shared" si="1636"/>
        <v>-</v>
      </c>
      <c r="Q1477" s="1" t="str">
        <f t="shared" si="1636"/>
        <v>-</v>
      </c>
      <c r="S1477" s="3"/>
    </row>
    <row r="1478" spans="2:19" x14ac:dyDescent="0.5">
      <c r="B1478" s="5" t="str">
        <f t="shared" si="1612"/>
        <v>SPS1</v>
      </c>
      <c r="C1478" s="5" t="str">
        <f t="shared" si="1613"/>
        <v>CH</v>
      </c>
      <c r="D1478" t="s">
        <v>2120</v>
      </c>
      <c r="E1478" t="s">
        <v>1229</v>
      </c>
      <c r="F1478" s="1">
        <f>IFERROR(F1454/F1430,"-")</f>
        <v>9.9502495941956592</v>
      </c>
      <c r="G1478" s="1">
        <f t="shared" ref="G1478:K1478" si="1653">IFERROR(G1454/G1430,"-")</f>
        <v>7.9767976048237443</v>
      </c>
      <c r="H1478" s="1">
        <f t="shared" si="1653"/>
        <v>5.0166196207658693</v>
      </c>
      <c r="I1478" s="1" t="str">
        <f t="shared" si="1653"/>
        <v>-</v>
      </c>
      <c r="J1478" s="1" t="str">
        <f t="shared" si="1653"/>
        <v>-</v>
      </c>
      <c r="K1478" s="1" t="str">
        <f t="shared" si="1653"/>
        <v>-</v>
      </c>
      <c r="L1478" s="1" t="str">
        <f t="shared" ref="L1478:O1478" si="1654">IFERROR(L1454/L1430,"-")</f>
        <v>-</v>
      </c>
      <c r="M1478" s="1" t="str">
        <f t="shared" si="1654"/>
        <v>-</v>
      </c>
      <c r="N1478" s="1" t="str">
        <f t="shared" si="1654"/>
        <v>-</v>
      </c>
      <c r="O1478" s="1" t="str">
        <f t="shared" si="1654"/>
        <v>-</v>
      </c>
      <c r="P1478" s="1" t="str">
        <f t="shared" ref="P1478:Q1482" si="1655">IFERROR(P1454/P1430,"-")</f>
        <v>-</v>
      </c>
      <c r="Q1478" s="1" t="str">
        <f t="shared" si="1655"/>
        <v>-</v>
      </c>
      <c r="S1478" s="3"/>
    </row>
    <row r="1479" spans="2:19" x14ac:dyDescent="0.5">
      <c r="B1479" s="5" t="str">
        <f t="shared" si="1612"/>
        <v>SPS1</v>
      </c>
      <c r="C1479" s="5" t="str">
        <f t="shared" si="1613"/>
        <v>CH</v>
      </c>
      <c r="D1479" t="s">
        <v>1466</v>
      </c>
      <c r="E1479" t="s">
        <v>1229</v>
      </c>
      <c r="F1479" s="1" t="str">
        <f t="shared" ref="F1479:K1479" si="1656">IFERROR(F1455/F1431,"-")</f>
        <v>-</v>
      </c>
      <c r="G1479" s="1">
        <f t="shared" si="1656"/>
        <v>0.12023751974847222</v>
      </c>
      <c r="H1479" s="1">
        <f t="shared" si="1656"/>
        <v>0.12321881899955493</v>
      </c>
      <c r="I1479" s="1">
        <f t="shared" si="1656"/>
        <v>0.12767269059445879</v>
      </c>
      <c r="J1479" s="1">
        <f t="shared" si="1656"/>
        <v>0.13677153501899902</v>
      </c>
      <c r="K1479" s="1">
        <f t="shared" si="1656"/>
        <v>0.14559723799653376</v>
      </c>
      <c r="L1479" s="1">
        <f t="shared" ref="L1479:O1479" si="1657">IFERROR(L1455/L1431,"-")</f>
        <v>0.15483021629750696</v>
      </c>
      <c r="M1479" s="1">
        <f t="shared" si="1657"/>
        <v>0.15788094784373821</v>
      </c>
      <c r="N1479" s="1" t="str">
        <f t="shared" si="1657"/>
        <v>-</v>
      </c>
      <c r="O1479" s="1" t="str">
        <f t="shared" si="1657"/>
        <v>-</v>
      </c>
      <c r="P1479" s="1" t="str">
        <f t="shared" si="1655"/>
        <v>-</v>
      </c>
      <c r="Q1479" s="1" t="str">
        <f t="shared" si="1655"/>
        <v>-</v>
      </c>
      <c r="S1479" s="3"/>
    </row>
    <row r="1480" spans="2:19" x14ac:dyDescent="0.5">
      <c r="B1480" s="5" t="str">
        <f t="shared" si="1612"/>
        <v>SPS1</v>
      </c>
      <c r="C1480" s="5" t="str">
        <f t="shared" si="1613"/>
        <v>CH</v>
      </c>
      <c r="D1480" t="s">
        <v>1467</v>
      </c>
      <c r="E1480" t="s">
        <v>1229</v>
      </c>
      <c r="F1480" s="1" t="str">
        <f t="shared" ref="F1480:K1480" si="1658">IFERROR(F1456/F1432,"-")</f>
        <v>-</v>
      </c>
      <c r="G1480" s="1">
        <f t="shared" si="1658"/>
        <v>8.499807623360886E-2</v>
      </c>
      <c r="H1480" s="1">
        <f t="shared" si="1658"/>
        <v>8.7025341624466374E-2</v>
      </c>
      <c r="I1480" s="1">
        <f t="shared" si="1658"/>
        <v>8.9199384092207568E-2</v>
      </c>
      <c r="J1480" s="1">
        <f t="shared" si="1658"/>
        <v>9.5819085001372054E-2</v>
      </c>
      <c r="K1480" s="1">
        <f t="shared" si="1658"/>
        <v>0.10186969734936754</v>
      </c>
      <c r="L1480" s="1">
        <f t="shared" ref="L1480:O1480" si="1659">IFERROR(L1456/L1432,"-")</f>
        <v>0.1113484963599651</v>
      </c>
      <c r="M1480" s="1">
        <f t="shared" si="1659"/>
        <v>0.11173095508310155</v>
      </c>
      <c r="N1480" s="1" t="str">
        <f t="shared" si="1659"/>
        <v>-</v>
      </c>
      <c r="O1480" s="1" t="str">
        <f t="shared" si="1659"/>
        <v>-</v>
      </c>
      <c r="P1480" s="1" t="str">
        <f t="shared" si="1655"/>
        <v>-</v>
      </c>
      <c r="Q1480" s="1" t="str">
        <f t="shared" si="1655"/>
        <v>-</v>
      </c>
      <c r="S1480" s="3"/>
    </row>
    <row r="1481" spans="2:19" x14ac:dyDescent="0.5">
      <c r="B1481" s="5" t="str">
        <f t="shared" si="1612"/>
        <v>SPS1</v>
      </c>
      <c r="C1481" s="5" t="str">
        <f t="shared" si="1613"/>
        <v>CH</v>
      </c>
      <c r="D1481" t="s">
        <v>1468</v>
      </c>
      <c r="E1481" t="s">
        <v>1229</v>
      </c>
      <c r="F1481" s="1" t="str">
        <f t="shared" ref="F1481:K1481" si="1660">IFERROR(F1457/F1433,"-")</f>
        <v>-</v>
      </c>
      <c r="G1481" s="1">
        <f t="shared" si="1660"/>
        <v>5.6422133461237138E-2</v>
      </c>
      <c r="H1481" s="1">
        <f t="shared" si="1660"/>
        <v>5.9318305986970236E-2</v>
      </c>
      <c r="I1481" s="1">
        <f t="shared" si="1660"/>
        <v>5.9370174795739993E-2</v>
      </c>
      <c r="J1481" s="1">
        <f t="shared" si="1660"/>
        <v>6.5718733725567371E-2</v>
      </c>
      <c r="K1481" s="1">
        <f t="shared" si="1660"/>
        <v>6.9040673144426329E-2</v>
      </c>
      <c r="L1481" s="1">
        <f t="shared" ref="L1481:O1481" si="1661">IFERROR(L1457/L1433,"-")</f>
        <v>7.0813384194269011E-2</v>
      </c>
      <c r="M1481" s="1" t="str">
        <f t="shared" si="1661"/>
        <v>-</v>
      </c>
      <c r="N1481" s="1" t="str">
        <f t="shared" si="1661"/>
        <v>-</v>
      </c>
      <c r="O1481" s="1" t="str">
        <f t="shared" si="1661"/>
        <v>-</v>
      </c>
      <c r="P1481" s="1" t="str">
        <f t="shared" si="1655"/>
        <v>-</v>
      </c>
      <c r="Q1481" s="1" t="str">
        <f t="shared" si="1655"/>
        <v>-</v>
      </c>
      <c r="S1481" s="3"/>
    </row>
    <row r="1482" spans="2:19" x14ac:dyDescent="0.5">
      <c r="B1482" s="5" t="str">
        <f t="shared" si="1612"/>
        <v>SPS1</v>
      </c>
      <c r="C1482" s="5" t="str">
        <f t="shared" si="1613"/>
        <v>CH</v>
      </c>
      <c r="D1482" t="s">
        <v>1469</v>
      </c>
      <c r="E1482" t="s">
        <v>1229</v>
      </c>
      <c r="F1482" s="1" t="str">
        <f t="shared" ref="F1482:K1482" si="1662">IFERROR(F1458/F1434,"-")</f>
        <v>-</v>
      </c>
      <c r="G1482" s="1">
        <f t="shared" si="1662"/>
        <v>3.7689157759834377E-2</v>
      </c>
      <c r="H1482" s="1">
        <f t="shared" si="1662"/>
        <v>3.8569046957698278E-2</v>
      </c>
      <c r="I1482" s="1">
        <f t="shared" si="1662"/>
        <v>3.9969196838291018E-2</v>
      </c>
      <c r="J1482" s="1">
        <f t="shared" si="1662"/>
        <v>4.4068464763949579E-2</v>
      </c>
      <c r="K1482" s="1">
        <f t="shared" si="1662"/>
        <v>4.623365528244567E-2</v>
      </c>
      <c r="L1482" s="1">
        <f t="shared" ref="L1482:O1482" si="1663">IFERROR(L1458/L1434,"-")</f>
        <v>4.855962721634486E-2</v>
      </c>
      <c r="M1482" s="1" t="str">
        <f t="shared" si="1663"/>
        <v>-</v>
      </c>
      <c r="N1482" s="1" t="str">
        <f t="shared" si="1663"/>
        <v>-</v>
      </c>
      <c r="O1482" s="1" t="str">
        <f t="shared" si="1663"/>
        <v>-</v>
      </c>
      <c r="P1482" s="1" t="str">
        <f t="shared" si="1655"/>
        <v>-</v>
      </c>
      <c r="Q1482" s="1" t="str">
        <f t="shared" si="1655"/>
        <v>-</v>
      </c>
      <c r="S1482" s="3"/>
    </row>
    <row r="1483" spans="2:19" x14ac:dyDescent="0.5">
      <c r="B1483" s="9" t="str">
        <f>B1482</f>
        <v>SPS1</v>
      </c>
      <c r="C1483" s="9" t="str">
        <f>C1482</f>
        <v>CH</v>
      </c>
      <c r="D1483" s="2" t="s">
        <v>1473</v>
      </c>
      <c r="E1483" s="2" t="s">
        <v>8</v>
      </c>
      <c r="F1483" s="3">
        <f>F1484</f>
        <v>0.2816422643485601</v>
      </c>
      <c r="G1483" s="3">
        <f t="shared" ref="G1483:O1483" si="1664">G1484</f>
        <v>0.30668648626079364</v>
      </c>
      <c r="H1483" s="3">
        <f t="shared" si="1664"/>
        <v>0.35078787907941233</v>
      </c>
      <c r="I1483" s="3">
        <f t="shared" si="1664"/>
        <v>0.44905706465165934</v>
      </c>
      <c r="J1483" s="3">
        <f t="shared" si="1664"/>
        <v>0.45786518239100965</v>
      </c>
      <c r="K1483" s="3">
        <f t="shared" si="1664"/>
        <v>0.4706886426319784</v>
      </c>
      <c r="L1483" s="3">
        <f t="shared" si="1664"/>
        <v>0.47857062553803131</v>
      </c>
      <c r="M1483" s="3">
        <f t="shared" si="1664"/>
        <v>0.48645260844408511</v>
      </c>
      <c r="N1483" s="3">
        <f t="shared" si="1664"/>
        <v>0.5304172714770905</v>
      </c>
      <c r="O1483" s="3">
        <f t="shared" si="1664"/>
        <v>0.5611192082193377</v>
      </c>
      <c r="P1483" s="3">
        <f>P1484</f>
        <v>0.59169365220825365</v>
      </c>
      <c r="Q1483" s="3">
        <f>Q1484</f>
        <v>0.62178111980442863</v>
      </c>
      <c r="S1483" s="3"/>
    </row>
    <row r="1484" spans="2:19" x14ac:dyDescent="0.5">
      <c r="B1484" s="5" t="str">
        <f>B1483</f>
        <v>SPS1</v>
      </c>
      <c r="C1484" s="5" t="str">
        <f>C1483</f>
        <v>CH</v>
      </c>
      <c r="D1484" t="s">
        <v>1474</v>
      </c>
      <c r="E1484" t="s">
        <v>8</v>
      </c>
      <c r="F1484" s="1">
        <f>F1485</f>
        <v>0.2816422643485601</v>
      </c>
      <c r="G1484" s="1">
        <f t="shared" ref="G1484:O1484" si="1665">G1485</f>
        <v>0.30668648626079364</v>
      </c>
      <c r="H1484" s="1">
        <f t="shared" si="1665"/>
        <v>0.35078787907941233</v>
      </c>
      <c r="I1484" s="1">
        <f t="shared" si="1665"/>
        <v>0.44905706465165934</v>
      </c>
      <c r="J1484" s="1">
        <f t="shared" si="1665"/>
        <v>0.45786518239100965</v>
      </c>
      <c r="K1484" s="1">
        <f t="shared" si="1665"/>
        <v>0.4706886426319784</v>
      </c>
      <c r="L1484" s="1">
        <f t="shared" si="1665"/>
        <v>0.47857062553803131</v>
      </c>
      <c r="M1484" s="1">
        <f t="shared" si="1665"/>
        <v>0.48645260844408511</v>
      </c>
      <c r="N1484" s="1">
        <f t="shared" si="1665"/>
        <v>0.5304172714770905</v>
      </c>
      <c r="O1484" s="1">
        <f t="shared" si="1665"/>
        <v>0.5611192082193377</v>
      </c>
      <c r="P1484" s="1">
        <f>P1485</f>
        <v>0.59169365220825365</v>
      </c>
      <c r="Q1484" s="1">
        <f>Q1485</f>
        <v>0.62178111980442863</v>
      </c>
      <c r="S1484" s="3"/>
    </row>
    <row r="1485" spans="2:19" x14ac:dyDescent="0.5">
      <c r="B1485" s="5" t="str">
        <f t="shared" ref="B1485" si="1666">B1484</f>
        <v>SPS1</v>
      </c>
      <c r="C1485" s="5" t="str">
        <f t="shared" ref="C1485" si="1667">C1484</f>
        <v>CH</v>
      </c>
      <c r="D1485" t="s">
        <v>1475</v>
      </c>
      <c r="E1485" t="s">
        <v>8</v>
      </c>
      <c r="F1485" s="1" cm="1">
        <f t="array" ref="F1485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5" s="1" cm="1">
        <f t="array" ref="G1485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5" s="1" cm="1">
        <f t="array" ref="H1485">SUMPRODUCT(("T_TRLY_ELC"=[1]OUT_TransportEnergyCons!$A$3:$A$1000)*1,("Var_Fin"=[1]OUT_TransportEnergyCons!$B$3:$B$1000)*1,ISNUMBER(SEARCH("ELC",[1]OUT_TransportEnergyCons!$C$3:$C$1000))*1,[1]OUT_TransportEnergyCons!F$3:F$1000)</f>
        <v>0.35078787907941233</v>
      </c>
      <c r="I1485" s="1" cm="1">
        <f t="array" ref="I1485">SUMPRODUCT(("T_TRLY_ELC"=[1]OUT_TransportEnergyCons!$A$3:$A$1000)*1,("Var_Fin"=[1]OUT_TransportEnergyCons!$B$3:$B$1000)*1,ISNUMBER(SEARCH("ELC",[1]OUT_TransportEnergyCons!$C$3:$C$1000))*1,[1]OUT_TransportEnergyCons!G$3:G$1000)</f>
        <v>0.44905706465165934</v>
      </c>
      <c r="J1485" s="1" cm="1">
        <f t="array" ref="J1485">SUMPRODUCT(("T_TRLY_ELC"=[1]OUT_TransportEnergyCons!$A$3:$A$1000)*1,("Var_Fin"=[1]OUT_TransportEnergyCons!$B$3:$B$1000)*1,ISNUMBER(SEARCH("ELC",[1]OUT_TransportEnergyCons!$C$3:$C$1000))*1,[1]OUT_TransportEnergyCons!H$3:H$1000)</f>
        <v>0.45786518239100965</v>
      </c>
      <c r="K1485" s="1" cm="1">
        <f t="array" ref="K1485">SUMPRODUCT(("T_TRLY_ELC"=[1]OUT_TransportEnergyCons!$A$3:$A$1000)*1,("Var_Fin"=[1]OUT_TransportEnergyCons!$B$3:$B$1000)*1,ISNUMBER(SEARCH("ELC",[1]OUT_TransportEnergyCons!$C$3:$C$1000))*1,[1]OUT_TransportEnergyCons!I$3:I$1000)</f>
        <v>0.4706886426319784</v>
      </c>
      <c r="L1485" s="1" cm="1">
        <f t="array" ref="L1485">SUMPRODUCT(("T_TRLY_ELC"=[1]OUT_TransportEnergyCons!$A$3:$A$1000)*1,("Var_Fin"=[1]OUT_TransportEnergyCons!$B$3:$B$1000)*1,ISNUMBER(SEARCH("ELC",[1]OUT_TransportEnergyCons!$C$3:$C$1000))*1,[1]OUT_TransportEnergyCons!J$3:J$1000)</f>
        <v>0.47857062553803131</v>
      </c>
      <c r="M1485" s="1" cm="1">
        <f t="array" ref="M1485">SUMPRODUCT(("T_TRLY_ELC"=[1]OUT_TransportEnergyCons!$A$3:$A$1000)*1,("Var_Fin"=[1]OUT_TransportEnergyCons!$B$3:$B$1000)*1,ISNUMBER(SEARCH("ELC",[1]OUT_TransportEnergyCons!$C$3:$C$1000))*1,[1]OUT_TransportEnergyCons!K$3:K$1000)</f>
        <v>0.48645260844408511</v>
      </c>
      <c r="N1485" s="1" cm="1">
        <f t="array" ref="N1485">SUMPRODUCT(("T_TRLY_ELC"=[1]OUT_TransportEnergyCons!$A$3:$A$1000)*1,("Var_Fin"=[1]OUT_TransportEnergyCons!$B$3:$B$1000)*1,ISNUMBER(SEARCH("ELC",[1]OUT_TransportEnergyCons!$C$3:$C$1000))*1,[1]OUT_TransportEnergyCons!L$3:L$1000)</f>
        <v>0.5304172714770905</v>
      </c>
      <c r="O1485" s="1" cm="1">
        <f t="array" ref="O1485">SUMPRODUCT(("T_TRLY_ELC"=[1]OUT_TransportEnergyCons!$A$3:$A$1000)*1,("Var_Fin"=[1]OUT_TransportEnergyCons!$B$3:$B$1000)*1,ISNUMBER(SEARCH("ELC",[1]OUT_TransportEnergyCons!$C$3:$C$1000))*1,[1]OUT_TransportEnergyCons!M$3:M$1000)</f>
        <v>0.5611192082193377</v>
      </c>
      <c r="P1485" s="1" cm="1">
        <f t="array" ref="P1485">SUMPRODUCT(("T_TRLY_ELC"=[1]OUT_TransportEnergyCons!$A$3:$A$1000)*1,("Var_Fin"=[1]OUT_TransportEnergyCons!$B$3:$B$1000)*1,ISNUMBER(SEARCH("ELC",[1]OUT_TransportEnergyCons!$C$3:$C$1000))*1,[1]OUT_TransportEnergyCons!N$3:N$1000)</f>
        <v>0.59169365220825365</v>
      </c>
      <c r="Q1485" s="1" cm="1">
        <f t="array" ref="Q1485">SUMPRODUCT(("T_TRLY_ELC"=[1]OUT_TransportEnergyCons!$A$3:$A$1000)*1,("Var_Fin"=[1]OUT_TransportEnergyCons!$B$3:$B$1000)*1,ISNUMBER(SEARCH("ELC",[1]OUT_TransportEnergyCons!$C$3:$C$1000))*1,[1]OUT_TransportEnergyCons!O$3:O$1000)</f>
        <v>0.62178111980442863</v>
      </c>
      <c r="S1485" s="3"/>
    </row>
    <row r="1486" spans="2:19" x14ac:dyDescent="0.5">
      <c r="B1486" s="9" t="str">
        <f t="shared" ref="B1486:C1489" si="1668">B1485</f>
        <v>SPS1</v>
      </c>
      <c r="C1486" s="9" t="str">
        <f t="shared" si="1668"/>
        <v>CH</v>
      </c>
      <c r="D1486" s="2" t="s">
        <v>1478</v>
      </c>
      <c r="E1486" s="2" t="s">
        <v>1131</v>
      </c>
      <c r="F1486" s="3">
        <f>F1487</f>
        <v>2.7120999999999972E-2</v>
      </c>
      <c r="G1486" s="3">
        <f t="shared" ref="G1486:O1486" si="1669">G1487</f>
        <v>2.7782165745480814E-2</v>
      </c>
      <c r="H1486" s="3">
        <f t="shared" si="1669"/>
        <v>2.8773914363701983E-2</v>
      </c>
      <c r="I1486" s="3">
        <f t="shared" si="1669"/>
        <v>3.042682872740389E-2</v>
      </c>
      <c r="J1486" s="3">
        <f t="shared" si="1669"/>
        <v>3.1023641718362919E-2</v>
      </c>
      <c r="K1486" s="3">
        <f t="shared" si="1669"/>
        <v>3.1892522889951397E-2</v>
      </c>
      <c r="L1486" s="3">
        <f t="shared" si="1669"/>
        <v>3.2426583620297177E-2</v>
      </c>
      <c r="M1486" s="3">
        <f t="shared" si="1669"/>
        <v>3.2960644350642984E-2</v>
      </c>
      <c r="N1486" s="3">
        <f t="shared" si="1669"/>
        <v>3.5939564798539693E-2</v>
      </c>
      <c r="O1486" s="3">
        <f t="shared" si="1669"/>
        <v>3.8019840657423198E-2</v>
      </c>
      <c r="P1486" s="3">
        <f>P1487</f>
        <v>4.0091477970173192E-2</v>
      </c>
      <c r="Q1486" s="3">
        <f>Q1487</f>
        <v>4.2130119148439206E-2</v>
      </c>
      <c r="S1486" s="3"/>
    </row>
    <row r="1487" spans="2:19" x14ac:dyDescent="0.5">
      <c r="B1487" s="5" t="str">
        <f t="shared" si="1668"/>
        <v>SPS1</v>
      </c>
      <c r="C1487" s="5" t="str">
        <f t="shared" si="1668"/>
        <v>CH</v>
      </c>
      <c r="D1487" t="s">
        <v>1479</v>
      </c>
      <c r="E1487" t="s">
        <v>1131</v>
      </c>
      <c r="F1487" s="1" cm="1">
        <f t="array" ref="F1487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7" s="1" cm="1">
        <f t="array" ref="G1487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7" s="1" cm="1">
        <f t="array" ref="H1487">SUMPRODUCT(("T_TRLY_ELC"=[1]OUT_TransportEnergyCons!$A$3:$A$1000)*1,("Var_Fout"=[1]OUT_TransportEnergyCons!$B$3:$B$1000)*1,ISNUMBER(SEARCH("tptrly",[1]OUT_TransportEnergyCons!$C$3:$C$1000))*1,[1]OUT_TransportEnergyCons!F$3:F$1000)</f>
        <v>2.8773914363701983E-2</v>
      </c>
      <c r="I1487" s="1" cm="1">
        <f t="array" ref="I1487">SUMPRODUCT(("T_TRLY_ELC"=[1]OUT_TransportEnergyCons!$A$3:$A$1000)*1,("Var_Fout"=[1]OUT_TransportEnergyCons!$B$3:$B$1000)*1,ISNUMBER(SEARCH("tptrly",[1]OUT_TransportEnergyCons!$C$3:$C$1000))*1,[1]OUT_TransportEnergyCons!G$3:G$1000)</f>
        <v>3.042682872740389E-2</v>
      </c>
      <c r="J1487" s="1" cm="1">
        <f t="array" ref="J1487">SUMPRODUCT(("T_TRLY_ELC"=[1]OUT_TransportEnergyCons!$A$3:$A$1000)*1,("Var_Fout"=[1]OUT_TransportEnergyCons!$B$3:$B$1000)*1,ISNUMBER(SEARCH("tptrly",[1]OUT_TransportEnergyCons!$C$3:$C$1000))*1,[1]OUT_TransportEnergyCons!H$3:H$1000)</f>
        <v>3.1023641718362919E-2</v>
      </c>
      <c r="K1487" s="1" cm="1">
        <f t="array" ref="K1487">SUMPRODUCT(("T_TRLY_ELC"=[1]OUT_TransportEnergyCons!$A$3:$A$1000)*1,("Var_Fout"=[1]OUT_TransportEnergyCons!$B$3:$B$1000)*1,ISNUMBER(SEARCH("tptrly",[1]OUT_TransportEnergyCons!$C$3:$C$1000))*1,[1]OUT_TransportEnergyCons!I$3:I$1000)</f>
        <v>3.1892522889951397E-2</v>
      </c>
      <c r="L1487" s="1" cm="1">
        <f t="array" ref="L1487">SUMPRODUCT(("T_TRLY_ELC"=[1]OUT_TransportEnergyCons!$A$3:$A$1000)*1,("Var_Fout"=[1]OUT_TransportEnergyCons!$B$3:$B$1000)*1,ISNUMBER(SEARCH("tptrly",[1]OUT_TransportEnergyCons!$C$3:$C$1000))*1,[1]OUT_TransportEnergyCons!J$3:J$1000)</f>
        <v>3.2426583620297177E-2</v>
      </c>
      <c r="M1487" s="1" cm="1">
        <f t="array" ref="M1487">SUMPRODUCT(("T_TRLY_ELC"=[1]OUT_TransportEnergyCons!$A$3:$A$1000)*1,("Var_Fout"=[1]OUT_TransportEnergyCons!$B$3:$B$1000)*1,ISNUMBER(SEARCH("tptrly",[1]OUT_TransportEnergyCons!$C$3:$C$1000))*1,[1]OUT_TransportEnergyCons!K$3:K$1000)</f>
        <v>3.2960644350642984E-2</v>
      </c>
      <c r="N1487" s="1" cm="1">
        <f t="array" ref="N1487">SUMPRODUCT(("T_TRLY_ELC"=[1]OUT_TransportEnergyCons!$A$3:$A$1000)*1,("Var_Fout"=[1]OUT_TransportEnergyCons!$B$3:$B$1000)*1,ISNUMBER(SEARCH("tptrly",[1]OUT_TransportEnergyCons!$C$3:$C$1000))*1,[1]OUT_TransportEnergyCons!L$3:L$1000)</f>
        <v>3.5939564798539693E-2</v>
      </c>
      <c r="O1487" s="1" cm="1">
        <f t="array" ref="O1487">SUMPRODUCT(("T_TRLY_ELC"=[1]OUT_TransportEnergyCons!$A$3:$A$1000)*1,("Var_Fout"=[1]OUT_TransportEnergyCons!$B$3:$B$1000)*1,ISNUMBER(SEARCH("tptrly",[1]OUT_TransportEnergyCons!$C$3:$C$1000))*1,[1]OUT_TransportEnergyCons!M$3:M$1000)</f>
        <v>3.8019840657423198E-2</v>
      </c>
      <c r="P1487" s="1" cm="1">
        <f t="array" ref="P1487">SUMPRODUCT(("T_TRLY_ELC"=[1]OUT_TransportEnergyCons!$A$3:$A$1000)*1,("Var_Fout"=[1]OUT_TransportEnergyCons!$B$3:$B$1000)*1,ISNUMBER(SEARCH("tptrly",[1]OUT_TransportEnergyCons!$C$3:$C$1000))*1,[1]OUT_TransportEnergyCons!N$3:N$1000)</f>
        <v>4.0091477970173192E-2</v>
      </c>
      <c r="Q1487" s="1" cm="1">
        <f t="array" ref="Q1487">SUMPRODUCT(("T_TRLY_ELC"=[1]OUT_TransportEnergyCons!$A$3:$A$1000)*1,("Var_Fout"=[1]OUT_TransportEnergyCons!$B$3:$B$1000)*1,ISNUMBER(SEARCH("tptrly",[1]OUT_TransportEnergyCons!$C$3:$C$1000))*1,[1]OUT_TransportEnergyCons!O$3:O$1000)</f>
        <v>4.2130119148439206E-2</v>
      </c>
      <c r="S1487" s="3"/>
    </row>
    <row r="1488" spans="2:19" x14ac:dyDescent="0.5">
      <c r="B1488" s="9" t="str">
        <f t="shared" si="1668"/>
        <v>SPS1</v>
      </c>
      <c r="C1488" s="9" t="str">
        <f t="shared" si="1668"/>
        <v>CH</v>
      </c>
      <c r="D1488" s="2" t="s">
        <v>1480</v>
      </c>
      <c r="E1488" s="2" t="s">
        <v>1229</v>
      </c>
      <c r="F1488" s="1" t="s">
        <v>292</v>
      </c>
      <c r="G1488" s="1" t="s">
        <v>292</v>
      </c>
      <c r="H1488" s="1" t="s">
        <v>292</v>
      </c>
      <c r="I1488" s="1" t="s">
        <v>292</v>
      </c>
      <c r="J1488" s="1" t="s">
        <v>292</v>
      </c>
      <c r="K1488" s="1" t="s">
        <v>292</v>
      </c>
      <c r="L1488" s="1" t="s">
        <v>292</v>
      </c>
      <c r="M1488" s="1" t="s">
        <v>292</v>
      </c>
      <c r="N1488" s="1" t="s">
        <v>292</v>
      </c>
      <c r="O1488" s="1" t="s">
        <v>292</v>
      </c>
      <c r="P1488" s="1" t="s">
        <v>292</v>
      </c>
      <c r="Q1488" s="1" t="s">
        <v>292</v>
      </c>
      <c r="S1488" s="3"/>
    </row>
    <row r="1489" spans="2:19" x14ac:dyDescent="0.5">
      <c r="B1489" s="5" t="str">
        <f t="shared" si="1668"/>
        <v>SPS1</v>
      </c>
      <c r="C1489" s="5" t="str">
        <f t="shared" si="1668"/>
        <v>CH</v>
      </c>
      <c r="D1489" t="s">
        <v>1481</v>
      </c>
      <c r="E1489" t="str">
        <f>E1488</f>
        <v>km/MJ</v>
      </c>
      <c r="F1489" s="1">
        <f>F1487/F1485</f>
        <v>9.6295916604459117E-2</v>
      </c>
      <c r="G1489" s="1">
        <f t="shared" ref="G1489:K1489" si="1670">G1487/G1485</f>
        <v>9.0588164102724744E-2</v>
      </c>
      <c r="H1489" s="1">
        <f t="shared" si="1670"/>
        <v>8.2026535350122706E-2</v>
      </c>
      <c r="I1489" s="1">
        <f t="shared" si="1670"/>
        <v>6.7757154095786157E-2</v>
      </c>
      <c r="J1489" s="1">
        <f t="shared" si="1670"/>
        <v>6.7757154095786254E-2</v>
      </c>
      <c r="K1489" s="1">
        <f t="shared" si="1670"/>
        <v>6.7757154095786185E-2</v>
      </c>
      <c r="L1489" s="1">
        <f t="shared" ref="L1489:O1489" si="1671">L1487/L1485</f>
        <v>6.7757154095786185E-2</v>
      </c>
      <c r="M1489" s="1">
        <f t="shared" si="1671"/>
        <v>6.7757154095786115E-2</v>
      </c>
      <c r="N1489" s="1">
        <f t="shared" si="1671"/>
        <v>6.7757154095786212E-2</v>
      </c>
      <c r="O1489" s="1">
        <f t="shared" si="1671"/>
        <v>6.7757154095786185E-2</v>
      </c>
      <c r="P1489" s="1">
        <f>P1487/P1485</f>
        <v>6.775715409578624E-2</v>
      </c>
      <c r="Q1489" s="1">
        <f>Q1487/Q1485</f>
        <v>6.7757154095786254E-2</v>
      </c>
      <c r="S1489" s="3"/>
    </row>
    <row r="1490" spans="2:19" x14ac:dyDescent="0.5">
      <c r="B1490" s="9" t="str">
        <f>B1485</f>
        <v>SPS1</v>
      </c>
      <c r="C1490" s="9" t="str">
        <f>C1485</f>
        <v>CH</v>
      </c>
      <c r="D1490" s="2" t="s">
        <v>1472</v>
      </c>
      <c r="E1490" s="2" t="s">
        <v>8</v>
      </c>
      <c r="F1490" s="3">
        <f>F1491</f>
        <v>0.58772895164057959</v>
      </c>
      <c r="G1490" s="3">
        <f t="shared" ref="G1490:G1491" si="1672">G1491</f>
        <v>0.61504030570008339</v>
      </c>
      <c r="H1490" s="3">
        <f t="shared" ref="H1490:H1491" si="1673">H1491</f>
        <v>0.65847123751882963</v>
      </c>
      <c r="I1490" s="3">
        <f t="shared" ref="I1490:I1491" si="1674">I1491</f>
        <v>0.73826743502205472</v>
      </c>
      <c r="J1490" s="3">
        <f t="shared" ref="J1490:J1491" si="1675">J1491</f>
        <v>0.7564574460789345</v>
      </c>
      <c r="K1490" s="3">
        <f t="shared" ref="K1490:O1491" si="1676">K1491</f>
        <v>0.77350814954032066</v>
      </c>
      <c r="L1490" s="3">
        <f t="shared" si="1676"/>
        <v>0.78633099956125296</v>
      </c>
      <c r="M1490" s="3">
        <f t="shared" si="1676"/>
        <v>0.7991538495821856</v>
      </c>
      <c r="N1490" s="3">
        <f t="shared" si="1676"/>
        <v>0.83907095970389334</v>
      </c>
      <c r="O1490" s="3">
        <f t="shared" si="1676"/>
        <v>0.86191110505360957</v>
      </c>
      <c r="P1490" s="3">
        <f>P1491</f>
        <v>0.88464264231103162</v>
      </c>
      <c r="Q1490" s="3">
        <f>Q1491</f>
        <v>0.90719138572521052</v>
      </c>
      <c r="S1490" s="3"/>
    </row>
    <row r="1491" spans="2:19" x14ac:dyDescent="0.5">
      <c r="B1491" s="5" t="str">
        <f>B1490</f>
        <v>SPS1</v>
      </c>
      <c r="C1491" s="5" t="str">
        <f>C1490</f>
        <v>CH</v>
      </c>
      <c r="D1491" t="s">
        <v>1476</v>
      </c>
      <c r="E1491" t="s">
        <v>8</v>
      </c>
      <c r="F1491" s="1">
        <f>F1492</f>
        <v>0.58772895164057959</v>
      </c>
      <c r="G1491" s="1">
        <f t="shared" si="1672"/>
        <v>0.61504030570008339</v>
      </c>
      <c r="H1491" s="1">
        <f t="shared" si="1673"/>
        <v>0.65847123751882963</v>
      </c>
      <c r="I1491" s="1">
        <f t="shared" si="1674"/>
        <v>0.73826743502205472</v>
      </c>
      <c r="J1491" s="1">
        <f t="shared" si="1675"/>
        <v>0.7564574460789345</v>
      </c>
      <c r="K1491" s="1">
        <f t="shared" si="1676"/>
        <v>0.77350814954032066</v>
      </c>
      <c r="L1491" s="1">
        <f t="shared" si="1676"/>
        <v>0.78633099956125296</v>
      </c>
      <c r="M1491" s="1">
        <f t="shared" si="1676"/>
        <v>0.7991538495821856</v>
      </c>
      <c r="N1491" s="1">
        <f t="shared" si="1676"/>
        <v>0.83907095970389334</v>
      </c>
      <c r="O1491" s="1">
        <f t="shared" si="1676"/>
        <v>0.86191110505360957</v>
      </c>
      <c r="P1491" s="1">
        <f>P1492</f>
        <v>0.88464264231103162</v>
      </c>
      <c r="Q1491" s="1">
        <f>Q1492</f>
        <v>0.90719138572521052</v>
      </c>
      <c r="S1491" s="3"/>
    </row>
    <row r="1492" spans="2:19" x14ac:dyDescent="0.5">
      <c r="B1492" s="5" t="str">
        <f t="shared" ref="B1492" si="1677">B1491</f>
        <v>SPS1</v>
      </c>
      <c r="C1492" s="5" t="str">
        <f t="shared" ref="C1492" si="1678">C1491</f>
        <v>CH</v>
      </c>
      <c r="D1492" t="s">
        <v>1477</v>
      </c>
      <c r="E1492" t="s">
        <v>8</v>
      </c>
      <c r="F1492" s="1" cm="1">
        <f t="array" ref="F1492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2" s="1" cm="1">
        <f t="array" ref="G1492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2" s="1" cm="1">
        <f t="array" ref="H1492">SUMPRODUCT(("T_TRM_ELC"=[1]OUT_TransportEnergyCons!$A$3:$A$1000)*1,("Var_Fin"=[1]OUT_TransportEnergyCons!$B$3:$B$1000)*1,ISNUMBER(SEARCH("ELC",[1]OUT_TransportEnergyCons!$C$3:$C$1000))*1,[1]OUT_TransportEnergyCons!F$3:F$1000)</f>
        <v>0.65847123751882963</v>
      </c>
      <c r="I1492" s="1" cm="1">
        <f t="array" ref="I1492">SUMPRODUCT(("T_TRM_ELC"=[1]OUT_TransportEnergyCons!$A$3:$A$1000)*1,("Var_Fin"=[1]OUT_TransportEnergyCons!$B$3:$B$1000)*1,ISNUMBER(SEARCH("ELC",[1]OUT_TransportEnergyCons!$C$3:$C$1000))*1,[1]OUT_TransportEnergyCons!G$3:G$1000)</f>
        <v>0.73826743502205472</v>
      </c>
      <c r="J1492" s="1" cm="1">
        <f t="array" ref="J1492">SUMPRODUCT(("T_TRM_ELC"=[1]OUT_TransportEnergyCons!$A$3:$A$1000)*1,("Var_Fin"=[1]OUT_TransportEnergyCons!$B$3:$B$1000)*1,ISNUMBER(SEARCH("ELC",[1]OUT_TransportEnergyCons!$C$3:$C$1000))*1,[1]OUT_TransportEnergyCons!H$3:H$1000)</f>
        <v>0.7564574460789345</v>
      </c>
      <c r="K1492" s="1" cm="1">
        <f t="array" ref="K1492">SUMPRODUCT(("T_TRM_ELC"=[1]OUT_TransportEnergyCons!$A$3:$A$1000)*1,("Var_Fin"=[1]OUT_TransportEnergyCons!$B$3:$B$1000)*1,ISNUMBER(SEARCH("ELC",[1]OUT_TransportEnergyCons!$C$3:$C$1000))*1,[1]OUT_TransportEnergyCons!I$3:I$1000)</f>
        <v>0.77350814954032066</v>
      </c>
      <c r="L1492" s="1" cm="1">
        <f t="array" ref="L1492">SUMPRODUCT(("T_TRM_ELC"=[1]OUT_TransportEnergyCons!$A$3:$A$1000)*1,("Var_Fin"=[1]OUT_TransportEnergyCons!$B$3:$B$1000)*1,ISNUMBER(SEARCH("ELC",[1]OUT_TransportEnergyCons!$C$3:$C$1000))*1,[1]OUT_TransportEnergyCons!J$3:J$1000)</f>
        <v>0.78633099956125296</v>
      </c>
      <c r="M1492" s="1" cm="1">
        <f t="array" ref="M1492">SUMPRODUCT(("T_TRM_ELC"=[1]OUT_TransportEnergyCons!$A$3:$A$1000)*1,("Var_Fin"=[1]OUT_TransportEnergyCons!$B$3:$B$1000)*1,ISNUMBER(SEARCH("ELC",[1]OUT_TransportEnergyCons!$C$3:$C$1000))*1,[1]OUT_TransportEnergyCons!K$3:K$1000)</f>
        <v>0.7991538495821856</v>
      </c>
      <c r="N1492" s="1" cm="1">
        <f t="array" ref="N1492">SUMPRODUCT(("T_TRM_ELC"=[1]OUT_TransportEnergyCons!$A$3:$A$1000)*1,("Var_Fin"=[1]OUT_TransportEnergyCons!$B$3:$B$1000)*1,ISNUMBER(SEARCH("ELC",[1]OUT_TransportEnergyCons!$C$3:$C$1000))*1,[1]OUT_TransportEnergyCons!L$3:L$1000)</f>
        <v>0.83907095970389334</v>
      </c>
      <c r="O1492" s="1" cm="1">
        <f t="array" ref="O1492">SUMPRODUCT(("T_TRM_ELC"=[1]OUT_TransportEnergyCons!$A$3:$A$1000)*1,("Var_Fin"=[1]OUT_TransportEnergyCons!$B$3:$B$1000)*1,ISNUMBER(SEARCH("ELC",[1]OUT_TransportEnergyCons!$C$3:$C$1000))*1,[1]OUT_TransportEnergyCons!M$3:M$1000)</f>
        <v>0.86191110505360957</v>
      </c>
      <c r="P1492" s="1" cm="1">
        <f t="array" ref="P1492">SUMPRODUCT(("T_TRM_ELC"=[1]OUT_TransportEnergyCons!$A$3:$A$1000)*1,("Var_Fin"=[1]OUT_TransportEnergyCons!$B$3:$B$1000)*1,ISNUMBER(SEARCH("ELC",[1]OUT_TransportEnergyCons!$C$3:$C$1000))*1,[1]OUT_TransportEnergyCons!N$3:N$1000)</f>
        <v>0.88464264231103162</v>
      </c>
      <c r="Q1492" s="1" cm="1">
        <f t="array" ref="Q1492">SUMPRODUCT(("T_TRM_ELC"=[1]OUT_TransportEnergyCons!$A$3:$A$1000)*1,("Var_Fin"=[1]OUT_TransportEnergyCons!$B$3:$B$1000)*1,ISNUMBER(SEARCH("ELC",[1]OUT_TransportEnergyCons!$C$3:$C$1000))*1,[1]OUT_TransportEnergyCons!O$3:O$1000)</f>
        <v>0.90719138572521052</v>
      </c>
      <c r="S1492" s="3"/>
    </row>
    <row r="1493" spans="2:19" x14ac:dyDescent="0.5">
      <c r="B1493" s="9" t="str">
        <f t="shared" ref="B1493:C1497" si="1679">B1492</f>
        <v>SPS1</v>
      </c>
      <c r="C1493" s="9" t="str">
        <f t="shared" si="1679"/>
        <v>CH</v>
      </c>
      <c r="D1493" s="2" t="s">
        <v>1482</v>
      </c>
      <c r="E1493" s="2" t="s">
        <v>1131</v>
      </c>
      <c r="F1493" s="3">
        <f>F1494</f>
        <v>3.3477999999999994E-2</v>
      </c>
      <c r="G1493" s="3">
        <f t="shared" ref="G1493" si="1680">G1494</f>
        <v>3.4238693943285006E-2</v>
      </c>
      <c r="H1493" s="3">
        <f t="shared" ref="H1493" si="1681">H1494</f>
        <v>3.537973485821249E-2</v>
      </c>
      <c r="I1493" s="3">
        <f t="shared" ref="I1493" si="1682">I1494</f>
        <v>3.7281469716424979E-2</v>
      </c>
      <c r="J1493" s="3">
        <f t="shared" ref="J1493" si="1683">J1494</f>
        <v>3.8200039755124107E-2</v>
      </c>
      <c r="K1493" s="3">
        <f t="shared" ref="K1493:O1493" si="1684">K1494</f>
        <v>3.9061076358642186E-2</v>
      </c>
      <c r="L1493" s="3">
        <f t="shared" si="1684"/>
        <v>3.9708612294883733E-2</v>
      </c>
      <c r="M1493" s="3">
        <f t="shared" si="1684"/>
        <v>4.0356148231125301E-2</v>
      </c>
      <c r="N1493" s="3">
        <f t="shared" si="1684"/>
        <v>4.2371906290567779E-2</v>
      </c>
      <c r="O1493" s="3">
        <f t="shared" si="1684"/>
        <v>4.3525301587149907E-2</v>
      </c>
      <c r="P1493" s="3">
        <f>P1494</f>
        <v>4.4673212327442917E-2</v>
      </c>
      <c r="Q1493" s="3">
        <f>Q1494</f>
        <v>4.5811892235102694E-2</v>
      </c>
      <c r="S1493" s="3"/>
    </row>
    <row r="1494" spans="2:19" x14ac:dyDescent="0.5">
      <c r="B1494" s="5" t="str">
        <f t="shared" si="1679"/>
        <v>SPS1</v>
      </c>
      <c r="C1494" s="5" t="str">
        <f t="shared" si="1679"/>
        <v>CH</v>
      </c>
      <c r="D1494" t="s">
        <v>1483</v>
      </c>
      <c r="E1494" t="s">
        <v>1131</v>
      </c>
      <c r="F1494" s="1" cm="1">
        <f t="array" ref="F1494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4" s="1" cm="1">
        <f t="array" ref="G1494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4" s="1" cm="1">
        <f t="array" ref="H1494">SUMPRODUCT(("T_TRM_ELC"=[1]OUT_TransportEnergyCons!$A$3:$A$1000)*1,("Var_Fout"=[1]OUT_TransportEnergyCons!$B$3:$B$1000)*1,ISNUMBER(SEARCH("tptrm",[1]OUT_TransportEnergyCons!$C$3:$C$1000))*1,[1]OUT_TransportEnergyCons!F$3:F$1000)</f>
        <v>3.537973485821249E-2</v>
      </c>
      <c r="I1494" s="1" cm="1">
        <f t="array" ref="I1494">SUMPRODUCT(("T_TRM_ELC"=[1]OUT_TransportEnergyCons!$A$3:$A$1000)*1,("Var_Fout"=[1]OUT_TransportEnergyCons!$B$3:$B$1000)*1,ISNUMBER(SEARCH("tptrm",[1]OUT_TransportEnergyCons!$C$3:$C$1000))*1,[1]OUT_TransportEnergyCons!G$3:G$1000)</f>
        <v>3.7281469716424979E-2</v>
      </c>
      <c r="J1494" s="1" cm="1">
        <f t="array" ref="J1494">SUMPRODUCT(("T_TRM_ELC"=[1]OUT_TransportEnergyCons!$A$3:$A$1000)*1,("Var_Fout"=[1]OUT_TransportEnergyCons!$B$3:$B$1000)*1,ISNUMBER(SEARCH("tptrm",[1]OUT_TransportEnergyCons!$C$3:$C$1000))*1,[1]OUT_TransportEnergyCons!H$3:H$1000)</f>
        <v>3.8200039755124107E-2</v>
      </c>
      <c r="K1494" s="1" cm="1">
        <f t="array" ref="K1494">SUMPRODUCT(("T_TRM_ELC"=[1]OUT_TransportEnergyCons!$A$3:$A$1000)*1,("Var_Fout"=[1]OUT_TransportEnergyCons!$B$3:$B$1000)*1,ISNUMBER(SEARCH("tptrm",[1]OUT_TransportEnergyCons!$C$3:$C$1000))*1,[1]OUT_TransportEnergyCons!I$3:I$1000)</f>
        <v>3.9061076358642186E-2</v>
      </c>
      <c r="L1494" s="1" cm="1">
        <f t="array" ref="L1494">SUMPRODUCT(("T_TRM_ELC"=[1]OUT_TransportEnergyCons!$A$3:$A$1000)*1,("Var_Fout"=[1]OUT_TransportEnergyCons!$B$3:$B$1000)*1,ISNUMBER(SEARCH("tptrm",[1]OUT_TransportEnergyCons!$C$3:$C$1000))*1,[1]OUT_TransportEnergyCons!J$3:J$1000)</f>
        <v>3.9708612294883733E-2</v>
      </c>
      <c r="M1494" s="1" cm="1">
        <f t="array" ref="M1494">SUMPRODUCT(("T_TRM_ELC"=[1]OUT_TransportEnergyCons!$A$3:$A$1000)*1,("Var_Fout"=[1]OUT_TransportEnergyCons!$B$3:$B$1000)*1,ISNUMBER(SEARCH("tptrm",[1]OUT_TransportEnergyCons!$C$3:$C$1000))*1,[1]OUT_TransportEnergyCons!K$3:K$1000)</f>
        <v>4.0356148231125301E-2</v>
      </c>
      <c r="N1494" s="1" cm="1">
        <f t="array" ref="N1494">SUMPRODUCT(("T_TRM_ELC"=[1]OUT_TransportEnergyCons!$A$3:$A$1000)*1,("Var_Fout"=[1]OUT_TransportEnergyCons!$B$3:$B$1000)*1,ISNUMBER(SEARCH("tptrm",[1]OUT_TransportEnergyCons!$C$3:$C$1000))*1,[1]OUT_TransportEnergyCons!L$3:L$1000)</f>
        <v>4.2371906290567779E-2</v>
      </c>
      <c r="O1494" s="1" cm="1">
        <f t="array" ref="O1494">SUMPRODUCT(("T_TRM_ELC"=[1]OUT_TransportEnergyCons!$A$3:$A$1000)*1,("Var_Fout"=[1]OUT_TransportEnergyCons!$B$3:$B$1000)*1,ISNUMBER(SEARCH("tptrm",[1]OUT_TransportEnergyCons!$C$3:$C$1000))*1,[1]OUT_TransportEnergyCons!M$3:M$1000)</f>
        <v>4.3525301587149907E-2</v>
      </c>
      <c r="P1494" s="1" cm="1">
        <f t="array" ref="P1494">SUMPRODUCT(("T_TRM_ELC"=[1]OUT_TransportEnergyCons!$A$3:$A$1000)*1,("Var_Fout"=[1]OUT_TransportEnergyCons!$B$3:$B$1000)*1,ISNUMBER(SEARCH("tptrm",[1]OUT_TransportEnergyCons!$C$3:$C$1000))*1,[1]OUT_TransportEnergyCons!N$3:N$1000)</f>
        <v>4.4673212327442917E-2</v>
      </c>
      <c r="Q1494" s="1" cm="1">
        <f t="array" ref="Q1494">SUMPRODUCT(("T_TRM_ELC"=[1]OUT_TransportEnergyCons!$A$3:$A$1000)*1,("Var_Fout"=[1]OUT_TransportEnergyCons!$B$3:$B$1000)*1,ISNUMBER(SEARCH("tptrm",[1]OUT_TransportEnergyCons!$C$3:$C$1000))*1,[1]OUT_TransportEnergyCons!O$3:O$1000)</f>
        <v>4.5811892235102694E-2</v>
      </c>
      <c r="S1494" s="3"/>
    </row>
    <row r="1495" spans="2:19" x14ac:dyDescent="0.5">
      <c r="B1495" s="9" t="str">
        <f t="shared" si="1679"/>
        <v>SPS1</v>
      </c>
      <c r="C1495" s="9" t="str">
        <f t="shared" si="1679"/>
        <v>CH</v>
      </c>
      <c r="D1495" s="2" t="s">
        <v>1484</v>
      </c>
      <c r="E1495" s="2" t="s">
        <v>1229</v>
      </c>
      <c r="F1495" s="1" t="s">
        <v>292</v>
      </c>
      <c r="G1495" s="1" t="s">
        <v>292</v>
      </c>
      <c r="H1495" s="1" t="s">
        <v>292</v>
      </c>
      <c r="I1495" s="1" t="s">
        <v>292</v>
      </c>
      <c r="J1495" s="1" t="s">
        <v>292</v>
      </c>
      <c r="K1495" s="1" t="s">
        <v>292</v>
      </c>
      <c r="L1495" s="1" t="s">
        <v>292</v>
      </c>
      <c r="M1495" s="1" t="s">
        <v>292</v>
      </c>
      <c r="N1495" s="1" t="s">
        <v>292</v>
      </c>
      <c r="O1495" s="1" t="s">
        <v>292</v>
      </c>
      <c r="P1495" s="1" t="s">
        <v>292</v>
      </c>
      <c r="Q1495" s="1" t="s">
        <v>292</v>
      </c>
      <c r="S1495" s="3"/>
    </row>
    <row r="1496" spans="2:19" x14ac:dyDescent="0.5">
      <c r="B1496" s="5" t="str">
        <f t="shared" si="1679"/>
        <v>SPS1</v>
      </c>
      <c r="C1496" s="5" t="str">
        <f t="shared" si="1679"/>
        <v>CH</v>
      </c>
      <c r="D1496" t="s">
        <v>1485</v>
      </c>
      <c r="E1496" t="str">
        <f>E1495</f>
        <v>km/MJ</v>
      </c>
      <c r="F1496" s="1">
        <f>F1494/F1492</f>
        <v>5.6961631559156484E-2</v>
      </c>
      <c r="G1496" s="1">
        <f t="shared" ref="G1496:K1496" si="1685">G1494/G1492</f>
        <v>5.5669024657354849E-2</v>
      </c>
      <c r="H1496" s="1">
        <f t="shared" si="1685"/>
        <v>5.3730114304652181E-2</v>
      </c>
      <c r="I1496" s="1">
        <f t="shared" si="1685"/>
        <v>5.0498597050147885E-2</v>
      </c>
      <c r="J1496" s="1">
        <f t="shared" si="1685"/>
        <v>5.0498597050147913E-2</v>
      </c>
      <c r="K1496" s="1">
        <f t="shared" si="1685"/>
        <v>5.0498597050147885E-2</v>
      </c>
      <c r="L1496" s="1">
        <f t="shared" ref="L1496:O1496" si="1686">L1494/L1492</f>
        <v>5.0498597050147892E-2</v>
      </c>
      <c r="M1496" s="1">
        <f t="shared" si="1686"/>
        <v>5.0498597050147906E-2</v>
      </c>
      <c r="N1496" s="1">
        <f t="shared" si="1686"/>
        <v>5.0498597050147878E-2</v>
      </c>
      <c r="O1496" s="1">
        <f t="shared" si="1686"/>
        <v>5.0498597050147878E-2</v>
      </c>
      <c r="P1496" s="1">
        <f>P1494/P1492</f>
        <v>5.0498597050147913E-2</v>
      </c>
      <c r="Q1496" s="1">
        <f>Q1494/Q1492</f>
        <v>5.0498597050147892E-2</v>
      </c>
      <c r="S1496" s="3"/>
    </row>
    <row r="1497" spans="2:19" x14ac:dyDescent="0.5">
      <c r="B1497" s="9" t="str">
        <f t="shared" si="1679"/>
        <v>SPS1</v>
      </c>
      <c r="C1497" s="9" t="str">
        <f t="shared" si="1679"/>
        <v>CH</v>
      </c>
      <c r="D1497" s="2" t="s">
        <v>1487</v>
      </c>
      <c r="E1497" s="2" t="s">
        <v>8</v>
      </c>
      <c r="F1497" s="3">
        <f>SUM(F1498,F1503,F1508)</f>
        <v>2.4016201361401652</v>
      </c>
      <c r="G1497" s="3">
        <f t="shared" ref="G1497:K1497" si="1687">SUM(G1498,G1503,G1508)</f>
        <v>0.64410496498534175</v>
      </c>
      <c r="H1497" s="3">
        <f t="shared" si="1687"/>
        <v>0.63032581985743896</v>
      </c>
      <c r="I1497" s="3">
        <f t="shared" si="1687"/>
        <v>0.68588934278548164</v>
      </c>
      <c r="J1497" s="3">
        <f t="shared" si="1687"/>
        <v>1.0343678741085367</v>
      </c>
      <c r="K1497" s="3">
        <f t="shared" si="1687"/>
        <v>0.97431976079909666</v>
      </c>
      <c r="L1497" s="3">
        <f t="shared" ref="L1497:O1497" si="1688">SUM(L1498,L1503,L1508)</f>
        <v>0.53408198264516149</v>
      </c>
      <c r="M1497" s="3">
        <f t="shared" si="1688"/>
        <v>0.20278658301889724</v>
      </c>
      <c r="N1497" s="3">
        <f t="shared" si="1688"/>
        <v>0.17157231429581085</v>
      </c>
      <c r="O1497" s="3">
        <f t="shared" si="1688"/>
        <v>0.16975696528660827</v>
      </c>
      <c r="P1497" s="3">
        <f>SUM(P1498,P1503,P1508)</f>
        <v>0.16861678882011955</v>
      </c>
      <c r="Q1497" s="3">
        <f>SUM(Q1498,Q1503,Q1508)</f>
        <v>0.17414485583308412</v>
      </c>
      <c r="S1497" s="3"/>
    </row>
    <row r="1498" spans="2:19" x14ac:dyDescent="0.5">
      <c r="B1498" s="5" t="str">
        <f>B1497</f>
        <v>SPS1</v>
      </c>
      <c r="C1498" t="str">
        <f t="shared" ref="C1498:C1502" si="1689">C1497</f>
        <v>CH</v>
      </c>
      <c r="D1498" t="s">
        <v>1488</v>
      </c>
      <c r="E1498" t="str">
        <f>E1497</f>
        <v>PJ/yr.</v>
      </c>
      <c r="F1498" s="1">
        <f>SUM(F1499:F1502)</f>
        <v>3.3171290007223604E-3</v>
      </c>
      <c r="G1498" s="1">
        <f t="shared" ref="G1498:K1498" si="1690">SUM(G1499:G1502)</f>
        <v>0.10698848139488273</v>
      </c>
      <c r="H1498" s="1">
        <f t="shared" si="1690"/>
        <v>0.10833075724914347</v>
      </c>
      <c r="I1498" s="1">
        <f t="shared" si="1690"/>
        <v>9.5586568387051776E-2</v>
      </c>
      <c r="J1498" s="1">
        <f t="shared" si="1690"/>
        <v>5.1286455001934572E-3</v>
      </c>
      <c r="K1498" s="1">
        <f t="shared" si="1690"/>
        <v>9.3628201723033912E-3</v>
      </c>
      <c r="L1498" s="1">
        <f t="shared" ref="L1498:O1498" si="1691">SUM(L1499:L1502)</f>
        <v>9.0842756340902747E-2</v>
      </c>
      <c r="M1498" s="1">
        <f t="shared" si="1691"/>
        <v>0.15612838494170056</v>
      </c>
      <c r="N1498" s="1">
        <f t="shared" si="1691"/>
        <v>0.15826220866222937</v>
      </c>
      <c r="O1498" s="1">
        <f t="shared" si="1691"/>
        <v>0.15445321610627075</v>
      </c>
      <c r="P1498" s="1">
        <f>SUM(P1499:P1502)</f>
        <v>0.1515839311333356</v>
      </c>
      <c r="Q1498" s="1">
        <f>SUM(Q1499:Q1502)</f>
        <v>0.14790048799263666</v>
      </c>
      <c r="S1498" s="3"/>
    </row>
    <row r="1499" spans="2:19" x14ac:dyDescent="0.5">
      <c r="B1499" t="str">
        <f t="shared" ref="B1499:B1502" si="1692">B1498</f>
        <v>SPS1</v>
      </c>
      <c r="C1499" t="str">
        <f t="shared" si="1689"/>
        <v>CH</v>
      </c>
      <c r="D1499" t="s">
        <v>1489</v>
      </c>
      <c r="E1499" t="str">
        <f t="shared" ref="E1499:E1502" si="1693">E1498</f>
        <v>PJ/yr.</v>
      </c>
      <c r="F1499" s="1" cm="1">
        <f t="array" ref="F1499">SUMPRODUCT(("T_TW-BEVELC-S1"=[1]OUT_TransportEnergyCons!$A$3:$A$1000)*1,("Var_Fin"=[1]OUT_TransportEnergyCons!$B$3:$B$1000)*1,ISNUMBER(SEARCH("ELC",[1]OUT_TransportEnergyCons!$C$3:$C$1000))*1,[1]OUT_TransportEnergyCons!D$3:D$1000)</f>
        <v>2.3561098186836373E-3</v>
      </c>
      <c r="G1499" s="1" cm="1">
        <f t="array" ref="G1499">SUMPRODUCT(("T_TW-BEVELC-S1"=[1]OUT_TransportEnergyCons!$A$3:$A$1000)*1,("Var_Fin"=[1]OUT_TransportEnergyCons!$B$3:$B$1000)*1,ISNUMBER(SEARCH("ELC",[1]OUT_TransportEnergyCons!$C$3:$C$1000))*1,[1]OUT_TransportEnergyCons!E$3:E$1000)</f>
        <v>0.10544453191736231</v>
      </c>
      <c r="H1499" s="1" cm="1">
        <f t="array" ref="H1499">SUMPRODUCT(("T_TW-BEVELC-S1"=[1]OUT_TransportEnergyCons!$A$3:$A$1000)*1,("Var_Fin"=[1]OUT_TransportEnergyCons!$B$3:$B$1000)*1,ISNUMBER(SEARCH("ELC",[1]OUT_TransportEnergyCons!$C$3:$C$1000))*1,[1]OUT_TransportEnergyCons!F$3:F$1000)</f>
        <v>0.10611843175324939</v>
      </c>
      <c r="I1499" s="1" cm="1">
        <f t="array" ref="I1499">SUMPRODUCT(("T_TW-BEVELC-S1"=[1]OUT_TransportEnergyCons!$A$3:$A$1000)*1,("Var_Fin"=[1]OUT_TransportEnergyCons!$B$3:$B$1000)*1,ISNUMBER(SEARCH("ELC",[1]OUT_TransportEnergyCons!$C$3:$C$1000))*1,[1]OUT_TransportEnergyCons!G$3:G$1000)</f>
        <v>9.3148425416429675E-2</v>
      </c>
      <c r="J1499" s="1" cm="1">
        <f t="array" ref="J1499">SUMPRODUCT(("T_TW-BEVELC-S1"=[1]OUT_TransportEnergyCons!$A$3:$A$1000)*1,("Var_Fin"=[1]OUT_TransportEnergyCons!$B$3:$B$1000)*1,ISNUMBER(SEARCH("ELC",[1]OUT_TransportEnergyCons!$C$3:$C$1000))*1,[1]OUT_TransportEnergyCons!H$3:H$1000)</f>
        <v>2.3825532272871717E-3</v>
      </c>
      <c r="K1499" s="1" cm="1">
        <f t="array" ref="K1499">SUMPRODUCT(("T_TW-BEVELC-S1"=[1]OUT_TransportEnergyCons!$A$3:$A$1000)*1,("Var_Fin"=[1]OUT_TransportEnergyCons!$B$3:$B$1000)*1,ISNUMBER(SEARCH("ELC",[1]OUT_TransportEnergyCons!$C$3:$C$1000))*1,[1]OUT_TransportEnergyCons!I$3:I$1000)</f>
        <v>6.2409636792585639E-3</v>
      </c>
      <c r="L1499" s="1" cm="1">
        <f t="array" ref="L1499">SUMPRODUCT(("T_TW-BEVELC-S1"=[1]OUT_TransportEnergyCons!$A$3:$A$1000)*1,("Var_Fin"=[1]OUT_TransportEnergyCons!$B$3:$B$1000)*1,ISNUMBER(SEARCH("ELC",[1]OUT_TransportEnergyCons!$C$3:$C$1000))*1,[1]OUT_TransportEnergyCons!J$3:J$1000)</f>
        <v>8.7552683264893141E-2</v>
      </c>
      <c r="M1499" s="1" cm="1">
        <f t="array" ref="M1499">SUMPRODUCT(("T_TW-BEVELC-S1"=[1]OUT_TransportEnergyCons!$A$3:$A$1000)*1,("Var_Fin"=[1]OUT_TransportEnergyCons!$B$3:$B$1000)*1,ISNUMBER(SEARCH("ELC",[1]OUT_TransportEnergyCons!$C$3:$C$1000))*1,[1]OUT_TransportEnergyCons!K$3:K$1000)</f>
        <v>0.15211717913461173</v>
      </c>
      <c r="N1499" s="1" cm="1">
        <f t="array" ref="N1499">SUMPRODUCT(("T_TW-BEVELC-S1"=[1]OUT_TransportEnergyCons!$A$3:$A$1000)*1,("Var_Fin"=[1]OUT_TransportEnergyCons!$B$3:$B$1000)*1,ISNUMBER(SEARCH("ELC",[1]OUT_TransportEnergyCons!$C$3:$C$1000))*1,[1]OUT_TransportEnergyCons!L$3:L$1000)</f>
        <v>0.15364715058963038</v>
      </c>
      <c r="O1499" s="1" cm="1">
        <f t="array" ref="O1499">SUMPRODUCT(("T_TW-BEVELC-S1"=[1]OUT_TransportEnergyCons!$A$3:$A$1000)*1,("Var_Fin"=[1]OUT_TransportEnergyCons!$B$3:$B$1000)*1,ISNUMBER(SEARCH("ELC",[1]OUT_TransportEnergyCons!$C$3:$C$1000))*1,[1]OUT_TransportEnergyCons!M$3:M$1000)</f>
        <v>0.14890990942873958</v>
      </c>
      <c r="P1499" s="1" cm="1">
        <f t="array" ref="P1499">SUMPRODUCT(("T_TW-BEVELC-S1"=[1]OUT_TransportEnergyCons!$A$3:$A$1000)*1,("Var_Fin"=[1]OUT_TransportEnergyCons!$B$3:$B$1000)*1,ISNUMBER(SEARCH("ELC",[1]OUT_TransportEnergyCons!$C$3:$C$1000))*1,[1]OUT_TransportEnergyCons!N$3:N$1000)</f>
        <v>0.1457116027278422</v>
      </c>
      <c r="Q1499" s="1" cm="1">
        <f t="array" ref="Q1499">SUMPRODUCT(("T_TW-BEVELC-S1"=[1]OUT_TransportEnergyCons!$A$3:$A$1000)*1,("Var_Fin"=[1]OUT_TransportEnergyCons!$B$3:$B$1000)*1,ISNUMBER(SEARCH("ELC",[1]OUT_TransportEnergyCons!$C$3:$C$1000))*1,[1]OUT_TransportEnergyCons!O$3:O$1000)</f>
        <v>0.14046057134145704</v>
      </c>
      <c r="S1499" s="3"/>
    </row>
    <row r="1500" spans="2:19" x14ac:dyDescent="0.5">
      <c r="B1500" t="str">
        <f t="shared" si="1692"/>
        <v>SPS1</v>
      </c>
      <c r="C1500" t="str">
        <f t="shared" si="1689"/>
        <v>CH</v>
      </c>
      <c r="D1500" t="s">
        <v>1490</v>
      </c>
      <c r="E1500" t="str">
        <f t="shared" si="1693"/>
        <v>PJ/yr.</v>
      </c>
      <c r="F1500" s="1" cm="1">
        <f t="array" ref="F1500">SUMPRODUCT(("T_TW-BEVELC-S2"=[1]OUT_TransportEnergyCons!$A$3:$A$1000)*1,("Var_Fin"=[1]OUT_TransportEnergyCons!$B$3:$B$1000)*1,ISNUMBER(SEARCH("ELC",[1]OUT_TransportEnergyCons!$C$3:$C$1000))*1,[1]OUT_TransportEnergyCons!D$3:D$1000)</f>
        <v>4.7288603524674731E-4</v>
      </c>
      <c r="G1500" s="1" cm="1">
        <f t="array" ref="G1500">SUMPRODUCT(("T_TW-BEVELC-S2"=[1]OUT_TransportEnergyCons!$A$3:$A$1000)*1,("Var_Fin"=[1]OUT_TransportEnergyCons!$B$3:$B$1000)*1,ISNUMBER(SEARCH("ELC",[1]OUT_TransportEnergyCons!$C$3:$C$1000))*1,[1]OUT_TransportEnergyCons!E$3:E$1000)</f>
        <v>7.1347188529364148E-4</v>
      </c>
      <c r="H1500" s="1" cm="1">
        <f t="array" ref="H1500">SUMPRODUCT(("T_TW-BEVELC-S2"=[1]OUT_TransportEnergyCons!$A$3:$A$1000)*1,("Var_Fin"=[1]OUT_TransportEnergyCons!$B$3:$B$1000)*1,ISNUMBER(SEARCH("ELC",[1]OUT_TransportEnergyCons!$C$3:$C$1000))*1,[1]OUT_TransportEnergyCons!F$3:F$1000)</f>
        <v>9.5876032399500662E-4</v>
      </c>
      <c r="I1500" s="1" cm="1">
        <f t="array" ref="I1500">SUMPRODUCT(("T_TW-BEVELC-S2"=[1]OUT_TransportEnergyCons!$A$3:$A$1000)*1,("Var_Fin"=[1]OUT_TransportEnergyCons!$B$3:$B$1000)*1,ISNUMBER(SEARCH("ELC",[1]OUT_TransportEnergyCons!$C$3:$C$1000))*1,[1]OUT_TransportEnergyCons!G$3:G$1000)</f>
        <v>9.7873225698711644E-4</v>
      </c>
      <c r="J1500" s="1" cm="1">
        <f t="array" ref="J1500">SUMPRODUCT(("T_TW-BEVELC-S2"=[1]OUT_TransportEnergyCons!$A$3:$A$1000)*1,("Var_Fin"=[1]OUT_TransportEnergyCons!$B$3:$B$1000)*1,ISNUMBER(SEARCH("ELC",[1]OUT_TransportEnergyCons!$C$3:$C$1000))*1,[1]OUT_TransportEnergyCons!H$3:H$1000)</f>
        <v>7.7439616527163384E-4</v>
      </c>
      <c r="K1500" s="1" cm="1">
        <f t="array" ref="K1500">SUMPRODUCT(("T_TW-BEVELC-S2"=[1]OUT_TransportEnergyCons!$A$3:$A$1000)*1,("Var_Fin"=[1]OUT_TransportEnergyCons!$B$3:$B$1000)*1,ISNUMBER(SEARCH("ELC",[1]OUT_TransportEnergyCons!$C$3:$C$1000))*1,[1]OUT_TransportEnergyCons!I$3:I$1000)</f>
        <v>8.1227432809592552E-4</v>
      </c>
      <c r="L1500" s="1" cm="1">
        <f t="array" ref="L1500">SUMPRODUCT(("T_TW-BEVELC-S2"=[1]OUT_TransportEnergyCons!$A$3:$A$1000)*1,("Var_Fin"=[1]OUT_TransportEnergyCons!$B$3:$B$1000)*1,ISNUMBER(SEARCH("ELC",[1]OUT_TransportEnergyCons!$C$3:$C$1000))*1,[1]OUT_TransportEnergyCons!J$3:J$1000)</f>
        <v>1.0623858750429711E-3</v>
      </c>
      <c r="M1500" s="1" cm="1">
        <f t="array" ref="M1500">SUMPRODUCT(("T_TW-BEVELC-S2"=[1]OUT_TransportEnergyCons!$A$3:$A$1000)*1,("Var_Fin"=[1]OUT_TransportEnergyCons!$B$3:$B$1000)*1,ISNUMBER(SEARCH("ELC",[1]OUT_TransportEnergyCons!$C$3:$C$1000))*1,[1]OUT_TransportEnergyCons!K$3:K$1000)</f>
        <v>1.3982136026655229E-3</v>
      </c>
      <c r="N1500" s="1" cm="1">
        <f t="array" ref="N1500">SUMPRODUCT(("T_TW-BEVELC-S2"=[1]OUT_TransportEnergyCons!$A$3:$A$1000)*1,("Var_Fin"=[1]OUT_TransportEnergyCons!$B$3:$B$1000)*1,ISNUMBER(SEARCH("ELC",[1]OUT_TransportEnergyCons!$C$3:$C$1000))*1,[1]OUT_TransportEnergyCons!L$3:L$1000)</f>
        <v>1.550449560845626E-3</v>
      </c>
      <c r="O1500" s="1" cm="1">
        <f t="array" ref="O1500">SUMPRODUCT(("T_TW-BEVELC-S2"=[1]OUT_TransportEnergyCons!$A$3:$A$1000)*1,("Var_Fin"=[1]OUT_TransportEnergyCons!$B$3:$B$1000)*1,ISNUMBER(SEARCH("ELC",[1]OUT_TransportEnergyCons!$C$3:$C$1000))*1,[1]OUT_TransportEnergyCons!M$3:M$1000)</f>
        <v>1.990071446276154E-3</v>
      </c>
      <c r="P1500" s="1" cm="1">
        <f t="array" ref="P1500">SUMPRODUCT(("T_TW-BEVELC-S2"=[1]OUT_TransportEnergyCons!$A$3:$A$1000)*1,("Var_Fin"=[1]OUT_TransportEnergyCons!$B$3:$B$1000)*1,ISNUMBER(SEARCH("ELC",[1]OUT_TransportEnergyCons!$C$3:$C$1000))*1,[1]OUT_TransportEnergyCons!N$3:N$1000)</f>
        <v>1.8901166715422071E-3</v>
      </c>
      <c r="Q1500" s="1" cm="1">
        <f t="array" ref="Q1500">SUMPRODUCT(("T_TW-BEVELC-S2"=[1]OUT_TransportEnergyCons!$A$3:$A$1000)*1,("Var_Fin"=[1]OUT_TransportEnergyCons!$B$3:$B$1000)*1,ISNUMBER(SEARCH("ELC",[1]OUT_TransportEnergyCons!$C$3:$C$1000))*1,[1]OUT_TransportEnergyCons!O$3:O$1000)</f>
        <v>2.6461333072749019E-3</v>
      </c>
      <c r="S1500" s="3"/>
    </row>
    <row r="1501" spans="2:19" x14ac:dyDescent="0.5">
      <c r="B1501" t="str">
        <f t="shared" si="1692"/>
        <v>SPS1</v>
      </c>
      <c r="C1501" t="str">
        <f t="shared" si="1689"/>
        <v>CH</v>
      </c>
      <c r="D1501" t="s">
        <v>1492</v>
      </c>
      <c r="E1501" t="str">
        <f t="shared" si="1693"/>
        <v>PJ/yr.</v>
      </c>
      <c r="F1501" s="1" cm="1">
        <f t="array" ref="F1501">SUMPRODUCT(("T_TW-BEVELC-S3"=[1]OUT_TransportEnergyCons!$A$3:$A$1000)*1,("Var_Fin"=[1]OUT_TransportEnergyCons!$B$3:$B$1000)*1,ISNUMBER(SEARCH("ELC",[1]OUT_TransportEnergyCons!$C$3:$C$1000))*1,[1]OUT_TransportEnergyCons!D$3:D$1000)</f>
        <v>2.6827282642108544E-4</v>
      </c>
      <c r="G1501" s="1" cm="1">
        <f t="array" ref="G1501">SUMPRODUCT(("T_TW-BEVELC-S3"=[1]OUT_TransportEnergyCons!$A$3:$A$1000)*1,("Var_Fin"=[1]OUT_TransportEnergyCons!$B$3:$B$1000)*1,ISNUMBER(SEARCH("ELC",[1]OUT_TransportEnergyCons!$C$3:$C$1000))*1,[1]OUT_TransportEnergyCons!E$3:E$1000)</f>
        <v>4.6155154802051237E-4</v>
      </c>
      <c r="H1501" s="1" cm="1">
        <f t="array" ref="H1501">SUMPRODUCT(("T_TW-BEVELC-S3"=[1]OUT_TransportEnergyCons!$A$3:$A$1000)*1,("Var_Fin"=[1]OUT_TransportEnergyCons!$B$3:$B$1000)*1,ISNUMBER(SEARCH("ELC",[1]OUT_TransportEnergyCons!$C$3:$C$1000))*1,[1]OUT_TransportEnergyCons!F$3:F$1000)</f>
        <v>7.0860010010483109E-4</v>
      </c>
      <c r="I1501" s="1" cm="1">
        <f t="array" ref="I1501">SUMPRODUCT(("T_TW-BEVELC-S3"=[1]OUT_TransportEnergyCons!$A$3:$A$1000)*1,("Var_Fin"=[1]OUT_TransportEnergyCons!$B$3:$B$1000)*1,ISNUMBER(SEARCH("ELC",[1]OUT_TransportEnergyCons!$C$3:$C$1000))*1,[1]OUT_TransportEnergyCons!G$3:G$1000)</f>
        <v>8.1428974200589666E-4</v>
      </c>
      <c r="J1501" s="1" cm="1">
        <f t="array" ref="J1501">SUMPRODUCT(("T_TW-BEVELC-S3"=[1]OUT_TransportEnergyCons!$A$3:$A$1000)*1,("Var_Fin"=[1]OUT_TransportEnergyCons!$B$3:$B$1000)*1,ISNUMBER(SEARCH("ELC",[1]OUT_TransportEnergyCons!$C$3:$C$1000))*1,[1]OUT_TransportEnergyCons!H$3:H$1000)</f>
        <v>1.1247439234312079E-3</v>
      </c>
      <c r="K1501" s="1" cm="1">
        <f t="array" ref="K1501">SUMPRODUCT(("T_TW-BEVELC-S3"=[1]OUT_TransportEnergyCons!$A$3:$A$1000)*1,("Var_Fin"=[1]OUT_TransportEnergyCons!$B$3:$B$1000)*1,ISNUMBER(SEARCH("ELC",[1]OUT_TransportEnergyCons!$C$3:$C$1000))*1,[1]OUT_TransportEnergyCons!I$3:I$1000)</f>
        <v>1.2231383756127168E-3</v>
      </c>
      <c r="L1501" s="1" cm="1">
        <f t="array" ref="L1501">SUMPRODUCT(("T_TW-BEVELC-S3"=[1]OUT_TransportEnergyCons!$A$3:$A$1000)*1,("Var_Fin"=[1]OUT_TransportEnergyCons!$B$3:$B$1000)*1,ISNUMBER(SEARCH("ELC",[1]OUT_TransportEnergyCons!$C$3:$C$1000))*1,[1]OUT_TransportEnergyCons!J$3:J$1000)</f>
        <v>1.0874300072994398E-3</v>
      </c>
      <c r="M1501" s="1" cm="1">
        <f t="array" ref="M1501">SUMPRODUCT(("T_TW-BEVELC-S3"=[1]OUT_TransportEnergyCons!$A$3:$A$1000)*1,("Var_Fin"=[1]OUT_TransportEnergyCons!$B$3:$B$1000)*1,ISNUMBER(SEARCH("ELC",[1]OUT_TransportEnergyCons!$C$3:$C$1000))*1,[1]OUT_TransportEnergyCons!K$3:K$1000)</f>
        <v>1.4124188273564387E-3</v>
      </c>
      <c r="N1501" s="1" cm="1">
        <f t="array" ref="N1501">SUMPRODUCT(("T_TW-BEVELC-S3"=[1]OUT_TransportEnergyCons!$A$3:$A$1000)*1,("Var_Fin"=[1]OUT_TransportEnergyCons!$B$3:$B$1000)*1,ISNUMBER(SEARCH("ELC",[1]OUT_TransportEnergyCons!$C$3:$C$1000))*1,[1]OUT_TransportEnergyCons!L$3:L$1000)</f>
        <v>1.6505165690061229E-3</v>
      </c>
      <c r="O1501" s="1" cm="1">
        <f t="array" ref="O1501">SUMPRODUCT(("T_TW-BEVELC-S3"=[1]OUT_TransportEnergyCons!$A$3:$A$1000)*1,("Var_Fin"=[1]OUT_TransportEnergyCons!$B$3:$B$1000)*1,ISNUMBER(SEARCH("ELC",[1]OUT_TransportEnergyCons!$C$3:$C$1000))*1,[1]OUT_TransportEnergyCons!M$3:M$1000)</f>
        <v>1.9068959650175052E-3</v>
      </c>
      <c r="P1501" s="1" cm="1">
        <f t="array" ref="P1501">SUMPRODUCT(("T_TW-BEVELC-S3"=[1]OUT_TransportEnergyCons!$A$3:$A$1000)*1,("Var_Fin"=[1]OUT_TransportEnergyCons!$B$3:$B$1000)*1,ISNUMBER(SEARCH("ELC",[1]OUT_TransportEnergyCons!$C$3:$C$1000))*1,[1]OUT_TransportEnergyCons!N$3:N$1000)</f>
        <v>2.1700615988033663E-3</v>
      </c>
      <c r="Q1501" s="1" cm="1">
        <f t="array" ref="Q1501">SUMPRODUCT(("T_TW-BEVELC-S3"=[1]OUT_TransportEnergyCons!$A$3:$A$1000)*1,("Var_Fin"=[1]OUT_TransportEnergyCons!$B$3:$B$1000)*1,ISNUMBER(SEARCH("ELC",[1]OUT_TransportEnergyCons!$C$3:$C$1000))*1,[1]OUT_TransportEnergyCons!O$3:O$1000)</f>
        <v>2.5911473461395795E-3</v>
      </c>
      <c r="S1501" s="3"/>
    </row>
    <row r="1502" spans="2:19" x14ac:dyDescent="0.5">
      <c r="B1502" t="str">
        <f t="shared" si="1692"/>
        <v>SPS1</v>
      </c>
      <c r="C1502" t="str">
        <f t="shared" si="1689"/>
        <v>CH</v>
      </c>
      <c r="D1502" t="s">
        <v>1491</v>
      </c>
      <c r="E1502" t="str">
        <f t="shared" si="1693"/>
        <v>PJ/yr.</v>
      </c>
      <c r="F1502" s="1" cm="1">
        <f t="array" ref="F1502">SUMPRODUCT(("T_TW-BEVELC-S4"=[1]OUT_TransportEnergyCons!$A$3:$A$1000)*1,("Var_Fin"=[1]OUT_TransportEnergyCons!$B$3:$B$1000)*1,ISNUMBER(SEARCH("ELC",[1]OUT_TransportEnergyCons!$C$3:$C$1000))*1,[1]OUT_TransportEnergyCons!D$3:D$1000)</f>
        <v>2.1986032037089008E-4</v>
      </c>
      <c r="G1502" s="1" cm="1">
        <f t="array" ref="G1502">SUMPRODUCT(("T_TW-BEVELC-S4"=[1]OUT_TransportEnergyCons!$A$3:$A$1000)*1,("Var_Fin"=[1]OUT_TransportEnergyCons!$B$3:$B$1000)*1,ISNUMBER(SEARCH("ELC",[1]OUT_TransportEnergyCons!$C$3:$C$1000))*1,[1]OUT_TransportEnergyCons!E$3:E$1000)</f>
        <v>3.6892604420628517E-4</v>
      </c>
      <c r="H1502" s="1" cm="1">
        <f t="array" ref="H1502">SUMPRODUCT(("T_TW-BEVELC-S4"=[1]OUT_TransportEnergyCons!$A$3:$A$1000)*1,("Var_Fin"=[1]OUT_TransportEnergyCons!$B$3:$B$1000)*1,ISNUMBER(SEARCH("ELC",[1]OUT_TransportEnergyCons!$C$3:$C$1000))*1,[1]OUT_TransportEnergyCons!F$3:F$1000)</f>
        <v>5.4496507179424114E-4</v>
      </c>
      <c r="I1502" s="1" cm="1">
        <f t="array" ref="I1502">SUMPRODUCT(("T_TW-BEVELC-S4"=[1]OUT_TransportEnergyCons!$A$3:$A$1000)*1,("Var_Fin"=[1]OUT_TransportEnergyCons!$B$3:$B$1000)*1,ISNUMBER(SEARCH("ELC",[1]OUT_TransportEnergyCons!$C$3:$C$1000))*1,[1]OUT_TransportEnergyCons!G$3:G$1000)</f>
        <v>6.4512097162907765E-4</v>
      </c>
      <c r="J1502" s="1" cm="1">
        <f t="array" ref="J1502">SUMPRODUCT(("T_TW-BEVELC-S4"=[1]OUT_TransportEnergyCons!$A$3:$A$1000)*1,("Var_Fin"=[1]OUT_TransportEnergyCons!$B$3:$B$1000)*1,ISNUMBER(SEARCH("ELC",[1]OUT_TransportEnergyCons!$C$3:$C$1000))*1,[1]OUT_TransportEnergyCons!H$3:H$1000)</f>
        <v>8.4695218420344426E-4</v>
      </c>
      <c r="K1502" s="1" cm="1">
        <f t="array" ref="K1502">SUMPRODUCT(("T_TW-BEVELC-S4"=[1]OUT_TransportEnergyCons!$A$3:$A$1000)*1,("Var_Fin"=[1]OUT_TransportEnergyCons!$B$3:$B$1000)*1,ISNUMBER(SEARCH("ELC",[1]OUT_TransportEnergyCons!$C$3:$C$1000))*1,[1]OUT_TransportEnergyCons!I$3:I$1000)</f>
        <v>1.0864437893361853E-3</v>
      </c>
      <c r="L1502" s="1" cm="1">
        <f t="array" ref="L1502">SUMPRODUCT(("T_TW-BEVELC-S4"=[1]OUT_TransportEnergyCons!$A$3:$A$1000)*1,("Var_Fin"=[1]OUT_TransportEnergyCons!$B$3:$B$1000)*1,ISNUMBER(SEARCH("ELC",[1]OUT_TransportEnergyCons!$C$3:$C$1000))*1,[1]OUT_TransportEnergyCons!J$3:J$1000)</f>
        <v>1.1402571936672042E-3</v>
      </c>
      <c r="M1502" s="1" cm="1">
        <f t="array" ref="M1502">SUMPRODUCT(("T_TW-BEVELC-S4"=[1]OUT_TransportEnergyCons!$A$3:$A$1000)*1,("Var_Fin"=[1]OUT_TransportEnergyCons!$B$3:$B$1000)*1,ISNUMBER(SEARCH("ELC",[1]OUT_TransportEnergyCons!$C$3:$C$1000))*1,[1]OUT_TransportEnergyCons!K$3:K$1000)</f>
        <v>1.2005733770668792E-3</v>
      </c>
      <c r="N1502" s="1" cm="1">
        <f t="array" ref="N1502">SUMPRODUCT(("T_TW-BEVELC-S4"=[1]OUT_TransportEnergyCons!$A$3:$A$1000)*1,("Var_Fin"=[1]OUT_TransportEnergyCons!$B$3:$B$1000)*1,ISNUMBER(SEARCH("ELC",[1]OUT_TransportEnergyCons!$C$3:$C$1000))*1,[1]OUT_TransportEnergyCons!L$3:L$1000)</f>
        <v>1.4140919427472576E-3</v>
      </c>
      <c r="O1502" s="1" cm="1">
        <f t="array" ref="O1502">SUMPRODUCT(("T_TW-BEVELC-S4"=[1]OUT_TransportEnergyCons!$A$3:$A$1000)*1,("Var_Fin"=[1]OUT_TransportEnergyCons!$B$3:$B$1000)*1,ISNUMBER(SEARCH("ELC",[1]OUT_TransportEnergyCons!$C$3:$C$1000))*1,[1]OUT_TransportEnergyCons!M$3:M$1000)</f>
        <v>1.6463392662374988E-3</v>
      </c>
      <c r="P1502" s="1" cm="1">
        <f t="array" ref="P1502">SUMPRODUCT(("T_TW-BEVELC-S4"=[1]OUT_TransportEnergyCons!$A$3:$A$1000)*1,("Var_Fin"=[1]OUT_TransportEnergyCons!$B$3:$B$1000)*1,ISNUMBER(SEARCH("ELC",[1]OUT_TransportEnergyCons!$C$3:$C$1000))*1,[1]OUT_TransportEnergyCons!N$3:N$1000)</f>
        <v>1.8121501351478244E-3</v>
      </c>
      <c r="Q1502" s="1" cm="1">
        <f t="array" ref="Q1502">SUMPRODUCT(("T_TW-BEVELC-S4"=[1]OUT_TransportEnergyCons!$A$3:$A$1000)*1,("Var_Fin"=[1]OUT_TransportEnergyCons!$B$3:$B$1000)*1,ISNUMBER(SEARCH("ELC",[1]OUT_TransportEnergyCons!$C$3:$C$1000))*1,[1]OUT_TransportEnergyCons!O$3:O$1000)</f>
        <v>2.2026359977651432E-3</v>
      </c>
      <c r="S1502" s="3"/>
    </row>
    <row r="1503" spans="2:19" x14ac:dyDescent="0.5">
      <c r="B1503" s="5" t="str">
        <f>B1502</f>
        <v>SPS1</v>
      </c>
      <c r="C1503" t="str">
        <f t="shared" ref="C1503:C1507" si="1694">C1502</f>
        <v>CH</v>
      </c>
      <c r="D1503" t="s">
        <v>1493</v>
      </c>
      <c r="E1503" t="str">
        <f>E1502</f>
        <v>PJ/yr.</v>
      </c>
      <c r="F1503" s="1">
        <f>SUM(F1504:F1507)</f>
        <v>0</v>
      </c>
      <c r="G1503" s="1">
        <f t="shared" ref="G1503:K1503" si="1695">SUM(G1504:G1507)</f>
        <v>0</v>
      </c>
      <c r="H1503" s="1">
        <f t="shared" si="1695"/>
        <v>0</v>
      </c>
      <c r="I1503" s="1">
        <f t="shared" si="1695"/>
        <v>2.6543135935270309E-4</v>
      </c>
      <c r="J1503" s="1">
        <f t="shared" si="1695"/>
        <v>8.0278529425230371E-4</v>
      </c>
      <c r="K1503" s="1">
        <f t="shared" si="1695"/>
        <v>1.4017301989153071E-3</v>
      </c>
      <c r="L1503" s="1">
        <f t="shared" ref="L1503:O1503" si="1696">SUM(L1504:L1507)</f>
        <v>2.1143169301838086E-3</v>
      </c>
      <c r="M1503" s="1">
        <f t="shared" si="1696"/>
        <v>3.2708961054655032E-3</v>
      </c>
      <c r="N1503" s="1">
        <f t="shared" si="1696"/>
        <v>4.3349018046902402E-3</v>
      </c>
      <c r="O1503" s="1">
        <f t="shared" si="1696"/>
        <v>5.4274271380696376E-3</v>
      </c>
      <c r="P1503" s="1">
        <f>SUM(P1504:P1507)</f>
        <v>5.6620244577595654E-3</v>
      </c>
      <c r="Q1503" s="1">
        <f>SUM(Q1504:Q1507)</f>
        <v>7.9783874838885282E-3</v>
      </c>
      <c r="S1503" s="3"/>
    </row>
    <row r="1504" spans="2:19" x14ac:dyDescent="0.5">
      <c r="B1504" t="str">
        <f t="shared" ref="B1504:B1507" si="1697">B1503</f>
        <v>SPS1</v>
      </c>
      <c r="C1504" t="str">
        <f t="shared" si="1694"/>
        <v>CH</v>
      </c>
      <c r="D1504" t="s">
        <v>1494</v>
      </c>
      <c r="E1504" t="str">
        <f t="shared" ref="E1504:E1507" si="1698">E1503</f>
        <v>PJ/yr.</v>
      </c>
      <c r="F1504" s="1" cm="1">
        <f t="array" ref="F1504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SUMPRODUCT(("T_TW-fclh2o-S1"=[1]OUT_TransportEnergyCons!$A$3:$A$1000)*1,("Var_Fin"=[1]OUT_TransportEnergyCons!$B$3:$B$1000)*1,ISNUMBER(SEARCH("h2",[1]OUT_TransportEnergyCons!$C$3:$C$1000))*1,[1]OUT_TransportEnergyCons!G$3:G$1000)</f>
        <v>8.2876871963008536E-5</v>
      </c>
      <c r="J1504" s="1" cm="1">
        <f t="array" ref="J1504">SUMPRODUCT(("T_TW-fclh2o-S1"=[1]OUT_TransportEnergyCons!$A$3:$A$1000)*1,("Var_Fin"=[1]OUT_TransportEnergyCons!$B$3:$B$1000)*1,ISNUMBER(SEARCH("h2",[1]OUT_TransportEnergyCons!$C$3:$C$1000))*1,[1]OUT_TransportEnergyCons!H$3:H$1000)</f>
        <v>2.8567310770475924E-4</v>
      </c>
      <c r="K1504" s="1" cm="1">
        <f t="array" ref="K1504">SUMPRODUCT(("T_TW-fclh2o-S1"=[1]OUT_TransportEnergyCons!$A$3:$A$1000)*1,("Var_Fin"=[1]OUT_TransportEnergyCons!$B$3:$B$1000)*1,ISNUMBER(SEARCH("h2",[1]OUT_TransportEnergyCons!$C$3:$C$1000))*1,[1]OUT_TransportEnergyCons!I$3:I$1000)</f>
        <v>5.2333797423603605E-4</v>
      </c>
      <c r="L1504" s="1" cm="1">
        <f t="array" ref="L1504">SUMPRODUCT(("T_TW-fclh2o-S1"=[1]OUT_TransportEnergyCons!$A$3:$A$1000)*1,("Var_Fin"=[1]OUT_TransportEnergyCons!$B$3:$B$1000)*1,ISNUMBER(SEARCH("h2",[1]OUT_TransportEnergyCons!$C$3:$C$1000))*1,[1]OUT_TransportEnergyCons!J$3:J$1000)</f>
        <v>8.315525352128641E-4</v>
      </c>
      <c r="M1504" s="1" cm="1">
        <f t="array" ref="M1504">SUMPRODUCT(("T_TW-fclh2o-S1"=[1]OUT_TransportEnergyCons!$A$3:$A$1000)*1,("Var_Fin"=[1]OUT_TransportEnergyCons!$B$3:$B$1000)*1,ISNUMBER(SEARCH("h2",[1]OUT_TransportEnergyCons!$C$3:$C$1000))*1,[1]OUT_TransportEnergyCons!K$3:K$1000)</f>
        <v>1.3861685272046674E-3</v>
      </c>
      <c r="N1504" s="1" cm="1">
        <f t="array" ref="N1504">SUMPRODUCT(("T_TW-fclh2o-S1"=[1]OUT_TransportEnergyCons!$A$3:$A$1000)*1,("Var_Fin"=[1]OUT_TransportEnergyCons!$B$3:$B$1000)*1,ISNUMBER(SEARCH("h2",[1]OUT_TransportEnergyCons!$C$3:$C$1000))*1,[1]OUT_TransportEnergyCons!L$3:L$1000)</f>
        <v>1.9952416397105905E-3</v>
      </c>
      <c r="O1504" s="1" cm="1">
        <f t="array" ref="O1504">SUMPRODUCT(("T_TW-fclh2o-S1"=[1]OUT_TransportEnergyCons!$A$3:$A$1000)*1,("Var_Fin"=[1]OUT_TransportEnergyCons!$B$3:$B$1000)*1,ISNUMBER(SEARCH("h2",[1]OUT_TransportEnergyCons!$C$3:$C$1000))*1,[1]OUT_TransportEnergyCons!M$3:M$1000)</f>
        <v>2.4645993880998661E-3</v>
      </c>
      <c r="P1504" s="1" cm="1">
        <f t="array" ref="P1504">SUMPRODUCT(("T_TW-fclh2o-S1"=[1]OUT_TransportEnergyCons!$A$3:$A$1000)*1,("Var_Fin"=[1]OUT_TransportEnergyCons!$B$3:$B$1000)*1,ISNUMBER(SEARCH("h2",[1]OUT_TransportEnergyCons!$C$3:$C$1000))*1,[1]OUT_TransportEnergyCons!N$3:N$1000)</f>
        <v>2.3899218713157289E-3</v>
      </c>
      <c r="Q1504" s="1" cm="1">
        <f t="array" ref="Q1504">SUMPRODUCT(("T_TW-fclh2o-S1"=[1]OUT_TransportEnergyCons!$A$3:$A$1000)*1,("Var_Fin"=[1]OUT_TransportEnergyCons!$B$3:$B$1000)*1,ISNUMBER(SEARCH("h2",[1]OUT_TransportEnergyCons!$C$3:$C$1000))*1,[1]OUT_TransportEnergyCons!O$3:O$1000)</f>
        <v>3.5865696348354398E-3</v>
      </c>
      <c r="S1504" s="3"/>
    </row>
    <row r="1505" spans="2:19" x14ac:dyDescent="0.5">
      <c r="B1505" t="str">
        <f t="shared" si="1697"/>
        <v>SPS1</v>
      </c>
      <c r="C1505" t="str">
        <f t="shared" si="1694"/>
        <v>CH</v>
      </c>
      <c r="D1505" t="s">
        <v>1495</v>
      </c>
      <c r="E1505" t="str">
        <f t="shared" si="1698"/>
        <v>PJ/yr.</v>
      </c>
      <c r="F1505" s="1" cm="1">
        <f t="array" ref="F1505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SUMPRODUCT(("T_TW-fclh2o-S2"=[1]OUT_TransportEnergyCons!$A$3:$A$1000)*1,("Var_Fin"=[1]OUT_TransportEnergyCons!$B$3:$B$1000)*1,ISNUMBER(SEARCH("h2",[1]OUT_TransportEnergyCons!$C$3:$C$1000))*1,[1]OUT_TransportEnergyCons!G$3:G$1000)</f>
        <v>7.3541232390635469E-5</v>
      </c>
      <c r="J1505" s="1" cm="1">
        <f t="array" ref="J1505">SUMPRODUCT(("T_TW-fclh2o-S2"=[1]OUT_TransportEnergyCons!$A$3:$A$1000)*1,("Var_Fin"=[1]OUT_TransportEnergyCons!$B$3:$B$1000)*1,ISNUMBER(SEARCH("h2",[1]OUT_TransportEnergyCons!$C$3:$C$1000))*1,[1]OUT_TransportEnergyCons!H$3:H$1000)</f>
        <v>2.0905278796627474E-4</v>
      </c>
      <c r="K1505" s="1" cm="1">
        <f t="array" ref="K1505">SUMPRODUCT(("T_TW-fclh2o-S2"=[1]OUT_TransportEnergyCons!$A$3:$A$1000)*1,("Var_Fin"=[1]OUT_TransportEnergyCons!$B$3:$B$1000)*1,ISNUMBER(SEARCH("h2",[1]OUT_TransportEnergyCons!$C$3:$C$1000))*1,[1]OUT_TransportEnergyCons!I$3:I$1000)</f>
        <v>3.5610377405047544E-4</v>
      </c>
      <c r="L1505" s="1" cm="1">
        <f t="array" ref="L1505">SUMPRODUCT(("T_TW-fclh2o-S2"=[1]OUT_TransportEnergyCons!$A$3:$A$1000)*1,("Var_Fin"=[1]OUT_TransportEnergyCons!$B$3:$B$1000)*1,ISNUMBER(SEARCH("h2",[1]OUT_TransportEnergyCons!$C$3:$C$1000))*1,[1]OUT_TransportEnergyCons!J$3:J$1000)</f>
        <v>5.0507089789640061E-4</v>
      </c>
      <c r="M1505" s="1" cm="1">
        <f t="array" ref="M1505">SUMPRODUCT(("T_TW-fclh2o-S2"=[1]OUT_TransportEnergyCons!$A$3:$A$1000)*1,("Var_Fin"=[1]OUT_TransportEnergyCons!$B$3:$B$1000)*1,ISNUMBER(SEARCH("h2",[1]OUT_TransportEnergyCons!$C$3:$C$1000))*1,[1]OUT_TransportEnergyCons!K$3:K$1000)</f>
        <v>7.2458404737498947E-4</v>
      </c>
      <c r="N1505" s="1" cm="1">
        <f t="array" ref="N1505">SUMPRODUCT(("T_TW-fclh2o-S2"=[1]OUT_TransportEnergyCons!$A$3:$A$1000)*1,("Var_Fin"=[1]OUT_TransportEnergyCons!$B$3:$B$1000)*1,ISNUMBER(SEARCH("h2",[1]OUT_TransportEnergyCons!$C$3:$C$1000))*1,[1]OUT_TransportEnergyCons!L$3:L$1000)</f>
        <v>8.6885774067009514E-4</v>
      </c>
      <c r="O1505" s="1" cm="1">
        <f t="array" ref="O1505">SUMPRODUCT(("T_TW-fclh2o-S2"=[1]OUT_TransportEnergyCons!$A$3:$A$1000)*1,("Var_Fin"=[1]OUT_TransportEnergyCons!$B$3:$B$1000)*1,ISNUMBER(SEARCH("h2",[1]OUT_TransportEnergyCons!$C$3:$C$1000))*1,[1]OUT_TransportEnergyCons!M$3:M$1000)</f>
        <v>1.1564339723942768E-3</v>
      </c>
      <c r="P1505" s="1" cm="1">
        <f t="array" ref="P1505">SUMPRODUCT(("T_TW-fclh2o-S2"=[1]OUT_TransportEnergyCons!$A$3:$A$1000)*1,("Var_Fin"=[1]OUT_TransportEnergyCons!$B$3:$B$1000)*1,ISNUMBER(SEARCH("h2",[1]OUT_TransportEnergyCons!$C$3:$C$1000))*1,[1]OUT_TransportEnergyCons!N$3:N$1000)</f>
        <v>1.1408253650803046E-3</v>
      </c>
      <c r="Q1505" s="1" cm="1">
        <f t="array" ref="Q1505">SUMPRODUCT(("T_TW-fclh2o-S2"=[1]OUT_TransportEnergyCons!$A$3:$A$1000)*1,("Var_Fin"=[1]OUT_TransportEnergyCons!$B$3:$B$1000)*1,ISNUMBER(SEARCH("h2",[1]OUT_TransportEnergyCons!$C$3:$C$1000))*1,[1]OUT_TransportEnergyCons!O$3:O$1000)</f>
        <v>1.6698108347593065E-3</v>
      </c>
      <c r="S1505" s="3"/>
    </row>
    <row r="1506" spans="2:19" x14ac:dyDescent="0.5">
      <c r="B1506" t="str">
        <f t="shared" si="1697"/>
        <v>SPS1</v>
      </c>
      <c r="C1506" t="str">
        <f t="shared" si="1694"/>
        <v>CH</v>
      </c>
      <c r="D1506" t="s">
        <v>1496</v>
      </c>
      <c r="E1506" t="str">
        <f t="shared" si="1698"/>
        <v>PJ/yr.</v>
      </c>
      <c r="F1506" s="1" cm="1">
        <f t="array" ref="F1506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6" s="1" cm="1">
        <f t="array" ref="G1506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6" s="1" cm="1">
        <f t="array" ref="H1506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6" s="1" cm="1">
        <f t="array" ref="I1506">SUMPRODUCT(("T_TW-fclh2o-S3"=[1]OUT_TransportEnergyCons!$A$3:$A$1000)*1,("Var_Fin"=[1]OUT_TransportEnergyCons!$B$3:$B$1000)*1,ISNUMBER(SEARCH("h2",[1]OUT_TransportEnergyCons!$C$3:$C$1000))*1,[1]OUT_TransportEnergyCons!G$3:G$1000)</f>
        <v>6.4219488266489946E-5</v>
      </c>
      <c r="J1506" s="1" cm="1">
        <f t="array" ref="J1506">SUMPRODUCT(("T_TW-fclh2o-S3"=[1]OUT_TransportEnergyCons!$A$3:$A$1000)*1,("Var_Fin"=[1]OUT_TransportEnergyCons!$B$3:$B$1000)*1,ISNUMBER(SEARCH("h2",[1]OUT_TransportEnergyCons!$C$3:$C$1000))*1,[1]OUT_TransportEnergyCons!H$3:H$1000)</f>
        <v>1.926316843066082E-4</v>
      </c>
      <c r="K1506" s="1" cm="1">
        <f t="array" ref="K1506">SUMPRODUCT(("T_TW-fclh2o-S3"=[1]OUT_TransportEnergyCons!$A$3:$A$1000)*1,("Var_Fin"=[1]OUT_TransportEnergyCons!$B$3:$B$1000)*1,ISNUMBER(SEARCH("h2",[1]OUT_TransportEnergyCons!$C$3:$C$1000))*1,[1]OUT_TransportEnergyCons!I$3:I$1000)</f>
        <v>3.2170320319271711E-4</v>
      </c>
      <c r="L1506" s="1" cm="1">
        <f t="array" ref="L1506">SUMPRODUCT(("T_TW-fclh2o-S3"=[1]OUT_TransportEnergyCons!$A$3:$A$1000)*1,("Var_Fin"=[1]OUT_TransportEnergyCons!$B$3:$B$1000)*1,ISNUMBER(SEARCH("h2",[1]OUT_TransportEnergyCons!$C$3:$C$1000))*1,[1]OUT_TransportEnergyCons!J$3:J$1000)</f>
        <v>4.6755292302429598E-4</v>
      </c>
      <c r="M1506" s="1" cm="1">
        <f t="array" ref="M1506">SUMPRODUCT(("T_TW-fclh2o-S3"=[1]OUT_TransportEnergyCons!$A$3:$A$1000)*1,("Var_Fin"=[1]OUT_TransportEnergyCons!$B$3:$B$1000)*1,ISNUMBER(SEARCH("h2",[1]OUT_TransportEnergyCons!$C$3:$C$1000))*1,[1]OUT_TransportEnergyCons!K$3:K$1000)</f>
        <v>6.7095611512661766E-4</v>
      </c>
      <c r="N1506" s="1" cm="1">
        <f t="array" ref="N1506">SUMPRODUCT(("T_TW-fclh2o-S3"=[1]OUT_TransportEnergyCons!$A$3:$A$1000)*1,("Var_Fin"=[1]OUT_TransportEnergyCons!$B$3:$B$1000)*1,ISNUMBER(SEARCH("h2",[1]OUT_TransportEnergyCons!$C$3:$C$1000))*1,[1]OUT_TransportEnergyCons!L$3:L$1000)</f>
        <v>8.5243846693071649E-4</v>
      </c>
      <c r="O1506" s="1" cm="1">
        <f t="array" ref="O1506">SUMPRODUCT(("T_TW-fclh2o-S3"=[1]OUT_TransportEnergyCons!$A$3:$A$1000)*1,("Var_Fin"=[1]OUT_TransportEnergyCons!$B$3:$B$1000)*1,ISNUMBER(SEARCH("h2",[1]OUT_TransportEnergyCons!$C$3:$C$1000))*1,[1]OUT_TransportEnergyCons!M$3:M$1000)</f>
        <v>1.0349152146279794E-3</v>
      </c>
      <c r="P1506" s="1" cm="1">
        <f t="array" ref="P1506">SUMPRODUCT(("T_TW-fclh2o-S3"=[1]OUT_TransportEnergyCons!$A$3:$A$1000)*1,("Var_Fin"=[1]OUT_TransportEnergyCons!$B$3:$B$1000)*1,ISNUMBER(SEARCH("h2",[1]OUT_TransportEnergyCons!$C$3:$C$1000))*1,[1]OUT_TransportEnergyCons!N$3:N$1000)</f>
        <v>1.2279083835209528E-3</v>
      </c>
      <c r="Q1506" s="1" cm="1">
        <f t="array" ref="Q1506">SUMPRODUCT(("T_TW-fclh2o-S3"=[1]OUT_TransportEnergyCons!$A$3:$A$1000)*1,("Var_Fin"=[1]OUT_TransportEnergyCons!$B$3:$B$1000)*1,ISNUMBER(SEARCH("h2",[1]OUT_TransportEnergyCons!$C$3:$C$1000))*1,[1]OUT_TransportEnergyCons!O$3:O$1000)</f>
        <v>1.5438610182131197E-3</v>
      </c>
      <c r="S1506" s="3"/>
    </row>
    <row r="1507" spans="2:19" x14ac:dyDescent="0.5">
      <c r="B1507" t="str">
        <f t="shared" si="1697"/>
        <v>SPS1</v>
      </c>
      <c r="C1507" t="str">
        <f t="shared" si="1694"/>
        <v>CH</v>
      </c>
      <c r="D1507" t="s">
        <v>1497</v>
      </c>
      <c r="E1507" t="str">
        <f t="shared" si="1698"/>
        <v>PJ/yr.</v>
      </c>
      <c r="F1507" s="1" cm="1">
        <f t="array" ref="F1507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7" s="1" cm="1">
        <f t="array" ref="G1507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7" s="1" cm="1">
        <f t="array" ref="H1507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7" s="1" cm="1">
        <f t="array" ref="I1507">SUMPRODUCT(("T_TW-fclh2o-S4"=[1]OUT_TransportEnergyCons!$A$3:$A$1000)*1,("Var_Fin"=[1]OUT_TransportEnergyCons!$B$3:$B$1000)*1,ISNUMBER(SEARCH("h2",[1]OUT_TransportEnergyCons!$C$3:$C$1000))*1,[1]OUT_TransportEnergyCons!G$3:G$1000)</f>
        <v>4.4793766732569121E-5</v>
      </c>
      <c r="J1507" s="1" cm="1">
        <f t="array" ref="J1507">SUMPRODUCT(("T_TW-fclh2o-S4"=[1]OUT_TransportEnergyCons!$A$3:$A$1000)*1,("Var_Fin"=[1]OUT_TransportEnergyCons!$B$3:$B$1000)*1,ISNUMBER(SEARCH("h2",[1]OUT_TransportEnergyCons!$C$3:$C$1000))*1,[1]OUT_TransportEnergyCons!H$3:H$1000)</f>
        <v>1.1542771427466157E-4</v>
      </c>
      <c r="K1507" s="1" cm="1">
        <f t="array" ref="K1507">SUMPRODUCT(("T_TW-fclh2o-S4"=[1]OUT_TransportEnergyCons!$A$3:$A$1000)*1,("Var_Fin"=[1]OUT_TransportEnergyCons!$B$3:$B$1000)*1,ISNUMBER(SEARCH("h2",[1]OUT_TransportEnergyCons!$C$3:$C$1000))*1,[1]OUT_TransportEnergyCons!I$3:I$1000)</f>
        <v>2.0058524743607839E-4</v>
      </c>
      <c r="L1507" s="1" cm="1">
        <f t="array" ref="L1507">SUMPRODUCT(("T_TW-fclh2o-S4"=[1]OUT_TransportEnergyCons!$A$3:$A$1000)*1,("Var_Fin"=[1]OUT_TransportEnergyCons!$B$3:$B$1000)*1,ISNUMBER(SEARCH("h2",[1]OUT_TransportEnergyCons!$C$3:$C$1000))*1,[1]OUT_TransportEnergyCons!J$3:J$1000)</f>
        <v>3.1014057405024791E-4</v>
      </c>
      <c r="M1507" s="1" cm="1">
        <f t="array" ref="M1507">SUMPRODUCT(("T_TW-fclh2o-S4"=[1]OUT_TransportEnergyCons!$A$3:$A$1000)*1,("Var_Fin"=[1]OUT_TransportEnergyCons!$B$3:$B$1000)*1,ISNUMBER(SEARCH("h2",[1]OUT_TransportEnergyCons!$C$3:$C$1000))*1,[1]OUT_TransportEnergyCons!K$3:K$1000)</f>
        <v>4.8918741575922878E-4</v>
      </c>
      <c r="N1507" s="1" cm="1">
        <f t="array" ref="N1507">SUMPRODUCT(("T_TW-fclh2o-S4"=[1]OUT_TransportEnergyCons!$A$3:$A$1000)*1,("Var_Fin"=[1]OUT_TransportEnergyCons!$B$3:$B$1000)*1,ISNUMBER(SEARCH("h2",[1]OUT_TransportEnergyCons!$C$3:$C$1000))*1,[1]OUT_TransportEnergyCons!L$3:L$1000)</f>
        <v>6.1836395737883856E-4</v>
      </c>
      <c r="O1507" s="1" cm="1">
        <f t="array" ref="O1507">SUMPRODUCT(("T_TW-fclh2o-S4"=[1]OUT_TransportEnergyCons!$A$3:$A$1000)*1,("Var_Fin"=[1]OUT_TransportEnergyCons!$B$3:$B$1000)*1,ISNUMBER(SEARCH("h2",[1]OUT_TransportEnergyCons!$C$3:$C$1000))*1,[1]OUT_TransportEnergyCons!M$3:M$1000)</f>
        <v>7.7147856294751556E-4</v>
      </c>
      <c r="P1507" s="1" cm="1">
        <f t="array" ref="P1507">SUMPRODUCT(("T_TW-fclh2o-S4"=[1]OUT_TransportEnergyCons!$A$3:$A$1000)*1,("Var_Fin"=[1]OUT_TransportEnergyCons!$B$3:$B$1000)*1,ISNUMBER(SEARCH("h2",[1]OUT_TransportEnergyCons!$C$3:$C$1000))*1,[1]OUT_TransportEnergyCons!N$3:N$1000)</f>
        <v>9.0336883784257872E-4</v>
      </c>
      <c r="Q1507" s="1" cm="1">
        <f t="array" ref="Q1507">SUMPRODUCT(("T_TW-fclh2o-S4"=[1]OUT_TransportEnergyCons!$A$3:$A$1000)*1,("Var_Fin"=[1]OUT_TransportEnergyCons!$B$3:$B$1000)*1,ISNUMBER(SEARCH("h2",[1]OUT_TransportEnergyCons!$C$3:$C$1000))*1,[1]OUT_TransportEnergyCons!O$3:O$1000)</f>
        <v>1.1781459960806613E-3</v>
      </c>
      <c r="S1507" s="3"/>
    </row>
    <row r="1508" spans="2:19" x14ac:dyDescent="0.5">
      <c r="B1508" s="5" t="str">
        <f>B1507</f>
        <v>SPS1</v>
      </c>
      <c r="C1508" t="str">
        <f t="shared" ref="C1508:C1518" si="1699">C1507</f>
        <v>CH</v>
      </c>
      <c r="D1508" t="s">
        <v>1498</v>
      </c>
      <c r="E1508" t="str">
        <f>E1507</f>
        <v>PJ/yr.</v>
      </c>
      <c r="F1508" s="1">
        <f>SUM(F1513:F1517)</f>
        <v>2.3983030071394427</v>
      </c>
      <c r="G1508" s="1">
        <f t="shared" ref="G1508:K1508" si="1700">SUM(G1513:G1517)</f>
        <v>0.53711648359045905</v>
      </c>
      <c r="H1508" s="1">
        <f t="shared" si="1700"/>
        <v>0.52199506260829553</v>
      </c>
      <c r="I1508" s="1">
        <f t="shared" si="1700"/>
        <v>0.59003734303907718</v>
      </c>
      <c r="J1508" s="1">
        <f t="shared" si="1700"/>
        <v>1.0284364433140909</v>
      </c>
      <c r="K1508" s="1">
        <f t="shared" si="1700"/>
        <v>0.96355521042787795</v>
      </c>
      <c r="L1508" s="1">
        <f t="shared" ref="L1508:O1508" si="1701">SUM(L1513:L1517)</f>
        <v>0.44112490937407489</v>
      </c>
      <c r="M1508" s="1">
        <f t="shared" si="1701"/>
        <v>4.3387301971731199E-2</v>
      </c>
      <c r="N1508" s="1">
        <f t="shared" si="1701"/>
        <v>8.9752038288912518E-3</v>
      </c>
      <c r="O1508" s="1">
        <f t="shared" si="1701"/>
        <v>9.8763220422679165E-3</v>
      </c>
      <c r="P1508" s="1">
        <f>SUM(P1513:P1517)</f>
        <v>1.1370833229024383E-2</v>
      </c>
      <c r="Q1508" s="1">
        <f>SUM(Q1513:Q1517)</f>
        <v>1.8265980356558947E-2</v>
      </c>
      <c r="S1508" s="3"/>
    </row>
    <row r="1509" spans="2:19" x14ac:dyDescent="0.5">
      <c r="B1509" s="5" t="str">
        <f>B1508</f>
        <v>SPS1</v>
      </c>
      <c r="C1509" s="5" t="str">
        <f>C1508</f>
        <v>CH</v>
      </c>
      <c r="D1509" t="s">
        <v>1499</v>
      </c>
      <c r="E1509" t="str">
        <f>E1508</f>
        <v>PJ/yr.</v>
      </c>
      <c r="F1509" s="1">
        <f>IF(F1508-F1510&lt;0,0,F1508-F1510)</f>
        <v>2.2670143823317108</v>
      </c>
      <c r="G1509" s="1">
        <f t="shared" ref="G1509:K1509" si="1702">IF(G1508-G1510&lt;0,0,G1508-G1510)</f>
        <v>0.50771356301301718</v>
      </c>
      <c r="H1509" s="1">
        <f t="shared" si="1702"/>
        <v>0.49342083042974033</v>
      </c>
      <c r="I1509" s="1">
        <f t="shared" si="1702"/>
        <v>0.55773028381683809</v>
      </c>
      <c r="J1509" s="1">
        <f t="shared" si="1702"/>
        <v>0.95774689930905832</v>
      </c>
      <c r="K1509" s="1">
        <f t="shared" si="1702"/>
        <v>0.67178778936909955</v>
      </c>
      <c r="L1509" s="1">
        <f t="shared" ref="L1509:O1509" si="1703">IF(L1508-L1510&lt;0,0,L1508-L1510)</f>
        <v>0.32976067825754174</v>
      </c>
      <c r="M1509" s="1">
        <f t="shared" si="1703"/>
        <v>0</v>
      </c>
      <c r="N1509" s="1">
        <f t="shared" si="1703"/>
        <v>0</v>
      </c>
      <c r="O1509" s="1">
        <f t="shared" si="1703"/>
        <v>0</v>
      </c>
      <c r="P1509" s="1">
        <f>IF(P1508-P1510&lt;0,0,P1508-P1510)</f>
        <v>0</v>
      </c>
      <c r="Q1509" s="1">
        <f>IF(Q1508-Q1510&lt;0,0,Q1508-Q1510)</f>
        <v>0</v>
      </c>
      <c r="S1509" s="3"/>
    </row>
    <row r="1510" spans="2:19" x14ac:dyDescent="0.5">
      <c r="B1510" s="5" t="str">
        <f t="shared" ref="B1510:B1512" si="1704">B1509</f>
        <v>SPS1</v>
      </c>
      <c r="C1510" s="5" t="str">
        <f t="shared" ref="C1510:C1512" si="1705">C1509</f>
        <v>CH</v>
      </c>
      <c r="D1510" t="s">
        <v>1500</v>
      </c>
      <c r="E1510" t="str">
        <f>E1509</f>
        <v>PJ/yr.</v>
      </c>
      <c r="F1510" s="1">
        <f>SUM(F1511:F1512)</f>
        <v>0.13128862480773168</v>
      </c>
      <c r="G1510" s="1">
        <f t="shared" ref="G1510" si="1706">SUM(G1511:G1512)</f>
        <v>2.9402920577441885E-2</v>
      </c>
      <c r="H1510" s="1">
        <f t="shared" ref="H1510" si="1707">SUM(H1511:H1512)</f>
        <v>2.8574232178555203E-2</v>
      </c>
      <c r="I1510" s="1">
        <f t="shared" ref="I1510" si="1708">SUM(I1511:I1512)</f>
        <v>3.2307059222239136E-2</v>
      </c>
      <c r="J1510" s="1">
        <f t="shared" ref="J1510" si="1709">SUM(J1511:J1512)</f>
        <v>7.0689544005032537E-2</v>
      </c>
      <c r="K1510" s="1">
        <f t="shared" ref="K1510" si="1710">SUM(K1511:K1512)</f>
        <v>0.2917674210587784</v>
      </c>
      <c r="L1510" s="1">
        <f t="shared" ref="L1510:O1510" si="1711">SUM(L1511:L1512)</f>
        <v>0.11136423111653312</v>
      </c>
      <c r="M1510" s="1">
        <f t="shared" si="1711"/>
        <v>4.3493612401415797E-2</v>
      </c>
      <c r="N1510" s="1">
        <f t="shared" si="1711"/>
        <v>8.9976707479819656E-3</v>
      </c>
      <c r="O1510" s="1">
        <f t="shared" si="1711"/>
        <v>9.8981607602883128E-3</v>
      </c>
      <c r="P1510" s="1">
        <f>SUM(P1511:P1512)</f>
        <v>1.1405353834418657E-2</v>
      </c>
      <c r="Q1510" s="1">
        <f>SUM(Q1511:Q1512)</f>
        <v>1.8315851011857162E-2</v>
      </c>
      <c r="S1510" s="3"/>
    </row>
    <row r="1511" spans="2:19" x14ac:dyDescent="0.5">
      <c r="B1511" s="5" t="str">
        <f t="shared" si="1704"/>
        <v>SPS1</v>
      </c>
      <c r="C1511" s="5" t="str">
        <f t="shared" si="1705"/>
        <v>CH</v>
      </c>
      <c r="D1511" t="s">
        <v>1501</v>
      </c>
      <c r="E1511" t="str">
        <f>E1510</f>
        <v>PJ/yr.</v>
      </c>
      <c r="F1511" s="1">
        <f>[1]Transport!B$25/SUM([1]Transport!B$21,[1]Transport!B$25)*F1508*(F$35+F$600)/(F$35+F$600+F$39)</f>
        <v>0.13128862480773168</v>
      </c>
      <c r="G1511" s="1">
        <f>[1]Transport!C$25/SUM([1]Transport!C$21,[1]Transport!C$25)*G1508*(G$35+G$600)/(G$35+G$600+G$39)</f>
        <v>2.9402920577441885E-2</v>
      </c>
      <c r="H1511" s="1">
        <f>[1]Transport!D$25/SUM([1]Transport!D$21,[1]Transport!D$25)*H1508*(H$35+H$600)/(H$35+H$600+H$39)</f>
        <v>2.8574232178555203E-2</v>
      </c>
      <c r="I1511" s="1">
        <f>[1]Transport!E$25/SUM([1]Transport!E$21,[1]Transport!E$25)*I1508*(I$35+I$600)/(I$35+I$600+I$39)</f>
        <v>3.2307059222239136E-2</v>
      </c>
      <c r="J1511" s="1">
        <f>[1]Transport!F$25/SUM([1]Transport!F$21,[1]Transport!F$25)*J1508*(J$35+J$600)/(J$35+J$600+J$39)</f>
        <v>7.0689544005032537E-2</v>
      </c>
      <c r="K1511" s="1">
        <f>[1]Transport!G$25/SUM([1]Transport!G$21,[1]Transport!G$25)*K1508*(K$35+K$600)/(K$35+K$600+K$39)</f>
        <v>5.3163492461065533E-2</v>
      </c>
      <c r="L1511" s="1">
        <f>[1]Transport!H$25/SUM([1]Transport!H$21,[1]Transport!H$25)*L1508*(L$35+L$600)/(L$35+L$600+L$39)</f>
        <v>2.4968537287453893E-2</v>
      </c>
      <c r="M1511" s="1">
        <f>[1]Transport!I$25/SUM([1]Transport!I$21,[1]Transport!I$25)*M1508*(M$35+M$600)/(M$35+M$600+M$39)</f>
        <v>3.625969350663763E-2</v>
      </c>
      <c r="N1511" s="1">
        <f>[1]Transport!J$25/SUM([1]Transport!J$21,[1]Transport!J$25)*N1508*(N$35+N$600)/(N$35+N$600+N$39)</f>
        <v>7.5355542478774745E-3</v>
      </c>
      <c r="O1511" s="1">
        <f>[1]Transport!K$25/SUM([1]Transport!K$21,[1]Transport!K$25)*O1508*(O$35+O$600)/(O$35+O$600+O$39)</f>
        <v>8.3822408170633328E-3</v>
      </c>
      <c r="P1511" s="1">
        <f>[1]Transport!L$25/SUM([1]Transport!L$21,[1]Transport!L$25)*P1508*(P$35+P$600)/(P$35+P$600+P$39)</f>
        <v>9.0784642389233981E-3</v>
      </c>
      <c r="Q1511" s="1">
        <f>[1]Transport!M$25/SUM([1]Transport!M$21,[1]Transport!M$25)*Q1508*(Q$35+Q$600)/(Q$35+Q$600+Q$39)</f>
        <v>1.5149231939815414E-2</v>
      </c>
      <c r="S1511" s="3"/>
    </row>
    <row r="1512" spans="2:19" x14ac:dyDescent="0.5">
      <c r="B1512" s="5" t="str">
        <f t="shared" si="1704"/>
        <v>SPS1</v>
      </c>
      <c r="C1512" s="5" t="str">
        <f t="shared" si="1705"/>
        <v>CH</v>
      </c>
      <c r="D1512" t="s">
        <v>1502</v>
      </c>
      <c r="E1512" t="str">
        <f>E1511</f>
        <v>PJ/yr.</v>
      </c>
      <c r="F1512" s="1">
        <f>(F$39+F$719)/([1]Transport!B$21+[1]Transport!B$25)*F1508</f>
        <v>0</v>
      </c>
      <c r="G1512" s="1">
        <f>(G$39+G$719)/([1]Transport!C$21+[1]Transport!C$25)*G1508</f>
        <v>0</v>
      </c>
      <c r="H1512" s="1">
        <f>(H$39+H$719)/([1]Transport!D$21+[1]Transport!D$25)*H1508</f>
        <v>0</v>
      </c>
      <c r="I1512" s="1">
        <f>(I$39+I$719)/([1]Transport!E$21+[1]Transport!E$25)*I1508</f>
        <v>0</v>
      </c>
      <c r="J1512" s="1">
        <f>(J$39+J$719)/([1]Transport!F$21+[1]Transport!F$25)*J1508</f>
        <v>0</v>
      </c>
      <c r="K1512" s="1">
        <f>(K$39+K$719)/([1]Transport!G$21+[1]Transport!G$25)*K1508</f>
        <v>0.23860392859771284</v>
      </c>
      <c r="L1512" s="1">
        <f>(L$39+L$719)/([1]Transport!H$21+[1]Transport!H$25)*L1508</f>
        <v>8.6395693829079231E-2</v>
      </c>
      <c r="M1512" s="1">
        <f>(M$39+M$719)/([1]Transport!I$21+[1]Transport!I$25)*M1508</f>
        <v>7.2339188947781663E-3</v>
      </c>
      <c r="N1512" s="1">
        <f>(N$39+N$719)/([1]Transport!J$21+[1]Transport!J$25)*N1508</f>
        <v>1.4621165001044904E-3</v>
      </c>
      <c r="O1512" s="1">
        <f>(O$39+O$719)/([1]Transport!K$21+[1]Transport!K$25)*O1508</f>
        <v>1.5159199432249804E-3</v>
      </c>
      <c r="P1512" s="1">
        <f>(P$39+P$719)/([1]Transport!L$21+[1]Transport!L$25)*P1508</f>
        <v>2.3268895954952594E-3</v>
      </c>
      <c r="Q1512" s="1">
        <f>(Q$39+Q$719)/([1]Transport!M$21+[1]Transport!M$25)*Q1508</f>
        <v>3.166619072041747E-3</v>
      </c>
      <c r="S1512" s="3"/>
    </row>
    <row r="1513" spans="2:19" x14ac:dyDescent="0.5">
      <c r="B1513" t="str">
        <f>B1507</f>
        <v>SPS1</v>
      </c>
      <c r="C1513" t="str">
        <f>C1507</f>
        <v>CH</v>
      </c>
      <c r="D1513" t="s">
        <v>1577</v>
      </c>
      <c r="E1513" t="str">
        <f>E1507</f>
        <v>PJ/yr.</v>
      </c>
      <c r="F1513" s="1" cm="1">
        <f t="array" ref="F1513">SUMPRODUCT(("T_TW-ICEGSLEXT"=[1]OUT_TransportEnergyCons!$A$3:$A$1000)*1,("Var_Fin"=[1]OUT_TransportEnergyCons!$B$3:$B$1000)*1,ISNUMBER(SEARCH("gsl",[1]OUT_TransportEnergyCons!$C$3:$C$1000))*1,[1]OUT_TransportEnergyCons!D$3:D$1000)</f>
        <v>1.9673955560199263</v>
      </c>
      <c r="G1513" s="1" cm="1">
        <f t="array" ref="G1513">SUMPRODUCT(("T_TW-ICEGSLEXT"=[1]OUT_TransportEnergyCons!$A$3:$A$1000)*1,("Var_Fin"=[1]OUT_TransportEnergyCons!$B$3:$B$1000)*1,ISNUMBER(SEARCH("gsl",[1]OUT_TransportEnergyCons!$C$3:$C$1000))*1,[1]OUT_TransportEnergyCons!E$3:E$1000)</f>
        <v>2.2260323321936025E-2</v>
      </c>
      <c r="H1513" s="1" cm="1">
        <f t="array" ref="H1513">SUMPRODUCT(("T_TW-ICEGSLEXT"=[1]OUT_TransportEnergyCons!$A$3:$A$1000)*1,("Var_Fin"=[1]OUT_TransportEnergyCons!$B$3:$B$1000)*1,ISNUMBER(SEARCH("gsl",[1]OUT_TransportEnergyCons!$C$3:$C$1000))*1,[1]OUT_TransportEnergyCons!F$3:F$1000)</f>
        <v>4.3468399144550827E-3</v>
      </c>
      <c r="I1513" s="1" cm="1">
        <f t="array" ref="I1513">SUMPRODUCT(("T_TW-ICEGSLEXT"=[1]OUT_TransportEnergyCons!$A$3:$A$1000)*1,("Var_Fin"=[1]OUT_TransportEnergyCons!$B$3:$B$1000)*1,ISNUMBER(SEARCH("gsl",[1]OUT_TransportEnergyCons!$C$3:$C$1000))*1,[1]OUT_TransportEnergyCons!G$3:G$1000)</f>
        <v>4.3300788360508546E-3</v>
      </c>
      <c r="J1513" s="1" cm="1">
        <f t="array" ref="J1513">SUMPRODUCT(("T_TW-ICEGSLEXT"=[1]OUT_TransportEnergyCons!$A$3:$A$1000)*1,("Var_Fin"=[1]OUT_TransportEnergyCons!$B$3:$B$1000)*1,ISNUMBER(SEARCH("gsl",[1]OUT_TransportEnergyCons!$C$3:$C$1000))*1,[1]OUT_TransportEnergyCons!H$3:H$1000)</f>
        <v>0</v>
      </c>
      <c r="K1513" s="1" cm="1">
        <f t="array" ref="K1513">SUMPRODUCT(("T_TW-ICEGSLEXT"=[1]OUT_TransportEnergyCons!$A$3:$A$1000)*1,("Var_Fin"=[1]OUT_TransportEnergyCons!$B$3:$B$1000)*1,ISNUMBER(SEARCH("gsl",[1]OUT_TransportEnergyCons!$C$3:$C$1000))*1,[1]OUT_TransportEnergyCons!I$3:I$1000)</f>
        <v>0</v>
      </c>
      <c r="L1513" s="1" cm="1">
        <f t="array" ref="L1513">SUMPRODUCT(("T_TW-ICEGSLEXT"=[1]OUT_TransportEnergyCons!$A$3:$A$1000)*1,("Var_Fin"=[1]OUT_TransportEnergyCons!$B$3:$B$1000)*1,ISNUMBER(SEARCH("gsl",[1]OUT_TransportEnergyCons!$C$3:$C$1000))*1,[1]OUT_TransportEnergyCons!J$3:J$1000)</f>
        <v>0</v>
      </c>
      <c r="M1513" s="1" cm="1">
        <f t="array" ref="M1513">SUMPRODUCT(("T_TW-ICEGSLEXT"=[1]OUT_TransportEnergyCons!$A$3:$A$1000)*1,("Var_Fin"=[1]OUT_TransportEnergyCons!$B$3:$B$1000)*1,ISNUMBER(SEARCH("gsl",[1]OUT_TransportEnergyCons!$C$3:$C$1000))*1,[1]OUT_TransportEnergyCons!K$3:K$1000)</f>
        <v>0</v>
      </c>
      <c r="N1513" s="1" cm="1">
        <f t="array" ref="N1513">SUMPRODUCT(("T_TW-ICEGSLEXT"=[1]OUT_TransportEnergyCons!$A$3:$A$1000)*1,("Var_Fin"=[1]OUT_TransportEnergyCons!$B$3:$B$1000)*1,ISNUMBER(SEARCH("gsl",[1]OUT_TransportEnergyCons!$C$3:$C$1000))*1,[1]OUT_TransportEnergyCons!L$3:L$1000)</f>
        <v>0</v>
      </c>
      <c r="O1513" s="1" cm="1">
        <f t="array" ref="O1513">SUMPRODUCT(("T_TW-ICEGSLEXT"=[1]OUT_TransportEnergyCons!$A$3:$A$1000)*1,("Var_Fin"=[1]OUT_TransportEnergyCons!$B$3:$B$1000)*1,ISNUMBER(SEARCH("gsl",[1]OUT_TransportEnergyCons!$C$3:$C$1000))*1,[1]OUT_TransportEnergyCons!M$3:M$1000)</f>
        <v>0</v>
      </c>
      <c r="P1513" s="1" cm="1">
        <f t="array" ref="P1513">SUMPRODUCT(("T_TW-ICEGSLEXT"=[1]OUT_TransportEnergyCons!$A$3:$A$1000)*1,("Var_Fin"=[1]OUT_TransportEnergyCons!$B$3:$B$1000)*1,ISNUMBER(SEARCH("gsl",[1]OUT_TransportEnergyCons!$C$3:$C$1000))*1,[1]OUT_TransportEnergyCons!N$3:N$1000)</f>
        <v>0</v>
      </c>
      <c r="Q1513" s="1" cm="1">
        <f t="array" ref="Q1513">SUMPRODUCT(("T_TW-ICEGSLEXT"=[1]OUT_TransportEnergyCons!$A$3:$A$1000)*1,("Var_Fin"=[1]OUT_TransportEnergyCons!$B$3:$B$1000)*1,ISNUMBER(SEARCH("gsl",[1]OUT_TransportEnergyCons!$C$3:$C$1000))*1,[1]OUT_TransportEnergyCons!O$3:O$1000)</f>
        <v>0</v>
      </c>
      <c r="S1513" s="3"/>
    </row>
    <row r="1514" spans="2:19" x14ac:dyDescent="0.5">
      <c r="B1514" t="str">
        <f>B1508</f>
        <v>SPS1</v>
      </c>
      <c r="C1514" t="str">
        <f>C1508</f>
        <v>CH</v>
      </c>
      <c r="D1514" t="s">
        <v>1578</v>
      </c>
      <c r="E1514" t="str">
        <f>E1508</f>
        <v>PJ/yr.</v>
      </c>
      <c r="F1514" s="1" cm="1">
        <f t="array" ref="F1514">SUMPRODUCT(("T_TW-icegsl-S1"=[1]OUT_TransportEnergyCons!$A$3:$A$1000)*1,("Var_Fin"=[1]OUT_TransportEnergyCons!$B$3:$B$1000)*1,ISNUMBER(SEARCH("gsl",[1]OUT_TransportEnergyCons!$C$3:$C$1000))*1,[1]OUT_TransportEnergyCons!D$3:D$1000)</f>
        <v>4.383754228977025E-2</v>
      </c>
      <c r="G1514" s="1" cm="1">
        <f t="array" ref="G1514">SUMPRODUCT(("T_TW-icegsl-S1"=[1]OUT_TransportEnergyCons!$A$3:$A$1000)*1,("Var_Fin"=[1]OUT_TransportEnergyCons!$B$3:$B$1000)*1,ISNUMBER(SEARCH("gsl",[1]OUT_TransportEnergyCons!$C$3:$C$1000))*1,[1]OUT_TransportEnergyCons!E$3:E$1000)</f>
        <v>0.27873398225101237</v>
      </c>
      <c r="H1514" s="1" cm="1">
        <f t="array" ref="H1514">SUMPRODUCT(("T_TW-icegsl-S1"=[1]OUT_TransportEnergyCons!$A$3:$A$1000)*1,("Var_Fin"=[1]OUT_TransportEnergyCons!$B$3:$B$1000)*1,ISNUMBER(SEARCH("gsl",[1]OUT_TransportEnergyCons!$C$3:$C$1000))*1,[1]OUT_TransportEnergyCons!F$3:F$1000)</f>
        <v>0.28243601166613197</v>
      </c>
      <c r="I1514" s="1" cm="1">
        <f t="array" ref="I1514">SUMPRODUCT(("T_TW-icegsl-S1"=[1]OUT_TransportEnergyCons!$A$3:$A$1000)*1,("Var_Fin"=[1]OUT_TransportEnergyCons!$B$3:$B$1000)*1,ISNUMBER(SEARCH("gsl",[1]OUT_TransportEnergyCons!$C$3:$C$1000))*1,[1]OUT_TransportEnergyCons!G$3:G$1000)</f>
        <v>0.36164780432607552</v>
      </c>
      <c r="J1514" s="1" cm="1">
        <f t="array" ref="J1514">SUMPRODUCT(("T_TW-icegsl-S1"=[1]OUT_TransportEnergyCons!$A$3:$A$1000)*1,("Var_Fin"=[1]OUT_TransportEnergyCons!$B$3:$B$1000)*1,ISNUMBER(SEARCH("gsl",[1]OUT_TransportEnergyCons!$C$3:$C$1000))*1,[1]OUT_TransportEnergyCons!H$3:H$1000)</f>
        <v>0.89403817512524464</v>
      </c>
      <c r="K1514" s="1" cm="1">
        <f t="array" ref="K1514">SUMPRODUCT(("T_TW-icegsl-S1"=[1]OUT_TransportEnergyCons!$A$3:$A$1000)*1,("Var_Fin"=[1]OUT_TransportEnergyCons!$B$3:$B$1000)*1,ISNUMBER(SEARCH("gsl",[1]OUT_TransportEnergyCons!$C$3:$C$1000))*1,[1]OUT_TransportEnergyCons!I$3:I$1000)</f>
        <v>0.88944388774957694</v>
      </c>
      <c r="L1514" s="1" cm="1">
        <f t="array" ref="L1514">SUMPRODUCT(("T_TW-icegsl-S1"=[1]OUT_TransportEnergyCons!$A$3:$A$1000)*1,("Var_Fin"=[1]OUT_TransportEnergyCons!$B$3:$B$1000)*1,ISNUMBER(SEARCH("gsl",[1]OUT_TransportEnergyCons!$C$3:$C$1000))*1,[1]OUT_TransportEnergyCons!J$3:J$1000)</f>
        <v>0.42850647250461676</v>
      </c>
      <c r="M1514" s="1" cm="1">
        <f t="array" ref="M1514">SUMPRODUCT(("T_TW-icegsl-S1"=[1]OUT_TransportEnergyCons!$A$3:$A$1000)*1,("Var_Fin"=[1]OUT_TransportEnergyCons!$B$3:$B$1000)*1,ISNUMBER(SEARCH("gsl",[1]OUT_TransportEnergyCons!$C$3:$C$1000))*1,[1]OUT_TransportEnergyCons!K$3:K$1000)</f>
        <v>3.9275570426148168E-2</v>
      </c>
      <c r="N1514" s="1" cm="1">
        <f t="array" ref="N1514">SUMPRODUCT(("T_TW-icegsl-S1"=[1]OUT_TransportEnergyCons!$A$3:$A$1000)*1,("Var_Fin"=[1]OUT_TransportEnergyCons!$B$3:$B$1000)*1,ISNUMBER(SEARCH("gsl",[1]OUT_TransportEnergyCons!$C$3:$C$1000))*1,[1]OUT_TransportEnergyCons!L$3:L$1000)</f>
        <v>4.6177461926138769E-3</v>
      </c>
      <c r="O1514" s="1" cm="1">
        <f t="array" ref="O1514">SUMPRODUCT(("T_TW-icegsl-S1"=[1]OUT_TransportEnergyCons!$A$3:$A$1000)*1,("Var_Fin"=[1]OUT_TransportEnergyCons!$B$3:$B$1000)*1,ISNUMBER(SEARCH("gsl",[1]OUT_TransportEnergyCons!$C$3:$C$1000))*1,[1]OUT_TransportEnergyCons!M$3:M$1000)</f>
        <v>4.8591532084448809E-3</v>
      </c>
      <c r="P1514" s="1" cm="1">
        <f t="array" ref="P1514">SUMPRODUCT(("T_TW-icegsl-S1"=[1]OUT_TransportEnergyCons!$A$3:$A$1000)*1,("Var_Fin"=[1]OUT_TransportEnergyCons!$B$3:$B$1000)*1,ISNUMBER(SEARCH("gsl",[1]OUT_TransportEnergyCons!$C$3:$C$1000))*1,[1]OUT_TransportEnergyCons!N$3:N$1000)</f>
        <v>5.7583920881592466E-3</v>
      </c>
      <c r="Q1514" s="1" cm="1">
        <f t="array" ref="Q1514">SUMPRODUCT(("T_TW-icegsl-S1"=[1]OUT_TransportEnergyCons!$A$3:$A$1000)*1,("Var_Fin"=[1]OUT_TransportEnergyCons!$B$3:$B$1000)*1,ISNUMBER(SEARCH("gsl",[1]OUT_TransportEnergyCons!$C$3:$C$1000))*1,[1]OUT_TransportEnergyCons!O$3:O$1000)</f>
        <v>1.0392119333760875E-2</v>
      </c>
      <c r="S1514" s="3"/>
    </row>
    <row r="1515" spans="2:19" x14ac:dyDescent="0.5">
      <c r="B1515" t="str">
        <f t="shared" ref="B1515:B1518" si="1712">B1514</f>
        <v>SPS1</v>
      </c>
      <c r="C1515" t="str">
        <f t="shared" si="1699"/>
        <v>CH</v>
      </c>
      <c r="D1515" t="s">
        <v>1579</v>
      </c>
      <c r="E1515" t="str">
        <f t="shared" ref="E1515:E1517" si="1713">E1514</f>
        <v>PJ/yr.</v>
      </c>
      <c r="F1515" s="1" cm="1">
        <f t="array" ref="F1515">SUMPRODUCT(("T_TW-icegsl-S2"=[1]OUT_TransportEnergyCons!$A$3:$A$1000)*1,("Var_Fin"=[1]OUT_TransportEnergyCons!$B$3:$B$1000)*1,ISNUMBER(SEARCH("gsl",[1]OUT_TransportEnergyCons!$C$3:$C$1000))*1,[1]OUT_TransportEnergyCons!D$3:D$1000)</f>
        <v>0.11039977332301894</v>
      </c>
      <c r="G1515" s="1" cm="1">
        <f t="array" ref="G1515">SUMPRODUCT(("T_TW-icegsl-S2"=[1]OUT_TransportEnergyCons!$A$3:$A$1000)*1,("Var_Fin"=[1]OUT_TransportEnergyCons!$B$3:$B$1000)*1,ISNUMBER(SEARCH("gsl",[1]OUT_TransportEnergyCons!$C$3:$C$1000))*1,[1]OUT_TransportEnergyCons!E$3:E$1000)</f>
        <v>0.11734414417800283</v>
      </c>
      <c r="H1515" s="1" cm="1">
        <f t="array" ref="H1515">SUMPRODUCT(("T_TW-icegsl-S2"=[1]OUT_TransportEnergyCons!$A$3:$A$1000)*1,("Var_Fin"=[1]OUT_TransportEnergyCons!$B$3:$B$1000)*1,ISNUMBER(SEARCH("gsl",[1]OUT_TransportEnergyCons!$C$3:$C$1000))*1,[1]OUT_TransportEnergyCons!F$3:F$1000)</f>
        <v>0.11710039708363601</v>
      </c>
      <c r="I1515" s="1" cm="1">
        <f t="array" ref="I1515">SUMPRODUCT(("T_TW-icegsl-S2"=[1]OUT_TransportEnergyCons!$A$3:$A$1000)*1,("Var_Fin"=[1]OUT_TransportEnergyCons!$B$3:$B$1000)*1,ISNUMBER(SEARCH("gsl",[1]OUT_TransportEnergyCons!$C$3:$C$1000))*1,[1]OUT_TransportEnergyCons!G$3:G$1000)</f>
        <v>0.10327763766569056</v>
      </c>
      <c r="J1515" s="1" cm="1">
        <f t="array" ref="J1515">SUMPRODUCT(("T_TW-icegsl-S2"=[1]OUT_TransportEnergyCons!$A$3:$A$1000)*1,("Var_Fin"=[1]OUT_TransportEnergyCons!$B$3:$B$1000)*1,ISNUMBER(SEARCH("gsl",[1]OUT_TransportEnergyCons!$C$3:$C$1000))*1,[1]OUT_TransportEnergyCons!H$3:H$1000)</f>
        <v>1.1583653872180443E-2</v>
      </c>
      <c r="K1515" s="1" cm="1">
        <f t="array" ref="K1515">SUMPRODUCT(("T_TW-icegsl-S2"=[1]OUT_TransportEnergyCons!$A$3:$A$1000)*1,("Var_Fin"=[1]OUT_TransportEnergyCons!$B$3:$B$1000)*1,ISNUMBER(SEARCH("gsl",[1]OUT_TransportEnergyCons!$C$3:$C$1000))*1,[1]OUT_TransportEnergyCons!I$3:I$1000)</f>
        <v>1.580476055952768E-3</v>
      </c>
      <c r="L1515" s="1" cm="1">
        <f t="array" ref="L1515">SUMPRODUCT(("T_TW-icegsl-S2"=[1]OUT_TransportEnergyCons!$A$3:$A$1000)*1,("Var_Fin"=[1]OUT_TransportEnergyCons!$B$3:$B$1000)*1,ISNUMBER(SEARCH("gsl",[1]OUT_TransportEnergyCons!$C$3:$C$1000))*1,[1]OUT_TransportEnergyCons!J$3:J$1000)</f>
        <v>1.5900710857094697E-3</v>
      </c>
      <c r="M1515" s="1" cm="1">
        <f t="array" ref="M1515">SUMPRODUCT(("T_TW-icegsl-S2"=[1]OUT_TransportEnergyCons!$A$3:$A$1000)*1,("Var_Fin"=[1]OUT_TransportEnergyCons!$B$3:$B$1000)*1,ISNUMBER(SEARCH("gsl",[1]OUT_TransportEnergyCons!$C$3:$C$1000))*1,[1]OUT_TransportEnergyCons!K$3:K$1000)</f>
        <v>1.5237031524337197E-3</v>
      </c>
      <c r="N1515" s="1" cm="1">
        <f t="array" ref="N1515">SUMPRODUCT(("T_TW-icegsl-S2"=[1]OUT_TransportEnergyCons!$A$3:$A$1000)*1,("Var_Fin"=[1]OUT_TransportEnergyCons!$B$3:$B$1000)*1,ISNUMBER(SEARCH("gsl",[1]OUT_TransportEnergyCons!$C$3:$C$1000))*1,[1]OUT_TransportEnergyCons!L$3:L$1000)</f>
        <v>1.4938474613509735E-3</v>
      </c>
      <c r="O1515" s="1" cm="1">
        <f t="array" ref="O1515">SUMPRODUCT(("T_TW-icegsl-S2"=[1]OUT_TransportEnergyCons!$A$3:$A$1000)*1,("Var_Fin"=[1]OUT_TransportEnergyCons!$B$3:$B$1000)*1,ISNUMBER(SEARCH("gsl",[1]OUT_TransportEnergyCons!$C$3:$C$1000))*1,[1]OUT_TransportEnergyCons!M$3:M$1000)</f>
        <v>1.8679669292506005E-3</v>
      </c>
      <c r="P1515" s="1" cm="1">
        <f t="array" ref="P1515">SUMPRODUCT(("T_TW-icegsl-S2"=[1]OUT_TransportEnergyCons!$A$3:$A$1000)*1,("Var_Fin"=[1]OUT_TransportEnergyCons!$B$3:$B$1000)*1,ISNUMBER(SEARCH("gsl",[1]OUT_TransportEnergyCons!$C$3:$C$1000))*1,[1]OUT_TransportEnergyCons!N$3:N$1000)</f>
        <v>1.9914191389317801E-3</v>
      </c>
      <c r="Q1515" s="1" cm="1">
        <f t="array" ref="Q1515">SUMPRODUCT(("T_TW-icegsl-S2"=[1]OUT_TransportEnergyCons!$A$3:$A$1000)*1,("Var_Fin"=[1]OUT_TransportEnergyCons!$B$3:$B$1000)*1,ISNUMBER(SEARCH("gsl",[1]OUT_TransportEnergyCons!$C$3:$C$1000))*1,[1]OUT_TransportEnergyCons!O$3:O$1000)</f>
        <v>3.085723471862005E-3</v>
      </c>
      <c r="S1515" s="3"/>
    </row>
    <row r="1516" spans="2:19" x14ac:dyDescent="0.5">
      <c r="B1516" t="str">
        <f t="shared" si="1712"/>
        <v>SPS1</v>
      </c>
      <c r="C1516" t="str">
        <f t="shared" si="1699"/>
        <v>CH</v>
      </c>
      <c r="D1516" t="s">
        <v>1580</v>
      </c>
      <c r="E1516" t="str">
        <f t="shared" si="1713"/>
        <v>PJ/yr.</v>
      </c>
      <c r="F1516" s="1" cm="1">
        <f t="array" ref="F1516">SUMPRODUCT(("T_TW-icegsl-S3"=[1]OUT_TransportEnergyCons!$A$3:$A$1000)*1,("Var_Fin"=[1]OUT_TransportEnergyCons!$B$3:$B$1000)*1,ISNUMBER(SEARCH("gsl",[1]OUT_TransportEnergyCons!$C$3:$C$1000))*1,[1]OUT_TransportEnergyCons!D$3:D$1000)</f>
        <v>0.17190572411752383</v>
      </c>
      <c r="G1516" s="1" cm="1">
        <f t="array" ref="G1516">SUMPRODUCT(("T_TW-icegsl-S3"=[1]OUT_TransportEnergyCons!$A$3:$A$1000)*1,("Var_Fin"=[1]OUT_TransportEnergyCons!$B$3:$B$1000)*1,ISNUMBER(SEARCH("gsl",[1]OUT_TransportEnergyCons!$C$3:$C$1000))*1,[1]OUT_TransportEnergyCons!E$3:E$1000)</f>
        <v>8.7979212679404672E-2</v>
      </c>
      <c r="H1516" s="1" cm="1">
        <f t="array" ref="H1516">SUMPRODUCT(("T_TW-icegsl-S3"=[1]OUT_TransportEnergyCons!$A$3:$A$1000)*1,("Var_Fin"=[1]OUT_TransportEnergyCons!$B$3:$B$1000)*1,ISNUMBER(SEARCH("gsl",[1]OUT_TransportEnergyCons!$C$3:$C$1000))*1,[1]OUT_TransportEnergyCons!F$3:F$1000)</f>
        <v>8.7603480591773364E-2</v>
      </c>
      <c r="I1516" s="1" cm="1">
        <f t="array" ref="I1516">SUMPRODUCT(("T_TW-icegsl-S3"=[1]OUT_TransportEnergyCons!$A$3:$A$1000)*1,("Var_Fin"=[1]OUT_TransportEnergyCons!$B$3:$B$1000)*1,ISNUMBER(SEARCH("gsl",[1]OUT_TransportEnergyCons!$C$3:$C$1000))*1,[1]OUT_TransportEnergyCons!G$3:G$1000)</f>
        <v>8.9093303318918432E-2</v>
      </c>
      <c r="J1516" s="1" cm="1">
        <f t="array" ref="J1516">SUMPRODUCT(("T_TW-icegsl-S3"=[1]OUT_TransportEnergyCons!$A$3:$A$1000)*1,("Var_Fin"=[1]OUT_TransportEnergyCons!$B$3:$B$1000)*1,ISNUMBER(SEARCH("gsl",[1]OUT_TransportEnergyCons!$C$3:$C$1000))*1,[1]OUT_TransportEnergyCons!H$3:H$1000)</f>
        <v>8.9875198885577698E-2</v>
      </c>
      <c r="K1516" s="1" cm="1">
        <f t="array" ref="K1516">SUMPRODUCT(("T_TW-icegsl-S3"=[1]OUT_TransportEnergyCons!$A$3:$A$1000)*1,("Var_Fin"=[1]OUT_TransportEnergyCons!$B$3:$B$1000)*1,ISNUMBER(SEARCH("gsl",[1]OUT_TransportEnergyCons!$C$3:$C$1000))*1,[1]OUT_TransportEnergyCons!I$3:I$1000)</f>
        <v>4.1069929579207562E-2</v>
      </c>
      <c r="L1516" s="1" cm="1">
        <f t="array" ref="L1516">SUMPRODUCT(("T_TW-icegsl-S3"=[1]OUT_TransportEnergyCons!$A$3:$A$1000)*1,("Var_Fin"=[1]OUT_TransportEnergyCons!$B$3:$B$1000)*1,ISNUMBER(SEARCH("gsl",[1]OUT_TransportEnergyCons!$C$3:$C$1000))*1,[1]OUT_TransportEnergyCons!J$3:J$1000)</f>
        <v>1.4051156570278843E-3</v>
      </c>
      <c r="M1516" s="1" cm="1">
        <f t="array" ref="M1516">SUMPRODUCT(("T_TW-icegsl-S3"=[1]OUT_TransportEnergyCons!$A$3:$A$1000)*1,("Var_Fin"=[1]OUT_TransportEnergyCons!$B$3:$B$1000)*1,ISNUMBER(SEARCH("gsl",[1]OUT_TransportEnergyCons!$C$3:$C$1000))*1,[1]OUT_TransportEnergyCons!K$3:K$1000)</f>
        <v>1.4750076289201228E-3</v>
      </c>
      <c r="N1516" s="1" cm="1">
        <f t="array" ref="N1516">SUMPRODUCT(("T_TW-icegsl-S3"=[1]OUT_TransportEnergyCons!$A$3:$A$1000)*1,("Var_Fin"=[1]OUT_TransportEnergyCons!$B$3:$B$1000)*1,ISNUMBER(SEARCH("gsl",[1]OUT_TransportEnergyCons!$C$3:$C$1000))*1,[1]OUT_TransportEnergyCons!L$3:L$1000)</f>
        <v>1.6429252718406461E-3</v>
      </c>
      <c r="O1516" s="1" cm="1">
        <f t="array" ref="O1516">SUMPRODUCT(("T_TW-icegsl-S3"=[1]OUT_TransportEnergyCons!$A$3:$A$1000)*1,("Var_Fin"=[1]OUT_TransportEnergyCons!$B$3:$B$1000)*1,ISNUMBER(SEARCH("gsl",[1]OUT_TransportEnergyCons!$C$3:$C$1000))*1,[1]OUT_TransportEnergyCons!M$3:M$1000)</f>
        <v>1.7696110022763659E-3</v>
      </c>
      <c r="P1516" s="1" cm="1">
        <f t="array" ref="P1516">SUMPRODUCT(("T_TW-icegsl-S3"=[1]OUT_TransportEnergyCons!$A$3:$A$1000)*1,("Var_Fin"=[1]OUT_TransportEnergyCons!$B$3:$B$1000)*1,ISNUMBER(SEARCH("gsl",[1]OUT_TransportEnergyCons!$C$3:$C$1000))*1,[1]OUT_TransportEnergyCons!N$3:N$1000)</f>
        <v>2.0775784759203557E-3</v>
      </c>
      <c r="Q1516" s="1" cm="1">
        <f t="array" ref="Q1516">SUMPRODUCT(("T_TW-icegsl-S3"=[1]OUT_TransportEnergyCons!$A$3:$A$1000)*1,("Var_Fin"=[1]OUT_TransportEnergyCons!$B$3:$B$1000)*1,ISNUMBER(SEARCH("gsl",[1]OUT_TransportEnergyCons!$C$3:$C$1000))*1,[1]OUT_TransportEnergyCons!O$3:O$1000)</f>
        <v>2.7662839585219016E-3</v>
      </c>
      <c r="S1516" s="3"/>
    </row>
    <row r="1517" spans="2:19" x14ac:dyDescent="0.5">
      <c r="B1517" t="str">
        <f t="shared" si="1712"/>
        <v>SPS1</v>
      </c>
      <c r="C1517" t="str">
        <f t="shared" si="1699"/>
        <v>CH</v>
      </c>
      <c r="D1517" t="s">
        <v>1581</v>
      </c>
      <c r="E1517" t="str">
        <f t="shared" si="1713"/>
        <v>PJ/yr.</v>
      </c>
      <c r="F1517" s="1" cm="1">
        <f t="array" ref="F1517">SUMPRODUCT(("T_TW-icegsl-S4"=[1]OUT_TransportEnergyCons!$A$3:$A$1000)*1,("Var_Fin"=[1]OUT_TransportEnergyCons!$B$3:$B$1000)*1,ISNUMBER(SEARCH("gsl",[1]OUT_TransportEnergyCons!$C$3:$C$1000))*1,[1]OUT_TransportEnergyCons!D$3:D$1000)</f>
        <v>0.10476441138920296</v>
      </c>
      <c r="G1517" s="1" cm="1">
        <f t="array" ref="G1517">SUMPRODUCT(("T_TW-icegsl-S4"=[1]OUT_TransportEnergyCons!$A$3:$A$1000)*1,("Var_Fin"=[1]OUT_TransportEnergyCons!$B$3:$B$1000)*1,ISNUMBER(SEARCH("gsl",[1]OUT_TransportEnergyCons!$C$3:$C$1000))*1,[1]OUT_TransportEnergyCons!E$3:E$1000)</f>
        <v>3.0798821160103192E-2</v>
      </c>
      <c r="H1517" s="1" cm="1">
        <f t="array" ref="H1517">SUMPRODUCT(("T_TW-icegsl-S4"=[1]OUT_TransportEnergyCons!$A$3:$A$1000)*1,("Var_Fin"=[1]OUT_TransportEnergyCons!$B$3:$B$1000)*1,ISNUMBER(SEARCH("gsl",[1]OUT_TransportEnergyCons!$C$3:$C$1000))*1,[1]OUT_TransportEnergyCons!F$3:F$1000)</f>
        <v>3.0508333352299095E-2</v>
      </c>
      <c r="I1517" s="1" cm="1">
        <f t="array" ref="I1517">SUMPRODUCT(("T_TW-icegsl-S4"=[1]OUT_TransportEnergyCons!$A$3:$A$1000)*1,("Var_Fin"=[1]OUT_TransportEnergyCons!$B$3:$B$1000)*1,ISNUMBER(SEARCH("gsl",[1]OUT_TransportEnergyCons!$C$3:$C$1000))*1,[1]OUT_TransportEnergyCons!G$3:G$1000)</f>
        <v>3.168851889234179E-2</v>
      </c>
      <c r="J1517" s="1" cm="1">
        <f t="array" ref="J1517">SUMPRODUCT(("T_TW-icegsl-S4"=[1]OUT_TransportEnergyCons!$A$3:$A$1000)*1,("Var_Fin"=[1]OUT_TransportEnergyCons!$B$3:$B$1000)*1,ISNUMBER(SEARCH("gsl",[1]OUT_TransportEnergyCons!$C$3:$C$1000))*1,[1]OUT_TransportEnergyCons!H$3:H$1000)</f>
        <v>3.293941543108813E-2</v>
      </c>
      <c r="K1517" s="1" cm="1">
        <f t="array" ref="K1517">SUMPRODUCT(("T_TW-icegsl-S4"=[1]OUT_TransportEnergyCons!$A$3:$A$1000)*1,("Var_Fin"=[1]OUT_TransportEnergyCons!$B$3:$B$1000)*1,ISNUMBER(SEARCH("gsl",[1]OUT_TransportEnergyCons!$C$3:$C$1000))*1,[1]OUT_TransportEnergyCons!I$3:I$1000)</f>
        <v>3.146091704314069E-2</v>
      </c>
      <c r="L1517" s="1" cm="1">
        <f t="array" ref="L1517">SUMPRODUCT(("T_TW-icegsl-S4"=[1]OUT_TransportEnergyCons!$A$3:$A$1000)*1,("Var_Fin"=[1]OUT_TransportEnergyCons!$B$3:$B$1000)*1,ISNUMBER(SEARCH("gsl",[1]OUT_TransportEnergyCons!$C$3:$C$1000))*1,[1]OUT_TransportEnergyCons!J$3:J$1000)</f>
        <v>9.6232501267207952E-3</v>
      </c>
      <c r="M1517" s="1" cm="1">
        <f t="array" ref="M1517">SUMPRODUCT(("T_TW-icegsl-S4"=[1]OUT_TransportEnergyCons!$A$3:$A$1000)*1,("Var_Fin"=[1]OUT_TransportEnergyCons!$B$3:$B$1000)*1,ISNUMBER(SEARCH("gsl",[1]OUT_TransportEnergyCons!$C$3:$C$1000))*1,[1]OUT_TransportEnergyCons!K$3:K$1000)</f>
        <v>1.1130207642291829E-3</v>
      </c>
      <c r="N1517" s="1" cm="1">
        <f t="array" ref="N1517">SUMPRODUCT(("T_TW-icegsl-S4"=[1]OUT_TransportEnergyCons!$A$3:$A$1000)*1,("Var_Fin"=[1]OUT_TransportEnergyCons!$B$3:$B$1000)*1,ISNUMBER(SEARCH("gsl",[1]OUT_TransportEnergyCons!$C$3:$C$1000))*1,[1]OUT_TransportEnergyCons!L$3:L$1000)</f>
        <v>1.2206849030857558E-3</v>
      </c>
      <c r="O1517" s="1" cm="1">
        <f t="array" ref="O1517">SUMPRODUCT(("T_TW-icegsl-S4"=[1]OUT_TransportEnergyCons!$A$3:$A$1000)*1,("Var_Fin"=[1]OUT_TransportEnergyCons!$B$3:$B$1000)*1,ISNUMBER(SEARCH("gsl",[1]OUT_TransportEnergyCons!$C$3:$C$1000))*1,[1]OUT_TransportEnergyCons!M$3:M$1000)</f>
        <v>1.3795909022960701E-3</v>
      </c>
      <c r="P1517" s="1" cm="1">
        <f t="array" ref="P1517">SUMPRODUCT(("T_TW-icegsl-S4"=[1]OUT_TransportEnergyCons!$A$3:$A$1000)*1,("Var_Fin"=[1]OUT_TransportEnergyCons!$B$3:$B$1000)*1,ISNUMBER(SEARCH("gsl",[1]OUT_TransportEnergyCons!$C$3:$C$1000))*1,[1]OUT_TransportEnergyCons!N$3:N$1000)</f>
        <v>1.5434435260130012E-3</v>
      </c>
      <c r="Q1517" s="1" cm="1">
        <f t="array" ref="Q1517">SUMPRODUCT(("T_TW-icegsl-S4"=[1]OUT_TransportEnergyCons!$A$3:$A$1000)*1,("Var_Fin"=[1]OUT_TransportEnergyCons!$B$3:$B$1000)*1,ISNUMBER(SEARCH("gsl",[1]OUT_TransportEnergyCons!$C$3:$C$1000))*1,[1]OUT_TransportEnergyCons!O$3:O$1000)</f>
        <v>2.0218535924141664E-3</v>
      </c>
      <c r="S1517" s="3"/>
    </row>
    <row r="1518" spans="2:19" x14ac:dyDescent="0.5">
      <c r="B1518" s="9" t="str">
        <f t="shared" si="1712"/>
        <v>SPS1</v>
      </c>
      <c r="C1518" s="9" t="str">
        <f t="shared" si="1699"/>
        <v>CH</v>
      </c>
      <c r="D1518" s="2" t="s">
        <v>1503</v>
      </c>
      <c r="E1518" s="2" t="s">
        <v>1517</v>
      </c>
      <c r="F1518" s="3">
        <f>SUM(F1519:F1531)</f>
        <v>1.9498083660446017</v>
      </c>
      <c r="G1518" s="3">
        <f t="shared" ref="G1518:K1518" si="1714">SUM(G1519:G1531)</f>
        <v>1.9523783490546096</v>
      </c>
      <c r="H1518" s="3">
        <f t="shared" si="1714"/>
        <v>1.9558922601104303</v>
      </c>
      <c r="I1518" s="3">
        <f t="shared" si="1714"/>
        <v>1.9617203565587797</v>
      </c>
      <c r="J1518" s="3">
        <f t="shared" si="1714"/>
        <v>1.9647675694271804</v>
      </c>
      <c r="K1518" s="3">
        <f t="shared" si="1714"/>
        <v>1.9690754027013739</v>
      </c>
      <c r="L1518" s="3">
        <f t="shared" ref="L1518:O1518" si="1715">SUM(L1519:L1531)</f>
        <v>1.9447533337296277</v>
      </c>
      <c r="M1518" s="3">
        <f t="shared" si="1715"/>
        <v>1.9203673153073677</v>
      </c>
      <c r="N1518" s="3">
        <f t="shared" si="1715"/>
        <v>1.8789061257853445</v>
      </c>
      <c r="O1518" s="3">
        <f t="shared" si="1715"/>
        <v>1.8369158380082675</v>
      </c>
      <c r="P1518" s="3">
        <f>SUM(P1519:P1531)</f>
        <v>1.8027354948254641</v>
      </c>
      <c r="Q1518" s="3">
        <f>SUM(Q1519:Q1531)</f>
        <v>1.7697097522420013</v>
      </c>
      <c r="S1518" s="3"/>
    </row>
    <row r="1519" spans="2:19" x14ac:dyDescent="0.5">
      <c r="B1519" t="str">
        <f>B1518</f>
        <v>SPS1</v>
      </c>
      <c r="C1519" t="str">
        <f>C1518</f>
        <v>CH</v>
      </c>
      <c r="D1519" t="s">
        <v>1504</v>
      </c>
      <c r="E1519" t="str">
        <f>E1518</f>
        <v>Billion km/yr.</v>
      </c>
      <c r="F1519" s="1" cm="1">
        <f t="array" ref="F1519">SUMPRODUCT(("T_TW-BEVELC-S1"=[1]OUT_TransportEnergyCons!$A$3:$A$1000)*1,("var_fout"=[1]OUT_TransportEnergyCons!$B$3:$B$1000)*1,ISNUMBER(SEARCH("TPTWL",[1]OUT_TransportEnergyCons!$C$3:$C$1000))*1,[1]OUT_TransportEnergyCons!D$3:D$1000)</f>
        <v>2.6150290910843862E-2</v>
      </c>
      <c r="G1519" s="1" cm="1">
        <f t="array" ref="G1519">SUMPRODUCT(("T_TW-BEVELC-S1"=[1]OUT_TransportEnergyCons!$A$3:$A$1000)*1,("var_fout"=[1]OUT_TransportEnergyCons!$B$3:$B$1000)*1,ISNUMBER(SEARCH("TPTWL",[1]OUT_TransportEnergyCons!$C$3:$C$1000))*1,[1]OUT_TransportEnergyCons!E$3:E$1000)</f>
        <v>1.1761695782273667</v>
      </c>
      <c r="H1519" s="1" cm="1">
        <f t="array" ref="H1519">SUMPRODUCT(("T_TW-BEVELC-S1"=[1]OUT_TransportEnergyCons!$A$3:$A$1000)*1,("var_fout"=[1]OUT_TransportEnergyCons!$B$3:$B$1000)*1,ISNUMBER(SEARCH("TPTWL",[1]OUT_TransportEnergyCons!$C$3:$C$1000))*1,[1]OUT_TransportEnergyCons!F$3:F$1000)</f>
        <v>1.1838866894012265</v>
      </c>
      <c r="I1519" s="1" cm="1">
        <f t="array" ref="I1519">SUMPRODUCT(("T_TW-BEVELC-S1"=[1]OUT_TransportEnergyCons!$A$3:$A$1000)*1,("var_fout"=[1]OUT_TransportEnergyCons!$B$3:$B$1000)*1,ISNUMBER(SEARCH("TPTWL",[1]OUT_TransportEnergyCons!$C$3:$C$1000))*1,[1]OUT_TransportEnergyCons!G$3:G$1000)</f>
        <v>1.0392762301872092</v>
      </c>
      <c r="J1519" s="1" cm="1">
        <f t="array" ref="J1519">SUMPRODUCT(("T_TW-BEVELC-S1"=[1]OUT_TransportEnergyCons!$A$3:$A$1000)*1,("var_fout"=[1]OUT_TransportEnergyCons!$B$3:$B$1000)*1,ISNUMBER(SEARCH("TPTWL",[1]OUT_TransportEnergyCons!$C$3:$C$1000))*1,[1]OUT_TransportEnergyCons!H$3:H$1000)</f>
        <v>2.7091789990841941E-2</v>
      </c>
      <c r="K1519" s="1" cm="1">
        <f t="array" ref="K1519">SUMPRODUCT(("T_TW-BEVELC-S1"=[1]OUT_TransportEnergyCons!$A$3:$A$1000)*1,("var_fout"=[1]OUT_TransportEnergyCons!$B$3:$B$1000)*1,ISNUMBER(SEARCH("TPTWL",[1]OUT_TransportEnergyCons!$C$3:$C$1000))*1,[1]OUT_TransportEnergyCons!I$3:I$1000)</f>
        <v>7.2546640532267781E-2</v>
      </c>
      <c r="L1519" s="1" cm="1">
        <f t="array" ref="L1519">SUMPRODUCT(("T_TW-BEVELC-S1"=[1]OUT_TransportEnergyCons!$A$3:$A$1000)*1,("var_fout"=[1]OUT_TransportEnergyCons!$B$3:$B$1000)*1,ISNUMBER(SEARCH("TPTWL",[1]OUT_TransportEnergyCons!$C$3:$C$1000))*1,[1]OUT_TransportEnergyCons!J$3:J$1000)</f>
        <v>1.0307188767851783</v>
      </c>
      <c r="M1519" s="1" cm="1">
        <f t="array" ref="M1519">SUMPRODUCT(("T_TW-BEVELC-S1"=[1]OUT_TransportEnergyCons!$A$3:$A$1000)*1,("var_fout"=[1]OUT_TransportEnergyCons!$B$3:$B$1000)*1,ISNUMBER(SEARCH("TPTWL",[1]OUT_TransportEnergyCons!$C$3:$C$1000))*1,[1]OUT_TransportEnergyCons!K$3:K$1000)</f>
        <v>1.8027709726462067</v>
      </c>
      <c r="N1519" s="1" cm="1">
        <f t="array" ref="N1519">SUMPRODUCT(("T_TW-BEVELC-S1"=[1]OUT_TransportEnergyCons!$A$3:$A$1000)*1,("var_fout"=[1]OUT_TransportEnergyCons!$B$3:$B$1000)*1,ISNUMBER(SEARCH("TPTWL",[1]OUT_TransportEnergyCons!$C$3:$C$1000))*1,[1]OUT_TransportEnergyCons!L$3:L$1000)</f>
        <v>1.8263520338109933</v>
      </c>
      <c r="O1519" s="1" cm="1">
        <f t="array" ref="O1519">SUMPRODUCT(("T_TW-BEVELC-S1"=[1]OUT_TransportEnergyCons!$A$3:$A$1000)*1,("var_fout"=[1]OUT_TransportEnergyCons!$B$3:$B$1000)*1,ISNUMBER(SEARCH("TPTWL",[1]OUT_TransportEnergyCons!$C$3:$C$1000))*1,[1]OUT_TransportEnergyCons!M$3:M$1000)</f>
        <v>1.7740921855542966</v>
      </c>
      <c r="P1519" s="1" cm="1">
        <f t="array" ref="P1519">SUMPRODUCT(("T_TW-BEVELC-S1"=[1]OUT_TransportEnergyCons!$A$3:$A$1000)*1,("var_fout"=[1]OUT_TransportEnergyCons!$B$3:$B$1000)*1,ISNUMBER(SEARCH("TPTWL",[1]OUT_TransportEnergyCons!$C$3:$C$1000))*1,[1]OUT_TransportEnergyCons!N$3:N$1000)</f>
        <v>1.7359879992927136</v>
      </c>
      <c r="Q1519" s="1" cm="1">
        <f t="array" ref="Q1519">SUMPRODUCT(("T_TW-BEVELC-S1"=[1]OUT_TransportEnergyCons!$A$3:$A$1000)*1,("var_fout"=[1]OUT_TransportEnergyCons!$B$3:$B$1000)*1,ISNUMBER(SEARCH("TPTWL",[1]OUT_TransportEnergyCons!$C$3:$C$1000))*1,[1]OUT_TransportEnergyCons!O$3:O$1000)</f>
        <v>1.67342793338156</v>
      </c>
      <c r="S1519" s="3"/>
    </row>
    <row r="1520" spans="2:19" x14ac:dyDescent="0.5">
      <c r="B1520" t="str">
        <f t="shared" ref="B1520:B1545" si="1716">B1519</f>
        <v>SPS1</v>
      </c>
      <c r="C1520" t="str">
        <f t="shared" ref="C1520:C1545" si="1717">C1519</f>
        <v>CH</v>
      </c>
      <c r="D1520" t="s">
        <v>1505</v>
      </c>
      <c r="E1520" t="str">
        <f t="shared" ref="E1520:E1531" si="1718">E1519</f>
        <v>Billion km/yr.</v>
      </c>
      <c r="F1520" s="1" cm="1">
        <f t="array" ref="F1520">SUMPRODUCT(("T_TW-BEVELC-S2"=[1]OUT_TransportEnergyCons!$A$3:$A$1000)*1,("var_fout"=[1]OUT_TransportEnergyCons!$B$3:$B$1000)*1,ISNUMBER(SEARCH("TPTWL",[1]OUT_TransportEnergyCons!$C$3:$C$1000))*1,[1]OUT_TransportEnergyCons!D$3:D$1000)</f>
        <v>2.9718638094003943E-3</v>
      </c>
      <c r="G1520" s="1" cm="1">
        <f t="array" ref="G1520">SUMPRODUCT(("T_TW-BEVELC-S2"=[1]OUT_TransportEnergyCons!$A$3:$A$1000)*1,("var_fout"=[1]OUT_TransportEnergyCons!$B$3:$B$1000)*1,ISNUMBER(SEARCH("TPTWL",[1]OUT_TransportEnergyCons!$C$3:$C$1000))*1,[1]OUT_TransportEnergyCons!E$3:E$1000)</f>
        <v>4.4912679097571118E-3</v>
      </c>
      <c r="H1520" s="1" cm="1">
        <f t="array" ref="H1520">SUMPRODUCT(("T_TW-BEVELC-S2"=[1]OUT_TransportEnergyCons!$A$3:$A$1000)*1,("var_fout"=[1]OUT_TransportEnergyCons!$B$3:$B$1000)*1,ISNUMBER(SEARCH("TPTWL",[1]OUT_TransportEnergyCons!$C$3:$C$1000))*1,[1]OUT_TransportEnergyCons!F$3:F$1000)</f>
        <v>6.0524947676963443E-3</v>
      </c>
      <c r="I1520" s="1" cm="1">
        <f t="array" ref="I1520">SUMPRODUCT(("T_TW-BEVELC-S2"=[1]OUT_TransportEnergyCons!$A$3:$A$1000)*1,("var_fout"=[1]OUT_TransportEnergyCons!$B$3:$B$1000)*1,ISNUMBER(SEARCH("TPTWL",[1]OUT_TransportEnergyCons!$C$3:$C$1000))*1,[1]OUT_TransportEnergyCons!G$3:G$1000)</f>
        <v>6.1950773994652441E-3</v>
      </c>
      <c r="J1520" s="1" cm="1">
        <f t="array" ref="J1520">SUMPRODUCT(("T_TW-BEVELC-S2"=[1]OUT_TransportEnergyCons!$A$3:$A$1000)*1,("var_fout"=[1]OUT_TransportEnergyCons!$B$3:$B$1000)*1,ISNUMBER(SEARCH("TPTWL",[1]OUT_TransportEnergyCons!$C$3:$C$1000))*1,[1]OUT_TransportEnergyCons!H$3:H$1000)</f>
        <v>4.9920770986138681E-3</v>
      </c>
      <c r="K1520" s="1" cm="1">
        <f t="array" ref="K1520">SUMPRODUCT(("T_TW-BEVELC-S2"=[1]OUT_TransportEnergyCons!$A$3:$A$1000)*1,("var_fout"=[1]OUT_TransportEnergyCons!$B$3:$B$1000)*1,ISNUMBER(SEARCH("TPTWL",[1]OUT_TransportEnergyCons!$C$3:$C$1000))*1,[1]OUT_TransportEnergyCons!I$3:I$1000)</f>
        <v>5.3214456406497175E-3</v>
      </c>
      <c r="L1520" s="1" cm="1">
        <f t="array" ref="L1520">SUMPRODUCT(("T_TW-BEVELC-S2"=[1]OUT_TransportEnergyCons!$A$3:$A$1000)*1,("var_fout"=[1]OUT_TransportEnergyCons!$B$3:$B$1000)*1,ISNUMBER(SEARCH("TPTWL",[1]OUT_TransportEnergyCons!$C$3:$C$1000))*1,[1]OUT_TransportEnergyCons!J$3:J$1000)</f>
        <v>7.0184569215627733E-3</v>
      </c>
      <c r="M1520" s="1" cm="1">
        <f t="array" ref="M1520">SUMPRODUCT(("T_TW-BEVELC-S2"=[1]OUT_TransportEnergyCons!$A$3:$A$1000)*1,("var_fout"=[1]OUT_TransportEnergyCons!$B$3:$B$1000)*1,ISNUMBER(SEARCH("TPTWL",[1]OUT_TransportEnergyCons!$C$3:$C$1000))*1,[1]OUT_TransportEnergyCons!K$3:K$1000)</f>
        <v>9.350471538175165E-3</v>
      </c>
      <c r="N1520" s="1" cm="1">
        <f t="array" ref="N1520">SUMPRODUCT(("T_TW-BEVELC-S2"=[1]OUT_TransportEnergyCons!$A$3:$A$1000)*1,("var_fout"=[1]OUT_TransportEnergyCons!$B$3:$B$1000)*1,ISNUMBER(SEARCH("TPTWL",[1]OUT_TransportEnergyCons!$C$3:$C$1000))*1,[1]OUT_TransportEnergyCons!L$3:L$1000)</f>
        <v>1.0437607477809059E-2</v>
      </c>
      <c r="O1520" s="1" cm="1">
        <f t="array" ref="O1520">SUMPRODUCT(("T_TW-BEVELC-S2"=[1]OUT_TransportEnergyCons!$A$3:$A$1000)*1,("var_fout"=[1]OUT_TransportEnergyCons!$B$3:$B$1000)*1,ISNUMBER(SEARCH("TPTWL",[1]OUT_TransportEnergyCons!$C$3:$C$1000))*1,[1]OUT_TransportEnergyCons!M$3:M$1000)</f>
        <v>1.3426314005848245E-2</v>
      </c>
      <c r="P1520" s="1" cm="1">
        <f t="array" ref="P1520">SUMPRODUCT(("T_TW-BEVELC-S2"=[1]OUT_TransportEnergyCons!$A$3:$A$1000)*1,("var_fout"=[1]OUT_TransportEnergyCons!$B$3:$B$1000)*1,ISNUMBER(SEARCH("TPTWL",[1]OUT_TransportEnergyCons!$C$3:$C$1000))*1,[1]OUT_TransportEnergyCons!N$3:N$1000)</f>
        <v>1.2751954201091979E-2</v>
      </c>
      <c r="Q1520" s="1" cm="1">
        <f t="array" ref="Q1520">SUMPRODUCT(("T_TW-BEVELC-S2"=[1]OUT_TransportEnergyCons!$A$3:$A$1000)*1,("var_fout"=[1]OUT_TransportEnergyCons!$B$3:$B$1000)*1,ISNUMBER(SEARCH("TPTWL",[1]OUT_TransportEnergyCons!$C$3:$C$1000))*1,[1]OUT_TransportEnergyCons!O$3:O$1000)</f>
        <v>1.7852533260193586E-2</v>
      </c>
      <c r="S1520" s="3"/>
    </row>
    <row r="1521" spans="2:19" x14ac:dyDescent="0.5">
      <c r="B1521" t="str">
        <f t="shared" si="1716"/>
        <v>SPS1</v>
      </c>
      <c r="C1521" t="str">
        <f t="shared" si="1717"/>
        <v>CH</v>
      </c>
      <c r="D1521" t="s">
        <v>1506</v>
      </c>
      <c r="E1521" t="str">
        <f t="shared" si="1718"/>
        <v>Billion km/yr.</v>
      </c>
      <c r="F1521" s="1" cm="1">
        <f t="array" ref="F1521">SUMPRODUCT(("T_TW-BEVELC-S3"=[1]OUT_TransportEnergyCons!$A$3:$A$1000)*1,("var_fout"=[1]OUT_TransportEnergyCons!$B$3:$B$1000)*1,ISNUMBER(SEARCH("TPTWL",[1]OUT_TransportEnergyCons!$C$3:$C$1000))*1,[1]OUT_TransportEnergyCons!D$3:D$1000)</f>
        <v>1.0972742964660681E-3</v>
      </c>
      <c r="G1521" s="1" cm="1">
        <f t="array" ref="G1521">SUMPRODUCT(("T_TW-BEVELC-S3"=[1]OUT_TransportEnergyCons!$A$3:$A$1000)*1,("var_fout"=[1]OUT_TransportEnergyCons!$B$3:$B$1000)*1,ISNUMBER(SEARCH("TPTWL",[1]OUT_TransportEnergyCons!$C$3:$C$1000))*1,[1]OUT_TransportEnergyCons!E$3:E$1000)</f>
        <v>1.8925279079013196E-3</v>
      </c>
      <c r="H1521" s="1" cm="1">
        <f t="array" ref="H1521">SUMPRODUCT(("T_TW-BEVELC-S3"=[1]OUT_TransportEnergyCons!$A$3:$A$1000)*1,("var_fout"=[1]OUT_TransportEnergyCons!$B$3:$B$1000)*1,ISNUMBER(SEARCH("TPTWL",[1]OUT_TransportEnergyCons!$C$3:$C$1000))*1,[1]OUT_TransportEnergyCons!F$3:F$1000)</f>
        <v>2.9176724144592027E-3</v>
      </c>
      <c r="I1521" s="1" cm="1">
        <f t="array" ref="I1521">SUMPRODUCT(("T_TW-BEVELC-S3"=[1]OUT_TransportEnergyCons!$A$3:$A$1000)*1,("var_fout"=[1]OUT_TransportEnergyCons!$B$3:$B$1000)*1,ISNUMBER(SEARCH("TPTWL",[1]OUT_TransportEnergyCons!$C$3:$C$1000))*1,[1]OUT_TransportEnergyCons!G$3:G$1000)</f>
        <v>3.3657365276753694E-3</v>
      </c>
      <c r="J1521" s="1" cm="1">
        <f t="array" ref="J1521">SUMPRODUCT(("T_TW-BEVELC-S3"=[1]OUT_TransportEnergyCons!$A$3:$A$1000)*1,("var_fout"=[1]OUT_TransportEnergyCons!$B$3:$B$1000)*1,ISNUMBER(SEARCH("TPTWL",[1]OUT_TransportEnergyCons!$C$3:$C$1000))*1,[1]OUT_TransportEnergyCons!H$3:H$1000)</f>
        <v>4.691957919285201E-3</v>
      </c>
      <c r="K1521" s="1" cm="1">
        <f t="array" ref="K1521">SUMPRODUCT(("T_TW-BEVELC-S3"=[1]OUT_TransportEnergyCons!$A$3:$A$1000)*1,("var_fout"=[1]OUT_TransportEnergyCons!$B$3:$B$1000)*1,ISNUMBER(SEARCH("TPTWL",[1]OUT_TransportEnergyCons!$C$3:$C$1000))*1,[1]OUT_TransportEnergyCons!I$3:I$1000)</f>
        <v>5.1690133058758855E-3</v>
      </c>
      <c r="L1521" s="1" cm="1">
        <f t="array" ref="L1521">SUMPRODUCT(("T_TW-BEVELC-S3"=[1]OUT_TransportEnergyCons!$A$3:$A$1000)*1,("var_fout"=[1]OUT_TransportEnergyCons!$B$3:$B$1000)*1,ISNUMBER(SEARCH("TPTWL",[1]OUT_TransportEnergyCons!$C$3:$C$1000))*1,[1]OUT_TransportEnergyCons!J$3:J$1000)</f>
        <v>4.6916047043807892E-3</v>
      </c>
      <c r="M1521" s="1" cm="1">
        <f t="array" ref="M1521">SUMPRODUCT(("T_TW-BEVELC-S3"=[1]OUT_TransportEnergyCons!$A$3:$A$1000)*1,("var_fout"=[1]OUT_TransportEnergyCons!$B$3:$B$1000)*1,ISNUMBER(SEARCH("TPTWL",[1]OUT_TransportEnergyCons!$C$3:$C$1000))*1,[1]OUT_TransportEnergyCons!K$3:K$1000)</f>
        <v>6.1670507188727342E-3</v>
      </c>
      <c r="N1521" s="1" cm="1">
        <f t="array" ref="N1521">SUMPRODUCT(("T_TW-BEVELC-S3"=[1]OUT_TransportEnergyCons!$A$3:$A$1000)*1,("var_fout"=[1]OUT_TransportEnergyCons!$B$3:$B$1000)*1,ISNUMBER(SEARCH("TPTWL",[1]OUT_TransportEnergyCons!$C$3:$C$1000))*1,[1]OUT_TransportEnergyCons!L$3:L$1000)</f>
        <v>7.2620797104917187E-3</v>
      </c>
      <c r="O1521" s="1" cm="1">
        <f t="array" ref="O1521">SUMPRODUCT(("T_TW-BEVELC-S3"=[1]OUT_TransportEnergyCons!$A$3:$A$1000)*1,("var_fout"=[1]OUT_TransportEnergyCons!$B$3:$B$1000)*1,ISNUMBER(SEARCH("TPTWL",[1]OUT_TransportEnergyCons!$C$3:$C$1000))*1,[1]OUT_TransportEnergyCons!M$3:M$1000)</f>
        <v>8.4453480825148353E-3</v>
      </c>
      <c r="P1521" s="1" cm="1">
        <f t="array" ref="P1521">SUMPRODUCT(("T_TW-BEVELC-S3"=[1]OUT_TransportEnergyCons!$A$3:$A$1000)*1,("var_fout"=[1]OUT_TransportEnergyCons!$B$3:$B$1000)*1,ISNUMBER(SEARCH("TPTWL",[1]OUT_TransportEnergyCons!$C$3:$C$1000))*1,[1]OUT_TransportEnergyCons!N$3:N$1000)</f>
        <v>9.6328858520795188E-3</v>
      </c>
      <c r="Q1521" s="1" cm="1">
        <f t="array" ref="Q1521">SUMPRODUCT(("T_TW-BEVELC-S3"=[1]OUT_TransportEnergyCons!$A$3:$A$1000)*1,("var_fout"=[1]OUT_TransportEnergyCons!$B$3:$B$1000)*1,ISNUMBER(SEARCH("TPTWL",[1]OUT_TransportEnergyCons!$C$3:$C$1000))*1,[1]OUT_TransportEnergyCons!O$3:O$1000)</f>
        <v>1.1502082072253237E-2</v>
      </c>
      <c r="S1521" s="3"/>
    </row>
    <row r="1522" spans="2:19" x14ac:dyDescent="0.5">
      <c r="B1522" t="str">
        <f t="shared" si="1716"/>
        <v>SPS1</v>
      </c>
      <c r="C1522" t="str">
        <f t="shared" si="1717"/>
        <v>CH</v>
      </c>
      <c r="D1522" t="s">
        <v>1507</v>
      </c>
      <c r="E1522" t="str">
        <f t="shared" si="1718"/>
        <v>Billion km/yr.</v>
      </c>
      <c r="F1522" s="1" cm="1">
        <f t="array" ref="F1522">SUMPRODUCT(("T_TW-BEVELC-S4"=[1]OUT_TransportEnergyCons!$A$3:$A$1000)*1,("var_fout"=[1]OUT_TransportEnergyCons!$B$3:$B$1000)*1,ISNUMBER(SEARCH("TPTWL",[1]OUT_TransportEnergyCons!$C$3:$C$1000))*1,[1]OUT_TransportEnergyCons!D$3:D$1000)</f>
        <v>8.2778586497712946E-4</v>
      </c>
      <c r="G1522" s="1" cm="1">
        <f t="array" ref="G1522">SUMPRODUCT(("T_TW-BEVELC-S4"=[1]OUT_TransportEnergyCons!$A$3:$A$1000)*1,("var_fout"=[1]OUT_TransportEnergyCons!$B$3:$B$1000)*1,ISNUMBER(SEARCH("TPTWL",[1]OUT_TransportEnergyCons!$C$3:$C$1000))*1,[1]OUT_TransportEnergyCons!E$3:E$1000)</f>
        <v>1.3929011983738729E-3</v>
      </c>
      <c r="H1522" s="1" cm="1">
        <f t="array" ref="H1522">SUMPRODUCT(("T_TW-BEVELC-S4"=[1]OUT_TransportEnergyCons!$A$3:$A$1000)*1,("var_fout"=[1]OUT_TransportEnergyCons!$B$3:$B$1000)*1,ISNUMBER(SEARCH("TPTWL",[1]OUT_TransportEnergyCons!$C$3:$C$1000))*1,[1]OUT_TransportEnergyCons!F$3:F$1000)</f>
        <v>2.0661996708948335E-3</v>
      </c>
      <c r="I1522" s="1" cm="1">
        <f t="array" ref="I1522">SUMPRODUCT(("T_TW-BEVELC-S4"=[1]OUT_TransportEnergyCons!$A$3:$A$1000)*1,("var_fout"=[1]OUT_TransportEnergyCons!$B$3:$B$1000)*1,ISNUMBER(SEARCH("TPTWL",[1]OUT_TransportEnergyCons!$C$3:$C$1000))*1,[1]OUT_TransportEnergyCons!G$3:G$1000)</f>
        <v>2.4583741397111317E-3</v>
      </c>
      <c r="J1522" s="1" cm="1">
        <f t="array" ref="J1522">SUMPRODUCT(("T_TW-BEVELC-S4"=[1]OUT_TransportEnergyCons!$A$3:$A$1000)*1,("var_fout"=[1]OUT_TransportEnergyCons!$B$3:$B$1000)*1,ISNUMBER(SEARCH("TPTWL",[1]OUT_TransportEnergyCons!$C$3:$C$1000))*1,[1]OUT_TransportEnergyCons!H$3:H$1000)</f>
        <v>3.2557835834000448E-3</v>
      </c>
      <c r="K1522" s="1" cm="1">
        <f t="array" ref="K1522">SUMPRODUCT(("T_TW-BEVELC-S4"=[1]OUT_TransportEnergyCons!$A$3:$A$1000)*1,("var_fout"=[1]OUT_TransportEnergyCons!$B$3:$B$1000)*1,ISNUMBER(SEARCH("TPTWL",[1]OUT_TransportEnergyCons!$C$3:$C$1000))*1,[1]OUT_TransportEnergyCons!I$3:I$1000)</f>
        <v>4.2146719581107025E-3</v>
      </c>
      <c r="L1522" s="1" cm="1">
        <f t="array" ref="L1522">SUMPRODUCT(("T_TW-BEVELC-S4"=[1]OUT_TransportEnergyCons!$A$3:$A$1000)*1,("var_fout"=[1]OUT_TransportEnergyCons!$B$3:$B$1000)*1,ISNUMBER(SEARCH("TPTWL",[1]OUT_TransportEnergyCons!$C$3:$C$1000))*1,[1]OUT_TransportEnergyCons!J$3:J$1000)</f>
        <v>4.4971134713228146E-3</v>
      </c>
      <c r="M1522" s="1" cm="1">
        <f t="array" ref="M1522">SUMPRODUCT(("T_TW-BEVELC-S4"=[1]OUT_TransportEnergyCons!$A$3:$A$1000)*1,("var_fout"=[1]OUT_TransportEnergyCons!$B$3:$B$1000)*1,ISNUMBER(SEARCH("TPTWL",[1]OUT_TransportEnergyCons!$C$3:$C$1000))*1,[1]OUT_TransportEnergyCons!K$3:K$1000)</f>
        <v>4.8476032836259108E-3</v>
      </c>
      <c r="N1522" s="1" cm="1">
        <f t="array" ref="N1522">SUMPRODUCT(("T_TW-BEVELC-S4"=[1]OUT_TransportEnergyCons!$A$3:$A$1000)*1,("var_fout"=[1]OUT_TransportEnergyCons!$B$3:$B$1000)*1,ISNUMBER(SEARCH("TPTWL",[1]OUT_TransportEnergyCons!$C$3:$C$1000))*1,[1]OUT_TransportEnergyCons!L$3:L$1000)</f>
        <v>5.7555538068440326E-3</v>
      </c>
      <c r="O1522" s="1" cm="1">
        <f t="array" ref="O1522">SUMPRODUCT(("T_TW-BEVELC-S4"=[1]OUT_TransportEnergyCons!$A$3:$A$1000)*1,("var_fout"=[1]OUT_TransportEnergyCons!$B$3:$B$1000)*1,ISNUMBER(SEARCH("TPTWL",[1]OUT_TransportEnergyCons!$C$3:$C$1000))*1,[1]OUT_TransportEnergyCons!M$3:M$1000)</f>
        <v>6.7475448976411787E-3</v>
      </c>
      <c r="P1522" s="1" cm="1">
        <f t="array" ref="P1522">SUMPRODUCT(("T_TW-BEVELC-S4"=[1]OUT_TransportEnergyCons!$A$3:$A$1000)*1,("var_fout"=[1]OUT_TransportEnergyCons!$B$3:$B$1000)*1,ISNUMBER(SEARCH("TPTWL",[1]OUT_TransportEnergyCons!$C$3:$C$1000))*1,[1]OUT_TransportEnergyCons!N$3:N$1000)</f>
        <v>7.4593051343391399E-3</v>
      </c>
      <c r="Q1522" s="1" cm="1">
        <f t="array" ref="Q1522">SUMPRODUCT(("T_TW-BEVELC-S4"=[1]OUT_TransportEnergyCons!$A$3:$A$1000)*1,("var_fout"=[1]OUT_TransportEnergyCons!$B$3:$B$1000)*1,ISNUMBER(SEARCH("TPTWL",[1]OUT_TransportEnergyCons!$C$3:$C$1000))*1,[1]OUT_TransportEnergyCons!O$3:O$1000)</f>
        <v>9.0831372284679874E-3</v>
      </c>
      <c r="S1522" s="3"/>
    </row>
    <row r="1523" spans="2:19" x14ac:dyDescent="0.5">
      <c r="B1523" t="str">
        <f t="shared" si="1716"/>
        <v>SPS1</v>
      </c>
      <c r="C1523" t="str">
        <f t="shared" si="1717"/>
        <v>CH</v>
      </c>
      <c r="D1523" t="s">
        <v>1508</v>
      </c>
      <c r="E1523" t="str">
        <f t="shared" si="1718"/>
        <v>Billion km/yr.</v>
      </c>
      <c r="F1523" s="1" cm="1">
        <f t="array" ref="F1523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SUMPRODUCT(("T_TW-fclh2o-S1"=[1]OUT_TransportEnergyCons!$A$3:$A$1000)*1,("var_fout"=[1]OUT_TransportEnergyCons!$B$3:$B$1000)*1,ISNUMBER(SEARCH("TPTWL",[1]OUT_TransportEnergyCons!$C$3:$C$1000))*1,[1]OUT_TransportEnergyCons!G$3:G$1000)</f>
        <v>3.8447558424217743E-4</v>
      </c>
      <c r="J1523" s="1" cm="1">
        <f t="array" ref="J1523">SUMPRODUCT(("T_TW-fclh2o-S1"=[1]OUT_TransportEnergyCons!$A$3:$A$1000)*1,("var_fout"=[1]OUT_TransportEnergyCons!$B$3:$B$1000)*1,ISNUMBER(SEARCH("TPTWL",[1]OUT_TransportEnergyCons!$C$3:$C$1000))*1,[1]OUT_TransportEnergyCons!H$3:H$1000)</f>
        <v>1.3404143653499155E-3</v>
      </c>
      <c r="K1523" s="1" cm="1">
        <f t="array" ref="K1523">SUMPRODUCT(("T_TW-fclh2o-S1"=[1]OUT_TransportEnergyCons!$A$3:$A$1000)*1,("var_fout"=[1]OUT_TransportEnergyCons!$B$3:$B$1000)*1,ISNUMBER(SEARCH("TPTWL",[1]OUT_TransportEnergyCons!$C$3:$C$1000))*1,[1]OUT_TransportEnergyCons!I$3:I$1000)</f>
        <v>2.4874529918530327E-3</v>
      </c>
      <c r="L1523" s="1" cm="1">
        <f t="array" ref="L1523">SUMPRODUCT(("T_TW-fclh2o-S1"=[1]OUT_TransportEnergyCons!$A$3:$A$1000)*1,("var_fout"=[1]OUT_TransportEnergyCons!$B$3:$B$1000)*1,ISNUMBER(SEARCH("TPTWL",[1]OUT_TransportEnergyCons!$C$3:$C$1000))*1,[1]OUT_TransportEnergyCons!J$3:J$1000)</f>
        <v>4.0073472344069536E-3</v>
      </c>
      <c r="M1523" s="1" cm="1">
        <f t="array" ref="M1523">SUMPRODUCT(("T_TW-fclh2o-S1"=[1]OUT_TransportEnergyCons!$A$3:$A$1000)*1,("var_fout"=[1]OUT_TransportEnergyCons!$B$3:$B$1000)*1,ISNUMBER(SEARCH("TPTWL",[1]OUT_TransportEnergyCons!$C$3:$C$1000))*1,[1]OUT_TransportEnergyCons!K$3:K$1000)</f>
        <v>6.795360147960082E-3</v>
      </c>
      <c r="N1523" s="1" cm="1">
        <f t="array" ref="N1523">SUMPRODUCT(("T_TW-fclh2o-S1"=[1]OUT_TransportEnergyCons!$A$3:$A$1000)*1,("var_fout"=[1]OUT_TransportEnergyCons!$B$3:$B$1000)*1,ISNUMBER(SEARCH("TPTWL",[1]OUT_TransportEnergyCons!$C$3:$C$1000))*1,[1]OUT_TransportEnergyCons!L$3:L$1000)</f>
        <v>9.8361036046095401E-3</v>
      </c>
      <c r="O1523" s="1" cm="1">
        <f t="array" ref="O1523">SUMPRODUCT(("T_TW-fclh2o-S1"=[1]OUT_TransportEnergyCons!$A$3:$A$1000)*1,("var_fout"=[1]OUT_TransportEnergyCons!$B$3:$B$1000)*1,ISNUMBER(SEARCH("TPTWL",[1]OUT_TransportEnergyCons!$C$3:$C$1000))*1,[1]OUT_TransportEnergyCons!M$3:M$1000)</f>
        <v>1.2169223979293164E-2</v>
      </c>
      <c r="P1523" s="1" cm="1">
        <f t="array" ref="P1523">SUMPRODUCT(("T_TW-fclh2o-S1"=[1]OUT_TransportEnergyCons!$A$3:$A$1000)*1,("var_fout"=[1]OUT_TransportEnergyCons!$B$3:$B$1000)*1,ISNUMBER(SEARCH("TPTWL",[1]OUT_TransportEnergyCons!$C$3:$C$1000))*1,[1]OUT_TransportEnergyCons!N$3:N$1000)</f>
        <v>1.1800495725788125E-2</v>
      </c>
      <c r="Q1523" s="1" cm="1">
        <f t="array" ref="Q1523">SUMPRODUCT(("T_TW-fclh2o-S1"=[1]OUT_TransportEnergyCons!$A$3:$A$1000)*1,("var_fout"=[1]OUT_TransportEnergyCons!$B$3:$B$1000)*1,ISNUMBER(SEARCH("TPTWL",[1]OUT_TransportEnergyCons!$C$3:$C$1000))*1,[1]OUT_TransportEnergyCons!O$3:O$1000)</f>
        <v>1.7709072482280267E-2</v>
      </c>
      <c r="S1523" s="3"/>
    </row>
    <row r="1524" spans="2:19" x14ac:dyDescent="0.5">
      <c r="B1524" t="str">
        <f t="shared" si="1716"/>
        <v>SPS1</v>
      </c>
      <c r="C1524" t="str">
        <f t="shared" si="1717"/>
        <v>CH</v>
      </c>
      <c r="D1524" t="s">
        <v>1509</v>
      </c>
      <c r="E1524" t="str">
        <f t="shared" si="1718"/>
        <v>Billion km/yr.</v>
      </c>
      <c r="F1524" s="1" cm="1">
        <f t="array" ref="F1524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SUMPRODUCT(("T_TW-fclh2o-S2"=[1]OUT_TransportEnergyCons!$A$3:$A$1000)*1,("var_fout"=[1]OUT_TransportEnergyCons!$B$3:$B$1000)*1,ISNUMBER(SEARCH("TPTWL",[1]OUT_TransportEnergyCons!$C$3:$C$1000))*1,[1]OUT_TransportEnergyCons!G$3:G$1000)</f>
        <v>1.9862654757015584E-4</v>
      </c>
      <c r="J1524" s="1" cm="1">
        <f t="array" ref="J1524">SUMPRODUCT(("T_TW-fclh2o-S2"=[1]OUT_TransportEnergyCons!$A$3:$A$1000)*1,("var_fout"=[1]OUT_TransportEnergyCons!$B$3:$B$1000)*1,ISNUMBER(SEARCH("TPTWL",[1]OUT_TransportEnergyCons!$C$3:$C$1000))*1,[1]OUT_TransportEnergyCons!H$3:H$1000)</f>
        <v>5.7012399595422866E-4</v>
      </c>
      <c r="K1524" s="1" cm="1">
        <f t="array" ref="K1524">SUMPRODUCT(("T_TW-fclh2o-S2"=[1]OUT_TransportEnergyCons!$A$3:$A$1000)*1,("var_fout"=[1]OUT_TransportEnergyCons!$B$3:$B$1000)*1,ISNUMBER(SEARCH("TPTWL",[1]OUT_TransportEnergyCons!$C$3:$C$1000))*1,[1]OUT_TransportEnergyCons!I$3:I$1000)</f>
        <v>9.8122123671313976E-4</v>
      </c>
      <c r="L1524" s="1" cm="1">
        <f t="array" ref="L1524">SUMPRODUCT(("T_TW-fclh2o-S2"=[1]OUT_TransportEnergyCons!$A$3:$A$1000)*1,("var_fout"=[1]OUT_TransportEnergyCons!$B$3:$B$1000)*1,ISNUMBER(SEARCH("TPTWL",[1]OUT_TransportEnergyCons!$C$3:$C$1000))*1,[1]OUT_TransportEnergyCons!J$3:J$1000)</f>
        <v>1.4095762970771342E-3</v>
      </c>
      <c r="M1524" s="1" cm="1">
        <f t="array" ref="M1524">SUMPRODUCT(("T_TW-fclh2o-S2"=[1]OUT_TransportEnergyCons!$A$3:$A$1000)*1,("var_fout"=[1]OUT_TransportEnergyCons!$B$3:$B$1000)*1,ISNUMBER(SEARCH("TPTWL",[1]OUT_TransportEnergyCons!$C$3:$C$1000))*1,[1]OUT_TransportEnergyCons!K$3:K$1000)</f>
        <v>2.0516000527297123E-3</v>
      </c>
      <c r="N1524" s="1" cm="1">
        <f t="array" ref="N1524">SUMPRODUCT(("T_TW-fclh2o-S2"=[1]OUT_TransportEnergyCons!$A$3:$A$1000)*1,("var_fout"=[1]OUT_TransportEnergyCons!$B$3:$B$1000)*1,ISNUMBER(SEARCH("TPTWL",[1]OUT_TransportEnergyCons!$C$3:$C$1000))*1,[1]OUT_TransportEnergyCons!L$3:L$1000)</f>
        <v>2.4806510301044727E-3</v>
      </c>
      <c r="O1524" s="1" cm="1">
        <f t="array" ref="O1524">SUMPRODUCT(("T_TW-fclh2o-S2"=[1]OUT_TransportEnergyCons!$A$3:$A$1000)*1,("var_fout"=[1]OUT_TransportEnergyCons!$B$3:$B$1000)*1,ISNUMBER(SEARCH("TPTWL",[1]OUT_TransportEnergyCons!$C$3:$C$1000))*1,[1]OUT_TransportEnergyCons!M$3:M$1000)</f>
        <v>3.3107689416610668E-3</v>
      </c>
      <c r="P1524" s="1" cm="1">
        <f t="array" ref="P1524">SUMPRODUCT(("T_TW-fclh2o-S2"=[1]OUT_TransportEnergyCons!$A$3:$A$1000)*1,("var_fout"=[1]OUT_TransportEnergyCons!$B$3:$B$1000)*1,ISNUMBER(SEARCH("TPTWL",[1]OUT_TransportEnergyCons!$C$3:$C$1000))*1,[1]OUT_TransportEnergyCons!N$3:N$1000)</f>
        <v>3.2660828691733331E-3</v>
      </c>
      <c r="Q1524" s="1" cm="1">
        <f t="array" ref="Q1524">SUMPRODUCT(("T_TW-fclh2o-S2"=[1]OUT_TransportEnergyCons!$A$3:$A$1000)*1,("var_fout"=[1]OUT_TransportEnergyCons!$B$3:$B$1000)*1,ISNUMBER(SEARCH("TPTWL",[1]OUT_TransportEnergyCons!$C$3:$C$1000))*1,[1]OUT_TransportEnergyCons!O$3:O$1000)</f>
        <v>4.7805218301606696E-3</v>
      </c>
      <c r="S1524" s="3"/>
    </row>
    <row r="1525" spans="2:19" x14ac:dyDescent="0.5">
      <c r="B1525" t="str">
        <f t="shared" si="1716"/>
        <v>SPS1</v>
      </c>
      <c r="C1525" t="str">
        <f t="shared" si="1717"/>
        <v>CH</v>
      </c>
      <c r="D1525" t="s">
        <v>1510</v>
      </c>
      <c r="E1525" t="str">
        <f t="shared" si="1718"/>
        <v>Billion km/yr.</v>
      </c>
      <c r="F1525" s="1" cm="1">
        <f t="array" ref="F1525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5" s="1" cm="1">
        <f t="array" ref="G1525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5" s="1" cm="1">
        <f t="array" ref="H1525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5" s="1" cm="1">
        <f t="array" ref="I1525">SUMPRODUCT(("T_TW-fclh2o-S3"=[1]OUT_TransportEnergyCons!$A$3:$A$1000)*1,("var_fout"=[1]OUT_TransportEnergyCons!$B$3:$B$1000)*1,ISNUMBER(SEARCH("TPTWL",[1]OUT_TransportEnergyCons!$C$3:$C$1000))*1,[1]OUT_TransportEnergyCons!G$3:G$1000)</f>
        <v>1.1306794794593782E-4</v>
      </c>
      <c r="J1525" s="1" cm="1">
        <f t="array" ref="J1525">SUMPRODUCT(("T_TW-fclh2o-S3"=[1]OUT_TransportEnergyCons!$A$3:$A$1000)*1,("var_fout"=[1]OUT_TransportEnergyCons!$B$3:$B$1000)*1,ISNUMBER(SEARCH("TPTWL",[1]OUT_TransportEnergyCons!$C$3:$C$1000))*1,[1]OUT_TransportEnergyCons!H$3:H$1000)</f>
        <v>3.4283773306546567E-4</v>
      </c>
      <c r="K1525" s="1" cm="1">
        <f t="array" ref="K1525">SUMPRODUCT(("T_TW-fclh2o-S3"=[1]OUT_TransportEnergyCons!$A$3:$A$1000)*1,("var_fout"=[1]OUT_TransportEnergyCons!$B$3:$B$1000)*1,ISNUMBER(SEARCH("TPTWL",[1]OUT_TransportEnergyCons!$C$3:$C$1000))*1,[1]OUT_TransportEnergyCons!I$3:I$1000)</f>
        <v>5.7750618077447241E-4</v>
      </c>
      <c r="L1525" s="1" cm="1">
        <f t="array" ref="L1525">SUMPRODUCT(("T_TW-fclh2o-S3"=[1]OUT_TransportEnergyCons!$A$3:$A$1000)*1,("var_fout"=[1]OUT_TransportEnergyCons!$B$3:$B$1000)*1,ISNUMBER(SEARCH("TPTWL",[1]OUT_TransportEnergyCons!$C$3:$C$1000))*1,[1]OUT_TransportEnergyCons!J$3:J$1000)</f>
        <v>8.4842796389907776E-4</v>
      </c>
      <c r="M1525" s="1" cm="1">
        <f t="array" ref="M1525">SUMPRODUCT(("T_TW-fclh2o-S3"=[1]OUT_TransportEnergyCons!$A$3:$A$1000)*1,("var_fout"=[1]OUT_TransportEnergyCons!$B$3:$B$1000)*1,ISNUMBER(SEARCH("TPTWL",[1]OUT_TransportEnergyCons!$C$3:$C$1000))*1,[1]OUT_TransportEnergyCons!K$3:K$1000)</f>
        <v>1.2351718456924184E-3</v>
      </c>
      <c r="N1525" s="1" cm="1">
        <f t="array" ref="N1525">SUMPRODUCT(("T_TW-fclh2o-S3"=[1]OUT_TransportEnergyCons!$A$3:$A$1000)*1,("var_fout"=[1]OUT_TransportEnergyCons!$B$3:$B$1000)*1,ISNUMBER(SEARCH("TPTWL",[1]OUT_TransportEnergyCons!$C$3:$C$1000))*1,[1]OUT_TransportEnergyCons!L$3:L$1000)</f>
        <v>1.5831486759448202E-3</v>
      </c>
      <c r="O1525" s="1" cm="1">
        <f t="array" ref="O1525">SUMPRODUCT(("T_TW-fclh2o-S3"=[1]OUT_TransportEnergyCons!$A$3:$A$1000)*1,("var_fout"=[1]OUT_TransportEnergyCons!$B$3:$B$1000)*1,ISNUMBER(SEARCH("TPTWL",[1]OUT_TransportEnergyCons!$C$3:$C$1000))*1,[1]OUT_TransportEnergyCons!M$3:M$1000)</f>
        <v>1.9359165087350007E-3</v>
      </c>
      <c r="P1525" s="1" cm="1">
        <f t="array" ref="P1525">SUMPRODUCT(("T_TW-fclh2o-S3"=[1]OUT_TransportEnergyCons!$A$3:$A$1000)*1,("var_fout"=[1]OUT_TransportEnergyCons!$B$3:$B$1000)*1,ISNUMBER(SEARCH("TPTWL",[1]OUT_TransportEnergyCons!$C$3:$C$1000))*1,[1]OUT_TransportEnergyCons!N$3:N$1000)</f>
        <v>2.3026047609096614E-3</v>
      </c>
      <c r="Q1525" s="1" cm="1">
        <f t="array" ref="Q1525">SUMPRODUCT(("T_TW-fclh2o-S3"=[1]OUT_TransportEnergyCons!$A$3:$A$1000)*1,("var_fout"=[1]OUT_TransportEnergyCons!$B$3:$B$1000)*1,ISNUMBER(SEARCH("TPTWL",[1]OUT_TransportEnergyCons!$C$3:$C$1000))*1,[1]OUT_TransportEnergyCons!O$3:O$1000)</f>
        <v>2.8950871078238772E-3</v>
      </c>
      <c r="S1525" s="3"/>
    </row>
    <row r="1526" spans="2:19" x14ac:dyDescent="0.5">
      <c r="B1526" t="str">
        <f t="shared" si="1716"/>
        <v>SPS1</v>
      </c>
      <c r="C1526" t="str">
        <f t="shared" si="1717"/>
        <v>CH</v>
      </c>
      <c r="D1526" t="s">
        <v>1511</v>
      </c>
      <c r="E1526" t="str">
        <f t="shared" si="1718"/>
        <v>Billion km/yr.</v>
      </c>
      <c r="F1526" s="1" cm="1">
        <f t="array" ref="F1526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6" s="1" cm="1">
        <f t="array" ref="G1526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6" s="1" cm="1">
        <f t="array" ref="H1526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6" s="1" cm="1">
        <f t="array" ref="I1526">SUMPRODUCT(("T_TW-fclh2o-S4"=[1]OUT_TransportEnergyCons!$A$3:$A$1000)*1,("var_fout"=[1]OUT_TransportEnergyCons!$B$3:$B$1000)*1,ISNUMBER(SEARCH("TPTWL",[1]OUT_TransportEnergyCons!$C$3:$C$1000))*1,[1]OUT_TransportEnergyCons!G$3:G$1000)</f>
        <v>6.9969708179877743E-5</v>
      </c>
      <c r="J1526" s="1" cm="1">
        <f t="array" ref="J1526">SUMPRODUCT(("T_TW-fclh2o-S4"=[1]OUT_TransportEnergyCons!$A$3:$A$1000)*1,("var_fout"=[1]OUT_TransportEnergyCons!$B$3:$B$1000)*1,ISNUMBER(SEARCH("TPTWL",[1]OUT_TransportEnergyCons!$C$3:$C$1000))*1,[1]OUT_TransportEnergyCons!H$3:H$1000)</f>
        <v>1.8234918680961563E-4</v>
      </c>
      <c r="K1526" s="1" cm="1">
        <f t="array" ref="K1526">SUMPRODUCT(("T_TW-fclh2o-S4"=[1]OUT_TransportEnergyCons!$A$3:$A$1000)*1,("var_fout"=[1]OUT_TransportEnergyCons!$B$3:$B$1000)*1,ISNUMBER(SEARCH("TPTWL",[1]OUT_TransportEnergyCons!$C$3:$C$1000))*1,[1]OUT_TransportEnergyCons!I$3:I$1000)</f>
        <v>3.2031543696527202E-4</v>
      </c>
      <c r="L1526" s="1" cm="1">
        <f t="array" ref="L1526">SUMPRODUCT(("T_TW-fclh2o-S4"=[1]OUT_TransportEnergyCons!$A$3:$A$1000)*1,("var_fout"=[1]OUT_TransportEnergyCons!$B$3:$B$1000)*1,ISNUMBER(SEARCH("TPTWL",[1]OUT_TransportEnergyCons!$C$3:$C$1000))*1,[1]OUT_TransportEnergyCons!J$3:J$1000)</f>
        <v>5.010783496274976E-4</v>
      </c>
      <c r="M1526" s="1" cm="1">
        <f t="array" ref="M1526">SUMPRODUCT(("T_TW-fclh2o-S4"=[1]OUT_TransportEnergyCons!$A$3:$A$1000)*1,("var_fout"=[1]OUT_TransportEnergyCons!$B$3:$B$1000)*1,ISNUMBER(SEARCH("TPTWL",[1]OUT_TransportEnergyCons!$C$3:$C$1000))*1,[1]OUT_TransportEnergyCons!K$3:K$1000)</f>
        <v>8.0144144646218413E-4</v>
      </c>
      <c r="N1526" s="1" cm="1">
        <f t="array" ref="N1526">SUMPRODUCT(("T_TW-fclh2o-S4"=[1]OUT_TransportEnergyCons!$A$3:$A$1000)*1,("var_fout"=[1]OUT_TransportEnergyCons!$B$3:$B$1000)*1,ISNUMBER(SEARCH("TPTWL",[1]OUT_TransportEnergyCons!$C$3:$C$1000))*1,[1]OUT_TransportEnergyCons!L$3:L$1000)</f>
        <v>1.0234255709275855E-3</v>
      </c>
      <c r="O1526" s="1" cm="1">
        <f t="array" ref="O1526">SUMPRODUCT(("T_TW-fclh2o-S4"=[1]OUT_TransportEnergyCons!$A$3:$A$1000)*1,("var_fout"=[1]OUT_TransportEnergyCons!$B$3:$B$1000)*1,ISNUMBER(SEARCH("TPTWL",[1]OUT_TransportEnergyCons!$C$3:$C$1000))*1,[1]OUT_TransportEnergyCons!M$3:M$1000)</f>
        <v>1.2864167594486841E-3</v>
      </c>
      <c r="P1526" s="1" cm="1">
        <f t="array" ref="P1526">SUMPRODUCT(("T_TW-fclh2o-S4"=[1]OUT_TransportEnergyCons!$A$3:$A$1000)*1,("var_fout"=[1]OUT_TransportEnergyCons!$B$3:$B$1000)*1,ISNUMBER(SEARCH("TPTWL",[1]OUT_TransportEnergyCons!$C$3:$C$1000))*1,[1]OUT_TransportEnergyCons!N$3:N$1000)</f>
        <v>1.5130506330079173E-3</v>
      </c>
      <c r="Q1526" s="1" cm="1">
        <f t="array" ref="Q1526">SUMPRODUCT(("T_TW-fclh2o-S4"=[1]OUT_TransportEnergyCons!$A$3:$A$1000)*1,("var_fout"=[1]OUT_TransportEnergyCons!$B$3:$B$1000)*1,ISNUMBER(SEARCH("TPTWL",[1]OUT_TransportEnergyCons!$C$3:$C$1000))*1,[1]OUT_TransportEnergyCons!O$3:O$1000)</f>
        <v>1.9769120258050594E-3</v>
      </c>
      <c r="S1526" s="3"/>
    </row>
    <row r="1527" spans="2:19" x14ac:dyDescent="0.5">
      <c r="B1527" t="str">
        <f t="shared" si="1716"/>
        <v>SPS1</v>
      </c>
      <c r="C1527" t="str">
        <f t="shared" si="1717"/>
        <v>CH</v>
      </c>
      <c r="D1527" t="s">
        <v>1512</v>
      </c>
      <c r="E1527" t="str">
        <f t="shared" si="1718"/>
        <v>Billion km/yr.</v>
      </c>
      <c r="F1527" s="1" cm="1">
        <f t="array" ref="F1527">SUMPRODUCT(("T_TW-ICEGSLEXT"=[1]OUT_TransportEnergyCons!$A$3:$A$1000)*1,("var_fout"=[1]OUT_TransportEnergyCons!$B$3:$B$1000)*1,ISNUMBER(SEARCH("TPTWL",[1]OUT_TransportEnergyCons!$C$3:$C$1000))*1,[1]OUT_TransportEnergyCons!D$3:D$1000)</f>
        <v>1.517186801214923</v>
      </c>
      <c r="G1527" s="1" cm="1">
        <f t="array" ref="G1527">SUMPRODUCT(("T_TW-ICEGSLEXT"=[1]OUT_TransportEnergyCons!$A$3:$A$1000)*1,("var_fout"=[1]OUT_TransportEnergyCons!$B$3:$B$1000)*1,ISNUMBER(SEARCH("TPTWL",[1]OUT_TransportEnergyCons!$C$3:$C$1000))*1,[1]OUT_TransportEnergyCons!E$3:E$1000)</f>
        <v>1.7524179756493504E-2</v>
      </c>
      <c r="H1527" s="1" cm="1">
        <f t="array" ref="H1527">SUMPRODUCT(("T_TW-ICEGSLEXT"=[1]OUT_TransportEnergyCons!$A$3:$A$1000)*1,("var_fout"=[1]OUT_TransportEnergyCons!$B$3:$B$1000)*1,ISNUMBER(SEARCH("TPTWL",[1]OUT_TransportEnergyCons!$C$3:$C$1000))*1,[1]OUT_TransportEnergyCons!F$3:F$1000)</f>
        <v>3.5268005963992877E-3</v>
      </c>
      <c r="I1527" s="1" cm="1">
        <f t="array" ref="I1527">SUMPRODUCT(("T_TW-ICEGSLEXT"=[1]OUT_TransportEnergyCons!$A$3:$A$1000)*1,("var_fout"=[1]OUT_TransportEnergyCons!$B$3:$B$1000)*1,ISNUMBER(SEARCH("TPTWL",[1]OUT_TransportEnergyCons!$C$3:$C$1000))*1,[1]OUT_TransportEnergyCons!G$3:G$1000)</f>
        <v>3.6871973505628367E-3</v>
      </c>
      <c r="J1527" s="1" cm="1">
        <f t="array" ref="J1527">SUMPRODUCT(("T_TW-ICEGSLEXT"=[1]OUT_TransportEnergyCons!$A$3:$A$1000)*1,("var_fout"=[1]OUT_TransportEnergyCons!$B$3:$B$1000)*1,ISNUMBER(SEARCH("TPTWL",[1]OUT_TransportEnergyCons!$C$3:$C$1000))*1,[1]OUT_TransportEnergyCons!H$3:H$1000)</f>
        <v>0</v>
      </c>
      <c r="K1527" s="1" cm="1">
        <f t="array" ref="K1527">SUMPRODUCT(("T_TW-ICEGSLEXT"=[1]OUT_TransportEnergyCons!$A$3:$A$1000)*1,("var_fout"=[1]OUT_TransportEnergyCons!$B$3:$B$1000)*1,ISNUMBER(SEARCH("TPTWL",[1]OUT_TransportEnergyCons!$C$3:$C$1000))*1,[1]OUT_TransportEnergyCons!I$3:I$1000)</f>
        <v>0</v>
      </c>
      <c r="L1527" s="1" cm="1">
        <f t="array" ref="L1527">SUMPRODUCT(("T_TW-ICEGSLEXT"=[1]OUT_TransportEnergyCons!$A$3:$A$1000)*1,("var_fout"=[1]OUT_TransportEnergyCons!$B$3:$B$1000)*1,ISNUMBER(SEARCH("TPTWL",[1]OUT_TransportEnergyCons!$C$3:$C$1000))*1,[1]OUT_TransportEnergyCons!J$3:J$1000)</f>
        <v>0</v>
      </c>
      <c r="M1527" s="1" cm="1">
        <f t="array" ref="M1527">SUMPRODUCT(("T_TW-ICEGSLEXT"=[1]OUT_TransportEnergyCons!$A$3:$A$1000)*1,("var_fout"=[1]OUT_TransportEnergyCons!$B$3:$B$1000)*1,ISNUMBER(SEARCH("TPTWL",[1]OUT_TransportEnergyCons!$C$3:$C$1000))*1,[1]OUT_TransportEnergyCons!K$3:K$1000)</f>
        <v>0</v>
      </c>
      <c r="N1527" s="1" cm="1">
        <f t="array" ref="N1527">SUMPRODUCT(("T_TW-ICEGSLEXT"=[1]OUT_TransportEnergyCons!$A$3:$A$1000)*1,("var_fout"=[1]OUT_TransportEnergyCons!$B$3:$B$1000)*1,ISNUMBER(SEARCH("TPTWL",[1]OUT_TransportEnergyCons!$C$3:$C$1000))*1,[1]OUT_TransportEnergyCons!L$3:L$1000)</f>
        <v>0</v>
      </c>
      <c r="O1527" s="1" cm="1">
        <f t="array" ref="O1527">SUMPRODUCT(("T_TW-ICEGSLEXT"=[1]OUT_TransportEnergyCons!$A$3:$A$1000)*1,("var_fout"=[1]OUT_TransportEnergyCons!$B$3:$B$1000)*1,ISNUMBER(SEARCH("TPTWL",[1]OUT_TransportEnergyCons!$C$3:$C$1000))*1,[1]OUT_TransportEnergyCons!M$3:M$1000)</f>
        <v>0</v>
      </c>
      <c r="P1527" s="1" cm="1">
        <f t="array" ref="P1527">SUMPRODUCT(("T_TW-ICEGSLEXT"=[1]OUT_TransportEnergyCons!$A$3:$A$1000)*1,("var_fout"=[1]OUT_TransportEnergyCons!$B$3:$B$1000)*1,ISNUMBER(SEARCH("TPTWL",[1]OUT_TransportEnergyCons!$C$3:$C$1000))*1,[1]OUT_TransportEnergyCons!N$3:N$1000)</f>
        <v>0</v>
      </c>
      <c r="Q1527" s="1" cm="1">
        <f t="array" ref="Q1527">SUMPRODUCT(("T_TW-ICEGSLEXT"=[1]OUT_TransportEnergyCons!$A$3:$A$1000)*1,("var_fout"=[1]OUT_TransportEnergyCons!$B$3:$B$1000)*1,ISNUMBER(SEARCH("TPTWL",[1]OUT_TransportEnergyCons!$C$3:$C$1000))*1,[1]OUT_TransportEnergyCons!O$3:O$1000)</f>
        <v>0</v>
      </c>
      <c r="S1527" s="3"/>
    </row>
    <row r="1528" spans="2:19" x14ac:dyDescent="0.5">
      <c r="B1528" t="str">
        <f t="shared" si="1716"/>
        <v>SPS1</v>
      </c>
      <c r="C1528" t="str">
        <f t="shared" si="1717"/>
        <v>CH</v>
      </c>
      <c r="D1528" t="s">
        <v>1513</v>
      </c>
      <c r="E1528" t="str">
        <f t="shared" si="1718"/>
        <v>Billion km/yr.</v>
      </c>
      <c r="F1528" s="1" cm="1">
        <f t="array" ref="F1528">SUMPRODUCT(("T_TW-icegsl-S1"=[1]OUT_TransportEnergyCons!$A$3:$A$1000)*1,("var_fout"=[1]OUT_TransportEnergyCons!$B$3:$B$1000)*1,ISNUMBER(SEARCH("TPTWL",[1]OUT_TransportEnergyCons!$C$3:$C$1000))*1,[1]OUT_TransportEnergyCons!D$3:D$1000)</f>
        <v>8.3636929463619225E-2</v>
      </c>
      <c r="G1528" s="1" cm="1">
        <f t="array" ref="G1528">SUMPRODUCT(("T_TW-icegsl-S1"=[1]OUT_TransportEnergyCons!$A$3:$A$1000)*1,("var_fout"=[1]OUT_TransportEnergyCons!$B$3:$B$1000)*1,ISNUMBER(SEARCH("TPTWL",[1]OUT_TransportEnergyCons!$C$3:$C$1000))*1,[1]OUT_TransportEnergyCons!E$3:E$1000)</f>
        <v>0.536157906743295</v>
      </c>
      <c r="H1528" s="1" cm="1">
        <f t="array" ref="H1528">SUMPRODUCT(("T_TW-icegsl-S1"=[1]OUT_TransportEnergyCons!$A$3:$A$1000)*1,("var_fout"=[1]OUT_TransportEnergyCons!$B$3:$B$1000)*1,ISNUMBER(SEARCH("TPTWL",[1]OUT_TransportEnergyCons!$C$3:$C$1000))*1,[1]OUT_TransportEnergyCons!F$3:F$1000)</f>
        <v>0.54342037444548175</v>
      </c>
      <c r="I1528" s="1" cm="1">
        <f t="array" ref="I1528">SUMPRODUCT(("T_TW-icegsl-S1"=[1]OUT_TransportEnergyCons!$A$3:$A$1000)*1,("var_fout"=[1]OUT_TransportEnergyCons!$B$3:$B$1000)*1,ISNUMBER(SEARCH("TPTWL",[1]OUT_TransportEnergyCons!$C$3:$C$1000))*1,[1]OUT_TransportEnergyCons!G$3:G$1000)</f>
        <v>0.70525872859826122</v>
      </c>
      <c r="J1528" s="1" cm="1">
        <f t="array" ref="J1528">SUMPRODUCT(("T_TW-icegsl-S1"=[1]OUT_TransportEnergyCons!$A$3:$A$1000)*1,("var_fout"=[1]OUT_TransportEnergyCons!$B$3:$B$1000)*1,ISNUMBER(SEARCH("TPTWL",[1]OUT_TransportEnergyCons!$C$3:$C$1000))*1,[1]OUT_TransportEnergyCons!H$3:H$1000)</f>
        <v>1.8213337959729536</v>
      </c>
      <c r="K1528" s="1" cm="1">
        <f t="array" ref="K1528">SUMPRODUCT(("T_TW-icegsl-S1"=[1]OUT_TransportEnergyCons!$A$3:$A$1000)*1,("var_fout"=[1]OUT_TransportEnergyCons!$B$3:$B$1000)*1,ISNUMBER(SEARCH("TPTWL",[1]OUT_TransportEnergyCons!$C$3:$C$1000))*1,[1]OUT_TransportEnergyCons!I$3:I$1000)</f>
        <v>1.8241584402748736</v>
      </c>
      <c r="L1528" s="1" cm="1">
        <f t="array" ref="L1528">SUMPRODUCT(("T_TW-icegsl-S1"=[1]OUT_TransportEnergyCons!$A$3:$A$1000)*1,("var_fout"=[1]OUT_TransportEnergyCons!$B$3:$B$1000)*1,ISNUMBER(SEARCH("TPTWL",[1]OUT_TransportEnergyCons!$C$3:$C$1000))*1,[1]OUT_TransportEnergyCons!J$3:J$1000)</f>
        <v>0.88147063731845998</v>
      </c>
      <c r="M1528" s="1" cm="1">
        <f t="array" ref="M1528">SUMPRODUCT(("T_TW-icegsl-S1"=[1]OUT_TransportEnergyCons!$A$3:$A$1000)*1,("var_fout"=[1]OUT_TransportEnergyCons!$B$3:$B$1000)*1,ISNUMBER(SEARCH("TPTWL",[1]OUT_TransportEnergyCons!$C$3:$C$1000))*1,[1]OUT_TransportEnergyCons!K$3:K$1000)</f>
        <v>8.2457956046067482E-2</v>
      </c>
      <c r="N1528" s="1" cm="1">
        <f t="array" ref="N1528">SUMPRODUCT(("T_TW-icegsl-S1"=[1]OUT_TransportEnergyCons!$A$3:$A$1000)*1,("var_fout"=[1]OUT_TransportEnergyCons!$B$3:$B$1000)*1,ISNUMBER(SEARCH("TPTWL",[1]OUT_TransportEnergyCons!$C$3:$C$1000))*1,[1]OUT_TransportEnergyCons!L$3:L$1000)</f>
        <v>1.0043615782195094E-2</v>
      </c>
      <c r="O1528" s="1" cm="1">
        <f t="array" ref="O1528">SUMPRODUCT(("T_TW-icegsl-S1"=[1]OUT_TransportEnergyCons!$A$3:$A$1000)*1,("var_fout"=[1]OUT_TransportEnergyCons!$B$3:$B$1000)*1,ISNUMBER(SEARCH("TPTWL",[1]OUT_TransportEnergyCons!$C$3:$C$1000))*1,[1]OUT_TransportEnergyCons!M$3:M$1000)</f>
        <v>1.0633180584237237E-2</v>
      </c>
      <c r="P1528" s="1" cm="1">
        <f t="array" ref="P1528">SUMPRODUCT(("T_TW-icegsl-S1"=[1]OUT_TransportEnergyCons!$A$3:$A$1000)*1,("var_fout"=[1]OUT_TransportEnergyCons!$B$3:$B$1000)*1,ISNUMBER(SEARCH("TPTWL",[1]OUT_TransportEnergyCons!$C$3:$C$1000))*1,[1]OUT_TransportEnergyCons!N$3:N$1000)</f>
        <v>1.2600965707734127E-2</v>
      </c>
      <c r="Q1528" s="1" cm="1">
        <f t="array" ref="Q1528">SUMPRODUCT(("T_TW-icegsl-S1"=[1]OUT_TransportEnergyCons!$A$3:$A$1000)*1,("var_fout"=[1]OUT_TransportEnergyCons!$B$3:$B$1000)*1,ISNUMBER(SEARCH("TPTWL",[1]OUT_TransportEnergyCons!$C$3:$C$1000))*1,[1]OUT_TransportEnergyCons!O$3:O$1000)</f>
        <v>2.2740851499964802E-2</v>
      </c>
      <c r="S1528" s="3"/>
    </row>
    <row r="1529" spans="2:19" x14ac:dyDescent="0.5">
      <c r="B1529" t="str">
        <f t="shared" si="1716"/>
        <v>SPS1</v>
      </c>
      <c r="C1529" t="str">
        <f t="shared" si="1717"/>
        <v>CH</v>
      </c>
      <c r="D1529" t="s">
        <v>1514</v>
      </c>
      <c r="E1529" t="str">
        <f t="shared" si="1718"/>
        <v>Billion km/yr.</v>
      </c>
      <c r="F1529" s="1" cm="1">
        <f t="array" ref="F1529">SUMPRODUCT(("T_TW-icegsl-S2"=[1]OUT_TransportEnergyCons!$A$3:$A$1000)*1,("var_fout"=[1]OUT_TransportEnergyCons!$B$3:$B$1000)*1,ISNUMBER(SEARCH("TPTWL",[1]OUT_TransportEnergyCons!$C$3:$C$1000))*1,[1]OUT_TransportEnergyCons!D$3:D$1000)</f>
        <v>0.1217447835451199</v>
      </c>
      <c r="G1529" s="1" cm="1">
        <f t="array" ref="G1529">SUMPRODUCT(("T_TW-icegsl-S2"=[1]OUT_TransportEnergyCons!$A$3:$A$1000)*1,("var_fout"=[1]OUT_TransportEnergyCons!$B$3:$B$1000)*1,ISNUMBER(SEARCH("TPTWL",[1]OUT_TransportEnergyCons!$C$3:$C$1000))*1,[1]OUT_TransportEnergyCons!E$3:E$1000)</f>
        <v>0.12958438238381248</v>
      </c>
      <c r="H1529" s="1" cm="1">
        <f t="array" ref="H1529">SUMPRODUCT(("T_TW-icegsl-S2"=[1]OUT_TransportEnergyCons!$A$3:$A$1000)*1,("var_fout"=[1]OUT_TransportEnergyCons!$B$3:$B$1000)*1,ISNUMBER(SEARCH("TPTWL",[1]OUT_TransportEnergyCons!$C$3:$C$1000))*1,[1]OUT_TransportEnergyCons!F$3:F$1000)</f>
        <v>0.12932195677973396</v>
      </c>
      <c r="I1529" s="1" cm="1">
        <f t="array" ref="I1529">SUMPRODUCT(("T_TW-icegsl-S2"=[1]OUT_TransportEnergyCons!$A$3:$A$1000)*1,("var_fout"=[1]OUT_TransportEnergyCons!$B$3:$B$1000)*1,ISNUMBER(SEARCH("TPTWL",[1]OUT_TransportEnergyCons!$C$3:$C$1000))*1,[1]OUT_TransportEnergyCons!G$3:G$1000)</f>
        <v>0.11410938708404993</v>
      </c>
      <c r="J1529" s="1" cm="1">
        <f t="array" ref="J1529">SUMPRODUCT(("T_TW-icegsl-S2"=[1]OUT_TransportEnergyCons!$A$3:$A$1000)*1,("var_fout"=[1]OUT_TransportEnergyCons!$B$3:$B$1000)*1,ISNUMBER(SEARCH("TPTWL",[1]OUT_TransportEnergyCons!$C$3:$C$1000))*1,[1]OUT_TransportEnergyCons!H$3:H$1000)</f>
        <v>1.2913428022382828E-2</v>
      </c>
      <c r="K1529" s="1" cm="1">
        <f t="array" ref="K1529">SUMPRODUCT(("T_TW-icegsl-S2"=[1]OUT_TransportEnergyCons!$A$3:$A$1000)*1,("var_fout"=[1]OUT_TransportEnergyCons!$B$3:$B$1000)*1,ISNUMBER(SEARCH("TPTWL",[1]OUT_TransportEnergyCons!$C$3:$C$1000))*1,[1]OUT_TransportEnergyCons!I$3:I$1000)</f>
        <v>1.8671346914764071E-3</v>
      </c>
      <c r="L1529" s="1" cm="1">
        <f t="array" ref="L1529">SUMPRODUCT(("T_TW-icegsl-S2"=[1]OUT_TransportEnergyCons!$A$3:$A$1000)*1,("var_fout"=[1]OUT_TransportEnergyCons!$B$3:$B$1000)*1,ISNUMBER(SEARCH("TPTWL",[1]OUT_TransportEnergyCons!$C$3:$C$1000))*1,[1]OUT_TransportEnergyCons!J$3:J$1000)</f>
        <v>1.9150440356803249E-3</v>
      </c>
      <c r="M1529" s="1" cm="1">
        <f t="array" ref="M1529">SUMPRODUCT(("T_TW-icegsl-S2"=[1]OUT_TransportEnergyCons!$A$3:$A$1000)*1,("var_fout"=[1]OUT_TransportEnergyCons!$B$3:$B$1000)*1,ISNUMBER(SEARCH("TPTWL",[1]OUT_TransportEnergyCons!$C$3:$C$1000))*1,[1]OUT_TransportEnergyCons!K$3:K$1000)</f>
        <v>1.8755020268079283E-3</v>
      </c>
      <c r="N1529" s="1" cm="1">
        <f t="array" ref="N1529">SUMPRODUCT(("T_TW-icegsl-S2"=[1]OUT_TransportEnergyCons!$A$3:$A$1000)*1,("var_fout"=[1]OUT_TransportEnergyCons!$B$3:$B$1000)*1,ISNUMBER(SEARCH("TPTWL",[1]OUT_TransportEnergyCons!$C$3:$C$1000))*1,[1]OUT_TransportEnergyCons!L$3:L$1000)</f>
        <v>1.8683618513524729E-3</v>
      </c>
      <c r="O1529" s="1" cm="1">
        <f t="array" ref="O1529">SUMPRODUCT(("T_TW-icegsl-S2"=[1]OUT_TransportEnergyCons!$A$3:$A$1000)*1,("var_fout"=[1]OUT_TransportEnergyCons!$B$3:$B$1000)*1,ISNUMBER(SEARCH("TPTWL",[1]OUT_TransportEnergyCons!$C$3:$C$1000))*1,[1]OUT_TransportEnergyCons!M$3:M$1000)</f>
        <v>2.3491139527337069E-3</v>
      </c>
      <c r="P1529" s="1" cm="1">
        <f t="array" ref="P1529">SUMPRODUCT(("T_TW-icegsl-S2"=[1]OUT_TransportEnergyCons!$A$3:$A$1000)*1,("var_fout"=[1]OUT_TransportEnergyCons!$B$3:$B$1000)*1,ISNUMBER(SEARCH("TPTWL",[1]OUT_TransportEnergyCons!$C$3:$C$1000))*1,[1]OUT_TransportEnergyCons!N$3:N$1000)</f>
        <v>2.5043647249592166E-3</v>
      </c>
      <c r="Q1529" s="1" cm="1">
        <f t="array" ref="Q1529">SUMPRODUCT(("T_TW-icegsl-S2"=[1]OUT_TransportEnergyCons!$A$3:$A$1000)*1,("var_fout"=[1]OUT_TransportEnergyCons!$B$3:$B$1000)*1,ISNUMBER(SEARCH("TPTWL",[1]OUT_TransportEnergyCons!$C$3:$C$1000))*1,[1]OUT_TransportEnergyCons!O$3:O$1000)</f>
        <v>3.8805376843245375E-3</v>
      </c>
      <c r="S1529" s="3"/>
    </row>
    <row r="1530" spans="2:19" x14ac:dyDescent="0.5">
      <c r="B1530" t="str">
        <f t="shared" si="1716"/>
        <v>SPS1</v>
      </c>
      <c r="C1530" t="str">
        <f t="shared" si="1717"/>
        <v>CH</v>
      </c>
      <c r="D1530" t="s">
        <v>1515</v>
      </c>
      <c r="E1530" t="str">
        <f t="shared" si="1718"/>
        <v>Billion km/yr.</v>
      </c>
      <c r="F1530" s="1" cm="1">
        <f t="array" ref="F1530">SUMPRODUCT(("T_TW-icegsl-S3"=[1]OUT_TransportEnergyCons!$A$3:$A$1000)*1,("var_fout"=[1]OUT_TransportEnergyCons!$B$3:$B$1000)*1,ISNUMBER(SEARCH("TPTWL",[1]OUT_TransportEnergyCons!$C$3:$C$1000))*1,[1]OUT_TransportEnergyCons!D$3:D$1000)</f>
        <v>0.1253926732627729</v>
      </c>
      <c r="G1530" s="1" cm="1">
        <f t="array" ref="G1530">SUMPRODUCT(("T_TW-icegsl-S3"=[1]OUT_TransportEnergyCons!$A$3:$A$1000)*1,("var_fout"=[1]OUT_TransportEnergyCons!$B$3:$B$1000)*1,ISNUMBER(SEARCH("TPTWL",[1]OUT_TransportEnergyCons!$C$3:$C$1000))*1,[1]OUT_TransportEnergyCons!E$3:E$1000)</f>
        <v>6.4322117775103049E-2</v>
      </c>
      <c r="H1530" s="1" cm="1">
        <f t="array" ref="H1530">SUMPRODUCT(("T_TW-icegsl-S3"=[1]OUT_TransportEnergyCons!$A$3:$A$1000)*1,("var_fout"=[1]OUT_TransportEnergyCons!$B$3:$B$1000)*1,ISNUMBER(SEARCH("TPTWL",[1]OUT_TransportEnergyCons!$C$3:$C$1000))*1,[1]OUT_TransportEnergyCons!F$3:F$1000)</f>
        <v>6.4051236946783704E-2</v>
      </c>
      <c r="I1530" s="1" cm="1">
        <f t="array" ref="I1530">SUMPRODUCT(("T_TW-icegsl-S3"=[1]OUT_TransportEnergyCons!$A$3:$A$1000)*1,("var_fout"=[1]OUT_TransportEnergyCons!$B$3:$B$1000)*1,ISNUMBER(SEARCH("TPTWL",[1]OUT_TransportEnergyCons!$C$3:$C$1000))*1,[1]OUT_TransportEnergyCons!G$3:G$1000)</f>
        <v>6.5150408650145056E-2</v>
      </c>
      <c r="J1530" s="1" cm="1">
        <f t="array" ref="J1530">SUMPRODUCT(("T_TW-icegsl-S3"=[1]OUT_TransportEnergyCons!$A$3:$A$1000)*1,("var_fout"=[1]OUT_TransportEnergyCons!$B$3:$B$1000)*1,ISNUMBER(SEARCH("TPTWL",[1]OUT_TransportEnergyCons!$C$3:$C$1000))*1,[1]OUT_TransportEnergyCons!H$3:H$1000)</f>
        <v>6.5743539221114825E-2</v>
      </c>
      <c r="K1530" s="1" cm="1">
        <f t="array" ref="K1530">SUMPRODUCT(("T_TW-icegsl-S3"=[1]OUT_TransportEnergyCons!$A$3:$A$1000)*1,("var_fout"=[1]OUT_TransportEnergyCons!$B$3:$B$1000)*1,ISNUMBER(SEARCH("TPTWL",[1]OUT_TransportEnergyCons!$C$3:$C$1000))*1,[1]OUT_TransportEnergyCons!I$3:I$1000)</f>
        <v>3.0108521005150147E-2</v>
      </c>
      <c r="L1530" s="1" cm="1">
        <f t="array" ref="L1530">SUMPRODUCT(("T_TW-icegsl-S3"=[1]OUT_TransportEnergyCons!$A$3:$A$1000)*1,("var_fout"=[1]OUT_TransportEnergyCons!$B$3:$B$1000)*1,ISNUMBER(SEARCH("TPTWL",[1]OUT_TransportEnergyCons!$C$3:$C$1000))*1,[1]OUT_TransportEnergyCons!J$3:J$1000)</f>
        <v>1.1064226573520737E-3</v>
      </c>
      <c r="M1530" s="1" cm="1">
        <f t="array" ref="M1530">SUMPRODUCT(("T_TW-icegsl-S3"=[1]OUT_TransportEnergyCons!$A$3:$A$1000)*1,("var_fout"=[1]OUT_TransportEnergyCons!$B$3:$B$1000)*1,ISNUMBER(SEARCH("TPTWL",[1]OUT_TransportEnergyCons!$C$3:$C$1000))*1,[1]OUT_TransportEnergyCons!K$3:K$1000)</f>
        <v>1.1874550719749143E-3</v>
      </c>
      <c r="N1530" s="1" cm="1">
        <f t="array" ref="N1530">SUMPRODUCT(("T_TW-icegsl-S3"=[1]OUT_TransportEnergyCons!$A$3:$A$1000)*1,("var_fout"=[1]OUT_TransportEnergyCons!$B$3:$B$1000)*1,ISNUMBER(SEARCH("TPTWL",[1]OUT_TransportEnergyCons!$C$3:$C$1000))*1,[1]OUT_TransportEnergyCons!L$3:L$1000)</f>
        <v>1.3418049295718854E-3</v>
      </c>
      <c r="O1530" s="1" cm="1">
        <f t="array" ref="O1530">SUMPRODUCT(("T_TW-icegsl-S3"=[1]OUT_TransportEnergyCons!$A$3:$A$1000)*1,("var_fout"=[1]OUT_TransportEnergyCons!$B$3:$B$1000)*1,ISNUMBER(SEARCH("TPTWL",[1]OUT_TransportEnergyCons!$C$3:$C$1000))*1,[1]OUT_TransportEnergyCons!M$3:M$1000)</f>
        <v>1.4651628842527831E-3</v>
      </c>
      <c r="P1530" s="1" cm="1">
        <f t="array" ref="P1530">SUMPRODUCT(("T_TW-icegsl-S3"=[1]OUT_TransportEnergyCons!$A$3:$A$1000)*1,("var_fout"=[1]OUT_TransportEnergyCons!$B$3:$B$1000)*1,ISNUMBER(SEARCH("TPTWL",[1]OUT_TransportEnergyCons!$C$3:$C$1000))*1,[1]OUT_TransportEnergyCons!N$3:N$1000)</f>
        <v>1.7271903194572647E-3</v>
      </c>
      <c r="Q1530" s="1" cm="1">
        <f t="array" ref="Q1530">SUMPRODUCT(("T_TW-icegsl-S3"=[1]OUT_TransportEnergyCons!$A$3:$A$1000)*1,("var_fout"=[1]OUT_TransportEnergyCons!$B$3:$B$1000)*1,ISNUMBER(SEARCH("TPTWL",[1]OUT_TransportEnergyCons!$C$3:$C$1000))*1,[1]OUT_TransportEnergyCons!O$3:O$1000)</f>
        <v>2.2997441152793896E-3</v>
      </c>
      <c r="S1530" s="3"/>
    </row>
    <row r="1531" spans="2:19" x14ac:dyDescent="0.5">
      <c r="B1531" t="str">
        <f t="shared" si="1716"/>
        <v>SPS1</v>
      </c>
      <c r="C1531" t="str">
        <f t="shared" si="1717"/>
        <v>CH</v>
      </c>
      <c r="D1531" t="s">
        <v>1516</v>
      </c>
      <c r="E1531" t="str">
        <f t="shared" si="1718"/>
        <v>Billion km/yr.</v>
      </c>
      <c r="F1531" s="1" cm="1">
        <f t="array" ref="F1531">SUMPRODUCT(("T_TW-icegsl-S4"=[1]OUT_TransportEnergyCons!$A$3:$A$1000)*1,("var_fout"=[1]OUT_TransportEnergyCons!$B$3:$B$1000)*1,ISNUMBER(SEARCH("TPTWL",[1]OUT_TransportEnergyCons!$C$3:$C$1000))*1,[1]OUT_TransportEnergyCons!D$3:D$1000)</f>
        <v>7.079996367647938E-2</v>
      </c>
      <c r="G1531" s="1" cm="1">
        <f t="array" ref="G1531">SUMPRODUCT(("T_TW-icegsl-S4"=[1]OUT_TransportEnergyCons!$A$3:$A$1000)*1,("var_fout"=[1]OUT_TransportEnergyCons!$B$3:$B$1000)*1,ISNUMBER(SEARCH("TPTWL",[1]OUT_TransportEnergyCons!$C$3:$C$1000))*1,[1]OUT_TransportEnergyCons!E$3:E$1000)</f>
        <v>2.0843487152506626E-2</v>
      </c>
      <c r="H1531" s="1" cm="1">
        <f t="array" ref="H1531">SUMPRODUCT(("T_TW-icegsl-S4"=[1]OUT_TransportEnergyCons!$A$3:$A$1000)*1,("var_fout"=[1]OUT_TransportEnergyCons!$B$3:$B$1000)*1,ISNUMBER(SEARCH("TPTWL",[1]OUT_TransportEnergyCons!$C$3:$C$1000))*1,[1]OUT_TransportEnergyCons!F$3:F$1000)</f>
        <v>2.064883508775478E-2</v>
      </c>
      <c r="I1531" s="1" cm="1">
        <f t="array" ref="I1531">SUMPRODUCT(("T_TW-icegsl-S4"=[1]OUT_TransportEnergyCons!$A$3:$A$1000)*1,("var_fout"=[1]OUT_TransportEnergyCons!$B$3:$B$1000)*1,ISNUMBER(SEARCH("TPTWL",[1]OUT_TransportEnergyCons!$C$3:$C$1000))*1,[1]OUT_TransportEnergyCons!G$3:G$1000)</f>
        <v>2.1453076833761832E-2</v>
      </c>
      <c r="J1531" s="1" cm="1">
        <f t="array" ref="J1531">SUMPRODUCT(("T_TW-icegsl-S4"=[1]OUT_TransportEnergyCons!$A$3:$A$1000)*1,("var_fout"=[1]OUT_TransportEnergyCons!$B$3:$B$1000)*1,ISNUMBER(SEARCH("TPTWL",[1]OUT_TransportEnergyCons!$C$3:$C$1000))*1,[1]OUT_TransportEnergyCons!H$3:H$1000)</f>
        <v>2.2309472337408806E-2</v>
      </c>
      <c r="K1531" s="1" cm="1">
        <f t="array" ref="K1531">SUMPRODUCT(("T_TW-icegsl-S4"=[1]OUT_TransportEnergyCons!$A$3:$A$1000)*1,("var_fout"=[1]OUT_TransportEnergyCons!$B$3:$B$1000)*1,ISNUMBER(SEARCH("TPTWL",[1]OUT_TransportEnergyCons!$C$3:$C$1000))*1,[1]OUT_TransportEnergyCons!I$3:I$1000)</f>
        <v>2.1323039446663718E-2</v>
      </c>
      <c r="L1531" s="1" cm="1">
        <f t="array" ref="L1531">SUMPRODUCT(("T_TW-icegsl-S4"=[1]OUT_TransportEnergyCons!$A$3:$A$1000)*1,("var_fout"=[1]OUT_TransportEnergyCons!$B$3:$B$1000)*1,ISNUMBER(SEARCH("TPTWL",[1]OUT_TransportEnergyCons!$C$3:$C$1000))*1,[1]OUT_TransportEnergyCons!J$3:J$1000)</f>
        <v>6.5687479906799129E-3</v>
      </c>
      <c r="M1531" s="1" cm="1">
        <f t="array" ref="M1531">SUMPRODUCT(("T_TW-icegsl-S4"=[1]OUT_TransportEnergyCons!$A$3:$A$1000)*1,("var_fout"=[1]OUT_TransportEnergyCons!$B$3:$B$1000)*1,ISNUMBER(SEARCH("TPTWL",[1]OUT_TransportEnergyCons!$C$3:$C$1000))*1,[1]OUT_TransportEnergyCons!K$3:K$1000)</f>
        <v>8.2673048279277236E-4</v>
      </c>
      <c r="N1531" s="1" cm="1">
        <f t="array" ref="N1531">SUMPRODUCT(("T_TW-icegsl-S4"=[1]OUT_TransportEnergyCons!$A$3:$A$1000)*1,("var_fout"=[1]OUT_TransportEnergyCons!$B$3:$B$1000)*1,ISNUMBER(SEARCH("TPTWL",[1]OUT_TransportEnergyCons!$C$3:$C$1000))*1,[1]OUT_TransportEnergyCons!L$3:L$1000)</f>
        <v>9.2173953450061746E-4</v>
      </c>
      <c r="O1531" s="1" cm="1">
        <f t="array" ref="O1531">SUMPRODUCT(("T_TW-icegsl-S4"=[1]OUT_TransportEnergyCons!$A$3:$A$1000)*1,("var_fout"=[1]OUT_TransportEnergyCons!$B$3:$B$1000)*1,ISNUMBER(SEARCH("TPTWL",[1]OUT_TransportEnergyCons!$C$3:$C$1000))*1,[1]OUT_TransportEnergyCons!M$3:M$1000)</f>
        <v>1.0546618576051127E-3</v>
      </c>
      <c r="P1531" s="1" cm="1">
        <f t="array" ref="P1531">SUMPRODUCT(("T_TW-icegsl-S4"=[1]OUT_TransportEnergyCons!$A$3:$A$1000)*1,("var_fout"=[1]OUT_TransportEnergyCons!$B$3:$B$1000)*1,ISNUMBER(SEARCH("TPTWL",[1]OUT_TransportEnergyCons!$C$3:$C$1000))*1,[1]OUT_TransportEnergyCons!N$3:N$1000)</f>
        <v>1.1885956042100344E-3</v>
      </c>
      <c r="Q1531" s="1" cm="1">
        <f t="array" ref="Q1531">SUMPRODUCT(("T_TW-icegsl-S4"=[1]OUT_TransportEnergyCons!$A$3:$A$1000)*1,("var_fout"=[1]OUT_TransportEnergyCons!$B$3:$B$1000)*1,ISNUMBER(SEARCH("TPTWL",[1]OUT_TransportEnergyCons!$C$3:$C$1000))*1,[1]OUT_TransportEnergyCons!O$3:O$1000)</f>
        <v>1.5613395538876425E-3</v>
      </c>
      <c r="S1531" s="3"/>
    </row>
    <row r="1532" spans="2:19" x14ac:dyDescent="0.5">
      <c r="B1532" s="9" t="str">
        <f t="shared" si="1716"/>
        <v>SPS1</v>
      </c>
      <c r="C1532" s="9" t="str">
        <f t="shared" si="1717"/>
        <v>CH</v>
      </c>
      <c r="D1532" s="2" t="s">
        <v>1518</v>
      </c>
      <c r="E1532" s="2" t="s">
        <v>1229</v>
      </c>
      <c r="F1532" s="21" t="s">
        <v>1527</v>
      </c>
      <c r="G1532" s="21" t="s">
        <v>1527</v>
      </c>
      <c r="H1532" s="21" t="s">
        <v>1527</v>
      </c>
      <c r="I1532" s="21" t="s">
        <v>1527</v>
      </c>
      <c r="J1532" s="21" t="s">
        <v>1527</v>
      </c>
      <c r="K1532" s="21" t="s">
        <v>1527</v>
      </c>
      <c r="L1532" s="21" t="s">
        <v>1527</v>
      </c>
      <c r="M1532" s="21" t="s">
        <v>1527</v>
      </c>
      <c r="N1532" s="21" t="s">
        <v>1527</v>
      </c>
      <c r="O1532" s="21" t="s">
        <v>1527</v>
      </c>
      <c r="P1532" s="21" t="s">
        <v>1527</v>
      </c>
      <c r="Q1532" s="21" t="s">
        <v>1527</v>
      </c>
      <c r="S1532" s="3"/>
    </row>
    <row r="1533" spans="2:19" x14ac:dyDescent="0.5">
      <c r="B1533" t="str">
        <f t="shared" si="1716"/>
        <v>SPS1</v>
      </c>
      <c r="C1533" t="str">
        <f t="shared" si="1717"/>
        <v>CH</v>
      </c>
      <c r="D1533" t="s">
        <v>1519</v>
      </c>
      <c r="E1533" t="s">
        <v>1229</v>
      </c>
      <c r="F1533" s="1">
        <f t="shared" ref="F1533:K1536" si="1719">IFERROR(F1519/F1499,"-")</f>
        <v>11.098927012431906</v>
      </c>
      <c r="G1533" s="1">
        <f t="shared" si="1719"/>
        <v>11.154391383226395</v>
      </c>
      <c r="H1533" s="1">
        <f t="shared" si="1719"/>
        <v>11.15627765922931</v>
      </c>
      <c r="I1533" s="1">
        <f t="shared" si="1719"/>
        <v>11.15720663597927</v>
      </c>
      <c r="J1533" s="1">
        <f t="shared" si="1719"/>
        <v>11.370906505072821</v>
      </c>
      <c r="K1533" s="1">
        <f t="shared" si="1719"/>
        <v>11.624268984831913</v>
      </c>
      <c r="L1533" s="1">
        <f t="shared" ref="L1533:O1533" si="1720">IFERROR(L1519/L1499,"-")</f>
        <v>11.772556115347246</v>
      </c>
      <c r="M1533" s="1">
        <f t="shared" si="1720"/>
        <v>11.851199074963757</v>
      </c>
      <c r="N1533" s="1">
        <f t="shared" si="1720"/>
        <v>11.886663871098522</v>
      </c>
      <c r="O1533" s="1">
        <f t="shared" si="1720"/>
        <v>11.913862498205892</v>
      </c>
      <c r="P1533" s="1">
        <f t="shared" ref="P1533:Q1536" si="1721">IFERROR(P1519/P1499,"-")</f>
        <v>11.913862498205885</v>
      </c>
      <c r="Q1533" s="1">
        <f t="shared" si="1721"/>
        <v>11.913862498205905</v>
      </c>
      <c r="S1533" s="3"/>
    </row>
    <row r="1534" spans="2:19" x14ac:dyDescent="0.5">
      <c r="B1534" t="str">
        <f t="shared" si="1716"/>
        <v>SPS1</v>
      </c>
      <c r="C1534" t="str">
        <f t="shared" si="1717"/>
        <v>CH</v>
      </c>
      <c r="D1534" t="s">
        <v>1520</v>
      </c>
      <c r="E1534" t="s">
        <v>1229</v>
      </c>
      <c r="F1534" s="1">
        <f t="shared" si="1719"/>
        <v>6.2845243629359979</v>
      </c>
      <c r="G1534" s="1">
        <f t="shared" si="1719"/>
        <v>6.2949472885096993</v>
      </c>
      <c r="H1534" s="1">
        <f t="shared" si="1719"/>
        <v>6.3128339963803786</v>
      </c>
      <c r="I1534" s="1">
        <f t="shared" si="1719"/>
        <v>6.3296957418527109</v>
      </c>
      <c r="J1534" s="1">
        <f t="shared" si="1719"/>
        <v>6.4464124726945213</v>
      </c>
      <c r="K1534" s="1">
        <f t="shared" si="1719"/>
        <v>6.5512911790821509</v>
      </c>
      <c r="L1534" s="1">
        <f t="shared" ref="L1534:O1534" si="1722">IFERROR(L1520/L1500,"-")</f>
        <v>6.6063161102164436</v>
      </c>
      <c r="M1534" s="1">
        <f t="shared" si="1722"/>
        <v>6.6874414040527403</v>
      </c>
      <c r="N1534" s="1">
        <f t="shared" si="1722"/>
        <v>6.7319877675455082</v>
      </c>
      <c r="O1534" s="1">
        <f t="shared" si="1722"/>
        <v>6.7466492376299998</v>
      </c>
      <c r="P1534" s="1">
        <f t="shared" si="1721"/>
        <v>6.7466492376299971</v>
      </c>
      <c r="Q1534" s="1">
        <f t="shared" si="1721"/>
        <v>6.7466492376300069</v>
      </c>
      <c r="S1534" s="3"/>
    </row>
    <row r="1535" spans="2:19" x14ac:dyDescent="0.5">
      <c r="B1535" t="str">
        <f t="shared" si="1716"/>
        <v>SPS1</v>
      </c>
      <c r="C1535" t="str">
        <f t="shared" si="1717"/>
        <v>CH</v>
      </c>
      <c r="D1535" t="s">
        <v>1521</v>
      </c>
      <c r="E1535" t="s">
        <v>1229</v>
      </c>
      <c r="F1535" s="1">
        <f t="shared" si="1719"/>
        <v>4.0901432735634895</v>
      </c>
      <c r="G1535" s="1">
        <f t="shared" si="1719"/>
        <v>4.1003608719717946</v>
      </c>
      <c r="H1535" s="1">
        <f t="shared" si="1719"/>
        <v>4.1175162323961834</v>
      </c>
      <c r="I1535" s="1">
        <f t="shared" si="1719"/>
        <v>4.1333402031865418</v>
      </c>
      <c r="J1535" s="1">
        <f t="shared" si="1719"/>
        <v>4.1715788114432719</v>
      </c>
      <c r="K1535" s="1">
        <f t="shared" si="1719"/>
        <v>4.2260249608197675</v>
      </c>
      <c r="L1535" s="1">
        <f t="shared" ref="L1535:O1535" si="1723">IFERROR(L1521/L1501,"-")</f>
        <v>4.3143969477466211</v>
      </c>
      <c r="M1535" s="1">
        <f t="shared" si="1723"/>
        <v>4.3663045262681237</v>
      </c>
      <c r="N1535" s="1">
        <f t="shared" si="1723"/>
        <v>4.3998829498965053</v>
      </c>
      <c r="O1535" s="1">
        <f t="shared" si="1723"/>
        <v>4.428845745885936</v>
      </c>
      <c r="P1535" s="1">
        <f t="shared" si="1721"/>
        <v>4.4389918965394193</v>
      </c>
      <c r="Q1535" s="1">
        <f t="shared" si="1721"/>
        <v>4.4389918965394273</v>
      </c>
      <c r="S1535" s="3"/>
    </row>
    <row r="1536" spans="2:19" x14ac:dyDescent="0.5">
      <c r="B1536" t="str">
        <f t="shared" si="1716"/>
        <v>SPS1</v>
      </c>
      <c r="C1536" t="str">
        <f t="shared" si="1717"/>
        <v>CH</v>
      </c>
      <c r="D1536" t="s">
        <v>1522</v>
      </c>
      <c r="E1536" t="s">
        <v>1229</v>
      </c>
      <c r="F1536" s="1">
        <f t="shared" si="1719"/>
        <v>3.7650534829600377</v>
      </c>
      <c r="G1536" s="1">
        <f t="shared" si="1719"/>
        <v>3.7755567009929814</v>
      </c>
      <c r="H1536" s="1">
        <f t="shared" si="1719"/>
        <v>3.7914350438865463</v>
      </c>
      <c r="I1536" s="1">
        <f t="shared" si="1719"/>
        <v>3.8107180634713766</v>
      </c>
      <c r="J1536" s="1">
        <f t="shared" si="1719"/>
        <v>3.8441173470283903</v>
      </c>
      <c r="K1536" s="1">
        <f t="shared" si="1719"/>
        <v>3.8793281341189845</v>
      </c>
      <c r="L1536" s="1">
        <f t="shared" ref="L1536:O1536" si="1724">IFERROR(L1522/L1502,"-")</f>
        <v>3.9439465905578346</v>
      </c>
      <c r="M1536" s="1">
        <f t="shared" si="1724"/>
        <v>4.0377401133690727</v>
      </c>
      <c r="N1536" s="1">
        <f t="shared" si="1724"/>
        <v>4.0701411505551093</v>
      </c>
      <c r="O1536" s="1">
        <f t="shared" si="1724"/>
        <v>4.0985142224432538</v>
      </c>
      <c r="P1536" s="1">
        <f t="shared" si="1721"/>
        <v>4.1162732544401761</v>
      </c>
      <c r="Q1536" s="1">
        <f t="shared" si="1721"/>
        <v>4.1237577328637123</v>
      </c>
      <c r="S1536" s="3"/>
    </row>
    <row r="1537" spans="2:19" x14ac:dyDescent="0.5">
      <c r="B1537" t="str">
        <f t="shared" si="1716"/>
        <v>SPS1</v>
      </c>
      <c r="C1537" t="str">
        <f t="shared" si="1717"/>
        <v>CH</v>
      </c>
      <c r="D1537" t="s">
        <v>1523</v>
      </c>
      <c r="E1537" t="s">
        <v>1229</v>
      </c>
      <c r="F1537" s="1" t="str">
        <f t="shared" ref="F1537:K1540" si="1725">IFERROR(F1523/F1504,"-")</f>
        <v>-</v>
      </c>
      <c r="G1537" s="1" t="str">
        <f t="shared" si="1725"/>
        <v>-</v>
      </c>
      <c r="H1537" s="1" t="str">
        <f t="shared" si="1725"/>
        <v>-</v>
      </c>
      <c r="I1537" s="1">
        <f t="shared" si="1725"/>
        <v>4.6391179485367786</v>
      </c>
      <c r="J1537" s="1">
        <f t="shared" si="1725"/>
        <v>4.6921265222319155</v>
      </c>
      <c r="K1537" s="1">
        <f t="shared" si="1725"/>
        <v>4.7530527389765549</v>
      </c>
      <c r="L1537" s="1">
        <f t="shared" ref="L1537:O1537" si="1726">IFERROR(L1523/L1504,"-")</f>
        <v>4.8191149262519382</v>
      </c>
      <c r="M1537" s="1">
        <f t="shared" si="1726"/>
        <v>4.9022611714201396</v>
      </c>
      <c r="N1537" s="1">
        <f t="shared" si="1726"/>
        <v>4.9297806385176814</v>
      </c>
      <c r="O1537" s="1">
        <f t="shared" si="1726"/>
        <v>4.9376073198960251</v>
      </c>
      <c r="P1537" s="1">
        <f t="shared" ref="P1537:Q1540" si="1727">IFERROR(P1523/P1504,"-")</f>
        <v>4.9376073198960153</v>
      </c>
      <c r="Q1537" s="1">
        <f t="shared" si="1727"/>
        <v>4.9376073198960215</v>
      </c>
      <c r="S1537" s="3"/>
    </row>
    <row r="1538" spans="2:19" x14ac:dyDescent="0.5">
      <c r="B1538" t="str">
        <f t="shared" si="1716"/>
        <v>SPS1</v>
      </c>
      <c r="C1538" t="str">
        <f t="shared" si="1717"/>
        <v>CH</v>
      </c>
      <c r="D1538" t="s">
        <v>1524</v>
      </c>
      <c r="E1538" t="s">
        <v>1229</v>
      </c>
      <c r="F1538" s="1" t="str">
        <f t="shared" si="1725"/>
        <v>-</v>
      </c>
      <c r="G1538" s="1" t="str">
        <f t="shared" si="1725"/>
        <v>-</v>
      </c>
      <c r="H1538" s="1" t="str">
        <f t="shared" si="1725"/>
        <v>-</v>
      </c>
      <c r="I1538" s="1">
        <f t="shared" si="1725"/>
        <v>2.7008868509993635</v>
      </c>
      <c r="J1538" s="1">
        <f t="shared" si="1725"/>
        <v>2.727177195293867</v>
      </c>
      <c r="K1538" s="1">
        <f t="shared" si="1725"/>
        <v>2.7554362189209991</v>
      </c>
      <c r="L1538" s="1">
        <f t="shared" ref="L1538:O1538" si="1728">IFERROR(L1524/L1505,"-")</f>
        <v>2.7908483797976902</v>
      </c>
      <c r="M1538" s="1">
        <f t="shared" si="1728"/>
        <v>2.8314176390747399</v>
      </c>
      <c r="N1538" s="1">
        <f t="shared" si="1728"/>
        <v>2.8550715657908543</v>
      </c>
      <c r="O1538" s="1">
        <f t="shared" si="1728"/>
        <v>2.862912211759451</v>
      </c>
      <c r="P1538" s="1">
        <f t="shared" si="1727"/>
        <v>2.862912211759447</v>
      </c>
      <c r="Q1538" s="1">
        <f t="shared" si="1727"/>
        <v>2.8629122117594559</v>
      </c>
      <c r="S1538" s="3"/>
    </row>
    <row r="1539" spans="2:19" x14ac:dyDescent="0.5">
      <c r="B1539" t="str">
        <f t="shared" si="1716"/>
        <v>SPS1</v>
      </c>
      <c r="C1539" t="str">
        <f t="shared" si="1717"/>
        <v>CH</v>
      </c>
      <c r="D1539" t="s">
        <v>1525</v>
      </c>
      <c r="E1539" t="s">
        <v>1229</v>
      </c>
      <c r="F1539" s="1" t="str">
        <f t="shared" si="1725"/>
        <v>-</v>
      </c>
      <c r="G1539" s="1" t="str">
        <f t="shared" si="1725"/>
        <v>-</v>
      </c>
      <c r="H1539" s="1" t="str">
        <f t="shared" si="1725"/>
        <v>-</v>
      </c>
      <c r="I1539" s="1">
        <f t="shared" si="1725"/>
        <v>1.7606485351727295</v>
      </c>
      <c r="J1539" s="1">
        <f t="shared" si="1725"/>
        <v>1.7797577501309565</v>
      </c>
      <c r="K1539" s="1">
        <f t="shared" si="1725"/>
        <v>1.7951520999575372</v>
      </c>
      <c r="L1539" s="1">
        <f t="shared" ref="L1539:O1539" si="1729">IFERROR(L1525/L1506,"-")</f>
        <v>1.814613751981591</v>
      </c>
      <c r="M1539" s="1">
        <f t="shared" si="1729"/>
        <v>1.8409130162847183</v>
      </c>
      <c r="N1539" s="1">
        <f t="shared" si="1729"/>
        <v>1.8571999473992455</v>
      </c>
      <c r="O1539" s="1">
        <f t="shared" si="1729"/>
        <v>1.8706039696506964</v>
      </c>
      <c r="P1539" s="1">
        <f t="shared" si="1727"/>
        <v>1.8752252137143017</v>
      </c>
      <c r="Q1539" s="1">
        <f t="shared" si="1727"/>
        <v>1.875225213714302</v>
      </c>
      <c r="S1539" s="3"/>
    </row>
    <row r="1540" spans="2:19" x14ac:dyDescent="0.5">
      <c r="B1540" t="str">
        <f t="shared" si="1716"/>
        <v>SPS1</v>
      </c>
      <c r="C1540" t="str">
        <f t="shared" si="1717"/>
        <v>CH</v>
      </c>
      <c r="D1540" t="s">
        <v>1526</v>
      </c>
      <c r="E1540" t="s">
        <v>1229</v>
      </c>
      <c r="F1540" s="1" t="str">
        <f t="shared" si="1725"/>
        <v>-</v>
      </c>
      <c r="G1540" s="1" t="str">
        <f t="shared" si="1725"/>
        <v>-</v>
      </c>
      <c r="H1540" s="1" t="str">
        <f t="shared" si="1725"/>
        <v>-</v>
      </c>
      <c r="I1540" s="1">
        <f t="shared" si="1725"/>
        <v>1.5620411785777202</v>
      </c>
      <c r="J1540" s="1">
        <f t="shared" si="1725"/>
        <v>1.5797695376321292</v>
      </c>
      <c r="K1540" s="1">
        <f t="shared" si="1725"/>
        <v>1.5969042641949465</v>
      </c>
      <c r="L1540" s="1">
        <f t="shared" ref="L1540:O1540" si="1730">IFERROR(L1526/L1507,"-")</f>
        <v>1.6156491331776364</v>
      </c>
      <c r="M1540" s="1">
        <f t="shared" si="1730"/>
        <v>1.6383116585661361</v>
      </c>
      <c r="N1540" s="1">
        <f t="shared" si="1730"/>
        <v>1.6550537247768264</v>
      </c>
      <c r="O1540" s="1">
        <f t="shared" si="1730"/>
        <v>1.6674692223900462</v>
      </c>
      <c r="P1540" s="1">
        <f t="shared" si="1727"/>
        <v>1.674897970380933</v>
      </c>
      <c r="Q1540" s="1">
        <f t="shared" si="1727"/>
        <v>1.6779856082197395</v>
      </c>
      <c r="S1540" s="3"/>
    </row>
    <row r="1541" spans="2:19" x14ac:dyDescent="0.5">
      <c r="B1541" t="str">
        <f t="shared" si="1716"/>
        <v>SPS1</v>
      </c>
      <c r="C1541" t="str">
        <f t="shared" si="1717"/>
        <v>CH</v>
      </c>
      <c r="D1541" t="s">
        <v>1582</v>
      </c>
      <c r="E1541" t="s">
        <v>1229</v>
      </c>
      <c r="F1541" s="1">
        <f t="shared" ref="F1541:K1545" si="1731">IFERROR(F1527/F1513,"-")</f>
        <v>0.77116510534577853</v>
      </c>
      <c r="G1541" s="1">
        <f t="shared" si="1731"/>
        <v>0.78723832996732013</v>
      </c>
      <c r="H1541" s="1">
        <f t="shared" si="1731"/>
        <v>0.81134816689963274</v>
      </c>
      <c r="I1541" s="1">
        <f t="shared" si="1731"/>
        <v>0.85153122845348872</v>
      </c>
      <c r="J1541" s="1" t="str">
        <f t="shared" si="1731"/>
        <v>-</v>
      </c>
      <c r="K1541" s="1" t="str">
        <f t="shared" si="1731"/>
        <v>-</v>
      </c>
      <c r="L1541" s="1" t="str">
        <f t="shared" ref="L1541:O1541" si="1732">IFERROR(L1527/L1513,"-")</f>
        <v>-</v>
      </c>
      <c r="M1541" s="1" t="str">
        <f t="shared" si="1732"/>
        <v>-</v>
      </c>
      <c r="N1541" s="1" t="str">
        <f t="shared" si="1732"/>
        <v>-</v>
      </c>
      <c r="O1541" s="1" t="str">
        <f t="shared" si="1732"/>
        <v>-</v>
      </c>
      <c r="P1541" s="1" t="str">
        <f t="shared" ref="P1541:Q1545" si="1733">IFERROR(P1527/P1513,"-")</f>
        <v>-</v>
      </c>
      <c r="Q1541" s="1" t="str">
        <f t="shared" si="1733"/>
        <v>-</v>
      </c>
      <c r="S1541" s="3"/>
    </row>
    <row r="1542" spans="2:19" x14ac:dyDescent="0.5">
      <c r="B1542" t="str">
        <f t="shared" si="1716"/>
        <v>SPS1</v>
      </c>
      <c r="C1542" t="str">
        <f t="shared" si="1717"/>
        <v>CH</v>
      </c>
      <c r="D1542" t="s">
        <v>1583</v>
      </c>
      <c r="E1542" t="s">
        <v>1229</v>
      </c>
      <c r="F1542" s="1">
        <f t="shared" si="1731"/>
        <v>1.9078836334110911</v>
      </c>
      <c r="G1542" s="1">
        <f t="shared" si="1731"/>
        <v>1.923546969097083</v>
      </c>
      <c r="H1542" s="1">
        <f t="shared" si="1731"/>
        <v>1.9240477559492652</v>
      </c>
      <c r="I1542" s="1">
        <f t="shared" si="1731"/>
        <v>1.9501258411135629</v>
      </c>
      <c r="J1542" s="1">
        <f t="shared" si="1731"/>
        <v>2.0371991338264781</v>
      </c>
      <c r="K1542" s="1">
        <f t="shared" si="1731"/>
        <v>2.0508977186748241</v>
      </c>
      <c r="L1542" s="1">
        <f t="shared" ref="L1542:O1542" si="1734">IFERROR(L1528/L1514,"-")</f>
        <v>2.057076599488151</v>
      </c>
      <c r="M1542" s="1">
        <f t="shared" si="1734"/>
        <v>2.0994718893037425</v>
      </c>
      <c r="N1542" s="1">
        <f t="shared" si="1734"/>
        <v>2.1750038575658275</v>
      </c>
      <c r="O1542" s="1">
        <f t="shared" si="1734"/>
        <v>2.1882785185199523</v>
      </c>
      <c r="P1542" s="1">
        <f t="shared" si="1733"/>
        <v>2.1882785185199518</v>
      </c>
      <c r="Q1542" s="1">
        <f t="shared" si="1733"/>
        <v>2.1882785185199523</v>
      </c>
      <c r="S1542" s="3"/>
    </row>
    <row r="1543" spans="2:19" x14ac:dyDescent="0.5">
      <c r="B1543" t="str">
        <f t="shared" si="1716"/>
        <v>SPS1</v>
      </c>
      <c r="C1543" t="str">
        <f t="shared" si="1717"/>
        <v>CH</v>
      </c>
      <c r="D1543" t="s">
        <v>1584</v>
      </c>
      <c r="E1543" t="s">
        <v>1229</v>
      </c>
      <c r="F1543" s="1">
        <f t="shared" si="1731"/>
        <v>1.1027629847473199</v>
      </c>
      <c r="G1543" s="1">
        <f t="shared" si="1731"/>
        <v>1.1043106010236188</v>
      </c>
      <c r="H1543" s="1">
        <f t="shared" si="1731"/>
        <v>1.1043682173628242</v>
      </c>
      <c r="I1543" s="1">
        <f t="shared" si="1731"/>
        <v>1.1048799107258989</v>
      </c>
      <c r="J1543" s="1">
        <f t="shared" si="1731"/>
        <v>1.1147974693370284</v>
      </c>
      <c r="K1543" s="1">
        <f t="shared" si="1731"/>
        <v>1.1813748676824027</v>
      </c>
      <c r="L1543" s="1">
        <f t="shared" ref="L1543:O1543" si="1735">IFERROR(L1529/L1515,"-")</f>
        <v>1.2043763658691122</v>
      </c>
      <c r="M1543" s="1">
        <f t="shared" si="1735"/>
        <v>1.2308841284552712</v>
      </c>
      <c r="N1543" s="1">
        <f t="shared" si="1735"/>
        <v>1.2507045730511228</v>
      </c>
      <c r="O1543" s="1">
        <f t="shared" si="1735"/>
        <v>1.2575779131572395</v>
      </c>
      <c r="P1543" s="1">
        <f t="shared" si="1733"/>
        <v>1.2575779131572404</v>
      </c>
      <c r="Q1543" s="1">
        <f t="shared" si="1733"/>
        <v>1.2575779131572413</v>
      </c>
      <c r="S1543" s="3"/>
    </row>
    <row r="1544" spans="2:19" x14ac:dyDescent="0.5">
      <c r="B1544" t="str">
        <f t="shared" si="1716"/>
        <v>SPS1</v>
      </c>
      <c r="C1544" t="str">
        <f t="shared" si="1717"/>
        <v>CH</v>
      </c>
      <c r="D1544" t="s">
        <v>1585</v>
      </c>
      <c r="E1544" t="s">
        <v>1229</v>
      </c>
      <c r="F1544" s="1">
        <f t="shared" si="1731"/>
        <v>0.729426980436369</v>
      </c>
      <c r="G1544" s="1">
        <f t="shared" si="1731"/>
        <v>0.73110585803367178</v>
      </c>
      <c r="H1544" s="1">
        <f t="shared" si="1731"/>
        <v>0.73114945335629289</v>
      </c>
      <c r="I1544" s="1">
        <f t="shared" si="1731"/>
        <v>0.73126044520913791</v>
      </c>
      <c r="J1544" s="1">
        <f t="shared" si="1731"/>
        <v>0.73149812224409672</v>
      </c>
      <c r="K1544" s="1">
        <f t="shared" si="1731"/>
        <v>0.73310378940589083</v>
      </c>
      <c r="L1544" s="1">
        <f t="shared" ref="L1544:O1544" si="1736">IFERROR(L1530/L1516,"-")</f>
        <v>0.78742461648487416</v>
      </c>
      <c r="M1544" s="1">
        <f t="shared" si="1736"/>
        <v>0.80505012224531314</v>
      </c>
      <c r="N1544" s="1">
        <f t="shared" si="1736"/>
        <v>0.8167169575939377</v>
      </c>
      <c r="O1544" s="1">
        <f t="shared" si="1736"/>
        <v>0.82795760331962709</v>
      </c>
      <c r="P1544" s="1">
        <f t="shared" si="1733"/>
        <v>0.83134781163543248</v>
      </c>
      <c r="Q1544" s="1">
        <f t="shared" si="1733"/>
        <v>0.83134781163543436</v>
      </c>
      <c r="S1544" s="3"/>
    </row>
    <row r="1545" spans="2:19" x14ac:dyDescent="0.5">
      <c r="B1545" t="str">
        <f t="shared" si="1716"/>
        <v>SPS1</v>
      </c>
      <c r="C1545" t="str">
        <f t="shared" si="1717"/>
        <v>CH</v>
      </c>
      <c r="D1545" t="s">
        <v>1586</v>
      </c>
      <c r="E1545" t="s">
        <v>1229</v>
      </c>
      <c r="F1545" s="1">
        <f t="shared" si="1731"/>
        <v>0.67580166525687213</v>
      </c>
      <c r="G1545" s="1">
        <f t="shared" si="1731"/>
        <v>0.67676249828377488</v>
      </c>
      <c r="H1545" s="1">
        <f t="shared" si="1731"/>
        <v>0.6768260609096397</v>
      </c>
      <c r="I1545" s="1">
        <f t="shared" si="1731"/>
        <v>0.67699840774023767</v>
      </c>
      <c r="J1545" s="1">
        <f t="shared" si="1731"/>
        <v>0.67728804671965082</v>
      </c>
      <c r="K1545" s="1">
        <f t="shared" si="1731"/>
        <v>0.67776280702258496</v>
      </c>
      <c r="L1545" s="1">
        <f t="shared" ref="L1545:O1545" si="1737">IFERROR(L1531/L1517,"-")</f>
        <v>0.6825914222514623</v>
      </c>
      <c r="M1545" s="1">
        <f t="shared" si="1737"/>
        <v>0.74278082616483843</v>
      </c>
      <c r="N1545" s="1">
        <f t="shared" si="1737"/>
        <v>0.75510029834117087</v>
      </c>
      <c r="O1545" s="1">
        <f t="shared" si="1737"/>
        <v>0.76447434949725024</v>
      </c>
      <c r="P1545" s="1">
        <f t="shared" si="1733"/>
        <v>0.77009335565415582</v>
      </c>
      <c r="Q1545" s="1">
        <f t="shared" si="1733"/>
        <v>0.77223175790060372</v>
      </c>
      <c r="S1545" s="3"/>
    </row>
    <row r="1546" spans="2:19" x14ac:dyDescent="0.5">
      <c r="B1546" s="2" t="str">
        <f>B1545</f>
        <v>SPS1</v>
      </c>
      <c r="C1546" s="2" t="str">
        <f>C1545</f>
        <v>CH</v>
      </c>
      <c r="D1546" s="2" t="s">
        <v>1535</v>
      </c>
      <c r="E1546" s="2" t="s">
        <v>8</v>
      </c>
      <c r="F1546" s="3">
        <f>F1547+F1550+F1552+F1559+F1567</f>
        <v>16.716933426900749</v>
      </c>
      <c r="G1546" s="3">
        <f t="shared" ref="G1546:K1546" si="1738">G1547+G1550+G1552+G1559+G1567</f>
        <v>15.539259471159726</v>
      </c>
      <c r="H1546" s="3">
        <f t="shared" si="1738"/>
        <v>10.463875828997045</v>
      </c>
      <c r="I1546" s="3">
        <f t="shared" si="1738"/>
        <v>10.076098109004908</v>
      </c>
      <c r="J1546" s="3">
        <f t="shared" si="1738"/>
        <v>7.6823398896740871</v>
      </c>
      <c r="K1546" s="3">
        <f t="shared" si="1738"/>
        <v>7.3594827058790058</v>
      </c>
      <c r="L1546" s="3">
        <f t="shared" ref="L1546:O1546" si="1739">L1547+L1550+L1552+L1559+L1567</f>
        <v>7.6659321881220235</v>
      </c>
      <c r="M1546" s="3">
        <f t="shared" si="1739"/>
        <v>7.9727971633885701</v>
      </c>
      <c r="N1546" s="3">
        <f t="shared" si="1739"/>
        <v>8.3461338194940531</v>
      </c>
      <c r="O1546" s="3">
        <f t="shared" si="1739"/>
        <v>8.8705263941629493</v>
      </c>
      <c r="P1546" s="3">
        <f>P1547+P1550+P1552+P1559+P1567</f>
        <v>9.4527042665022361</v>
      </c>
      <c r="Q1546" s="3">
        <f>Q1547+Q1550+Q1552+Q1559+Q1567</f>
        <v>10.092650800479163</v>
      </c>
      <c r="S1546" s="3"/>
    </row>
    <row r="1547" spans="2:19" x14ac:dyDescent="0.5">
      <c r="B1547" t="str">
        <f t="shared" ref="B1547:B1592" si="1740">B1546</f>
        <v>SPS1</v>
      </c>
      <c r="C1547" t="str">
        <f t="shared" ref="C1547:C1592" si="1741">C1546</f>
        <v>CH</v>
      </c>
      <c r="D1547" t="s">
        <v>1536</v>
      </c>
      <c r="E1547" t="str">
        <f>E1546</f>
        <v>PJ/yr.</v>
      </c>
      <c r="F1547" s="1">
        <f>SUM(F1548:F1549)</f>
        <v>7.5210112379835298E-2</v>
      </c>
      <c r="G1547" s="1">
        <f t="shared" ref="G1547:K1547" si="1742">SUM(G1548:G1549)</f>
        <v>0.24702339497158549</v>
      </c>
      <c r="H1547" s="1">
        <f t="shared" si="1742"/>
        <v>3.8673916425691184</v>
      </c>
      <c r="I1547" s="1">
        <f t="shared" si="1742"/>
        <v>3.9267186604536843</v>
      </c>
      <c r="J1547" s="1">
        <f t="shared" si="1742"/>
        <v>6.3448244984887392</v>
      </c>
      <c r="K1547" s="1">
        <f t="shared" si="1742"/>
        <v>7.3585724710100955</v>
      </c>
      <c r="L1547" s="1">
        <f t="shared" ref="L1547:O1547" si="1743">SUM(L1548:L1549)</f>
        <v>7.6657718929524492</v>
      </c>
      <c r="M1547" s="1">
        <f t="shared" si="1743"/>
        <v>7.9726425654780595</v>
      </c>
      <c r="N1547" s="1">
        <f t="shared" si="1743"/>
        <v>8.3459809143963124</v>
      </c>
      <c r="O1547" s="1">
        <f t="shared" si="1743"/>
        <v>8.8703748499593971</v>
      </c>
      <c r="P1547" s="1">
        <f>SUM(P1548:P1549)</f>
        <v>9.452550939470008</v>
      </c>
      <c r="Q1547" s="1">
        <f>SUM(Q1548:Q1549)</f>
        <v>10.092487927702807</v>
      </c>
      <c r="S1547" s="3"/>
    </row>
    <row r="1548" spans="2:19" x14ac:dyDescent="0.5">
      <c r="B1548" t="str">
        <f t="shared" si="1740"/>
        <v>SPS1</v>
      </c>
      <c r="C1548" t="str">
        <f t="shared" si="1741"/>
        <v>CH</v>
      </c>
      <c r="D1548" t="s">
        <v>1543</v>
      </c>
      <c r="E1548" t="str">
        <f t="shared" ref="E1548:E1572" si="1744">E1547</f>
        <v>PJ/yr.</v>
      </c>
      <c r="F1548" s="1" cm="1">
        <f t="array" ref="F1548">SUMPRODUCT(("TFLGV-BeVELCExt"=[1]OUT_TransportEnergyCons!$A$3:$A$1000)*1,("Var_Fin"=[1]OUT_TransportEnergyCons!$B$3:$B$1000)*1,ISNUMBER(SEARCH("ELC",[1]OUT_TransportEnergyCons!$C$3:$C$1000))*1,[1]OUT_TransportEnergyCons!D$3:D$1000)</f>
        <v>4.0274381687356635E-2</v>
      </c>
      <c r="G1548" s="1" cm="1">
        <f t="array" ref="G1548">SUMPRODUCT(("TFLGV-BeVELCExt"=[1]OUT_TransportEnergyCons!$A$3:$A$1000)*1,("Var_Fin"=[1]OUT_TransportEnergyCons!$B$3:$B$1000)*1,ISNUMBER(SEARCH("ELC",[1]OUT_TransportEnergyCons!$C$3:$C$1000))*1,[1]OUT_TransportEnergyCons!E$3:E$1000)</f>
        <v>3.4524650998565672E-2</v>
      </c>
      <c r="H1548" s="1" cm="1">
        <f t="array" ref="H1548">SUMPRODUCT(("TFLGV-BeVELCExt"=[1]OUT_TransportEnergyCons!$A$3:$A$1000)*1,("Var_Fin"=[1]OUT_TransportEnergyCons!$B$3:$B$1000)*1,ISNUMBER(SEARCH("ELC",[1]OUT_TransportEnergyCons!$C$3:$C$1000))*1,[1]OUT_TransportEnergyCons!F$3:F$1000)</f>
        <v>2.6452967447100146E-2</v>
      </c>
      <c r="I1548" s="1" cm="1">
        <f t="array" ref="I1548">SUMPRODUCT(("TFLGV-BeVELCExt"=[1]OUT_TransportEnergyCons!$A$3:$A$1000)*1,("Var_Fin"=[1]OUT_TransportEnergyCons!$B$3:$B$1000)*1,ISNUMBER(SEARCH("ELC",[1]OUT_TransportEnergyCons!$C$3:$C$1000))*1,[1]OUT_TransportEnergyCons!G$3:G$1000)</f>
        <v>1.2982551415279283E-2</v>
      </c>
      <c r="J1548" s="1" cm="1">
        <f t="array" ref="J1548">SUMPRODUCT(("TFLGV-BeVELCExt"=[1]OUT_TransportEnergyCons!$A$3:$A$1000)*1,("Var_Fin"=[1]OUT_TransportEnergyCons!$B$3:$B$1000)*1,ISNUMBER(SEARCH("ELC",[1]OUT_TransportEnergyCons!$C$3:$C$1000))*1,[1]OUT_TransportEnergyCons!H$3:H$1000)</f>
        <v>0</v>
      </c>
      <c r="K1548" s="1" cm="1">
        <f t="array" ref="K1548">SUMPRODUCT(("TFLGV-BeVELCExt"=[1]OUT_TransportEnergyCons!$A$3:$A$1000)*1,("Var_Fin"=[1]OUT_TransportEnergyCons!$B$3:$B$1000)*1,ISNUMBER(SEARCH("ELC",[1]OUT_TransportEnergyCons!$C$3:$C$1000))*1,[1]OUT_TransportEnergyCons!I$3:I$1000)</f>
        <v>0</v>
      </c>
      <c r="L1548" s="1" cm="1">
        <f t="array" ref="L1548">SUMPRODUCT(("TFLGV-BeVELCExt"=[1]OUT_TransportEnergyCons!$A$3:$A$1000)*1,("Var_Fin"=[1]OUT_TransportEnergyCons!$B$3:$B$1000)*1,ISNUMBER(SEARCH("ELC",[1]OUT_TransportEnergyCons!$C$3:$C$1000))*1,[1]OUT_TransportEnergyCons!J$3:J$1000)</f>
        <v>0</v>
      </c>
      <c r="M1548" s="1" cm="1">
        <f t="array" ref="M1548">SUMPRODUCT(("TFLGV-BeVELCExt"=[1]OUT_TransportEnergyCons!$A$3:$A$1000)*1,("Var_Fin"=[1]OUT_TransportEnergyCons!$B$3:$B$1000)*1,ISNUMBER(SEARCH("ELC",[1]OUT_TransportEnergyCons!$C$3:$C$1000))*1,[1]OUT_TransportEnergyCons!K$3:K$1000)</f>
        <v>0</v>
      </c>
      <c r="N1548" s="1" cm="1">
        <f t="array" ref="N1548">SUMPRODUCT(("TFLGV-BeVELCExt"=[1]OUT_TransportEnergyCons!$A$3:$A$1000)*1,("Var_Fin"=[1]OUT_TransportEnergyCons!$B$3:$B$1000)*1,ISNUMBER(SEARCH("ELC",[1]OUT_TransportEnergyCons!$C$3:$C$1000))*1,[1]OUT_TransportEnergyCons!L$3:L$1000)</f>
        <v>0</v>
      </c>
      <c r="O1548" s="1" cm="1">
        <f t="array" ref="O1548">SUMPRODUCT(("TFLGV-BeVELCExt"=[1]OUT_TransportEnergyCons!$A$3:$A$1000)*1,("Var_Fin"=[1]OUT_TransportEnergyCons!$B$3:$B$1000)*1,ISNUMBER(SEARCH("ELC",[1]OUT_TransportEnergyCons!$C$3:$C$1000))*1,[1]OUT_TransportEnergyCons!M$3:M$1000)</f>
        <v>0</v>
      </c>
      <c r="P1548" s="1" cm="1">
        <f t="array" ref="P1548">SUMPRODUCT(("TFLGV-BeVELCExt"=[1]OUT_TransportEnergyCons!$A$3:$A$1000)*1,("Var_Fin"=[1]OUT_TransportEnergyCons!$B$3:$B$1000)*1,ISNUMBER(SEARCH("ELC",[1]OUT_TransportEnergyCons!$C$3:$C$1000))*1,[1]OUT_TransportEnergyCons!N$3:N$1000)</f>
        <v>0</v>
      </c>
      <c r="Q1548" s="1" cm="1">
        <f t="array" ref="Q1548">SUMPRODUCT(("TFLGV-BeVELCExt"=[1]OUT_TransportEnergyCons!$A$3:$A$1000)*1,("Var_Fin"=[1]OUT_TransportEnergyCons!$B$3:$B$1000)*1,ISNUMBER(SEARCH("ELC",[1]OUT_TransportEnergyCons!$C$3:$C$1000))*1,[1]OUT_TransportEnergyCons!O$3:O$1000)</f>
        <v>0</v>
      </c>
      <c r="S1548" s="3"/>
    </row>
    <row r="1549" spans="2:19" x14ac:dyDescent="0.5">
      <c r="B1549" t="str">
        <f t="shared" si="1740"/>
        <v>SPS1</v>
      </c>
      <c r="C1549" t="str">
        <f t="shared" si="1741"/>
        <v>CH</v>
      </c>
      <c r="D1549" t="s">
        <v>1544</v>
      </c>
      <c r="E1549" t="str">
        <f t="shared" si="1744"/>
        <v>PJ/yr.</v>
      </c>
      <c r="F1549" s="1" cm="1">
        <f t="array" ref="F1549">SUMPRODUCT(("TFLGV-BEVELC"=[1]OUT_TransportEnergyCons!$A$3:$A$1000)*1,("Var_Fin"=[1]OUT_TransportEnergyCons!$B$3:$B$1000)*1,ISNUMBER(SEARCH("ELC",[1]OUT_TransportEnergyCons!$C$3:$C$1000))*1,[1]OUT_TransportEnergyCons!D$3:D$1000)</f>
        <v>3.4935730692478656E-2</v>
      </c>
      <c r="G1549" s="1" cm="1">
        <f t="array" ref="G1549">SUMPRODUCT(("TFLGV-BEVELC"=[1]OUT_TransportEnergyCons!$A$3:$A$1000)*1,("Var_Fin"=[1]OUT_TransportEnergyCons!$B$3:$B$1000)*1,ISNUMBER(SEARCH("ELC",[1]OUT_TransportEnergyCons!$C$3:$C$1000))*1,[1]OUT_TransportEnergyCons!E$3:E$1000)</f>
        <v>0.21249874397301982</v>
      </c>
      <c r="H1549" s="1" cm="1">
        <f t="array" ref="H1549">SUMPRODUCT(("TFLGV-BEVELC"=[1]OUT_TransportEnergyCons!$A$3:$A$1000)*1,("Var_Fin"=[1]OUT_TransportEnergyCons!$B$3:$B$1000)*1,ISNUMBER(SEARCH("ELC",[1]OUT_TransportEnergyCons!$C$3:$C$1000))*1,[1]OUT_TransportEnergyCons!F$3:F$1000)</f>
        <v>3.8409386751220183</v>
      </c>
      <c r="I1549" s="1" cm="1">
        <f t="array" ref="I1549">SUMPRODUCT(("TFLGV-BEVELC"=[1]OUT_TransportEnergyCons!$A$3:$A$1000)*1,("Var_Fin"=[1]OUT_TransportEnergyCons!$B$3:$B$1000)*1,ISNUMBER(SEARCH("ELC",[1]OUT_TransportEnergyCons!$C$3:$C$1000))*1,[1]OUT_TransportEnergyCons!G$3:G$1000)</f>
        <v>3.9137361090384051</v>
      </c>
      <c r="J1549" s="1" cm="1">
        <f t="array" ref="J1549">SUMPRODUCT(("TFLGV-BEVELC"=[1]OUT_TransportEnergyCons!$A$3:$A$1000)*1,("Var_Fin"=[1]OUT_TransportEnergyCons!$B$3:$B$1000)*1,ISNUMBER(SEARCH("ELC",[1]OUT_TransportEnergyCons!$C$3:$C$1000))*1,[1]OUT_TransportEnergyCons!H$3:H$1000)</f>
        <v>6.3448244984887392</v>
      </c>
      <c r="K1549" s="1" cm="1">
        <f t="array" ref="K1549">SUMPRODUCT(("TFLGV-BEVELC"=[1]OUT_TransportEnergyCons!$A$3:$A$1000)*1,("Var_Fin"=[1]OUT_TransportEnergyCons!$B$3:$B$1000)*1,ISNUMBER(SEARCH("ELC",[1]OUT_TransportEnergyCons!$C$3:$C$1000))*1,[1]OUT_TransportEnergyCons!I$3:I$1000)</f>
        <v>7.3585724710100955</v>
      </c>
      <c r="L1549" s="1" cm="1">
        <f t="array" ref="L1549">SUMPRODUCT(("TFLGV-BEVELC"=[1]OUT_TransportEnergyCons!$A$3:$A$1000)*1,("Var_Fin"=[1]OUT_TransportEnergyCons!$B$3:$B$1000)*1,ISNUMBER(SEARCH("ELC",[1]OUT_TransportEnergyCons!$C$3:$C$1000))*1,[1]OUT_TransportEnergyCons!J$3:J$1000)</f>
        <v>7.6657718929524492</v>
      </c>
      <c r="M1549" s="1" cm="1">
        <f t="array" ref="M1549">SUMPRODUCT(("TFLGV-BEVELC"=[1]OUT_TransportEnergyCons!$A$3:$A$1000)*1,("Var_Fin"=[1]OUT_TransportEnergyCons!$B$3:$B$1000)*1,ISNUMBER(SEARCH("ELC",[1]OUT_TransportEnergyCons!$C$3:$C$1000))*1,[1]OUT_TransportEnergyCons!K$3:K$1000)</f>
        <v>7.9726425654780595</v>
      </c>
      <c r="N1549" s="1" cm="1">
        <f t="array" ref="N1549">SUMPRODUCT(("TFLGV-BEVELC"=[1]OUT_TransportEnergyCons!$A$3:$A$1000)*1,("Var_Fin"=[1]OUT_TransportEnergyCons!$B$3:$B$1000)*1,ISNUMBER(SEARCH("ELC",[1]OUT_TransportEnergyCons!$C$3:$C$1000))*1,[1]OUT_TransportEnergyCons!L$3:L$1000)</f>
        <v>8.3459809143963124</v>
      </c>
      <c r="O1549" s="1" cm="1">
        <f t="array" ref="O1549">SUMPRODUCT(("TFLGV-BEVELC"=[1]OUT_TransportEnergyCons!$A$3:$A$1000)*1,("Var_Fin"=[1]OUT_TransportEnergyCons!$B$3:$B$1000)*1,ISNUMBER(SEARCH("ELC",[1]OUT_TransportEnergyCons!$C$3:$C$1000))*1,[1]OUT_TransportEnergyCons!M$3:M$1000)</f>
        <v>8.8703748499593971</v>
      </c>
      <c r="P1549" s="1" cm="1">
        <f t="array" ref="P1549">SUMPRODUCT(("TFLGV-BEVELC"=[1]OUT_TransportEnergyCons!$A$3:$A$1000)*1,("Var_Fin"=[1]OUT_TransportEnergyCons!$B$3:$B$1000)*1,ISNUMBER(SEARCH("ELC",[1]OUT_TransportEnergyCons!$C$3:$C$1000))*1,[1]OUT_TransportEnergyCons!N$3:N$1000)</f>
        <v>9.452550939470008</v>
      </c>
      <c r="Q1549" s="1" cm="1">
        <f t="array" ref="Q1549">SUMPRODUCT(("TFLGV-BEVELC"=[1]OUT_TransportEnergyCons!$A$3:$A$1000)*1,("Var_Fin"=[1]OUT_TransportEnergyCons!$B$3:$B$1000)*1,ISNUMBER(SEARCH("ELC",[1]OUT_TransportEnergyCons!$C$3:$C$1000))*1,[1]OUT_TransportEnergyCons!O$3:O$1000)</f>
        <v>10.092487927702807</v>
      </c>
      <c r="S1549" s="3"/>
    </row>
    <row r="1550" spans="2:19" x14ac:dyDescent="0.5">
      <c r="B1550" t="str">
        <f t="shared" si="1740"/>
        <v>SPS1</v>
      </c>
      <c r="C1550" t="str">
        <f t="shared" si="1741"/>
        <v>CH</v>
      </c>
      <c r="D1550" t="s">
        <v>1537</v>
      </c>
      <c r="E1550" t="str">
        <f t="shared" si="1744"/>
        <v>PJ/yr.</v>
      </c>
      <c r="F1550" s="1">
        <f>F1551</f>
        <v>0</v>
      </c>
      <c r="G1550" s="1">
        <f t="shared" ref="G1550:O1550" si="1745">G1551</f>
        <v>1.1943719193194411E-4</v>
      </c>
      <c r="H1550" s="1">
        <f t="shared" si="1745"/>
        <v>1.9339646276982041E-4</v>
      </c>
      <c r="I1550" s="1">
        <f t="shared" si="1745"/>
        <v>1.9473934403312109E-4</v>
      </c>
      <c r="J1550" s="1">
        <f t="shared" si="1745"/>
        <v>1.7863998086152251E-4</v>
      </c>
      <c r="K1550" s="1">
        <f t="shared" si="1745"/>
        <v>1.657120480718464E-4</v>
      </c>
      <c r="L1550" s="1">
        <f t="shared" si="1745"/>
        <v>1.6029516957413655E-4</v>
      </c>
      <c r="M1550" s="1">
        <f t="shared" si="1745"/>
        <v>1.5459791051043685E-4</v>
      </c>
      <c r="N1550" s="1">
        <f t="shared" si="1745"/>
        <v>1.52905097740842E-4</v>
      </c>
      <c r="O1550" s="1">
        <f t="shared" si="1745"/>
        <v>1.5154420355248662E-4</v>
      </c>
      <c r="P1550" s="1">
        <f>P1551</f>
        <v>1.5332703222739507E-4</v>
      </c>
      <c r="Q1550" s="1">
        <f>Q1551</f>
        <v>1.6287277635553381E-4</v>
      </c>
      <c r="S1550" s="3"/>
    </row>
    <row r="1551" spans="2:19" x14ac:dyDescent="0.5">
      <c r="B1551" t="str">
        <f t="shared" si="1740"/>
        <v>SPS1</v>
      </c>
      <c r="C1551" t="str">
        <f t="shared" si="1741"/>
        <v>CH</v>
      </c>
      <c r="D1551" t="s">
        <v>1545</v>
      </c>
      <c r="E1551" t="str">
        <f t="shared" si="1744"/>
        <v>PJ/yr.</v>
      </c>
      <c r="F1551" s="1" cm="1">
        <f t="array" ref="F1551">SUMPRODUCT(("TFLGV-FCLH2O"=[1]OUT_TransportEnergyCons!$A$3:$A$1000)*1,("Var_Fin"=[1]OUT_TransportEnergyCons!$B$3:$B$1000)*1,ISNUMBER(SEARCH("h2",[1]OUT_TransportEnergyCons!$C$3:$C$1000))*1,[1]OUT_TransportEnergyCons!D$3:D$1000)</f>
        <v>0</v>
      </c>
      <c r="G1551" s="1" cm="1">
        <f t="array" ref="G1551">SUMPRODUCT(("TFLGV-FCLH2O"=[1]OUT_TransportEnergyCons!$A$3:$A$1000)*1,("Var_Fin"=[1]OUT_TransportEnergyCons!$B$3:$B$1000)*1,ISNUMBER(SEARCH("h2",[1]OUT_TransportEnergyCons!$C$3:$C$1000))*1,[1]OUT_TransportEnergyCons!E$3:E$1000)</f>
        <v>1.1943719193194411E-4</v>
      </c>
      <c r="H1551" s="1" cm="1">
        <f t="array" ref="H1551">SUMPRODUCT(("TFLGV-FCLH2O"=[1]OUT_TransportEnergyCons!$A$3:$A$1000)*1,("Var_Fin"=[1]OUT_TransportEnergyCons!$B$3:$B$1000)*1,ISNUMBER(SEARCH("h2",[1]OUT_TransportEnergyCons!$C$3:$C$1000))*1,[1]OUT_TransportEnergyCons!F$3:F$1000)</f>
        <v>1.9339646276982041E-4</v>
      </c>
      <c r="I1551" s="1" cm="1">
        <f t="array" ref="I1551">SUMPRODUCT(("TFLGV-FCLH2O"=[1]OUT_TransportEnergyCons!$A$3:$A$1000)*1,("Var_Fin"=[1]OUT_TransportEnergyCons!$B$3:$B$1000)*1,ISNUMBER(SEARCH("h2",[1]OUT_TransportEnergyCons!$C$3:$C$1000))*1,[1]OUT_TransportEnergyCons!G$3:G$1000)</f>
        <v>1.9473934403312109E-4</v>
      </c>
      <c r="J1551" s="1" cm="1">
        <f t="array" ref="J1551">SUMPRODUCT(("TFLGV-FCLH2O"=[1]OUT_TransportEnergyCons!$A$3:$A$1000)*1,("Var_Fin"=[1]OUT_TransportEnergyCons!$B$3:$B$1000)*1,ISNUMBER(SEARCH("h2",[1]OUT_TransportEnergyCons!$C$3:$C$1000))*1,[1]OUT_TransportEnergyCons!H$3:H$1000)</f>
        <v>1.7863998086152251E-4</v>
      </c>
      <c r="K1551" s="1" cm="1">
        <f t="array" ref="K1551">SUMPRODUCT(("TFLGV-FCLH2O"=[1]OUT_TransportEnergyCons!$A$3:$A$1000)*1,("Var_Fin"=[1]OUT_TransportEnergyCons!$B$3:$B$1000)*1,ISNUMBER(SEARCH("h2",[1]OUT_TransportEnergyCons!$C$3:$C$1000))*1,[1]OUT_TransportEnergyCons!I$3:I$1000)</f>
        <v>1.657120480718464E-4</v>
      </c>
      <c r="L1551" s="1" cm="1">
        <f t="array" ref="L1551">SUMPRODUCT(("TFLGV-FCLH2O"=[1]OUT_TransportEnergyCons!$A$3:$A$1000)*1,("Var_Fin"=[1]OUT_TransportEnergyCons!$B$3:$B$1000)*1,ISNUMBER(SEARCH("h2",[1]OUT_TransportEnergyCons!$C$3:$C$1000))*1,[1]OUT_TransportEnergyCons!J$3:J$1000)</f>
        <v>1.6029516957413655E-4</v>
      </c>
      <c r="M1551" s="1" cm="1">
        <f t="array" ref="M1551">SUMPRODUCT(("TFLGV-FCLH2O"=[1]OUT_TransportEnergyCons!$A$3:$A$1000)*1,("Var_Fin"=[1]OUT_TransportEnergyCons!$B$3:$B$1000)*1,ISNUMBER(SEARCH("h2",[1]OUT_TransportEnergyCons!$C$3:$C$1000))*1,[1]OUT_TransportEnergyCons!K$3:K$1000)</f>
        <v>1.5459791051043685E-4</v>
      </c>
      <c r="N1551" s="1" cm="1">
        <f t="array" ref="N1551">SUMPRODUCT(("TFLGV-FCLH2O"=[1]OUT_TransportEnergyCons!$A$3:$A$1000)*1,("Var_Fin"=[1]OUT_TransportEnergyCons!$B$3:$B$1000)*1,ISNUMBER(SEARCH("h2",[1]OUT_TransportEnergyCons!$C$3:$C$1000))*1,[1]OUT_TransportEnergyCons!L$3:L$1000)</f>
        <v>1.52905097740842E-4</v>
      </c>
      <c r="O1551" s="1" cm="1">
        <f t="array" ref="O1551">SUMPRODUCT(("TFLGV-FCLH2O"=[1]OUT_TransportEnergyCons!$A$3:$A$1000)*1,("Var_Fin"=[1]OUT_TransportEnergyCons!$B$3:$B$1000)*1,ISNUMBER(SEARCH("h2",[1]OUT_TransportEnergyCons!$C$3:$C$1000))*1,[1]OUT_TransportEnergyCons!M$3:M$1000)</f>
        <v>1.5154420355248662E-4</v>
      </c>
      <c r="P1551" s="1" cm="1">
        <f t="array" ref="P1551">SUMPRODUCT(("TFLGV-FCLH2O"=[1]OUT_TransportEnergyCons!$A$3:$A$1000)*1,("Var_Fin"=[1]OUT_TransportEnergyCons!$B$3:$B$1000)*1,ISNUMBER(SEARCH("h2",[1]OUT_TransportEnergyCons!$C$3:$C$1000))*1,[1]OUT_TransportEnergyCons!N$3:N$1000)</f>
        <v>1.5332703222739507E-4</v>
      </c>
      <c r="Q1551" s="1" cm="1">
        <f t="array" ref="Q1551">SUMPRODUCT(("TFLGV-FCLH2O"=[1]OUT_TransportEnergyCons!$A$3:$A$1000)*1,("Var_Fin"=[1]OUT_TransportEnergyCons!$B$3:$B$1000)*1,ISNUMBER(SEARCH("h2",[1]OUT_TransportEnergyCons!$C$3:$C$1000))*1,[1]OUT_TransportEnergyCons!O$3:O$1000)</f>
        <v>1.6287277635553381E-4</v>
      </c>
      <c r="S1551" s="3"/>
    </row>
    <row r="1552" spans="2:19" x14ac:dyDescent="0.5">
      <c r="B1552" t="str">
        <f t="shared" si="1740"/>
        <v>SPS1</v>
      </c>
      <c r="C1552" t="str">
        <f t="shared" si="1741"/>
        <v>CH</v>
      </c>
      <c r="D1552" t="s">
        <v>1538</v>
      </c>
      <c r="E1552" t="str">
        <f t="shared" si="1744"/>
        <v>PJ/yr.</v>
      </c>
      <c r="F1552" s="1">
        <f>SUM(F1557:F1558)</f>
        <v>1.0903950202613957</v>
      </c>
      <c r="G1552" s="1">
        <f t="shared" ref="G1552:K1552" si="1746">SUM(G1557:G1558)</f>
        <v>2.3447583568266182</v>
      </c>
      <c r="H1552" s="1">
        <f t="shared" si="1746"/>
        <v>0.7683161345257018</v>
      </c>
      <c r="I1552" s="1">
        <f t="shared" si="1746"/>
        <v>1.0535138765405323</v>
      </c>
      <c r="J1552" s="1">
        <f t="shared" si="1746"/>
        <v>0.86286422507535254</v>
      </c>
      <c r="K1552" s="1">
        <f t="shared" si="1746"/>
        <v>2.6854923820077863E-4</v>
      </c>
      <c r="L1552" s="1">
        <f t="shared" ref="L1552:O1552" si="1747">SUM(L1557:L1558)</f>
        <v>0</v>
      </c>
      <c r="M1552" s="1">
        <f t="shared" si="1747"/>
        <v>0</v>
      </c>
      <c r="N1552" s="1">
        <f t="shared" si="1747"/>
        <v>0</v>
      </c>
      <c r="O1552" s="1">
        <f t="shared" si="1747"/>
        <v>0</v>
      </c>
      <c r="P1552" s="1">
        <f>SUM(P1557:P1558)</f>
        <v>0</v>
      </c>
      <c r="Q1552" s="1">
        <f>SUM(Q1557:Q1558)</f>
        <v>0</v>
      </c>
      <c r="S1552" s="3"/>
    </row>
    <row r="1553" spans="2:19" x14ac:dyDescent="0.5">
      <c r="B1553" t="str">
        <f t="shared" si="1740"/>
        <v>SPS1</v>
      </c>
      <c r="C1553" t="str">
        <f t="shared" si="1741"/>
        <v>CH</v>
      </c>
      <c r="D1553" t="s">
        <v>1539</v>
      </c>
      <c r="E1553" t="str">
        <f t="shared" si="1744"/>
        <v>PJ/yr.</v>
      </c>
      <c r="F1553" s="1">
        <f>IF(F1552-F1554&lt;0,0,F1552-F1554)</f>
        <v>1.0307042879889685</v>
      </c>
      <c r="G1553" s="1">
        <f t="shared" ref="G1553:K1553" si="1748">IF(G1552-G1554&lt;0,0,G1552-G1554)</f>
        <v>2.2164012018232842</v>
      </c>
      <c r="H1553" s="1">
        <f t="shared" si="1748"/>
        <v>0.7262581818991618</v>
      </c>
      <c r="I1553" s="1">
        <f t="shared" si="1748"/>
        <v>0.99582950181004759</v>
      </c>
      <c r="J1553" s="1">
        <f t="shared" si="1748"/>
        <v>0.80355528186805314</v>
      </c>
      <c r="K1553" s="1">
        <f t="shared" si="1748"/>
        <v>1.8723171969309833E-4</v>
      </c>
      <c r="L1553" s="1">
        <f t="shared" ref="L1553:O1553" si="1749">IF(L1552-L1554&lt;0,0,L1552-L1554)</f>
        <v>0</v>
      </c>
      <c r="M1553" s="1">
        <f t="shared" si="1749"/>
        <v>0</v>
      </c>
      <c r="N1553" s="1">
        <f t="shared" si="1749"/>
        <v>0</v>
      </c>
      <c r="O1553" s="1">
        <f t="shared" si="1749"/>
        <v>0</v>
      </c>
      <c r="P1553" s="1">
        <f>IF(P1552-P1554&lt;0,0,P1552-P1554)</f>
        <v>0</v>
      </c>
      <c r="Q1553" s="1">
        <f>IF(Q1552-Q1554&lt;0,0,Q1552-Q1554)</f>
        <v>0</v>
      </c>
      <c r="S1553" s="3"/>
    </row>
    <row r="1554" spans="2:19" x14ac:dyDescent="0.5">
      <c r="B1554" t="str">
        <f t="shared" si="1740"/>
        <v>SPS1</v>
      </c>
      <c r="C1554" t="str">
        <f t="shared" si="1741"/>
        <v>CH</v>
      </c>
      <c r="D1554" t="s">
        <v>1540</v>
      </c>
      <c r="E1554" t="str">
        <f t="shared" si="1744"/>
        <v>PJ/yr.</v>
      </c>
      <c r="F1554" s="1">
        <f>SUM(F1555:F1556)</f>
        <v>5.9690732272427133E-2</v>
      </c>
      <c r="G1554" s="1">
        <f t="shared" ref="G1554:K1554" si="1750">SUM(G1555:G1556)</f>
        <v>0.12835715500333386</v>
      </c>
      <c r="H1554" s="1">
        <f t="shared" si="1750"/>
        <v>4.2057952626539968E-2</v>
      </c>
      <c r="I1554" s="1">
        <f t="shared" si="1750"/>
        <v>5.768437473048476E-2</v>
      </c>
      <c r="J1554" s="1">
        <f t="shared" si="1750"/>
        <v>5.9308943207299424E-2</v>
      </c>
      <c r="K1554" s="1">
        <f t="shared" si="1750"/>
        <v>8.1317518507680308E-5</v>
      </c>
      <c r="L1554" s="1">
        <f t="shared" ref="L1554:O1554" si="1751">SUM(L1555:L1556)</f>
        <v>0</v>
      </c>
      <c r="M1554" s="1">
        <f t="shared" si="1751"/>
        <v>0</v>
      </c>
      <c r="N1554" s="1">
        <f t="shared" si="1751"/>
        <v>0</v>
      </c>
      <c r="O1554" s="1">
        <f t="shared" si="1751"/>
        <v>0</v>
      </c>
      <c r="P1554" s="1">
        <f>SUM(P1555:P1556)</f>
        <v>0</v>
      </c>
      <c r="Q1554" s="1">
        <f>SUM(Q1555:Q1556)</f>
        <v>0</v>
      </c>
      <c r="S1554" s="3"/>
    </row>
    <row r="1555" spans="2:19" x14ac:dyDescent="0.5">
      <c r="B1555" t="str">
        <f t="shared" si="1740"/>
        <v>SPS1</v>
      </c>
      <c r="C1555" t="str">
        <f t="shared" si="1741"/>
        <v>CH</v>
      </c>
      <c r="D1555" t="s">
        <v>1541</v>
      </c>
      <c r="E1555" t="str">
        <f t="shared" si="1744"/>
        <v>PJ/yr.</v>
      </c>
      <c r="F1555" s="1">
        <f>[1]Transport!B$25/SUM([1]Transport!B$21,[1]Transport!B$25)*F1552*(F$35+F$600)/(F$35+F$600+F$39)</f>
        <v>5.9690732272427133E-2</v>
      </c>
      <c r="G1555" s="1">
        <f>[1]Transport!C$25/SUM([1]Transport!C$21,[1]Transport!C$25)*G1552*(G$35+G$600)/(G$35+G$600+G$39)</f>
        <v>0.12835715500333386</v>
      </c>
      <c r="H1555" s="1">
        <f>[1]Transport!D$25/SUM([1]Transport!D$21,[1]Transport!D$25)*H1552*(H$35+H$600)/(H$35+H$600+H$39)</f>
        <v>4.2057952626539968E-2</v>
      </c>
      <c r="I1555" s="1">
        <f>[1]Transport!E$25/SUM([1]Transport!E$21,[1]Transport!E$25)*I1552*(I$35+I$600)/(I$35+I$600+I$39)</f>
        <v>5.768437473048476E-2</v>
      </c>
      <c r="J1555" s="1">
        <f>[1]Transport!F$25/SUM([1]Transport!F$21,[1]Transport!F$25)*J1552*(J$35+J$600)/(J$35+J$600+J$39)</f>
        <v>5.9308943207299424E-2</v>
      </c>
      <c r="K1555" s="1">
        <f>[1]Transport!G$25/SUM([1]Transport!G$21,[1]Transport!G$25)*K1552*(K$35+K$600)/(K$35+K$600+K$39)</f>
        <v>1.4817018522656435E-5</v>
      </c>
      <c r="L1555" s="1">
        <f>[1]Transport!H$25/SUM([1]Transport!H$21,[1]Transport!H$25)*L1552*(L$35+L$600)/(L$35+L$600+L$39)</f>
        <v>0</v>
      </c>
      <c r="M1555" s="1">
        <f>[1]Transport!I$25/SUM([1]Transport!I$21,[1]Transport!I$25)*M1552*(M$35+M$600)/(M$35+M$600+M$39)</f>
        <v>0</v>
      </c>
      <c r="N1555" s="1">
        <f>[1]Transport!J$25/SUM([1]Transport!J$21,[1]Transport!J$25)*N1552*(N$35+N$600)/(N$35+N$600+N$39)</f>
        <v>0</v>
      </c>
      <c r="O1555" s="1">
        <f>[1]Transport!K$25/SUM([1]Transport!K$21,[1]Transport!K$25)*O1552*(O$35+O$600)/(O$35+O$600+O$39)</f>
        <v>0</v>
      </c>
      <c r="P1555" s="1">
        <f>[1]Transport!L$25/SUM([1]Transport!L$21,[1]Transport!L$25)*P1552*(P$35+P$600)/(P$35+P$600+P$39)</f>
        <v>0</v>
      </c>
      <c r="Q1555" s="1">
        <f>[1]Transport!M$25/SUM([1]Transport!M$21,[1]Transport!M$25)*Q1552*(Q$35+Q$600)/(Q$35+Q$600+Q$39)</f>
        <v>0</v>
      </c>
      <c r="S1555" s="3"/>
    </row>
    <row r="1556" spans="2:19" x14ac:dyDescent="0.5">
      <c r="B1556" t="str">
        <f t="shared" si="1740"/>
        <v>SPS1</v>
      </c>
      <c r="C1556" t="str">
        <f t="shared" si="1741"/>
        <v>CH</v>
      </c>
      <c r="D1556" t="s">
        <v>1542</v>
      </c>
      <c r="E1556" t="str">
        <f t="shared" si="1744"/>
        <v>PJ/yr.</v>
      </c>
      <c r="F1556" s="1">
        <f>(F$39+F$719)/([1]Transport!B$21+[1]Transport!B$25)*F1552</f>
        <v>0</v>
      </c>
      <c r="G1556" s="1">
        <f>(G$39+G$719)/([1]Transport!C$21+[1]Transport!C$25)*G1552</f>
        <v>0</v>
      </c>
      <c r="H1556" s="1">
        <f>(H$39+H$719)/([1]Transport!D$21+[1]Transport!D$25)*H1552</f>
        <v>0</v>
      </c>
      <c r="I1556" s="1">
        <f>(I$39+I$719)/([1]Transport!E$21+[1]Transport!E$25)*I1552</f>
        <v>0</v>
      </c>
      <c r="J1556" s="1">
        <f>(J$39+J$719)/([1]Transport!F$21+[1]Transport!F$25)*J1552</f>
        <v>0</v>
      </c>
      <c r="K1556" s="1">
        <f>(K$39+K$719)/([1]Transport!G$21+[1]Transport!G$25)*K1552</f>
        <v>6.6500499985023873E-5</v>
      </c>
      <c r="L1556" s="1">
        <f>(L$39+L$719)/([1]Transport!H$21+[1]Transport!H$25)*L1552</f>
        <v>0</v>
      </c>
      <c r="M1556" s="1">
        <f>(M$39+M$719)/([1]Transport!I$21+[1]Transport!I$25)*M1552</f>
        <v>0</v>
      </c>
      <c r="N1556" s="1">
        <f>(N$39+N$719)/([1]Transport!J$21+[1]Transport!J$25)*N1552</f>
        <v>0</v>
      </c>
      <c r="O1556" s="1">
        <f>(O$39+O$719)/([1]Transport!K$21+[1]Transport!K$25)*O1552</f>
        <v>0</v>
      </c>
      <c r="P1556" s="1">
        <f>(P$39+P$719)/([1]Transport!L$21+[1]Transport!L$25)*P1552</f>
        <v>0</v>
      </c>
      <c r="Q1556" s="1">
        <f>(Q$39+Q$719)/([1]Transport!M$21+[1]Transport!M$25)*Q1552</f>
        <v>0</v>
      </c>
      <c r="S1556" s="3"/>
    </row>
    <row r="1557" spans="2:19" x14ac:dyDescent="0.5">
      <c r="B1557" t="str">
        <f t="shared" si="1740"/>
        <v>SPS1</v>
      </c>
      <c r="C1557" t="str">
        <f t="shared" si="1741"/>
        <v>CH</v>
      </c>
      <c r="D1557" t="s">
        <v>1588</v>
      </c>
      <c r="E1557" t="str">
        <f t="shared" si="1744"/>
        <v>PJ/yr.</v>
      </c>
      <c r="F1557" s="1" cm="1">
        <f t="array" ref="F1557">SUMPRODUCT(("TFLGV-ICEGSLExt"=[1]OUT_TransportEnergyCons!$A$3:$A$1000)*1,("Var_Fin"=[1]OUT_TransportEnergyCons!$B$3:$B$1000)*1,ISNUMBER(SEARCH("gsl",[1]OUT_TransportEnergyCons!$C$3:$C$1000))*1,[1]OUT_TransportEnergyCons!D$3:D$1000)</f>
        <v>0.72349494867220543</v>
      </c>
      <c r="G1557" s="1" cm="1">
        <f t="array" ref="G1557">SUMPRODUCT(("TFLGV-ICEGSLExt"=[1]OUT_TransportEnergyCons!$A$3:$A$1000)*1,("Var_Fin"=[1]OUT_TransportEnergyCons!$B$3:$B$1000)*1,ISNUMBER(SEARCH("gsl",[1]OUT_TransportEnergyCons!$C$3:$C$1000))*1,[1]OUT_TransportEnergyCons!E$3:E$1000)</f>
        <v>1.767716828342508</v>
      </c>
      <c r="H1557" s="1" cm="1">
        <f t="array" ref="H1557">SUMPRODUCT(("TFLGV-ICEGSLExt"=[1]OUT_TransportEnergyCons!$A$3:$A$1000)*1,("Var_Fin"=[1]OUT_TransportEnergyCons!$B$3:$B$1000)*1,ISNUMBER(SEARCH("gsl",[1]OUT_TransportEnergyCons!$C$3:$C$1000))*1,[1]OUT_TransportEnergyCons!F$3:F$1000)</f>
        <v>0.54164382255214583</v>
      </c>
      <c r="I1557" s="1" cm="1">
        <f t="array" ref="I1557">SUMPRODUCT(("TFLGV-ICEGSLExt"=[1]OUT_TransportEnergyCons!$A$3:$A$1000)*1,("Var_Fin"=[1]OUT_TransportEnergyCons!$B$3:$B$1000)*1,ISNUMBER(SEARCH("gsl",[1]OUT_TransportEnergyCons!$C$3:$C$1000))*1,[1]OUT_TransportEnergyCons!G$3:G$1000)</f>
        <v>0.27267967286943767</v>
      </c>
      <c r="J1557" s="1" cm="1">
        <f t="array" ref="J1557">SUMPRODUCT(("TFLGV-ICEGSLExt"=[1]OUT_TransportEnergyCons!$A$3:$A$1000)*1,("Var_Fin"=[1]OUT_TransportEnergyCons!$B$3:$B$1000)*1,ISNUMBER(SEARCH("gsl",[1]OUT_TransportEnergyCons!$C$3:$C$1000))*1,[1]OUT_TransportEnergyCons!H$3:H$1000)</f>
        <v>0</v>
      </c>
      <c r="K1557" s="1" cm="1">
        <f t="array" ref="K1557">SUMPRODUCT(("TFLGV-ICEGSLExt"=[1]OUT_TransportEnergyCons!$A$3:$A$1000)*1,("Var_Fin"=[1]OUT_TransportEnergyCons!$B$3:$B$1000)*1,ISNUMBER(SEARCH("gsl",[1]OUT_TransportEnergyCons!$C$3:$C$1000))*1,[1]OUT_TransportEnergyCons!I$3:I$1000)</f>
        <v>0</v>
      </c>
      <c r="L1557" s="1" cm="1">
        <f t="array" ref="L1557">SUMPRODUCT(("TFLGV-ICEGSLExt"=[1]OUT_TransportEnergyCons!$A$3:$A$1000)*1,("Var_Fin"=[1]OUT_TransportEnergyCons!$B$3:$B$1000)*1,ISNUMBER(SEARCH("gsl",[1]OUT_TransportEnergyCons!$C$3:$C$1000))*1,[1]OUT_TransportEnergyCons!J$3:J$1000)</f>
        <v>0</v>
      </c>
      <c r="M1557" s="1" cm="1">
        <f t="array" ref="M1557">SUMPRODUCT(("TFLGV-ICEGSLExt"=[1]OUT_TransportEnergyCons!$A$3:$A$1000)*1,("Var_Fin"=[1]OUT_TransportEnergyCons!$B$3:$B$1000)*1,ISNUMBER(SEARCH("gsl",[1]OUT_TransportEnergyCons!$C$3:$C$1000))*1,[1]OUT_TransportEnergyCons!K$3:K$1000)</f>
        <v>0</v>
      </c>
      <c r="N1557" s="1" cm="1">
        <f t="array" ref="N1557">SUMPRODUCT(("TFLGV-ICEGSLExt"=[1]OUT_TransportEnergyCons!$A$3:$A$1000)*1,("Var_Fin"=[1]OUT_TransportEnergyCons!$B$3:$B$1000)*1,ISNUMBER(SEARCH("gsl",[1]OUT_TransportEnergyCons!$C$3:$C$1000))*1,[1]OUT_TransportEnergyCons!L$3:L$1000)</f>
        <v>0</v>
      </c>
      <c r="O1557" s="1" cm="1">
        <f t="array" ref="O1557">SUMPRODUCT(("TFLGV-ICEGSLExt"=[1]OUT_TransportEnergyCons!$A$3:$A$1000)*1,("Var_Fin"=[1]OUT_TransportEnergyCons!$B$3:$B$1000)*1,ISNUMBER(SEARCH("gsl",[1]OUT_TransportEnergyCons!$C$3:$C$1000))*1,[1]OUT_TransportEnergyCons!M$3:M$1000)</f>
        <v>0</v>
      </c>
      <c r="P1557" s="1" cm="1">
        <f t="array" ref="P1557">SUMPRODUCT(("TFLGV-ICEGSLExt"=[1]OUT_TransportEnergyCons!$A$3:$A$1000)*1,("Var_Fin"=[1]OUT_TransportEnergyCons!$B$3:$B$1000)*1,ISNUMBER(SEARCH("gsl",[1]OUT_TransportEnergyCons!$C$3:$C$1000))*1,[1]OUT_TransportEnergyCons!N$3:N$1000)</f>
        <v>0</v>
      </c>
      <c r="Q1557" s="1" cm="1">
        <f t="array" ref="Q1557">SUMPRODUCT(("TFLGV-ICEGSLExt"=[1]OUT_TransportEnergyCons!$A$3:$A$1000)*1,("Var_Fin"=[1]OUT_TransportEnergyCons!$B$3:$B$1000)*1,ISNUMBER(SEARCH("gsl",[1]OUT_TransportEnergyCons!$C$3:$C$1000))*1,[1]OUT_TransportEnergyCons!O$3:O$1000)</f>
        <v>0</v>
      </c>
      <c r="S1557" s="3"/>
    </row>
    <row r="1558" spans="2:19" x14ac:dyDescent="0.5">
      <c r="B1558" t="str">
        <f t="shared" si="1740"/>
        <v>SPS1</v>
      </c>
      <c r="C1558" t="str">
        <f t="shared" si="1741"/>
        <v>CH</v>
      </c>
      <c r="D1558" t="s">
        <v>1587</v>
      </c>
      <c r="E1558" t="str">
        <f t="shared" si="1744"/>
        <v>PJ/yr.</v>
      </c>
      <c r="F1558" s="1" cm="1">
        <f t="array" ref="F1558">SUMPRODUCT(("TFLGV-ICEGSL"=[1]OUT_TransportEnergyCons!$A$3:$A$1000)*1,("Var_Fin"=[1]OUT_TransportEnergyCons!$B$3:$B$1000)*1,ISNUMBER(SEARCH("gsl",[1]OUT_TransportEnergyCons!$C$3:$C$1000))*1,[1]OUT_TransportEnergyCons!D$3:D$1000)</f>
        <v>0.36690007158919025</v>
      </c>
      <c r="G1558" s="1" cm="1">
        <f t="array" ref="G1558">SUMPRODUCT(("TFLGV-ICEGSL"=[1]OUT_TransportEnergyCons!$A$3:$A$1000)*1,("Var_Fin"=[1]OUT_TransportEnergyCons!$B$3:$B$1000)*1,ISNUMBER(SEARCH("gsl",[1]OUT_TransportEnergyCons!$C$3:$C$1000))*1,[1]OUT_TransportEnergyCons!E$3:E$1000)</f>
        <v>0.57704152848411028</v>
      </c>
      <c r="H1558" s="1" cm="1">
        <f t="array" ref="H1558">SUMPRODUCT(("TFLGV-ICEGSL"=[1]OUT_TransportEnergyCons!$A$3:$A$1000)*1,("Var_Fin"=[1]OUT_TransportEnergyCons!$B$3:$B$1000)*1,ISNUMBER(SEARCH("gsl",[1]OUT_TransportEnergyCons!$C$3:$C$1000))*1,[1]OUT_TransportEnergyCons!F$3:F$1000)</f>
        <v>0.22667231197355597</v>
      </c>
      <c r="I1558" s="1" cm="1">
        <f t="array" ref="I1558">SUMPRODUCT(("TFLGV-ICEGSL"=[1]OUT_TransportEnergyCons!$A$3:$A$1000)*1,("Var_Fin"=[1]OUT_TransportEnergyCons!$B$3:$B$1000)*1,ISNUMBER(SEARCH("gsl",[1]OUT_TransportEnergyCons!$C$3:$C$1000))*1,[1]OUT_TransportEnergyCons!G$3:G$1000)</f>
        <v>0.78083420367109468</v>
      </c>
      <c r="J1558" s="1" cm="1">
        <f t="array" ref="J1558">SUMPRODUCT(("TFLGV-ICEGSL"=[1]OUT_TransportEnergyCons!$A$3:$A$1000)*1,("Var_Fin"=[1]OUT_TransportEnergyCons!$B$3:$B$1000)*1,ISNUMBER(SEARCH("gsl",[1]OUT_TransportEnergyCons!$C$3:$C$1000))*1,[1]OUT_TransportEnergyCons!H$3:H$1000)</f>
        <v>0.86286422507535254</v>
      </c>
      <c r="K1558" s="1" cm="1">
        <f t="array" ref="K1558">SUMPRODUCT(("TFLGV-ICEGSL"=[1]OUT_TransportEnergyCons!$A$3:$A$1000)*1,("Var_Fin"=[1]OUT_TransportEnergyCons!$B$3:$B$1000)*1,ISNUMBER(SEARCH("gsl",[1]OUT_TransportEnergyCons!$C$3:$C$1000))*1,[1]OUT_TransportEnergyCons!I$3:I$1000)</f>
        <v>2.6854923820077863E-4</v>
      </c>
      <c r="L1558" s="1" cm="1">
        <f t="array" ref="L1558">SUMPRODUCT(("TFLGV-ICEGSL"=[1]OUT_TransportEnergyCons!$A$3:$A$1000)*1,("Var_Fin"=[1]OUT_TransportEnergyCons!$B$3:$B$1000)*1,ISNUMBER(SEARCH("gsl",[1]OUT_TransportEnergyCons!$C$3:$C$1000))*1,[1]OUT_TransportEnergyCons!J$3:J$1000)</f>
        <v>0</v>
      </c>
      <c r="M1558" s="1" cm="1">
        <f t="array" ref="M1558">SUMPRODUCT(("TFLGV-ICEGSL"=[1]OUT_TransportEnergyCons!$A$3:$A$1000)*1,("Var_Fin"=[1]OUT_TransportEnergyCons!$B$3:$B$1000)*1,ISNUMBER(SEARCH("gsl",[1]OUT_TransportEnergyCons!$C$3:$C$1000))*1,[1]OUT_TransportEnergyCons!K$3:K$1000)</f>
        <v>0</v>
      </c>
      <c r="N1558" s="1" cm="1">
        <f t="array" ref="N1558">SUMPRODUCT(("TFLGV-ICEGSL"=[1]OUT_TransportEnergyCons!$A$3:$A$1000)*1,("Var_Fin"=[1]OUT_TransportEnergyCons!$B$3:$B$1000)*1,ISNUMBER(SEARCH("gsl",[1]OUT_TransportEnergyCons!$C$3:$C$1000))*1,[1]OUT_TransportEnergyCons!L$3:L$1000)</f>
        <v>0</v>
      </c>
      <c r="O1558" s="1" cm="1">
        <f t="array" ref="O1558">SUMPRODUCT(("TFLGV-ICEGSL"=[1]OUT_TransportEnergyCons!$A$3:$A$1000)*1,("Var_Fin"=[1]OUT_TransportEnergyCons!$B$3:$B$1000)*1,ISNUMBER(SEARCH("gsl",[1]OUT_TransportEnergyCons!$C$3:$C$1000))*1,[1]OUT_TransportEnergyCons!M$3:M$1000)</f>
        <v>0</v>
      </c>
      <c r="P1558" s="1" cm="1">
        <f t="array" ref="P1558">SUMPRODUCT(("TFLGV-ICEGSL"=[1]OUT_TransportEnergyCons!$A$3:$A$1000)*1,("Var_Fin"=[1]OUT_TransportEnergyCons!$B$3:$B$1000)*1,ISNUMBER(SEARCH("gsl",[1]OUT_TransportEnergyCons!$C$3:$C$1000))*1,[1]OUT_TransportEnergyCons!N$3:N$1000)</f>
        <v>0</v>
      </c>
      <c r="Q1558" s="1" cm="1">
        <f t="array" ref="Q1558">SUMPRODUCT(("TFLGV-ICEGSL"=[1]OUT_TransportEnergyCons!$A$3:$A$1000)*1,("Var_Fin"=[1]OUT_TransportEnergyCons!$B$3:$B$1000)*1,ISNUMBER(SEARCH("gsl",[1]OUT_TransportEnergyCons!$C$3:$C$1000))*1,[1]OUT_TransportEnergyCons!O$3:O$1000)</f>
        <v>0</v>
      </c>
      <c r="S1558" s="3"/>
    </row>
    <row r="1559" spans="2:19" x14ac:dyDescent="0.5">
      <c r="B1559" t="str">
        <f t="shared" si="1740"/>
        <v>SPS1</v>
      </c>
      <c r="C1559" t="str">
        <f t="shared" si="1741"/>
        <v>CH</v>
      </c>
      <c r="D1559" t="s">
        <v>1546</v>
      </c>
      <c r="E1559" t="str">
        <f t="shared" si="1744"/>
        <v>PJ/yr.</v>
      </c>
      <c r="F1559" s="1">
        <f>SUM(F1564:F1566)</f>
        <v>15.526482869644116</v>
      </c>
      <c r="G1559" s="1">
        <f t="shared" ref="G1559:K1559" si="1752">SUM(G1564:G1566)</f>
        <v>12.923486884949286</v>
      </c>
      <c r="H1559" s="1">
        <f t="shared" si="1752"/>
        <v>5.7947815081668193</v>
      </c>
      <c r="I1559" s="1">
        <f t="shared" si="1752"/>
        <v>5.0951739465554207</v>
      </c>
      <c r="J1559" s="1">
        <f t="shared" si="1752"/>
        <v>0.47435111047332806</v>
      </c>
      <c r="K1559" s="1">
        <f t="shared" si="1752"/>
        <v>4.759735826369699E-4</v>
      </c>
      <c r="L1559" s="1">
        <f t="shared" ref="L1559:O1559" si="1753">SUM(L1564:L1566)</f>
        <v>0</v>
      </c>
      <c r="M1559" s="1">
        <f t="shared" si="1753"/>
        <v>0</v>
      </c>
      <c r="N1559" s="1">
        <f t="shared" si="1753"/>
        <v>0</v>
      </c>
      <c r="O1559" s="1">
        <f t="shared" si="1753"/>
        <v>0</v>
      </c>
      <c r="P1559" s="1">
        <f>SUM(P1564:P1566)</f>
        <v>0</v>
      </c>
      <c r="Q1559" s="1">
        <f>SUM(Q1564:Q1566)</f>
        <v>0</v>
      </c>
      <c r="S1559" s="3"/>
    </row>
    <row r="1560" spans="2:19" x14ac:dyDescent="0.5">
      <c r="B1560" t="str">
        <f t="shared" si="1740"/>
        <v>SPS1</v>
      </c>
      <c r="C1560" t="str">
        <f t="shared" si="1741"/>
        <v>CH</v>
      </c>
      <c r="D1560" t="s">
        <v>1547</v>
      </c>
      <c r="E1560" t="str">
        <f t="shared" si="1744"/>
        <v>PJ/yr.</v>
      </c>
      <c r="F1560" s="1">
        <f>IF(F1559-F1561&lt;0,0,F1559-F1561)</f>
        <v>15.143177123276208</v>
      </c>
      <c r="G1560" s="1">
        <f t="shared" ref="G1560:K1560" si="1754">IF(G1559-G1561&lt;0,0,G1559-G1561)</f>
        <v>12.586676582730059</v>
      </c>
      <c r="H1560" s="1">
        <f t="shared" si="1754"/>
        <v>5.5346982414281101</v>
      </c>
      <c r="I1560" s="1">
        <f t="shared" si="1754"/>
        <v>4.8173619002338501</v>
      </c>
      <c r="J1560" s="1">
        <f t="shared" si="1754"/>
        <v>0.43535272617726228</v>
      </c>
      <c r="K1560" s="1">
        <f t="shared" si="1754"/>
        <v>3.9266162772357851E-4</v>
      </c>
      <c r="L1560" s="1">
        <f t="shared" ref="L1560:O1560" si="1755">IF(L1559-L1561&lt;0,0,L1559-L1561)</f>
        <v>0</v>
      </c>
      <c r="M1560" s="1">
        <f t="shared" si="1755"/>
        <v>0</v>
      </c>
      <c r="N1560" s="1">
        <f t="shared" si="1755"/>
        <v>0</v>
      </c>
      <c r="O1560" s="1">
        <f t="shared" si="1755"/>
        <v>0</v>
      </c>
      <c r="P1560" s="1">
        <f>IF(P1559-P1561&lt;0,0,P1559-P1561)</f>
        <v>0</v>
      </c>
      <c r="Q1560" s="1">
        <f>IF(Q1559-Q1561&lt;0,0,Q1559-Q1561)</f>
        <v>0</v>
      </c>
      <c r="S1560" s="3"/>
    </row>
    <row r="1561" spans="2:19" x14ac:dyDescent="0.5">
      <c r="B1561" t="str">
        <f t="shared" si="1740"/>
        <v>SPS1</v>
      </c>
      <c r="C1561" t="str">
        <f t="shared" si="1741"/>
        <v>CH</v>
      </c>
      <c r="D1561" t="s">
        <v>1548</v>
      </c>
      <c r="E1561" t="str">
        <f t="shared" si="1744"/>
        <v>PJ/yr.</v>
      </c>
      <c r="F1561" s="1">
        <f>SUM(F1562:F1563)</f>
        <v>0.3833057463679071</v>
      </c>
      <c r="G1561" s="1">
        <f t="shared" ref="G1561:K1561" si="1756">SUM(G1562:G1563)</f>
        <v>0.33681030221922797</v>
      </c>
      <c r="H1561" s="1">
        <f t="shared" si="1756"/>
        <v>0.26008326673870963</v>
      </c>
      <c r="I1561" s="1">
        <f t="shared" si="1756"/>
        <v>0.27781204632157031</v>
      </c>
      <c r="J1561" s="1">
        <f t="shared" si="1756"/>
        <v>3.8998384296065794E-2</v>
      </c>
      <c r="K1561" s="1">
        <f t="shared" si="1756"/>
        <v>8.3311954913391404E-5</v>
      </c>
      <c r="L1561" s="1">
        <f t="shared" ref="L1561:O1561" si="1757">SUM(L1562:L1563)</f>
        <v>0</v>
      </c>
      <c r="M1561" s="1">
        <f t="shared" si="1757"/>
        <v>0</v>
      </c>
      <c r="N1561" s="1">
        <f t="shared" si="1757"/>
        <v>0</v>
      </c>
      <c r="O1561" s="1">
        <f t="shared" si="1757"/>
        <v>0</v>
      </c>
      <c r="P1561" s="1">
        <f>SUM(P1562:P1563)</f>
        <v>0</v>
      </c>
      <c r="Q1561" s="1">
        <f>SUM(Q1562:Q1563)</f>
        <v>0</v>
      </c>
      <c r="S1561" s="3"/>
    </row>
    <row r="1562" spans="2:19" x14ac:dyDescent="0.5">
      <c r="B1562" t="str">
        <f t="shared" si="1740"/>
        <v>SPS1</v>
      </c>
      <c r="C1562" t="str">
        <f t="shared" si="1741"/>
        <v>CH</v>
      </c>
      <c r="D1562" t="s">
        <v>1549</v>
      </c>
      <c r="E1562" t="str">
        <f t="shared" si="1744"/>
        <v>PJ/yr.</v>
      </c>
      <c r="F1562" s="1">
        <f>[1]Transport!B$26/SUM([1]Transport!B$22,[1]Transport!B$26)*F1559*(F$34+F$582)/(F$34+F$582+F$38)</f>
        <v>0.3833057463679071</v>
      </c>
      <c r="G1562" s="1">
        <f>[1]Transport!C$26/SUM([1]Transport!C$22,[1]Transport!C$26)*G1559*(G$34+G$582)/(G$34+G$582+G$38)</f>
        <v>0.33681030221922797</v>
      </c>
      <c r="H1562" s="1">
        <f>[1]Transport!D$26/SUM([1]Transport!D$22,[1]Transport!D$26)*H1559*(H$34+H$582)/(H$34+H$582+H$38)</f>
        <v>0.26008326673870963</v>
      </c>
      <c r="I1562" s="1">
        <f>[1]Transport!E$26/SUM([1]Transport!E$22,[1]Transport!E$26)*I1559*(I$34+I$582)/(I$34+I$582+I$38)</f>
        <v>0.27781204632157031</v>
      </c>
      <c r="J1562" s="1">
        <f>[1]Transport!F$26/SUM([1]Transport!F$22,[1]Transport!F$26)*J1559*(J$34+J$582)/(J$34+J$582+J$38)</f>
        <v>3.8875716993573922E-2</v>
      </c>
      <c r="K1562" s="1">
        <f>[1]Transport!G$26/SUM([1]Transport!G$22,[1]Transport!G$26)*K1559*(K$34+K$582)/(K$34+K$582+K$38)</f>
        <v>6.0296364103931094E-5</v>
      </c>
      <c r="L1562" s="1">
        <f>[1]Transport!H$26/SUM([1]Transport!H$22,[1]Transport!H$26)*L1559*(L$34+L$582)/(L$34+L$582+L$38)</f>
        <v>0</v>
      </c>
      <c r="M1562" s="1">
        <f>[1]Transport!I$26/SUM([1]Transport!I$22,[1]Transport!I$26)*M1559*(M$34+M$582)/(M$34+M$582+M$38)</f>
        <v>0</v>
      </c>
      <c r="N1562" s="1">
        <f>[1]Transport!J$26/SUM([1]Transport!J$22,[1]Transport!J$26)*N1559*(N$34+N$582)/(N$34+N$582+N$38)</f>
        <v>0</v>
      </c>
      <c r="O1562" s="1">
        <f>[1]Transport!K$26/SUM([1]Transport!K$22,[1]Transport!K$26)*O1559*(O$34+O$582)/(O$34+O$582+O$38)</f>
        <v>0</v>
      </c>
      <c r="P1562" s="1">
        <f>[1]Transport!L$26/SUM([1]Transport!L$22,[1]Transport!L$26)*P1559*(P$34+P$582)/(P$34+P$582+P$38)</f>
        <v>0</v>
      </c>
      <c r="Q1562" s="1">
        <f>[1]Transport!M$26/SUM([1]Transport!M$22,[1]Transport!M$26)*Q1559*(Q$34+Q$582)/(Q$34+Q$582+Q$38)</f>
        <v>0</v>
      </c>
      <c r="S1562" s="3"/>
    </row>
    <row r="1563" spans="2:19" x14ac:dyDescent="0.5">
      <c r="B1563" t="str">
        <f t="shared" si="1740"/>
        <v>SPS1</v>
      </c>
      <c r="C1563" t="str">
        <f t="shared" si="1741"/>
        <v>CH</v>
      </c>
      <c r="D1563" t="s">
        <v>1550</v>
      </c>
      <c r="E1563" t="str">
        <f t="shared" si="1744"/>
        <v>PJ/yr.</v>
      </c>
      <c r="F1563" s="1">
        <f>(F$38+F$718)/([1]Transport!B$22+[1]Transport!B$26)*F1559</f>
        <v>0</v>
      </c>
      <c r="G1563" s="1">
        <f>(G$38+G$718)/([1]Transport!C$22+[1]Transport!C$26)*G1559</f>
        <v>0</v>
      </c>
      <c r="H1563" s="1">
        <f>(H$38+H$718)/([1]Transport!D$22+[1]Transport!D$26)*H1559</f>
        <v>0</v>
      </c>
      <c r="I1563" s="1">
        <f>(I$38+I$718)/([1]Transport!E$22+[1]Transport!E$26)*I1559</f>
        <v>0</v>
      </c>
      <c r="J1563" s="1">
        <f>(J$38+J$718)/([1]Transport!F$22+[1]Transport!F$26)*J1559</f>
        <v>1.2266730249187115E-4</v>
      </c>
      <c r="K1563" s="1">
        <f>(K$38+K$718)/([1]Transport!G$22+[1]Transport!G$26)*K1559</f>
        <v>2.3015590809460307E-5</v>
      </c>
      <c r="L1563" s="1">
        <f>(L$38+L$718)/([1]Transport!H$22+[1]Transport!H$26)*L1559</f>
        <v>0</v>
      </c>
      <c r="M1563" s="1">
        <f>(M$38+M$718)/([1]Transport!I$22+[1]Transport!I$26)*M1559</f>
        <v>0</v>
      </c>
      <c r="N1563" s="1">
        <f>(N$38+N$718)/([1]Transport!J$22+[1]Transport!J$26)*N1559</f>
        <v>0</v>
      </c>
      <c r="O1563" s="1">
        <f>(O$38+O$718)/([1]Transport!K$22+[1]Transport!K$26)*O1559</f>
        <v>0</v>
      </c>
      <c r="P1563" s="1">
        <f>(P$38+P$718)/([1]Transport!L$22+[1]Transport!L$26)*P1559</f>
        <v>0</v>
      </c>
      <c r="Q1563" s="1">
        <f>(Q$38+Q$718)/([1]Transport!M$22+[1]Transport!M$26)*Q1559</f>
        <v>0</v>
      </c>
      <c r="S1563" s="3"/>
    </row>
    <row r="1564" spans="2:19" x14ac:dyDescent="0.5">
      <c r="B1564" t="str">
        <f t="shared" si="1740"/>
        <v>SPS1</v>
      </c>
      <c r="C1564" t="str">
        <f t="shared" si="1741"/>
        <v>CH</v>
      </c>
      <c r="D1564" t="s">
        <v>1551</v>
      </c>
      <c r="E1564" t="str">
        <f t="shared" si="1744"/>
        <v>PJ/yr.</v>
      </c>
      <c r="F1564" s="1" cm="1">
        <f t="array" ref="F1564">SUMPRODUCT(("TFLGV-ICEdslExt"=[1]OUT_TransportEnergyCons!$A$3:$A$1000)*1,("Var_Fin"=[1]OUT_TransportEnergyCons!$B$3:$B$1000)*1,ISNUMBER(SEARCH("dsl",[1]OUT_TransportEnergyCons!$C$3:$C$1000))*1,[1]OUT_TransportEnergyCons!D$3:D$1000)</f>
        <v>11.094090352404001</v>
      </c>
      <c r="G1564" s="1" cm="1">
        <f t="array" ref="G1564">SUMPRODUCT(("TFLGV-ICEdslExt"=[1]OUT_TransportEnergyCons!$A$3:$A$1000)*1,("Var_Fin"=[1]OUT_TransportEnergyCons!$B$3:$B$1000)*1,ISNUMBER(SEARCH("dsl",[1]OUT_TransportEnergyCons!$C$3:$C$1000))*1,[1]OUT_TransportEnergyCons!E$3:E$1000)</f>
        <v>7.4461657015014122</v>
      </c>
      <c r="H1564" s="1" cm="1">
        <f t="array" ref="H1564">SUMPRODUCT(("TFLGV-ICEdslExt"=[1]OUT_TransportEnergyCons!$A$3:$A$1000)*1,("Var_Fin"=[1]OUT_TransportEnergyCons!$B$3:$B$1000)*1,ISNUMBER(SEARCH("dsl",[1]OUT_TransportEnergyCons!$C$3:$C$1000))*1,[1]OUT_TransportEnergyCons!F$3:F$1000)</f>
        <v>2.7253855082638188</v>
      </c>
      <c r="I1564" s="1" cm="1">
        <f t="array" ref="I1564">SUMPRODUCT(("TFLGV-ICEdslExt"=[1]OUT_TransportEnergyCons!$A$3:$A$1000)*1,("Var_Fin"=[1]OUT_TransportEnergyCons!$B$3:$B$1000)*1,ISNUMBER(SEARCH("dsl",[1]OUT_TransportEnergyCons!$C$3:$C$1000))*1,[1]OUT_TransportEnergyCons!G$3:G$1000)</f>
        <v>2.7394447922537672</v>
      </c>
      <c r="J1564" s="1" cm="1">
        <f t="array" ref="J1564">SUMPRODUCT(("TFLGV-ICEdslExt"=[1]OUT_TransportEnergyCons!$A$3:$A$1000)*1,("Var_Fin"=[1]OUT_TransportEnergyCons!$B$3:$B$1000)*1,ISNUMBER(SEARCH("dsl",[1]OUT_TransportEnergyCons!$C$3:$C$1000))*1,[1]OUT_TransportEnergyCons!H$3:H$1000)</f>
        <v>0</v>
      </c>
      <c r="K1564" s="1" cm="1">
        <f t="array" ref="K1564">SUMPRODUCT(("TFLGV-ICEdslExt"=[1]OUT_TransportEnergyCons!$A$3:$A$1000)*1,("Var_Fin"=[1]OUT_TransportEnergyCons!$B$3:$B$1000)*1,ISNUMBER(SEARCH("dsl",[1]OUT_TransportEnergyCons!$C$3:$C$1000))*1,[1]OUT_TransportEnergyCons!I$3:I$1000)</f>
        <v>0</v>
      </c>
      <c r="L1564" s="1" cm="1">
        <f t="array" ref="L1564">SUMPRODUCT(("TFLGV-ICEdslExt"=[1]OUT_TransportEnergyCons!$A$3:$A$1000)*1,("Var_Fin"=[1]OUT_TransportEnergyCons!$B$3:$B$1000)*1,ISNUMBER(SEARCH("dsl",[1]OUT_TransportEnergyCons!$C$3:$C$1000))*1,[1]OUT_TransportEnergyCons!J$3:J$1000)</f>
        <v>0</v>
      </c>
      <c r="M1564" s="1" cm="1">
        <f t="array" ref="M1564">SUMPRODUCT(("TFLGV-ICEdslExt"=[1]OUT_TransportEnergyCons!$A$3:$A$1000)*1,("Var_Fin"=[1]OUT_TransportEnergyCons!$B$3:$B$1000)*1,ISNUMBER(SEARCH("dsl",[1]OUT_TransportEnergyCons!$C$3:$C$1000))*1,[1]OUT_TransportEnergyCons!K$3:K$1000)</f>
        <v>0</v>
      </c>
      <c r="N1564" s="1" cm="1">
        <f t="array" ref="N1564">SUMPRODUCT(("TFLGV-ICEdslExt"=[1]OUT_TransportEnergyCons!$A$3:$A$1000)*1,("Var_Fin"=[1]OUT_TransportEnergyCons!$B$3:$B$1000)*1,ISNUMBER(SEARCH("dsl",[1]OUT_TransportEnergyCons!$C$3:$C$1000))*1,[1]OUT_TransportEnergyCons!L$3:L$1000)</f>
        <v>0</v>
      </c>
      <c r="O1564" s="1" cm="1">
        <f t="array" ref="O1564">SUMPRODUCT(("TFLGV-ICEdslExt"=[1]OUT_TransportEnergyCons!$A$3:$A$1000)*1,("Var_Fin"=[1]OUT_TransportEnergyCons!$B$3:$B$1000)*1,ISNUMBER(SEARCH("dsl",[1]OUT_TransportEnergyCons!$C$3:$C$1000))*1,[1]OUT_TransportEnergyCons!M$3:M$1000)</f>
        <v>0</v>
      </c>
      <c r="P1564" s="1" cm="1">
        <f t="array" ref="P1564">SUMPRODUCT(("TFLGV-ICEdslExt"=[1]OUT_TransportEnergyCons!$A$3:$A$1000)*1,("Var_Fin"=[1]OUT_TransportEnergyCons!$B$3:$B$1000)*1,ISNUMBER(SEARCH("dsl",[1]OUT_TransportEnergyCons!$C$3:$C$1000))*1,[1]OUT_TransportEnergyCons!N$3:N$1000)</f>
        <v>0</v>
      </c>
      <c r="Q1564" s="1" cm="1">
        <f t="array" ref="Q1564">SUMPRODUCT(("TFLGV-ICEdslExt"=[1]OUT_TransportEnergyCons!$A$3:$A$1000)*1,("Var_Fin"=[1]OUT_TransportEnergyCons!$B$3:$B$1000)*1,ISNUMBER(SEARCH("dsl",[1]OUT_TransportEnergyCons!$C$3:$C$1000))*1,[1]OUT_TransportEnergyCons!O$3:O$1000)</f>
        <v>0</v>
      </c>
      <c r="S1564" s="3"/>
    </row>
    <row r="1565" spans="2:19" x14ac:dyDescent="0.5">
      <c r="B1565" t="str">
        <f t="shared" si="1740"/>
        <v>SPS1</v>
      </c>
      <c r="C1565" t="str">
        <f t="shared" si="1741"/>
        <v>CH</v>
      </c>
      <c r="D1565" t="s">
        <v>1552</v>
      </c>
      <c r="E1565" t="str">
        <f t="shared" si="1744"/>
        <v>PJ/yr.</v>
      </c>
      <c r="F1565" s="1" cm="1">
        <f t="array" ref="F1565">SUMPRODUCT(("TFLGV-ICEdsl"=[1]OUT_TransportEnergyCons!$A$3:$A$1000)*1,("Var_Fin"=[1]OUT_TransportEnergyCons!$B$3:$B$1000)*1,ISNUMBER(SEARCH("dsl",[1]OUT_TransportEnergyCons!$C$3:$C$1000))*1,[1]OUT_TransportEnergyCons!D$3:D$1000)</f>
        <v>4.4323925172401157</v>
      </c>
      <c r="G1565" s="1" cm="1">
        <f t="array" ref="G1565">SUMPRODUCT(("TFLGV-ICEdsl"=[1]OUT_TransportEnergyCons!$A$3:$A$1000)*1,("Var_Fin"=[1]OUT_TransportEnergyCons!$B$3:$B$1000)*1,ISNUMBER(SEARCH("dsl",[1]OUT_TransportEnergyCons!$C$3:$C$1000))*1,[1]OUT_TransportEnergyCons!E$3:E$1000)</f>
        <v>5.248043034419263</v>
      </c>
      <c r="H1565" s="1" cm="1">
        <f t="array" ref="H1565">SUMPRODUCT(("TFLGV-ICEdsl"=[1]OUT_TransportEnergyCons!$A$3:$A$1000)*1,("Var_Fin"=[1]OUT_TransportEnergyCons!$B$3:$B$1000)*1,ISNUMBER(SEARCH("dsl",[1]OUT_TransportEnergyCons!$C$3:$C$1000))*1,[1]OUT_TransportEnergyCons!F$3:F$1000)</f>
        <v>2.9067128117494931</v>
      </c>
      <c r="I1565" s="1" cm="1">
        <f t="array" ref="I1565">SUMPRODUCT(("TFLGV-ICEdsl"=[1]OUT_TransportEnergyCons!$A$3:$A$1000)*1,("Var_Fin"=[1]OUT_TransportEnergyCons!$B$3:$B$1000)*1,ISNUMBER(SEARCH("dsl",[1]OUT_TransportEnergyCons!$C$3:$C$1000))*1,[1]OUT_TransportEnergyCons!G$3:G$1000)</f>
        <v>1.8641585580843107</v>
      </c>
      <c r="J1565" s="1" cm="1">
        <f t="array" ref="J1565">SUMPRODUCT(("TFLGV-ICEdsl"=[1]OUT_TransportEnergyCons!$A$3:$A$1000)*1,("Var_Fin"=[1]OUT_TransportEnergyCons!$B$3:$B$1000)*1,ISNUMBER(SEARCH("dsl",[1]OUT_TransportEnergyCons!$C$3:$C$1000))*1,[1]OUT_TransportEnergyCons!H$3:H$1000)</f>
        <v>5.1451626547830897E-3</v>
      </c>
      <c r="K1565" s="1" cm="1">
        <f t="array" ref="K1565">SUMPRODUCT(("TFLGV-ICEdsl"=[1]OUT_TransportEnergyCons!$A$3:$A$1000)*1,("Var_Fin"=[1]OUT_TransportEnergyCons!$B$3:$B$1000)*1,ISNUMBER(SEARCH("dsl",[1]OUT_TransportEnergyCons!$C$3:$C$1000))*1,[1]OUT_TransportEnergyCons!I$3:I$1000)</f>
        <v>2.4285173217617601E-4</v>
      </c>
      <c r="L1565" s="1" cm="1">
        <f t="array" ref="L1565">SUMPRODUCT(("TFLGV-ICEdsl"=[1]OUT_TransportEnergyCons!$A$3:$A$1000)*1,("Var_Fin"=[1]OUT_TransportEnergyCons!$B$3:$B$1000)*1,ISNUMBER(SEARCH("dsl",[1]OUT_TransportEnergyCons!$C$3:$C$1000))*1,[1]OUT_TransportEnergyCons!J$3:J$1000)</f>
        <v>0</v>
      </c>
      <c r="M1565" s="1" cm="1">
        <f t="array" ref="M1565">SUMPRODUCT(("TFLGV-ICEdsl"=[1]OUT_TransportEnergyCons!$A$3:$A$1000)*1,("Var_Fin"=[1]OUT_TransportEnergyCons!$B$3:$B$1000)*1,ISNUMBER(SEARCH("dsl",[1]OUT_TransportEnergyCons!$C$3:$C$1000))*1,[1]OUT_TransportEnergyCons!K$3:K$1000)</f>
        <v>0</v>
      </c>
      <c r="N1565" s="1" cm="1">
        <f t="array" ref="N1565">SUMPRODUCT(("TFLGV-ICEdsl"=[1]OUT_TransportEnergyCons!$A$3:$A$1000)*1,("Var_Fin"=[1]OUT_TransportEnergyCons!$B$3:$B$1000)*1,ISNUMBER(SEARCH("dsl",[1]OUT_TransportEnergyCons!$C$3:$C$1000))*1,[1]OUT_TransportEnergyCons!L$3:L$1000)</f>
        <v>0</v>
      </c>
      <c r="O1565" s="1" cm="1">
        <f t="array" ref="O1565">SUMPRODUCT(("TFLGV-ICEdsl"=[1]OUT_TransportEnergyCons!$A$3:$A$1000)*1,("Var_Fin"=[1]OUT_TransportEnergyCons!$B$3:$B$1000)*1,ISNUMBER(SEARCH("dsl",[1]OUT_TransportEnergyCons!$C$3:$C$1000))*1,[1]OUT_TransportEnergyCons!M$3:M$1000)</f>
        <v>0</v>
      </c>
      <c r="P1565" s="1" cm="1">
        <f t="array" ref="P1565">SUMPRODUCT(("TFLGV-ICEdsl"=[1]OUT_TransportEnergyCons!$A$3:$A$1000)*1,("Var_Fin"=[1]OUT_TransportEnergyCons!$B$3:$B$1000)*1,ISNUMBER(SEARCH("dsl",[1]OUT_TransportEnergyCons!$C$3:$C$1000))*1,[1]OUT_TransportEnergyCons!N$3:N$1000)</f>
        <v>0</v>
      </c>
      <c r="Q1565" s="1" cm="1">
        <f t="array" ref="Q1565">SUMPRODUCT(("TFLGV-ICEdsl"=[1]OUT_TransportEnergyCons!$A$3:$A$1000)*1,("Var_Fin"=[1]OUT_TransportEnergyCons!$B$3:$B$1000)*1,ISNUMBER(SEARCH("dsl",[1]OUT_TransportEnergyCons!$C$3:$C$1000))*1,[1]OUT_TransportEnergyCons!O$3:O$1000)</f>
        <v>0</v>
      </c>
      <c r="S1565" s="3"/>
    </row>
    <row r="1566" spans="2:19" x14ac:dyDescent="0.5">
      <c r="B1566" t="str">
        <f t="shared" si="1740"/>
        <v>SPS1</v>
      </c>
      <c r="C1566" t="str">
        <f t="shared" si="1741"/>
        <v>CH</v>
      </c>
      <c r="D1566" t="s">
        <v>1553</v>
      </c>
      <c r="E1566" t="str">
        <f t="shared" si="1744"/>
        <v>PJ/yr.</v>
      </c>
      <c r="F1566" s="1" cm="1">
        <f t="array" ref="F1566">SUMPRODUCT(("TFLGV-HYBDSL"=[1]OUT_TransportEnergyCons!$A$3:$A$1000)*1,("Var_Fin"=[1]OUT_TransportEnergyCons!$B$3:$B$1000)*1,ISNUMBER(SEARCH("dsl",[1]OUT_TransportEnergyCons!$C$3:$C$1000))*1,[1]OUT_TransportEnergyCons!D$3:D$1000)</f>
        <v>0</v>
      </c>
      <c r="G1566" s="1" cm="1">
        <f t="array" ref="G1566">SUMPRODUCT(("TFLGV-HYBDSL"=[1]OUT_TransportEnergyCons!$A$3:$A$1000)*1,("Var_Fin"=[1]OUT_TransportEnergyCons!$B$3:$B$1000)*1,ISNUMBER(SEARCH("dsl",[1]OUT_TransportEnergyCons!$C$3:$C$1000))*1,[1]OUT_TransportEnergyCons!E$3:E$1000)</f>
        <v>0.22927814902861143</v>
      </c>
      <c r="H1566" s="1" cm="1">
        <f t="array" ref="H1566">SUMPRODUCT(("TFLGV-HYBDSL"=[1]OUT_TransportEnergyCons!$A$3:$A$1000)*1,("Var_Fin"=[1]OUT_TransportEnergyCons!$B$3:$B$1000)*1,ISNUMBER(SEARCH("dsl",[1]OUT_TransportEnergyCons!$C$3:$C$1000))*1,[1]OUT_TransportEnergyCons!F$3:F$1000)</f>
        <v>0.1626831881535073</v>
      </c>
      <c r="I1566" s="1" cm="1">
        <f t="array" ref="I1566">SUMPRODUCT(("TFLGV-HYBDSL"=[1]OUT_TransportEnergyCons!$A$3:$A$1000)*1,("Var_Fin"=[1]OUT_TransportEnergyCons!$B$3:$B$1000)*1,ISNUMBER(SEARCH("dsl",[1]OUT_TransportEnergyCons!$C$3:$C$1000))*1,[1]OUT_TransportEnergyCons!G$3:G$1000)</f>
        <v>0.49157059621734256</v>
      </c>
      <c r="J1566" s="1" cm="1">
        <f t="array" ref="J1566">SUMPRODUCT(("TFLGV-HYBDSL"=[1]OUT_TransportEnergyCons!$A$3:$A$1000)*1,("Var_Fin"=[1]OUT_TransportEnergyCons!$B$3:$B$1000)*1,ISNUMBER(SEARCH("dsl",[1]OUT_TransportEnergyCons!$C$3:$C$1000))*1,[1]OUT_TransportEnergyCons!H$3:H$1000)</f>
        <v>0.46920594781854497</v>
      </c>
      <c r="K1566" s="1" cm="1">
        <f t="array" ref="K1566">SUMPRODUCT(("TFLGV-HYBDSL"=[1]OUT_TransportEnergyCons!$A$3:$A$1000)*1,("Var_Fin"=[1]OUT_TransportEnergyCons!$B$3:$B$1000)*1,ISNUMBER(SEARCH("dsl",[1]OUT_TransportEnergyCons!$C$3:$C$1000))*1,[1]OUT_TransportEnergyCons!I$3:I$1000)</f>
        <v>2.3312185046079386E-4</v>
      </c>
      <c r="L1566" s="1" cm="1">
        <f t="array" ref="L1566">SUMPRODUCT(("TFLGV-HYBDSL"=[1]OUT_TransportEnergyCons!$A$3:$A$1000)*1,("Var_Fin"=[1]OUT_TransportEnergyCons!$B$3:$B$1000)*1,ISNUMBER(SEARCH("dsl",[1]OUT_TransportEnergyCons!$C$3:$C$1000))*1,[1]OUT_TransportEnergyCons!J$3:J$1000)</f>
        <v>0</v>
      </c>
      <c r="M1566" s="1" cm="1">
        <f t="array" ref="M1566">SUMPRODUCT(("TFLGV-HYBDSL"=[1]OUT_TransportEnergyCons!$A$3:$A$1000)*1,("Var_Fin"=[1]OUT_TransportEnergyCons!$B$3:$B$1000)*1,ISNUMBER(SEARCH("dsl",[1]OUT_TransportEnergyCons!$C$3:$C$1000))*1,[1]OUT_TransportEnergyCons!K$3:K$1000)</f>
        <v>0</v>
      </c>
      <c r="N1566" s="1" cm="1">
        <f t="array" ref="N1566">SUMPRODUCT(("TFLGV-HYBDSL"=[1]OUT_TransportEnergyCons!$A$3:$A$1000)*1,("Var_Fin"=[1]OUT_TransportEnergyCons!$B$3:$B$1000)*1,ISNUMBER(SEARCH("dsl",[1]OUT_TransportEnergyCons!$C$3:$C$1000))*1,[1]OUT_TransportEnergyCons!L$3:L$1000)</f>
        <v>0</v>
      </c>
      <c r="O1566" s="1" cm="1">
        <f t="array" ref="O1566">SUMPRODUCT(("TFLGV-HYBDSL"=[1]OUT_TransportEnergyCons!$A$3:$A$1000)*1,("Var_Fin"=[1]OUT_TransportEnergyCons!$B$3:$B$1000)*1,ISNUMBER(SEARCH("dsl",[1]OUT_TransportEnergyCons!$C$3:$C$1000))*1,[1]OUT_TransportEnergyCons!M$3:M$1000)</f>
        <v>0</v>
      </c>
      <c r="P1566" s="1" cm="1">
        <f t="array" ref="P1566">SUMPRODUCT(("TFLGV-HYBDSL"=[1]OUT_TransportEnergyCons!$A$3:$A$1000)*1,("Var_Fin"=[1]OUT_TransportEnergyCons!$B$3:$B$1000)*1,ISNUMBER(SEARCH("dsl",[1]OUT_TransportEnergyCons!$C$3:$C$1000))*1,[1]OUT_TransportEnergyCons!N$3:N$1000)</f>
        <v>0</v>
      </c>
      <c r="Q1566" s="1" cm="1">
        <f t="array" ref="Q1566">SUMPRODUCT(("TFLGV-HYBDSL"=[1]OUT_TransportEnergyCons!$A$3:$A$1000)*1,("Var_Fin"=[1]OUT_TransportEnergyCons!$B$3:$B$1000)*1,ISNUMBER(SEARCH("dsl",[1]OUT_TransportEnergyCons!$C$3:$C$1000))*1,[1]OUT_TransportEnergyCons!O$3:O$1000)</f>
        <v>0</v>
      </c>
      <c r="S1566" s="3"/>
    </row>
    <row r="1567" spans="2:19" x14ac:dyDescent="0.5">
      <c r="B1567" t="str">
        <f t="shared" si="1740"/>
        <v>SPS1</v>
      </c>
      <c r="C1567" t="str">
        <f t="shared" si="1741"/>
        <v>CH</v>
      </c>
      <c r="D1567" t="s">
        <v>1554</v>
      </c>
      <c r="E1567" t="str">
        <f t="shared" si="1744"/>
        <v>PJ/yr.</v>
      </c>
      <c r="F1567" s="1">
        <f>F1572</f>
        <v>2.4845424615399556E-2</v>
      </c>
      <c r="G1567" s="1">
        <f t="shared" ref="G1567:K1567" si="1758">G1572</f>
        <v>2.3871397220304819E-2</v>
      </c>
      <c r="H1567" s="1">
        <f t="shared" si="1758"/>
        <v>3.3193147272635164E-2</v>
      </c>
      <c r="I1567" s="1">
        <f t="shared" si="1758"/>
        <v>4.9688611123688633E-4</v>
      </c>
      <c r="J1567" s="1">
        <f t="shared" si="1758"/>
        <v>1.2141565580706752E-4</v>
      </c>
      <c r="K1567" s="1">
        <f t="shared" si="1758"/>
        <v>0</v>
      </c>
      <c r="L1567" s="1">
        <f t="shared" ref="L1567:O1567" si="1759">L1572</f>
        <v>0</v>
      </c>
      <c r="M1567" s="1">
        <f t="shared" si="1759"/>
        <v>0</v>
      </c>
      <c r="N1567" s="1">
        <f t="shared" si="1759"/>
        <v>0</v>
      </c>
      <c r="O1567" s="1">
        <f t="shared" si="1759"/>
        <v>0</v>
      </c>
      <c r="P1567" s="1">
        <f>P1572</f>
        <v>0</v>
      </c>
      <c r="Q1567" s="1">
        <f>Q1572</f>
        <v>0</v>
      </c>
      <c r="S1567" s="3"/>
    </row>
    <row r="1568" spans="2:19" x14ac:dyDescent="0.5">
      <c r="B1568" t="str">
        <f t="shared" si="1740"/>
        <v>SPS1</v>
      </c>
      <c r="C1568" t="str">
        <f t="shared" si="1741"/>
        <v>CH</v>
      </c>
      <c r="D1568" t="s">
        <v>1555</v>
      </c>
      <c r="E1568" t="str">
        <f t="shared" si="1744"/>
        <v>PJ/yr.</v>
      </c>
      <c r="F1568" s="1">
        <f>IF(F1567-F1569&lt;0,0,F1567-F1569)</f>
        <v>2.2950806777510501E-2</v>
      </c>
      <c r="G1568" s="1">
        <f t="shared" ref="G1568:K1568" si="1760">IF(G1567-G1569&lt;0,0,G1567-G1569)</f>
        <v>2.0950802297417491E-2</v>
      </c>
      <c r="H1568" s="1">
        <f t="shared" si="1760"/>
        <v>3.2989720578357661E-2</v>
      </c>
      <c r="I1568" s="1">
        <f t="shared" si="1760"/>
        <v>4.9407769793513849E-4</v>
      </c>
      <c r="J1568" s="1">
        <f t="shared" si="1760"/>
        <v>0</v>
      </c>
      <c r="K1568" s="1">
        <f t="shared" si="1760"/>
        <v>0</v>
      </c>
      <c r="L1568" s="1">
        <f t="shared" ref="L1568:O1568" si="1761">IF(L1567-L1569&lt;0,0,L1567-L1569)</f>
        <v>0</v>
      </c>
      <c r="M1568" s="1">
        <f t="shared" si="1761"/>
        <v>0</v>
      </c>
      <c r="N1568" s="1">
        <f t="shared" si="1761"/>
        <v>0</v>
      </c>
      <c r="O1568" s="1">
        <f t="shared" si="1761"/>
        <v>0</v>
      </c>
      <c r="P1568" s="1">
        <f>IF(P1567-P1569&lt;0,0,P1567-P1569)</f>
        <v>0</v>
      </c>
      <c r="Q1568" s="1">
        <f>IF(Q1567-Q1569&lt;0,0,Q1567-Q1569)</f>
        <v>0</v>
      </c>
      <c r="S1568" s="3"/>
    </row>
    <row r="1569" spans="2:19" x14ac:dyDescent="0.5">
      <c r="B1569" t="str">
        <f t="shared" si="1740"/>
        <v>SPS1</v>
      </c>
      <c r="C1569" t="str">
        <f t="shared" si="1741"/>
        <v>CH</v>
      </c>
      <c r="D1569" t="s">
        <v>1556</v>
      </c>
      <c r="E1569" t="str">
        <f t="shared" si="1744"/>
        <v>PJ/yr.</v>
      </c>
      <c r="F1569" s="1">
        <f>SUM(F1570:F1571)</f>
        <v>1.8946178378890547E-3</v>
      </c>
      <c r="G1569" s="1">
        <f t="shared" ref="G1569:K1569" si="1762">SUM(G1570:G1571)</f>
        <v>2.9205949228873272E-3</v>
      </c>
      <c r="H1569" s="1">
        <f t="shared" si="1762"/>
        <v>2.0342669427750101E-4</v>
      </c>
      <c r="I1569" s="1">
        <f t="shared" si="1762"/>
        <v>2.8084133017478483E-6</v>
      </c>
      <c r="J1569" s="1">
        <f t="shared" si="1762"/>
        <v>4.3435953935618915E-4</v>
      </c>
      <c r="K1569" s="1">
        <f t="shared" si="1762"/>
        <v>0</v>
      </c>
      <c r="L1569" s="1">
        <f t="shared" ref="L1569:O1569" si="1763">SUM(L1570:L1571)</f>
        <v>0</v>
      </c>
      <c r="M1569" s="1">
        <f t="shared" si="1763"/>
        <v>0</v>
      </c>
      <c r="N1569" s="1">
        <f t="shared" si="1763"/>
        <v>0</v>
      </c>
      <c r="O1569" s="1">
        <f t="shared" si="1763"/>
        <v>0</v>
      </c>
      <c r="P1569" s="1">
        <f>SUM(P1570:P1571)</f>
        <v>0</v>
      </c>
      <c r="Q1569" s="1">
        <f>SUM(Q1570:Q1571)</f>
        <v>0</v>
      </c>
      <c r="S1569" s="3"/>
    </row>
    <row r="1570" spans="2:19" x14ac:dyDescent="0.5">
      <c r="B1570" t="str">
        <f t="shared" si="1740"/>
        <v>SPS1</v>
      </c>
      <c r="C1570" t="str">
        <f t="shared" si="1741"/>
        <v>CH</v>
      </c>
      <c r="D1570" t="s">
        <v>1557</v>
      </c>
      <c r="E1570" t="str">
        <f t="shared" si="1744"/>
        <v>PJ/yr.</v>
      </c>
      <c r="F1570" s="1">
        <f>IF(SUM([1]Transport!B$24,[1]Transport!B$27)=0,0,[1]Transport!B$27/SUM([1]Transport!B$24,[1]Transport!B$27)*F1567*(F$47+F$614)/(F$47+F$614+F$49))</f>
        <v>1.8946178378890547E-3</v>
      </c>
      <c r="G1570" s="1">
        <f>IF(SUM([1]Transport!C$24,[1]Transport!C$27)=0,0,[1]Transport!C$27/SUM([1]Transport!C$24,[1]Transport!C$27)*G1567*(G$47+G$614)/(G$47+G$614+G$49))</f>
        <v>2.9205949228873272E-3</v>
      </c>
      <c r="H1570" s="1">
        <f>IF(SUM([1]Transport!D$24,[1]Transport!D$27)=0,0,[1]Transport!D$27/SUM([1]Transport!D$24,[1]Transport!D$27)*H1567*(H$47+H$614)/(H$47+H$614+H$49))</f>
        <v>2.0342669427750101E-4</v>
      </c>
      <c r="I1570" s="1">
        <f>IF(SUM([1]Transport!E$24,[1]Transport!E$27)=0,0,[1]Transport!E$27/SUM([1]Transport!E$24,[1]Transport!E$27)*I1567*(I$47+I$614)/(I$47+I$614+I$49))</f>
        <v>2.8084133017478483E-6</v>
      </c>
      <c r="J1570" s="1">
        <f>IF(SUM([1]Transport!F$24,[1]Transport!F$27)=0,0,[1]Transport!F$27/SUM([1]Transport!F$24,[1]Transport!F$27)*J1567*(J$47+J$614)/(J$47+J$614+J$49))</f>
        <v>1.3204985425015179E-6</v>
      </c>
      <c r="K1570" s="1">
        <f>IF(SUM([1]Transport!G$24,[1]Transport!G$27)=0,0,[1]Transport!G$27/SUM([1]Transport!G$24,[1]Transport!G$27)*K1567*(K$47+K$614)/(K$47+K$614+K$49))</f>
        <v>0</v>
      </c>
      <c r="L1570" s="1">
        <f>IF(SUM([1]Transport!H$24,[1]Transport!H$27)=0,0,[1]Transport!H$27/SUM([1]Transport!H$24,[1]Transport!H$27)*L1567*(L$47+L$614)/(L$47+L$614+L$49))</f>
        <v>0</v>
      </c>
      <c r="M1570" s="1">
        <f>IF(SUM([1]Transport!I$24,[1]Transport!I$27)=0,0,[1]Transport!I$27/SUM([1]Transport!I$24,[1]Transport!I$27)*M1567*(M$47+M$614)/(M$47+M$614+M$49))</f>
        <v>0</v>
      </c>
      <c r="N1570" s="1">
        <f>IF(SUM([1]Transport!J$24,[1]Transport!J$27)=0,0,[1]Transport!J$27/SUM([1]Transport!J$24,[1]Transport!J$27)*N1567*(N$47+N$614)/(N$47+N$614+N$49))</f>
        <v>0</v>
      </c>
      <c r="O1570" s="1">
        <f>IF(SUM([1]Transport!K$24,[1]Transport!K$27)=0,0,[1]Transport!K$27/SUM([1]Transport!K$24,[1]Transport!K$27)*O1567*(O$47+O$614)/(O$47+O$614+O$49))</f>
        <v>0</v>
      </c>
      <c r="P1570" s="1">
        <f>IF(SUM([1]Transport!L$24,[1]Transport!L$27)=0,0,[1]Transport!L$27/SUM([1]Transport!L$24,[1]Transport!L$27)*P1567*(P$47+P$614)/(P$47+P$614+P$49))</f>
        <v>0</v>
      </c>
      <c r="Q1570" s="1">
        <f>IF(SUM([1]Transport!M$24,[1]Transport!M$27)=0,0,[1]Transport!M$27/SUM([1]Transport!M$24,[1]Transport!M$27)*Q1567*(Q$47+Q$614)/(Q$47+Q$614+Q$49))</f>
        <v>0</v>
      </c>
      <c r="S1570" s="3"/>
    </row>
    <row r="1571" spans="2:19" x14ac:dyDescent="0.5">
      <c r="B1571" t="str">
        <f t="shared" si="1740"/>
        <v>SPS1</v>
      </c>
      <c r="C1571" t="str">
        <f t="shared" si="1741"/>
        <v>CH</v>
      </c>
      <c r="D1571" t="s">
        <v>1558</v>
      </c>
      <c r="E1571" t="str">
        <f t="shared" si="1744"/>
        <v>PJ/yr.</v>
      </c>
      <c r="F1571" s="1">
        <f>IF(([1]Transport!B$24+[1]Transport!B$27)=0,0,(F$49+F$716)/([1]Transport!B$24+[1]Transport!B$27)*F1567)</f>
        <v>0</v>
      </c>
      <c r="G1571" s="1">
        <f>IF(([1]Transport!C$24+[1]Transport!C$27)=0,0,(G$49+G$716)/([1]Transport!C$24+[1]Transport!C$27)*G1567)</f>
        <v>0</v>
      </c>
      <c r="H1571" s="1">
        <f>IF(([1]Transport!D$24+[1]Transport!D$27)=0,0,(H$49+H$716)/([1]Transport!D$24+[1]Transport!D$27)*H1567)</f>
        <v>0</v>
      </c>
      <c r="I1571" s="1">
        <f>IF(([1]Transport!E$24+[1]Transport!E$27)=0,0,(I$49+I$716)/([1]Transport!E$24+[1]Transport!E$27)*I1567)</f>
        <v>0</v>
      </c>
      <c r="J1571" s="1">
        <f>IF(([1]Transport!F$24+[1]Transport!F$27)=0,0,(J$49+J$716)/([1]Transport!F$24+[1]Transport!F$27)*J1567)</f>
        <v>4.3303904081368763E-4</v>
      </c>
      <c r="K1571" s="1">
        <f>IF(([1]Transport!G$24+[1]Transport!G$27)=0,0,(K$49+K$716)/([1]Transport!G$24+[1]Transport!G$27)*K1567)</f>
        <v>0</v>
      </c>
      <c r="L1571" s="1">
        <f>IF(([1]Transport!H$24+[1]Transport!H$27)=0,0,(L$49+L$716)/([1]Transport!H$24+[1]Transport!H$27)*L1567)</f>
        <v>0</v>
      </c>
      <c r="M1571" s="1">
        <f>IF(([1]Transport!I$24+[1]Transport!I$27)=0,0,(M$49+M$716)/([1]Transport!I$24+[1]Transport!I$27)*M1567)</f>
        <v>0</v>
      </c>
      <c r="N1571" s="1">
        <f>IF(([1]Transport!J$24+[1]Transport!J$27)=0,0,(N$49+N$716)/([1]Transport!J$24+[1]Transport!J$27)*N1567)</f>
        <v>0</v>
      </c>
      <c r="O1571" s="1">
        <f>IF(([1]Transport!K$24+[1]Transport!K$27)=0,0,(O$49+O$716)/([1]Transport!K$24+[1]Transport!K$27)*O1567)</f>
        <v>0</v>
      </c>
      <c r="P1571" s="1">
        <f>IF(([1]Transport!L$24+[1]Transport!L$27)=0,0,(P$49+P$716)/([1]Transport!L$24+[1]Transport!L$27)*P1567)</f>
        <v>0</v>
      </c>
      <c r="Q1571" s="1">
        <f>IF(([1]Transport!M$24+[1]Transport!M$27)=0,0,(Q$49+Q$716)/([1]Transport!M$24+[1]Transport!M$27)*Q1567)</f>
        <v>0</v>
      </c>
      <c r="S1571" s="3"/>
    </row>
    <row r="1572" spans="2:19" x14ac:dyDescent="0.5">
      <c r="B1572" t="str">
        <f t="shared" si="1740"/>
        <v>SPS1</v>
      </c>
      <c r="C1572" t="str">
        <f t="shared" si="1741"/>
        <v>CH</v>
      </c>
      <c r="D1572" t="s">
        <v>1559</v>
      </c>
      <c r="E1572" t="str">
        <f t="shared" si="1744"/>
        <v>PJ/yr.</v>
      </c>
      <c r="F1572" s="1" cm="1">
        <f t="array" ref="F1572">SUMPRODUCT(("TFLGV-ICENGA"=[1]OUT_TransportEnergyCons!$A$3:$A$1000)*1,("Var_Fin"=[1]OUT_TransportEnergyCons!$B$3:$B$1000)*1,ISNUMBER(SEARCH("nga",[1]OUT_TransportEnergyCons!$C$3:$C$1000))*1,[1]OUT_TransportEnergyCons!D$3:D$1000)</f>
        <v>2.4845424615399556E-2</v>
      </c>
      <c r="G1572" s="1" cm="1">
        <f t="array" ref="G1572">SUMPRODUCT(("TFLGV-ICENGA"=[1]OUT_TransportEnergyCons!$A$3:$A$1000)*1,("Var_Fin"=[1]OUT_TransportEnergyCons!$B$3:$B$1000)*1,ISNUMBER(SEARCH("nga",[1]OUT_TransportEnergyCons!$C$3:$C$1000))*1,[1]OUT_TransportEnergyCons!E$3:E$1000)</f>
        <v>2.3871397220304819E-2</v>
      </c>
      <c r="H1572" s="1" cm="1">
        <f t="array" ref="H1572">SUMPRODUCT(("TFLGV-ICENGA"=[1]OUT_TransportEnergyCons!$A$3:$A$1000)*1,("Var_Fin"=[1]OUT_TransportEnergyCons!$B$3:$B$1000)*1,ISNUMBER(SEARCH("nga",[1]OUT_TransportEnergyCons!$C$3:$C$1000))*1,[1]OUT_TransportEnergyCons!F$3:F$1000)</f>
        <v>3.3193147272635164E-2</v>
      </c>
      <c r="I1572" s="1" cm="1">
        <f t="array" ref="I1572">SUMPRODUCT(("TFLGV-ICENGA"=[1]OUT_TransportEnergyCons!$A$3:$A$1000)*1,("Var_Fin"=[1]OUT_TransportEnergyCons!$B$3:$B$1000)*1,ISNUMBER(SEARCH("nga",[1]OUT_TransportEnergyCons!$C$3:$C$1000))*1,[1]OUT_TransportEnergyCons!G$3:G$1000)</f>
        <v>4.9688611123688633E-4</v>
      </c>
      <c r="J1572" s="1" cm="1">
        <f t="array" ref="J1572">SUMPRODUCT(("TFLGV-ICENGA"=[1]OUT_TransportEnergyCons!$A$3:$A$1000)*1,("Var_Fin"=[1]OUT_TransportEnergyCons!$B$3:$B$1000)*1,ISNUMBER(SEARCH("nga",[1]OUT_TransportEnergyCons!$C$3:$C$1000))*1,[1]OUT_TransportEnergyCons!H$3:H$1000)</f>
        <v>1.2141565580706752E-4</v>
      </c>
      <c r="K1572" s="1" cm="1">
        <f t="array" ref="K1572">SUMPRODUCT(("TFLGV-ICENGA"=[1]OUT_TransportEnergyCons!$A$3:$A$1000)*1,("Var_Fin"=[1]OUT_TransportEnergyCons!$B$3:$B$1000)*1,ISNUMBER(SEARCH("nga",[1]OUT_TransportEnergyCons!$C$3:$C$1000))*1,[1]OUT_TransportEnergyCons!I$3:I$1000)</f>
        <v>0</v>
      </c>
      <c r="L1572" s="1" cm="1">
        <f t="array" ref="L1572">SUMPRODUCT(("TFLGV-ICENGA"=[1]OUT_TransportEnergyCons!$A$3:$A$1000)*1,("Var_Fin"=[1]OUT_TransportEnergyCons!$B$3:$B$1000)*1,ISNUMBER(SEARCH("nga",[1]OUT_TransportEnergyCons!$C$3:$C$1000))*1,[1]OUT_TransportEnergyCons!J$3:J$1000)</f>
        <v>0</v>
      </c>
      <c r="M1572" s="1" cm="1">
        <f t="array" ref="M1572">SUMPRODUCT(("TFLGV-ICENGA"=[1]OUT_TransportEnergyCons!$A$3:$A$1000)*1,("Var_Fin"=[1]OUT_TransportEnergyCons!$B$3:$B$1000)*1,ISNUMBER(SEARCH("nga",[1]OUT_TransportEnergyCons!$C$3:$C$1000))*1,[1]OUT_TransportEnergyCons!K$3:K$1000)</f>
        <v>0</v>
      </c>
      <c r="N1572" s="1" cm="1">
        <f t="array" ref="N1572">SUMPRODUCT(("TFLGV-ICENGA"=[1]OUT_TransportEnergyCons!$A$3:$A$1000)*1,("Var_Fin"=[1]OUT_TransportEnergyCons!$B$3:$B$1000)*1,ISNUMBER(SEARCH("nga",[1]OUT_TransportEnergyCons!$C$3:$C$1000))*1,[1]OUT_TransportEnergyCons!L$3:L$1000)</f>
        <v>0</v>
      </c>
      <c r="O1572" s="1" cm="1">
        <f t="array" ref="O1572">SUMPRODUCT(("TFLGV-ICENGA"=[1]OUT_TransportEnergyCons!$A$3:$A$1000)*1,("Var_Fin"=[1]OUT_TransportEnergyCons!$B$3:$B$1000)*1,ISNUMBER(SEARCH("nga",[1]OUT_TransportEnergyCons!$C$3:$C$1000))*1,[1]OUT_TransportEnergyCons!M$3:M$1000)</f>
        <v>0</v>
      </c>
      <c r="P1572" s="1" cm="1">
        <f t="array" ref="P1572">SUMPRODUCT(("TFLGV-ICENGA"=[1]OUT_TransportEnergyCons!$A$3:$A$1000)*1,("Var_Fin"=[1]OUT_TransportEnergyCons!$B$3:$B$1000)*1,ISNUMBER(SEARCH("nga",[1]OUT_TransportEnergyCons!$C$3:$C$1000))*1,[1]OUT_TransportEnergyCons!N$3:N$1000)</f>
        <v>0</v>
      </c>
      <c r="Q1572" s="1" cm="1">
        <f t="array" ref="Q1572">SUMPRODUCT(("TFLGV-ICENGA"=[1]OUT_TransportEnergyCons!$A$3:$A$1000)*1,("Var_Fin"=[1]OUT_TransportEnergyCons!$B$3:$B$1000)*1,ISNUMBER(SEARCH("nga",[1]OUT_TransportEnergyCons!$C$3:$C$1000))*1,[1]OUT_TransportEnergyCons!O$3:O$1000)</f>
        <v>0</v>
      </c>
      <c r="S1572" s="3"/>
    </row>
    <row r="1573" spans="2:19" x14ac:dyDescent="0.5">
      <c r="B1573" s="2" t="str">
        <f t="shared" si="1740"/>
        <v>SPS1</v>
      </c>
      <c r="C1573" s="2" t="str">
        <f t="shared" si="1741"/>
        <v>CH</v>
      </c>
      <c r="D1573" s="2" t="s">
        <v>1560</v>
      </c>
      <c r="E1573" s="2" t="s">
        <v>1517</v>
      </c>
      <c r="F1573" s="3">
        <f>SUM(F1574:F1582)</f>
        <v>4.7793845288295342</v>
      </c>
      <c r="G1573" s="3">
        <f t="shared" ref="G1573:K1573" si="1764">SUM(G1574:G1582)</f>
        <v>4.7706310213061682</v>
      </c>
      <c r="H1573" s="3">
        <f t="shared" si="1764"/>
        <v>4.7159184726993679</v>
      </c>
      <c r="I1573" s="3">
        <f t="shared" si="1764"/>
        <v>4.662602496059618</v>
      </c>
      <c r="J1573" s="3">
        <f t="shared" si="1764"/>
        <v>4.8442455896322567</v>
      </c>
      <c r="K1573" s="3">
        <f t="shared" si="1764"/>
        <v>5.0141958901640233</v>
      </c>
      <c r="L1573" s="3">
        <f t="shared" ref="L1573:O1573" si="1765">SUM(L1574:L1582)</f>
        <v>5.2232236990876206</v>
      </c>
      <c r="M1573" s="3">
        <f t="shared" si="1765"/>
        <v>5.4323119047144761</v>
      </c>
      <c r="N1573" s="3">
        <f t="shared" si="1765"/>
        <v>5.686689143096161</v>
      </c>
      <c r="O1573" s="3">
        <f t="shared" si="1765"/>
        <v>6.0439887066718292</v>
      </c>
      <c r="P1573" s="3">
        <f>SUM(P1574:P1582)</f>
        <v>6.4406598705653382</v>
      </c>
      <c r="Q1573" s="3">
        <f>SUM(Q1574:Q1582)</f>
        <v>6.8766915550817993</v>
      </c>
      <c r="S1573" s="3"/>
    </row>
    <row r="1574" spans="2:19" x14ac:dyDescent="0.5">
      <c r="B1574" t="str">
        <f t="shared" si="1740"/>
        <v>SPS1</v>
      </c>
      <c r="C1574" t="str">
        <f t="shared" si="1741"/>
        <v>CH</v>
      </c>
      <c r="D1574" t="s">
        <v>1561</v>
      </c>
      <c r="E1574" t="s">
        <v>1517</v>
      </c>
      <c r="F1574" s="1" cm="1">
        <f t="array" ref="F1574">SUMPRODUCT(("TFLGV-BeVELCExt"=[1]OUT_TransportEnergyCons!$A$3:$A$1000)*1,("var_fout"=[1]OUT_TransportEnergyCons!$B$3:$B$1000)*1,ISNUMBER(SEARCH("TFLGV",[1]OUT_TransportEnergyCons!$C$3:$C$1000))*1,[1]OUT_TransportEnergyCons!D$3:D$1000)</f>
        <v>2.7758024264489735E-2</v>
      </c>
      <c r="G1574" s="1" cm="1">
        <f t="array" ref="G1574">SUMPRODUCT(("TFLGV-BeVELCExt"=[1]OUT_TransportEnergyCons!$A$3:$A$1000)*1,("var_fout"=[1]OUT_TransportEnergyCons!$B$3:$B$1000)*1,ISNUMBER(SEARCH("TFLGV",[1]OUT_TransportEnergyCons!$C$3:$C$1000))*1,[1]OUT_TransportEnergyCons!E$3:E$1000)</f>
        <v>2.4016950259185731E-2</v>
      </c>
      <c r="H1574" s="1" cm="1">
        <f t="array" ref="H1574">SUMPRODUCT(("TFLGV-BeVELCExt"=[1]OUT_TransportEnergyCons!$A$3:$A$1000)*1,("var_fout"=[1]OUT_TransportEnergyCons!$B$3:$B$1000)*1,ISNUMBER(SEARCH("TFLGV",[1]OUT_TransportEnergyCons!$C$3:$C$1000))*1,[1]OUT_TransportEnergyCons!F$3:F$1000)</f>
        <v>1.8656796448768439E-2</v>
      </c>
      <c r="I1574" s="1" cm="1">
        <f t="array" ref="I1574">SUMPRODUCT(("TFLGV-BeVELCExt"=[1]OUT_TransportEnergyCons!$A$3:$A$1000)*1,("var_fout"=[1]OUT_TransportEnergyCons!$B$3:$B$1000)*1,ISNUMBER(SEARCH("TFLGV",[1]OUT_TransportEnergyCons!$C$3:$C$1000))*1,[1]OUT_TransportEnergyCons!G$3:G$1000)</f>
        <v>9.1563572073683624E-3</v>
      </c>
      <c r="J1574" s="1" cm="1">
        <f t="array" ref="J1574">SUMPRODUCT(("TFLGV-BeVELCExt"=[1]OUT_TransportEnergyCons!$A$3:$A$1000)*1,("var_fout"=[1]OUT_TransportEnergyCons!$B$3:$B$1000)*1,ISNUMBER(SEARCH("TFLGV",[1]OUT_TransportEnergyCons!$C$3:$C$1000))*1,[1]OUT_TransportEnergyCons!H$3:H$1000)</f>
        <v>0</v>
      </c>
      <c r="K1574" s="1" cm="1">
        <f t="array" ref="K1574">SUMPRODUCT(("TFLGV-BeVELCExt"=[1]OUT_TransportEnergyCons!$A$3:$A$1000)*1,("var_fout"=[1]OUT_TransportEnergyCons!$B$3:$B$1000)*1,ISNUMBER(SEARCH("TFLGV",[1]OUT_TransportEnergyCons!$C$3:$C$1000))*1,[1]OUT_TransportEnergyCons!I$3:I$1000)</f>
        <v>0</v>
      </c>
      <c r="L1574" s="1" cm="1">
        <f t="array" ref="L1574">SUMPRODUCT(("TFLGV-BeVELCExt"=[1]OUT_TransportEnergyCons!$A$3:$A$1000)*1,("var_fout"=[1]OUT_TransportEnergyCons!$B$3:$B$1000)*1,ISNUMBER(SEARCH("TFLGV",[1]OUT_TransportEnergyCons!$C$3:$C$1000))*1,[1]OUT_TransportEnergyCons!J$3:J$1000)</f>
        <v>0</v>
      </c>
      <c r="M1574" s="1" cm="1">
        <f t="array" ref="M1574">SUMPRODUCT(("TFLGV-BeVELCExt"=[1]OUT_TransportEnergyCons!$A$3:$A$1000)*1,("var_fout"=[1]OUT_TransportEnergyCons!$B$3:$B$1000)*1,ISNUMBER(SEARCH("TFLGV",[1]OUT_TransportEnergyCons!$C$3:$C$1000))*1,[1]OUT_TransportEnergyCons!K$3:K$1000)</f>
        <v>0</v>
      </c>
      <c r="N1574" s="1" cm="1">
        <f t="array" ref="N1574">SUMPRODUCT(("TFLGV-BeVELCExt"=[1]OUT_TransportEnergyCons!$A$3:$A$1000)*1,("var_fout"=[1]OUT_TransportEnergyCons!$B$3:$B$1000)*1,ISNUMBER(SEARCH("TFLGV",[1]OUT_TransportEnergyCons!$C$3:$C$1000))*1,[1]OUT_TransportEnergyCons!L$3:L$1000)</f>
        <v>0</v>
      </c>
      <c r="O1574" s="1" cm="1">
        <f t="array" ref="O1574">SUMPRODUCT(("TFLGV-BeVELCExt"=[1]OUT_TransportEnergyCons!$A$3:$A$1000)*1,("var_fout"=[1]OUT_TransportEnergyCons!$B$3:$B$1000)*1,ISNUMBER(SEARCH("TFLGV",[1]OUT_TransportEnergyCons!$C$3:$C$1000))*1,[1]OUT_TransportEnergyCons!M$3:M$1000)</f>
        <v>0</v>
      </c>
      <c r="P1574" s="1" cm="1">
        <f t="array" ref="P1574">SUMPRODUCT(("TFLGV-BeVELCExt"=[1]OUT_TransportEnergyCons!$A$3:$A$1000)*1,("var_fout"=[1]OUT_TransportEnergyCons!$B$3:$B$1000)*1,ISNUMBER(SEARCH("TFLGV",[1]OUT_TransportEnergyCons!$C$3:$C$1000))*1,[1]OUT_TransportEnergyCons!N$3:N$1000)</f>
        <v>0</v>
      </c>
      <c r="Q1574" s="1" cm="1">
        <f t="array" ref="Q1574">SUMPRODUCT(("TFLGV-BeVELCExt"=[1]OUT_TransportEnergyCons!$A$3:$A$1000)*1,("var_fout"=[1]OUT_TransportEnergyCons!$B$3:$B$1000)*1,ISNUMBER(SEARCH("TFLGV",[1]OUT_TransportEnergyCons!$C$3:$C$1000))*1,[1]OUT_TransportEnergyCons!O$3:O$1000)</f>
        <v>0</v>
      </c>
      <c r="S1574" s="3"/>
    </row>
    <row r="1575" spans="2:19" x14ac:dyDescent="0.5">
      <c r="B1575" t="str">
        <f t="shared" si="1740"/>
        <v>SPS1</v>
      </c>
      <c r="C1575" t="str">
        <f t="shared" si="1741"/>
        <v>CH</v>
      </c>
      <c r="D1575" t="s">
        <v>1562</v>
      </c>
      <c r="E1575" t="s">
        <v>1517</v>
      </c>
      <c r="F1575" s="1" cm="1">
        <f t="array" ref="F1575">SUMPRODUCT(("TFLGV-BEVELC"=[1]OUT_TransportEnergyCons!$A$3:$A$1000)*1,("var_fout"=[1]OUT_TransportEnergyCons!$B$3:$B$1000)*1,ISNUMBER(SEARCH("TFLGV",[1]OUT_TransportEnergyCons!$C$3:$C$1000))*1,[1]OUT_TransportEnergyCons!D$3:D$1000)</f>
        <v>2.3803724569186689E-2</v>
      </c>
      <c r="G1575" s="1" cm="1">
        <f t="array" ref="G1575">SUMPRODUCT(("TFLGV-BEVELC"=[1]OUT_TransportEnergyCons!$A$3:$A$1000)*1,("var_fout"=[1]OUT_TransportEnergyCons!$B$3:$B$1000)*1,ISNUMBER(SEARCH("TFLGV",[1]OUT_TransportEnergyCons!$C$3:$C$1000))*1,[1]OUT_TransportEnergyCons!E$3:E$1000)</f>
        <v>0.14478762781168561</v>
      </c>
      <c r="H1575" s="1" cm="1">
        <f t="array" ref="H1575">SUMPRODUCT(("TFLGV-BEVELC"=[1]OUT_TransportEnergyCons!$A$3:$A$1000)*1,("var_fout"=[1]OUT_TransportEnergyCons!$B$3:$B$1000)*1,ISNUMBER(SEARCH("TFLGV",[1]OUT_TransportEnergyCons!$C$3:$C$1000))*1,[1]OUT_TransportEnergyCons!F$3:F$1000)</f>
        <v>2.6170526420226028</v>
      </c>
      <c r="I1575" s="1" cm="1">
        <f t="array" ref="I1575">SUMPRODUCT(("TFLGV-BEVELC"=[1]OUT_TransportEnergyCons!$A$3:$A$1000)*1,("var_fout"=[1]OUT_TransportEnergyCons!$B$3:$B$1000)*1,ISNUMBER(SEARCH("TFLGV",[1]OUT_TransportEnergyCons!$C$3:$C$1000))*1,[1]OUT_TransportEnergyCons!G$3:G$1000)</f>
        <v>2.6666537246947395</v>
      </c>
      <c r="J1575" s="1" cm="1">
        <f t="array" ref="J1575">SUMPRODUCT(("TFLGV-BEVELC"=[1]OUT_TransportEnergyCons!$A$3:$A$1000)*1,("var_fout"=[1]OUT_TransportEnergyCons!$B$3:$B$1000)*1,ISNUMBER(SEARCH("TFLGV",[1]OUT_TransportEnergyCons!$C$3:$C$1000))*1,[1]OUT_TransportEnergyCons!H$3:H$1000)</f>
        <v>4.3230942020734497</v>
      </c>
      <c r="K1575" s="1" cm="1">
        <f t="array" ref="K1575">SUMPRODUCT(("TFLGV-BEVELC"=[1]OUT_TransportEnergyCons!$A$3:$A$1000)*1,("var_fout"=[1]OUT_TransportEnergyCons!$B$3:$B$1000)*1,ISNUMBER(SEARCH("TFLGV",[1]OUT_TransportEnergyCons!$C$3:$C$1000))*1,[1]OUT_TransportEnergyCons!I$3:I$1000)</f>
        <v>5.0138190571761712</v>
      </c>
      <c r="L1575" s="1" cm="1">
        <f t="array" ref="L1575">SUMPRODUCT(("TFLGV-BEVELC"=[1]OUT_TransportEnergyCons!$A$3:$A$1000)*1,("var_fout"=[1]OUT_TransportEnergyCons!$B$3:$B$1000)*1,ISNUMBER(SEARCH("TFLGV",[1]OUT_TransportEnergyCons!$C$3:$C$1000))*1,[1]OUT_TransportEnergyCons!J$3:J$1000)</f>
        <v>5.2231317088020157</v>
      </c>
      <c r="M1575" s="1" cm="1">
        <f t="array" ref="M1575">SUMPRODUCT(("TFLGV-BEVELC"=[1]OUT_TransportEnergyCons!$A$3:$A$1000)*1,("var_fout"=[1]OUT_TransportEnergyCons!$B$3:$B$1000)*1,ISNUMBER(SEARCH("TFLGV",[1]OUT_TransportEnergyCons!$C$3:$C$1000))*1,[1]OUT_TransportEnergyCons!K$3:K$1000)</f>
        <v>5.4322203645241416</v>
      </c>
      <c r="N1575" s="1" cm="1">
        <f t="array" ref="N1575">SUMPRODUCT(("TFLGV-BEVELC"=[1]OUT_TransportEnergyCons!$A$3:$A$1000)*1,("var_fout"=[1]OUT_TransportEnergyCons!$B$3:$B$1000)*1,ISNUMBER(SEARCH("TFLGV",[1]OUT_TransportEnergyCons!$C$3:$C$1000))*1,[1]OUT_TransportEnergyCons!L$3:L$1000)</f>
        <v>5.6865972747136286</v>
      </c>
      <c r="O1575" s="1" cm="1">
        <f t="array" ref="O1575">SUMPRODUCT(("TFLGV-BEVELC"=[1]OUT_TransportEnergyCons!$A$3:$A$1000)*1,("var_fout"=[1]OUT_TransportEnergyCons!$B$3:$B$1000)*1,ISNUMBER(SEARCH("TFLGV",[1]OUT_TransportEnergyCons!$C$3:$C$1000))*1,[1]OUT_TransportEnergyCons!M$3:M$1000)</f>
        <v>6.0438970523474014</v>
      </c>
      <c r="P1575" s="1" cm="1">
        <f t="array" ref="P1575">SUMPRODUCT(("TFLGV-BEVELC"=[1]OUT_TransportEnergyCons!$A$3:$A$1000)*1,("var_fout"=[1]OUT_TransportEnergyCons!$B$3:$B$1000)*1,ISNUMBER(SEARCH("TFLGV",[1]OUT_TransportEnergyCons!$C$3:$C$1000))*1,[1]OUT_TransportEnergyCons!N$3:N$1000)</f>
        <v>6.4405671379815379</v>
      </c>
      <c r="Q1575" s="1" cm="1">
        <f t="array" ref="Q1575">SUMPRODUCT(("TFLGV-BEVELC"=[1]OUT_TransportEnergyCons!$A$3:$A$1000)*1,("var_fout"=[1]OUT_TransportEnergyCons!$B$3:$B$1000)*1,ISNUMBER(SEARCH("TFLGV",[1]OUT_TransportEnergyCons!$C$3:$C$1000))*1,[1]OUT_TransportEnergyCons!O$3:O$1000)</f>
        <v>6.8765930492073775</v>
      </c>
      <c r="S1575" s="3"/>
    </row>
    <row r="1576" spans="2:19" x14ac:dyDescent="0.5">
      <c r="B1576" t="str">
        <f t="shared" si="1740"/>
        <v>SPS1</v>
      </c>
      <c r="C1576" t="str">
        <f t="shared" si="1741"/>
        <v>CH</v>
      </c>
      <c r="D1576" t="s">
        <v>1563</v>
      </c>
      <c r="E1576" t="s">
        <v>1517</v>
      </c>
      <c r="F1576" s="1" cm="1">
        <f t="array" ref="F1576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6" s="1" cm="1">
        <f t="array" ref="G1576">SUMPRODUCT(("TFLGV-FCLH2O"=[1]OUT_TransportEnergyCons!$A$3:$A$1000)*1,("var_fout"=[1]OUT_TransportEnergyCons!$B$3:$B$1000)*1,ISNUMBER(SEARCH("TFLGV",[1]OUT_TransportEnergyCons!$C$3:$C$1000))*1,[1]OUT_TransportEnergyCons!E$3:E$1000)</f>
        <v>5.5550647841956792E-5</v>
      </c>
      <c r="H1576" s="1" cm="1">
        <f t="array" ref="H1576">SUMPRODUCT(("TFLGV-FCLH2O"=[1]OUT_TransportEnergyCons!$A$3:$A$1000)*1,("var_fout"=[1]OUT_TransportEnergyCons!$B$3:$B$1000)*1,ISNUMBER(SEARCH("TFLGV",[1]OUT_TransportEnergyCons!$C$3:$C$1000))*1,[1]OUT_TransportEnergyCons!F$3:F$1000)</f>
        <v>9.1663413027108994E-5</v>
      </c>
      <c r="I1576" s="1" cm="1">
        <f t="array" ref="I1576">SUMPRODUCT(("TFLGV-FCLH2O"=[1]OUT_TransportEnergyCons!$A$3:$A$1000)*1,("var_fout"=[1]OUT_TransportEnergyCons!$B$3:$B$1000)*1,ISNUMBER(SEARCH("TFLGV",[1]OUT_TransportEnergyCons!$C$3:$C$1000))*1,[1]OUT_TransportEnergyCons!G$3:G$1000)</f>
        <v>9.5735020956881701E-5</v>
      </c>
      <c r="J1576" s="1" cm="1">
        <f t="array" ref="J1576">SUMPRODUCT(("TFLGV-FCLH2O"=[1]OUT_TransportEnergyCons!$A$3:$A$1000)*1,("var_fout"=[1]OUT_TransportEnergyCons!$B$3:$B$1000)*1,ISNUMBER(SEARCH("TFLGV",[1]OUT_TransportEnergyCons!$C$3:$C$1000))*1,[1]OUT_TransportEnergyCons!H$3:H$1000)</f>
        <v>9.3867534290094468E-5</v>
      </c>
      <c r="K1576" s="1" cm="1">
        <f t="array" ref="K1576">SUMPRODUCT(("TFLGV-FCLH2O"=[1]OUT_TransportEnergyCons!$A$3:$A$1000)*1,("var_fout"=[1]OUT_TransportEnergyCons!$B$3:$B$1000)*1,ISNUMBER(SEARCH("TFLGV",[1]OUT_TransportEnergyCons!$C$3:$C$1000))*1,[1]OUT_TransportEnergyCons!I$3:I$1000)</f>
        <v>9.2012447054363973E-5</v>
      </c>
      <c r="L1576" s="1" cm="1">
        <f t="array" ref="L1576">SUMPRODUCT(("TFLGV-FCLH2O"=[1]OUT_TransportEnergyCons!$A$3:$A$1000)*1,("var_fout"=[1]OUT_TransportEnergyCons!$B$3:$B$1000)*1,ISNUMBER(SEARCH("TFLGV",[1]OUT_TransportEnergyCons!$C$3:$C$1000))*1,[1]OUT_TransportEnergyCons!J$3:J$1000)</f>
        <v>9.1990285604611404E-5</v>
      </c>
      <c r="M1576" s="1" cm="1">
        <f t="array" ref="M1576">SUMPRODUCT(("TFLGV-FCLH2O"=[1]OUT_TransportEnergyCons!$A$3:$A$1000)*1,("var_fout"=[1]OUT_TransportEnergyCons!$B$3:$B$1000)*1,ISNUMBER(SEARCH("TFLGV",[1]OUT_TransportEnergyCons!$C$3:$C$1000))*1,[1]OUT_TransportEnergyCons!K$3:K$1000)</f>
        <v>9.1540190334392555E-5</v>
      </c>
      <c r="N1576" s="1" cm="1">
        <f t="array" ref="N1576">SUMPRODUCT(("TFLGV-FCLH2O"=[1]OUT_TransportEnergyCons!$A$3:$A$1000)*1,("var_fout"=[1]OUT_TransportEnergyCons!$B$3:$B$1000)*1,ISNUMBER(SEARCH("TFLGV",[1]OUT_TransportEnergyCons!$C$3:$C$1000))*1,[1]OUT_TransportEnergyCons!L$3:L$1000)</f>
        <v>9.1868382532496492E-5</v>
      </c>
      <c r="O1576" s="1" cm="1">
        <f t="array" ref="O1576">SUMPRODUCT(("TFLGV-FCLH2O"=[1]OUT_TransportEnergyCons!$A$3:$A$1000)*1,("var_fout"=[1]OUT_TransportEnergyCons!$B$3:$B$1000)*1,ISNUMBER(SEARCH("TFLGV",[1]OUT_TransportEnergyCons!$C$3:$C$1000))*1,[1]OUT_TransportEnergyCons!M$3:M$1000)</f>
        <v>9.1654324427754694E-5</v>
      </c>
      <c r="P1576" s="1" cm="1">
        <f t="array" ref="P1576">SUMPRODUCT(("TFLGV-FCLH2O"=[1]OUT_TransportEnergyCons!$A$3:$A$1000)*1,("var_fout"=[1]OUT_TransportEnergyCons!$B$3:$B$1000)*1,ISNUMBER(SEARCH("TFLGV",[1]OUT_TransportEnergyCons!$C$3:$C$1000))*1,[1]OUT_TransportEnergyCons!N$3:N$1000)</f>
        <v>9.2732583799863181E-5</v>
      </c>
      <c r="Q1576" s="1" cm="1">
        <f t="array" ref="Q1576">SUMPRODUCT(("TFLGV-FCLH2O"=[1]OUT_TransportEnergyCons!$A$3:$A$1000)*1,("var_fout"=[1]OUT_TransportEnergyCons!$B$3:$B$1000)*1,ISNUMBER(SEARCH("TFLGV",[1]OUT_TransportEnergyCons!$C$3:$C$1000))*1,[1]OUT_TransportEnergyCons!O$3:O$1000)</f>
        <v>9.85058744221053E-5</v>
      </c>
      <c r="S1576" s="3"/>
    </row>
    <row r="1577" spans="2:19" x14ac:dyDescent="0.5">
      <c r="B1577" t="str">
        <f t="shared" si="1740"/>
        <v>SPS1</v>
      </c>
      <c r="C1577" t="str">
        <f t="shared" si="1741"/>
        <v>CH</v>
      </c>
      <c r="D1577" t="s">
        <v>1589</v>
      </c>
      <c r="E1577" t="s">
        <v>1517</v>
      </c>
      <c r="F1577" s="1" cm="1">
        <f t="array" ref="F1577">SUMPRODUCT(("TFLGV-ICEGSLExt"=[1]OUT_TransportEnergyCons!$A$3:$A$1000)*1,("var_fout"=[1]OUT_TransportEnergyCons!$B$3:$B$1000)*1,ISNUMBER(SEARCH("TFLGV",[1]OUT_TransportEnergyCons!$C$3:$C$1000))*1,[1]OUT_TransportEnergyCons!D$3:D$1000)</f>
        <v>0.20083008365096502</v>
      </c>
      <c r="G1577" s="1" cm="1">
        <f t="array" ref="G1577">SUMPRODUCT(("TFLGV-ICEGSLExt"=[1]OUT_TransportEnergyCons!$A$3:$A$1000)*1,("var_fout"=[1]OUT_TransportEnergyCons!$B$3:$B$1000)*1,ISNUMBER(SEARCH("TFLGV",[1]OUT_TransportEnergyCons!$C$3:$C$1000))*1,[1]OUT_TransportEnergyCons!E$3:E$1000)</f>
        <v>0.49526182573223171</v>
      </c>
      <c r="H1577" s="1" cm="1">
        <f t="array" ref="H1577">SUMPRODUCT(("TFLGV-ICEGSLExt"=[1]OUT_TransportEnergyCons!$A$3:$A$1000)*1,("var_fout"=[1]OUT_TransportEnergyCons!$B$3:$B$1000)*1,ISNUMBER(SEARCH("TFLGV",[1]OUT_TransportEnergyCons!$C$3:$C$1000))*1,[1]OUT_TransportEnergyCons!F$3:F$1000)</f>
        <v>0.15385445161116693</v>
      </c>
      <c r="I1577" s="1" cm="1">
        <f t="array" ref="I1577">SUMPRODUCT(("TFLGV-ICEGSLExt"=[1]OUT_TransportEnergyCons!$A$3:$A$1000)*1,("var_fout"=[1]OUT_TransportEnergyCons!$B$3:$B$1000)*1,ISNUMBER(SEARCH("TFLGV",[1]OUT_TransportEnergyCons!$C$3:$C$1000))*1,[1]OUT_TransportEnergyCons!G$3:G$1000)</f>
        <v>7.7454924782790785E-2</v>
      </c>
      <c r="J1577" s="1" cm="1">
        <f t="array" ref="J1577">SUMPRODUCT(("TFLGV-ICEGSLExt"=[1]OUT_TransportEnergyCons!$A$3:$A$1000)*1,("var_fout"=[1]OUT_TransportEnergyCons!$B$3:$B$1000)*1,ISNUMBER(SEARCH("TFLGV",[1]OUT_TransportEnergyCons!$C$3:$C$1000))*1,[1]OUT_TransportEnergyCons!H$3:H$1000)</f>
        <v>0</v>
      </c>
      <c r="K1577" s="1" cm="1">
        <f t="array" ref="K1577">SUMPRODUCT(("TFLGV-ICEGSLExt"=[1]OUT_TransportEnergyCons!$A$3:$A$1000)*1,("var_fout"=[1]OUT_TransportEnergyCons!$B$3:$B$1000)*1,ISNUMBER(SEARCH("TFLGV",[1]OUT_TransportEnergyCons!$C$3:$C$1000))*1,[1]OUT_TransportEnergyCons!I$3:I$1000)</f>
        <v>0</v>
      </c>
      <c r="L1577" s="1" cm="1">
        <f t="array" ref="L1577">SUMPRODUCT(("TFLGV-ICEGSLExt"=[1]OUT_TransportEnergyCons!$A$3:$A$1000)*1,("var_fout"=[1]OUT_TransportEnergyCons!$B$3:$B$1000)*1,ISNUMBER(SEARCH("TFLGV",[1]OUT_TransportEnergyCons!$C$3:$C$1000))*1,[1]OUT_TransportEnergyCons!J$3:J$1000)</f>
        <v>0</v>
      </c>
      <c r="M1577" s="1" cm="1">
        <f t="array" ref="M1577">SUMPRODUCT(("TFLGV-ICEGSLExt"=[1]OUT_TransportEnergyCons!$A$3:$A$1000)*1,("var_fout"=[1]OUT_TransportEnergyCons!$B$3:$B$1000)*1,ISNUMBER(SEARCH("TFLGV",[1]OUT_TransportEnergyCons!$C$3:$C$1000))*1,[1]OUT_TransportEnergyCons!K$3:K$1000)</f>
        <v>0</v>
      </c>
      <c r="N1577" s="1" cm="1">
        <f t="array" ref="N1577">SUMPRODUCT(("TFLGV-ICEGSLExt"=[1]OUT_TransportEnergyCons!$A$3:$A$1000)*1,("var_fout"=[1]OUT_TransportEnergyCons!$B$3:$B$1000)*1,ISNUMBER(SEARCH("TFLGV",[1]OUT_TransportEnergyCons!$C$3:$C$1000))*1,[1]OUT_TransportEnergyCons!L$3:L$1000)</f>
        <v>0</v>
      </c>
      <c r="O1577" s="1" cm="1">
        <f t="array" ref="O1577">SUMPRODUCT(("TFLGV-ICEGSLExt"=[1]OUT_TransportEnergyCons!$A$3:$A$1000)*1,("var_fout"=[1]OUT_TransportEnergyCons!$B$3:$B$1000)*1,ISNUMBER(SEARCH("TFLGV",[1]OUT_TransportEnergyCons!$C$3:$C$1000))*1,[1]OUT_TransportEnergyCons!M$3:M$1000)</f>
        <v>0</v>
      </c>
      <c r="P1577" s="1" cm="1">
        <f t="array" ref="P1577">SUMPRODUCT(("TFLGV-ICEGSLExt"=[1]OUT_TransportEnergyCons!$A$3:$A$1000)*1,("var_fout"=[1]OUT_TransportEnergyCons!$B$3:$B$1000)*1,ISNUMBER(SEARCH("TFLGV",[1]OUT_TransportEnergyCons!$C$3:$C$1000))*1,[1]OUT_TransportEnergyCons!N$3:N$1000)</f>
        <v>0</v>
      </c>
      <c r="Q1577" s="1" cm="1">
        <f t="array" ref="Q1577">SUMPRODUCT(("TFLGV-ICEGSLExt"=[1]OUT_TransportEnergyCons!$A$3:$A$1000)*1,("var_fout"=[1]OUT_TransportEnergyCons!$B$3:$B$1000)*1,ISNUMBER(SEARCH("TFLGV",[1]OUT_TransportEnergyCons!$C$3:$C$1000))*1,[1]OUT_TransportEnergyCons!O$3:O$1000)</f>
        <v>0</v>
      </c>
      <c r="S1577" s="3"/>
    </row>
    <row r="1578" spans="2:19" x14ac:dyDescent="0.5">
      <c r="B1578" t="str">
        <f t="shared" si="1740"/>
        <v>SPS1</v>
      </c>
      <c r="C1578" t="str">
        <f t="shared" si="1741"/>
        <v>CH</v>
      </c>
      <c r="D1578" t="s">
        <v>1590</v>
      </c>
      <c r="E1578" t="s">
        <v>1517</v>
      </c>
      <c r="F1578" s="1" cm="1">
        <f t="array" ref="F1578">SUMPRODUCT(("TFLGV-ICEGSL"=[1]OUT_TransportEnergyCons!$A$3:$A$1000)*1,("var_fout"=[1]OUT_TransportEnergyCons!$B$3:$B$1000)*1,ISNUMBER(SEARCH("TFLGV",[1]OUT_TransportEnergyCons!$C$3:$C$1000))*1,[1]OUT_TransportEnergyCons!D$3:D$1000)</f>
        <v>0.12886616984436106</v>
      </c>
      <c r="G1578" s="1" cm="1">
        <f t="array" ref="G1578">SUMPRODUCT(("TFLGV-ICEGSL"=[1]OUT_TransportEnergyCons!$A$3:$A$1000)*1,("var_fout"=[1]OUT_TransportEnergyCons!$B$3:$B$1000)*1,ISNUMBER(SEARCH("TFLGV",[1]OUT_TransportEnergyCons!$C$3:$C$1000))*1,[1]OUT_TransportEnergyCons!E$3:E$1000)</f>
        <v>0.20267407224750722</v>
      </c>
      <c r="H1578" s="1" cm="1">
        <f t="array" ref="H1578">SUMPRODUCT(("TFLGV-ICEGSL"=[1]OUT_TransportEnergyCons!$A$3:$A$1000)*1,("var_fout"=[1]OUT_TransportEnergyCons!$B$3:$B$1000)*1,ISNUMBER(SEARCH("TFLGV",[1]OUT_TransportEnergyCons!$C$3:$C$1000))*1,[1]OUT_TransportEnergyCons!F$3:F$1000)</f>
        <v>7.9614028221026006E-2</v>
      </c>
      <c r="I1578" s="1" cm="1">
        <f t="array" ref="I1578">SUMPRODUCT(("TFLGV-ICEGSL"=[1]OUT_TransportEnergyCons!$A$3:$A$1000)*1,("var_fout"=[1]OUT_TransportEnergyCons!$B$3:$B$1000)*1,ISNUMBER(SEARCH("TFLGV",[1]OUT_TransportEnergyCons!$C$3:$C$1000))*1,[1]OUT_TransportEnergyCons!G$3:G$1000)</f>
        <v>0.27425209451371024</v>
      </c>
      <c r="J1578" s="1" cm="1">
        <f t="array" ref="J1578">SUMPRODUCT(("TFLGV-ICEGSL"=[1]OUT_TransportEnergyCons!$A$3:$A$1000)*1,("var_fout"=[1]OUT_TransportEnergyCons!$B$3:$B$1000)*1,ISNUMBER(SEARCH("TFLGV",[1]OUT_TransportEnergyCons!$C$3:$C$1000))*1,[1]OUT_TransportEnergyCons!H$3:H$1000)</f>
        <v>0.30306346711669424</v>
      </c>
      <c r="K1578" s="1" cm="1">
        <f t="array" ref="K1578">SUMPRODUCT(("TFLGV-ICEGSL"=[1]OUT_TransportEnergyCons!$A$3:$A$1000)*1,("var_fout"=[1]OUT_TransportEnergyCons!$B$3:$B$1000)*1,ISNUMBER(SEARCH("TFLGV",[1]OUT_TransportEnergyCons!$C$3:$C$1000))*1,[1]OUT_TransportEnergyCons!I$3:I$1000)</f>
        <v>9.4322444778108139E-5</v>
      </c>
      <c r="L1578" s="1" cm="1">
        <f t="array" ref="L1578">SUMPRODUCT(("TFLGV-ICEGSL"=[1]OUT_TransportEnergyCons!$A$3:$A$1000)*1,("var_fout"=[1]OUT_TransportEnergyCons!$B$3:$B$1000)*1,ISNUMBER(SEARCH("TFLGV",[1]OUT_TransportEnergyCons!$C$3:$C$1000))*1,[1]OUT_TransportEnergyCons!J$3:J$1000)</f>
        <v>0</v>
      </c>
      <c r="M1578" s="1" cm="1">
        <f t="array" ref="M1578">SUMPRODUCT(("TFLGV-ICEGSL"=[1]OUT_TransportEnergyCons!$A$3:$A$1000)*1,("var_fout"=[1]OUT_TransportEnergyCons!$B$3:$B$1000)*1,ISNUMBER(SEARCH("TFLGV",[1]OUT_TransportEnergyCons!$C$3:$C$1000))*1,[1]OUT_TransportEnergyCons!K$3:K$1000)</f>
        <v>0</v>
      </c>
      <c r="N1578" s="1" cm="1">
        <f t="array" ref="N1578">SUMPRODUCT(("TFLGV-ICEGSL"=[1]OUT_TransportEnergyCons!$A$3:$A$1000)*1,("var_fout"=[1]OUT_TransportEnergyCons!$B$3:$B$1000)*1,ISNUMBER(SEARCH("TFLGV",[1]OUT_TransportEnergyCons!$C$3:$C$1000))*1,[1]OUT_TransportEnergyCons!L$3:L$1000)</f>
        <v>0</v>
      </c>
      <c r="O1578" s="1" cm="1">
        <f t="array" ref="O1578">SUMPRODUCT(("TFLGV-ICEGSL"=[1]OUT_TransportEnergyCons!$A$3:$A$1000)*1,("var_fout"=[1]OUT_TransportEnergyCons!$B$3:$B$1000)*1,ISNUMBER(SEARCH("TFLGV",[1]OUT_TransportEnergyCons!$C$3:$C$1000))*1,[1]OUT_TransportEnergyCons!M$3:M$1000)</f>
        <v>0</v>
      </c>
      <c r="P1578" s="1" cm="1">
        <f t="array" ref="P1578">SUMPRODUCT(("TFLGV-ICEGSL"=[1]OUT_TransportEnergyCons!$A$3:$A$1000)*1,("var_fout"=[1]OUT_TransportEnergyCons!$B$3:$B$1000)*1,ISNUMBER(SEARCH("TFLGV",[1]OUT_TransportEnergyCons!$C$3:$C$1000))*1,[1]OUT_TransportEnergyCons!N$3:N$1000)</f>
        <v>0</v>
      </c>
      <c r="Q1578" s="1" cm="1">
        <f t="array" ref="Q1578">SUMPRODUCT(("TFLGV-ICEGSL"=[1]OUT_TransportEnergyCons!$A$3:$A$1000)*1,("var_fout"=[1]OUT_TransportEnergyCons!$B$3:$B$1000)*1,ISNUMBER(SEARCH("TFLGV",[1]OUT_TransportEnergyCons!$C$3:$C$1000))*1,[1]OUT_TransportEnergyCons!O$3:O$1000)</f>
        <v>0</v>
      </c>
      <c r="S1578" s="3"/>
    </row>
    <row r="1579" spans="2:19" x14ac:dyDescent="0.5">
      <c r="B1579" t="str">
        <f t="shared" si="1740"/>
        <v>SPS1</v>
      </c>
      <c r="C1579" t="str">
        <f t="shared" si="1741"/>
        <v>CH</v>
      </c>
      <c r="D1579" t="s">
        <v>1564</v>
      </c>
      <c r="E1579" t="s">
        <v>1517</v>
      </c>
      <c r="F1579" s="1" cm="1">
        <f t="array" ref="F1579">SUMPRODUCT(("TFLGV-ICEdslExt"=[1]OUT_TransportEnergyCons!$A$3:$A$1000)*1,("var_fout"=[1]OUT_TransportEnergyCons!$B$3:$B$1000)*1,ISNUMBER(SEARCH("TFLGV",[1]OUT_TransportEnergyCons!$C$3:$C$1000))*1,[1]OUT_TransportEnergyCons!D$3:D$1000)</f>
        <v>2.873775847243341</v>
      </c>
      <c r="G1579" s="1" cm="1">
        <f t="array" ref="G1579">SUMPRODUCT(("TFLGV-ICEdslExt"=[1]OUT_TransportEnergyCons!$A$3:$A$1000)*1,("var_fout"=[1]OUT_TransportEnergyCons!$B$3:$B$1000)*1,ISNUMBER(SEARCH("TFLGV",[1]OUT_TransportEnergyCons!$C$3:$C$1000))*1,[1]OUT_TransportEnergyCons!E$3:E$1000)</f>
        <v>1.9951067454707987</v>
      </c>
      <c r="H1579" s="1" cm="1">
        <f t="array" ref="H1579">SUMPRODUCT(("TFLGV-ICEdslExt"=[1]OUT_TransportEnergyCons!$A$3:$A$1000)*1,("var_fout"=[1]OUT_TransportEnergyCons!$B$3:$B$1000)*1,ISNUMBER(SEARCH("TFLGV",[1]OUT_TransportEnergyCons!$C$3:$C$1000))*1,[1]OUT_TransportEnergyCons!F$3:F$1000)</f>
        <v>0.76662015357178093</v>
      </c>
      <c r="I1579" s="1" cm="1">
        <f t="array" ref="I1579">SUMPRODUCT(("TFLGV-ICEdslExt"=[1]OUT_TransportEnergyCons!$A$3:$A$1000)*1,("var_fout"=[1]OUT_TransportEnergyCons!$B$3:$B$1000)*1,ISNUMBER(SEARCH("TFLGV",[1]OUT_TransportEnergyCons!$C$3:$C$1000))*1,[1]OUT_TransportEnergyCons!G$3:G$1000)</f>
        <v>0.77057487132411484</v>
      </c>
      <c r="J1579" s="1" cm="1">
        <f t="array" ref="J1579">SUMPRODUCT(("TFLGV-ICEdslExt"=[1]OUT_TransportEnergyCons!$A$3:$A$1000)*1,("var_fout"=[1]OUT_TransportEnergyCons!$B$3:$B$1000)*1,ISNUMBER(SEARCH("TFLGV",[1]OUT_TransportEnergyCons!$C$3:$C$1000))*1,[1]OUT_TransportEnergyCons!H$3:H$1000)</f>
        <v>0</v>
      </c>
      <c r="K1579" s="1" cm="1">
        <f t="array" ref="K1579">SUMPRODUCT(("TFLGV-ICEdslExt"=[1]OUT_TransportEnergyCons!$A$3:$A$1000)*1,("var_fout"=[1]OUT_TransportEnergyCons!$B$3:$B$1000)*1,ISNUMBER(SEARCH("TFLGV",[1]OUT_TransportEnergyCons!$C$3:$C$1000))*1,[1]OUT_TransportEnergyCons!I$3:I$1000)</f>
        <v>0</v>
      </c>
      <c r="L1579" s="1" cm="1">
        <f t="array" ref="L1579">SUMPRODUCT(("TFLGV-ICEdslExt"=[1]OUT_TransportEnergyCons!$A$3:$A$1000)*1,("var_fout"=[1]OUT_TransportEnergyCons!$B$3:$B$1000)*1,ISNUMBER(SEARCH("TFLGV",[1]OUT_TransportEnergyCons!$C$3:$C$1000))*1,[1]OUT_TransportEnergyCons!J$3:J$1000)</f>
        <v>0</v>
      </c>
      <c r="M1579" s="1" cm="1">
        <f t="array" ref="M1579">SUMPRODUCT(("TFLGV-ICEdslExt"=[1]OUT_TransportEnergyCons!$A$3:$A$1000)*1,("var_fout"=[1]OUT_TransportEnergyCons!$B$3:$B$1000)*1,ISNUMBER(SEARCH("TFLGV",[1]OUT_TransportEnergyCons!$C$3:$C$1000))*1,[1]OUT_TransportEnergyCons!K$3:K$1000)</f>
        <v>0</v>
      </c>
      <c r="N1579" s="1" cm="1">
        <f t="array" ref="N1579">SUMPRODUCT(("TFLGV-ICEdslExt"=[1]OUT_TransportEnergyCons!$A$3:$A$1000)*1,("var_fout"=[1]OUT_TransportEnergyCons!$B$3:$B$1000)*1,ISNUMBER(SEARCH("TFLGV",[1]OUT_TransportEnergyCons!$C$3:$C$1000))*1,[1]OUT_TransportEnergyCons!L$3:L$1000)</f>
        <v>0</v>
      </c>
      <c r="O1579" s="1" cm="1">
        <f t="array" ref="O1579">SUMPRODUCT(("TFLGV-ICEdslExt"=[1]OUT_TransportEnergyCons!$A$3:$A$1000)*1,("var_fout"=[1]OUT_TransportEnergyCons!$B$3:$B$1000)*1,ISNUMBER(SEARCH("TFLGV",[1]OUT_TransportEnergyCons!$C$3:$C$1000))*1,[1]OUT_TransportEnergyCons!M$3:M$1000)</f>
        <v>0</v>
      </c>
      <c r="P1579" s="1" cm="1">
        <f t="array" ref="P1579">SUMPRODUCT(("TFLGV-ICEdslExt"=[1]OUT_TransportEnergyCons!$A$3:$A$1000)*1,("var_fout"=[1]OUT_TransportEnergyCons!$B$3:$B$1000)*1,ISNUMBER(SEARCH("TFLGV",[1]OUT_TransportEnergyCons!$C$3:$C$1000))*1,[1]OUT_TransportEnergyCons!N$3:N$1000)</f>
        <v>0</v>
      </c>
      <c r="Q1579" s="1" cm="1">
        <f t="array" ref="Q1579">SUMPRODUCT(("TFLGV-ICEdslExt"=[1]OUT_TransportEnergyCons!$A$3:$A$1000)*1,("var_fout"=[1]OUT_TransportEnergyCons!$B$3:$B$1000)*1,ISNUMBER(SEARCH("TFLGV",[1]OUT_TransportEnergyCons!$C$3:$C$1000))*1,[1]OUT_TransportEnergyCons!O$3:O$1000)</f>
        <v>0</v>
      </c>
      <c r="S1579" s="3"/>
    </row>
    <row r="1580" spans="2:19" x14ac:dyDescent="0.5">
      <c r="B1580" t="str">
        <f t="shared" si="1740"/>
        <v>SPS1</v>
      </c>
      <c r="C1580" t="str">
        <f t="shared" si="1741"/>
        <v>CH</v>
      </c>
      <c r="D1580" t="s">
        <v>1565</v>
      </c>
      <c r="E1580" t="s">
        <v>1517</v>
      </c>
      <c r="F1580" s="1" cm="1">
        <f t="array" ref="F1580">SUMPRODUCT(("TFLGV-ICEdsl"=[1]OUT_TransportEnergyCons!$A$3:$A$1000)*1,("var_fout"=[1]OUT_TransportEnergyCons!$B$3:$B$1000)*1,ISNUMBER(SEARCH("TFLGV",[1]OUT_TransportEnergyCons!$C$3:$C$1000))*1,[1]OUT_TransportEnergyCons!D$3:D$1000)</f>
        <v>1.5163858093731635</v>
      </c>
      <c r="G1580" s="1" cm="1">
        <f t="array" ref="G1580">SUMPRODUCT(("TFLGV-ICEdsl"=[1]OUT_TransportEnergyCons!$A$3:$A$1000)*1,("var_fout"=[1]OUT_TransportEnergyCons!$B$3:$B$1000)*1,ISNUMBER(SEARCH("TFLGV",[1]OUT_TransportEnergyCons!$C$3:$C$1000))*1,[1]OUT_TransportEnergyCons!E$3:E$1000)</f>
        <v>1.795431689188087</v>
      </c>
      <c r="H1580" s="1" cm="1">
        <f t="array" ref="H1580">SUMPRODUCT(("TFLGV-ICEdsl"=[1]OUT_TransportEnergyCons!$A$3:$A$1000)*1,("var_fout"=[1]OUT_TransportEnergyCons!$B$3:$B$1000)*1,ISNUMBER(SEARCH("TFLGV",[1]OUT_TransportEnergyCons!$C$3:$C$1000))*1,[1]OUT_TransportEnergyCons!F$3:F$1000)</f>
        <v>0.99442863927688052</v>
      </c>
      <c r="I1580" s="1" cm="1">
        <f t="array" ref="I1580">SUMPRODUCT(("TFLGV-ICEdsl"=[1]OUT_TransportEnergyCons!$A$3:$A$1000)*1,("var_fout"=[1]OUT_TransportEnergyCons!$B$3:$B$1000)*1,ISNUMBER(SEARCH("TFLGV",[1]OUT_TransportEnergyCons!$C$3:$C$1000))*1,[1]OUT_TransportEnergyCons!G$3:G$1000)</f>
        <v>0.63775569805823851</v>
      </c>
      <c r="J1580" s="1" cm="1">
        <f t="array" ref="J1580">SUMPRODUCT(("TFLGV-ICEdsl"=[1]OUT_TransportEnergyCons!$A$3:$A$1000)*1,("var_fout"=[1]OUT_TransportEnergyCons!$B$3:$B$1000)*1,ISNUMBER(SEARCH("TFLGV",[1]OUT_TransportEnergyCons!$C$3:$C$1000))*1,[1]OUT_TransportEnergyCons!H$3:H$1000)</f>
        <v>1.7602348181672042E-3</v>
      </c>
      <c r="K1580" s="1" cm="1">
        <f t="array" ref="K1580">SUMPRODUCT(("TFLGV-ICEdsl"=[1]OUT_TransportEnergyCons!$A$3:$A$1000)*1,("var_fout"=[1]OUT_TransportEnergyCons!$B$3:$B$1000)*1,ISNUMBER(SEARCH("TFLGV",[1]OUT_TransportEnergyCons!$C$3:$C$1000))*1,[1]OUT_TransportEnergyCons!I$3:I$1000)</f>
        <v>8.3083102189457245E-5</v>
      </c>
      <c r="L1580" s="1" cm="1">
        <f t="array" ref="L1580">SUMPRODUCT(("TFLGV-ICEdsl"=[1]OUT_TransportEnergyCons!$A$3:$A$1000)*1,("var_fout"=[1]OUT_TransportEnergyCons!$B$3:$B$1000)*1,ISNUMBER(SEARCH("TFLGV",[1]OUT_TransportEnergyCons!$C$3:$C$1000))*1,[1]OUT_TransportEnergyCons!J$3:J$1000)</f>
        <v>0</v>
      </c>
      <c r="M1580" s="1" cm="1">
        <f t="array" ref="M1580">SUMPRODUCT(("TFLGV-ICEdsl"=[1]OUT_TransportEnergyCons!$A$3:$A$1000)*1,("var_fout"=[1]OUT_TransportEnergyCons!$B$3:$B$1000)*1,ISNUMBER(SEARCH("TFLGV",[1]OUT_TransportEnergyCons!$C$3:$C$1000))*1,[1]OUT_TransportEnergyCons!K$3:K$1000)</f>
        <v>0</v>
      </c>
      <c r="N1580" s="1" cm="1">
        <f t="array" ref="N1580">SUMPRODUCT(("TFLGV-ICEdsl"=[1]OUT_TransportEnergyCons!$A$3:$A$1000)*1,("var_fout"=[1]OUT_TransportEnergyCons!$B$3:$B$1000)*1,ISNUMBER(SEARCH("TFLGV",[1]OUT_TransportEnergyCons!$C$3:$C$1000))*1,[1]OUT_TransportEnergyCons!L$3:L$1000)</f>
        <v>0</v>
      </c>
      <c r="O1580" s="1" cm="1">
        <f t="array" ref="O1580">SUMPRODUCT(("TFLGV-ICEdsl"=[1]OUT_TransportEnergyCons!$A$3:$A$1000)*1,("var_fout"=[1]OUT_TransportEnergyCons!$B$3:$B$1000)*1,ISNUMBER(SEARCH("TFLGV",[1]OUT_TransportEnergyCons!$C$3:$C$1000))*1,[1]OUT_TransportEnergyCons!M$3:M$1000)</f>
        <v>0</v>
      </c>
      <c r="P1580" s="1" cm="1">
        <f t="array" ref="P1580">SUMPRODUCT(("TFLGV-ICEdsl"=[1]OUT_TransportEnergyCons!$A$3:$A$1000)*1,("var_fout"=[1]OUT_TransportEnergyCons!$B$3:$B$1000)*1,ISNUMBER(SEARCH("TFLGV",[1]OUT_TransportEnergyCons!$C$3:$C$1000))*1,[1]OUT_TransportEnergyCons!N$3:N$1000)</f>
        <v>0</v>
      </c>
      <c r="Q1580" s="1" cm="1">
        <f t="array" ref="Q1580">SUMPRODUCT(("TFLGV-ICEdsl"=[1]OUT_TransportEnergyCons!$A$3:$A$1000)*1,("var_fout"=[1]OUT_TransportEnergyCons!$B$3:$B$1000)*1,ISNUMBER(SEARCH("TFLGV",[1]OUT_TransportEnergyCons!$C$3:$C$1000))*1,[1]OUT_TransportEnergyCons!O$3:O$1000)</f>
        <v>0</v>
      </c>
      <c r="S1580" s="3"/>
    </row>
    <row r="1581" spans="2:19" x14ac:dyDescent="0.5">
      <c r="B1581" t="str">
        <f t="shared" si="1740"/>
        <v>SPS1</v>
      </c>
      <c r="C1581" t="str">
        <f t="shared" si="1741"/>
        <v>CH</v>
      </c>
      <c r="D1581" t="s">
        <v>1566</v>
      </c>
      <c r="E1581" t="s">
        <v>1517</v>
      </c>
      <c r="F1581" s="1" cm="1">
        <f t="array" ref="F1581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81" s="1" cm="1">
        <f t="array" ref="G1581">SUMPRODUCT(("TFLGV-HYBDSL"=[1]OUT_TransportEnergyCons!$A$3:$A$1000)*1,("var_fout"=[1]OUT_TransportEnergyCons!$B$3:$B$1000)*1,ISNUMBER(SEARCH("TFLGV",[1]OUT_TransportEnergyCons!$C$3:$C$1000))*1,[1]OUT_TransportEnergyCons!E$3:E$1000)</f>
        <v>0.10564394077436058</v>
      </c>
      <c r="H1581" s="1" cm="1">
        <f t="array" ref="H1581">SUMPRODUCT(("TFLGV-HYBDSL"=[1]OUT_TransportEnergyCons!$A$3:$A$1000)*1,("var_fout"=[1]OUT_TransportEnergyCons!$B$3:$B$1000)*1,ISNUMBER(SEARCH("TFLGV",[1]OUT_TransportEnergyCons!$C$3:$C$1000))*1,[1]OUT_TransportEnergyCons!F$3:F$1000)</f>
        <v>7.4959140969550461E-2</v>
      </c>
      <c r="I1581" s="1" cm="1">
        <f t="array" ref="I1581">SUMPRODUCT(("TFLGV-HYBDSL"=[1]OUT_TransportEnergyCons!$A$3:$A$1000)*1,("var_fout"=[1]OUT_TransportEnergyCons!$B$3:$B$1000)*1,ISNUMBER(SEARCH("TFLGV",[1]OUT_TransportEnergyCons!$C$3:$C$1000))*1,[1]OUT_TransportEnergyCons!G$3:G$1000)</f>
        <v>0.22649980023487368</v>
      </c>
      <c r="J1581" s="1" cm="1">
        <f t="array" ref="J1581">SUMPRODUCT(("TFLGV-HYBDSL"=[1]OUT_TransportEnergyCons!$A$3:$A$1000)*1,("var_fout"=[1]OUT_TransportEnergyCons!$B$3:$B$1000)*1,ISNUMBER(SEARCH("TFLGV",[1]OUT_TransportEnergyCons!$C$3:$C$1000))*1,[1]OUT_TransportEnergyCons!H$3:H$1000)</f>
        <v>0.21619489503177405</v>
      </c>
      <c r="K1581" s="1" cm="1">
        <f t="array" ref="K1581">SUMPRODUCT(("TFLGV-HYBDSL"=[1]OUT_TransportEnergyCons!$A$3:$A$1000)*1,("var_fout"=[1]OUT_TransportEnergyCons!$B$3:$B$1000)*1,ISNUMBER(SEARCH("TFLGV",[1]OUT_TransportEnergyCons!$C$3:$C$1000))*1,[1]OUT_TransportEnergyCons!I$3:I$1000)</f>
        <v>1.0741499383011925E-4</v>
      </c>
      <c r="L1581" s="1" cm="1">
        <f t="array" ref="L1581">SUMPRODUCT(("TFLGV-HYBDSL"=[1]OUT_TransportEnergyCons!$A$3:$A$1000)*1,("var_fout"=[1]OUT_TransportEnergyCons!$B$3:$B$1000)*1,ISNUMBER(SEARCH("TFLGV",[1]OUT_TransportEnergyCons!$C$3:$C$1000))*1,[1]OUT_TransportEnergyCons!J$3:J$1000)</f>
        <v>0</v>
      </c>
      <c r="M1581" s="1" cm="1">
        <f t="array" ref="M1581">SUMPRODUCT(("TFLGV-HYBDSL"=[1]OUT_TransportEnergyCons!$A$3:$A$1000)*1,("var_fout"=[1]OUT_TransportEnergyCons!$B$3:$B$1000)*1,ISNUMBER(SEARCH("TFLGV",[1]OUT_TransportEnergyCons!$C$3:$C$1000))*1,[1]OUT_TransportEnergyCons!K$3:K$1000)</f>
        <v>0</v>
      </c>
      <c r="N1581" s="1" cm="1">
        <f t="array" ref="N1581">SUMPRODUCT(("TFLGV-HYBDSL"=[1]OUT_TransportEnergyCons!$A$3:$A$1000)*1,("var_fout"=[1]OUT_TransportEnergyCons!$B$3:$B$1000)*1,ISNUMBER(SEARCH("TFLGV",[1]OUT_TransportEnergyCons!$C$3:$C$1000))*1,[1]OUT_TransportEnergyCons!L$3:L$1000)</f>
        <v>0</v>
      </c>
      <c r="O1581" s="1" cm="1">
        <f t="array" ref="O1581">SUMPRODUCT(("TFLGV-HYBDSL"=[1]OUT_TransportEnergyCons!$A$3:$A$1000)*1,("var_fout"=[1]OUT_TransportEnergyCons!$B$3:$B$1000)*1,ISNUMBER(SEARCH("TFLGV",[1]OUT_TransportEnergyCons!$C$3:$C$1000))*1,[1]OUT_TransportEnergyCons!M$3:M$1000)</f>
        <v>0</v>
      </c>
      <c r="P1581" s="1" cm="1">
        <f t="array" ref="P1581">SUMPRODUCT(("TFLGV-HYBDSL"=[1]OUT_TransportEnergyCons!$A$3:$A$1000)*1,("var_fout"=[1]OUT_TransportEnergyCons!$B$3:$B$1000)*1,ISNUMBER(SEARCH("TFLGV",[1]OUT_TransportEnergyCons!$C$3:$C$1000))*1,[1]OUT_TransportEnergyCons!N$3:N$1000)</f>
        <v>0</v>
      </c>
      <c r="Q1581" s="1" cm="1">
        <f t="array" ref="Q1581">SUMPRODUCT(("TFLGV-HYBDSL"=[1]OUT_TransportEnergyCons!$A$3:$A$1000)*1,("var_fout"=[1]OUT_TransportEnergyCons!$B$3:$B$1000)*1,ISNUMBER(SEARCH("TFLGV",[1]OUT_TransportEnergyCons!$C$3:$C$1000))*1,[1]OUT_TransportEnergyCons!O$3:O$1000)</f>
        <v>0</v>
      </c>
      <c r="S1581" s="3"/>
    </row>
    <row r="1582" spans="2:19" x14ac:dyDescent="0.5">
      <c r="B1582" t="str">
        <f t="shared" si="1740"/>
        <v>SPS1</v>
      </c>
      <c r="C1582" t="str">
        <f t="shared" si="1741"/>
        <v>CH</v>
      </c>
      <c r="D1582" t="s">
        <v>1567</v>
      </c>
      <c r="E1582" t="s">
        <v>1517</v>
      </c>
      <c r="F1582" s="1" cm="1">
        <f t="array" ref="F1582">SUMPRODUCT(("TFLGV-ICENGA"=[1]OUT_TransportEnergyCons!$A$3:$A$1000)*1,("var_fout"=[1]OUT_TransportEnergyCons!$B$3:$B$1000)*1,ISNUMBER(SEARCH("TFLGV",[1]OUT_TransportEnergyCons!$C$3:$C$1000))*1,[1]OUT_TransportEnergyCons!D$3:D$1000)</f>
        <v>7.9648698840271773E-3</v>
      </c>
      <c r="G1582" s="1" cm="1">
        <f t="array" ref="G1582">SUMPRODUCT(("TFLGV-ICENGA"=[1]OUT_TransportEnergyCons!$A$3:$A$1000)*1,("var_fout"=[1]OUT_TransportEnergyCons!$B$3:$B$1000)*1,ISNUMBER(SEARCH("TFLGV",[1]OUT_TransportEnergyCons!$C$3:$C$1000))*1,[1]OUT_TransportEnergyCons!E$3:E$1000)</f>
        <v>7.6526191744700203E-3</v>
      </c>
      <c r="H1582" s="1" cm="1">
        <f t="array" ref="H1582">SUMPRODUCT(("TFLGV-ICENGA"=[1]OUT_TransportEnergyCons!$A$3:$A$1000)*1,("var_fout"=[1]OUT_TransportEnergyCons!$B$3:$B$1000)*1,ISNUMBER(SEARCH("TFLGV",[1]OUT_TransportEnergyCons!$C$3:$C$1000))*1,[1]OUT_TransportEnergyCons!F$3:F$1000)</f>
        <v>1.0640957164564778E-2</v>
      </c>
      <c r="I1582" s="1" cm="1">
        <f t="array" ref="I1582">SUMPRODUCT(("TFLGV-ICENGA"=[1]OUT_TransportEnergyCons!$A$3:$A$1000)*1,("var_fout"=[1]OUT_TransportEnergyCons!$B$3:$B$1000)*1,ISNUMBER(SEARCH("TFLGV",[1]OUT_TransportEnergyCons!$C$3:$C$1000))*1,[1]OUT_TransportEnergyCons!G$3:G$1000)</f>
        <v>1.5929022282553613E-4</v>
      </c>
      <c r="J1582" s="1" cm="1">
        <f t="array" ref="J1582">SUMPRODUCT(("TFLGV-ICENGA"=[1]OUT_TransportEnergyCons!$A$3:$A$1000)*1,("var_fout"=[1]OUT_TransportEnergyCons!$B$3:$B$1000)*1,ISNUMBER(SEARCH("TFLGV",[1]OUT_TransportEnergyCons!$C$3:$C$1000))*1,[1]OUT_TransportEnergyCons!H$3:H$1000)</f>
        <v>3.8923057881157061E-5</v>
      </c>
      <c r="K1582" s="1" cm="1">
        <f t="array" ref="K1582">SUMPRODUCT(("TFLGV-ICENGA"=[1]OUT_TransportEnergyCons!$A$3:$A$1000)*1,("var_fout"=[1]OUT_TransportEnergyCons!$B$3:$B$1000)*1,ISNUMBER(SEARCH("TFLGV",[1]OUT_TransportEnergyCons!$C$3:$C$1000))*1,[1]OUT_TransportEnergyCons!I$3:I$1000)</f>
        <v>0</v>
      </c>
      <c r="L1582" s="1" cm="1">
        <f t="array" ref="L1582">SUMPRODUCT(("TFLGV-ICENGA"=[1]OUT_TransportEnergyCons!$A$3:$A$1000)*1,("var_fout"=[1]OUT_TransportEnergyCons!$B$3:$B$1000)*1,ISNUMBER(SEARCH("TFLGV",[1]OUT_TransportEnergyCons!$C$3:$C$1000))*1,[1]OUT_TransportEnergyCons!J$3:J$1000)</f>
        <v>0</v>
      </c>
      <c r="M1582" s="1" cm="1">
        <f t="array" ref="M1582">SUMPRODUCT(("TFLGV-ICENGA"=[1]OUT_TransportEnergyCons!$A$3:$A$1000)*1,("var_fout"=[1]OUT_TransportEnergyCons!$B$3:$B$1000)*1,ISNUMBER(SEARCH("TFLGV",[1]OUT_TransportEnergyCons!$C$3:$C$1000))*1,[1]OUT_TransportEnergyCons!K$3:K$1000)</f>
        <v>0</v>
      </c>
      <c r="N1582" s="1" cm="1">
        <f t="array" ref="N1582">SUMPRODUCT(("TFLGV-ICENGA"=[1]OUT_TransportEnergyCons!$A$3:$A$1000)*1,("var_fout"=[1]OUT_TransportEnergyCons!$B$3:$B$1000)*1,ISNUMBER(SEARCH("TFLGV",[1]OUT_TransportEnergyCons!$C$3:$C$1000))*1,[1]OUT_TransportEnergyCons!L$3:L$1000)</f>
        <v>0</v>
      </c>
      <c r="O1582" s="1" cm="1">
        <f t="array" ref="O1582">SUMPRODUCT(("TFLGV-ICENGA"=[1]OUT_TransportEnergyCons!$A$3:$A$1000)*1,("var_fout"=[1]OUT_TransportEnergyCons!$B$3:$B$1000)*1,ISNUMBER(SEARCH("TFLGV",[1]OUT_TransportEnergyCons!$C$3:$C$1000))*1,[1]OUT_TransportEnergyCons!M$3:M$1000)</f>
        <v>0</v>
      </c>
      <c r="P1582" s="1" cm="1">
        <f t="array" ref="P1582">SUMPRODUCT(("TFLGV-ICENGA"=[1]OUT_TransportEnergyCons!$A$3:$A$1000)*1,("var_fout"=[1]OUT_TransportEnergyCons!$B$3:$B$1000)*1,ISNUMBER(SEARCH("TFLGV",[1]OUT_TransportEnergyCons!$C$3:$C$1000))*1,[1]OUT_TransportEnergyCons!N$3:N$1000)</f>
        <v>0</v>
      </c>
      <c r="Q1582" s="1" cm="1">
        <f t="array" ref="Q1582">SUMPRODUCT(("TFLGV-ICENGA"=[1]OUT_TransportEnergyCons!$A$3:$A$1000)*1,("var_fout"=[1]OUT_TransportEnergyCons!$B$3:$B$1000)*1,ISNUMBER(SEARCH("TFLGV",[1]OUT_TransportEnergyCons!$C$3:$C$1000))*1,[1]OUT_TransportEnergyCons!O$3:O$1000)</f>
        <v>0</v>
      </c>
      <c r="S1582" s="3"/>
    </row>
    <row r="1583" spans="2:19" x14ac:dyDescent="0.5">
      <c r="B1583" s="2" t="str">
        <f t="shared" si="1740"/>
        <v>SPS1</v>
      </c>
      <c r="C1583" s="2" t="str">
        <f t="shared" si="1741"/>
        <v>CH</v>
      </c>
      <c r="D1583" s="2" t="s">
        <v>1568</v>
      </c>
      <c r="E1583" s="2" t="s">
        <v>1576</v>
      </c>
      <c r="F1583" s="22" t="s">
        <v>292</v>
      </c>
      <c r="G1583" s="22" t="s">
        <v>292</v>
      </c>
      <c r="H1583" s="22" t="s">
        <v>292</v>
      </c>
      <c r="I1583" s="22" t="s">
        <v>292</v>
      </c>
      <c r="J1583" s="22" t="s">
        <v>292</v>
      </c>
      <c r="K1583" s="22" t="s">
        <v>292</v>
      </c>
      <c r="L1583" s="22" t="s">
        <v>292</v>
      </c>
      <c r="M1583" s="22" t="s">
        <v>292</v>
      </c>
      <c r="N1583" s="22" t="s">
        <v>292</v>
      </c>
      <c r="O1583" s="22" t="s">
        <v>292</v>
      </c>
      <c r="P1583" s="22" t="s">
        <v>292</v>
      </c>
      <c r="Q1583" s="22" t="s">
        <v>292</v>
      </c>
      <c r="S1583" s="3"/>
    </row>
    <row r="1584" spans="2:19" x14ac:dyDescent="0.5">
      <c r="B1584" t="str">
        <f t="shared" si="1740"/>
        <v>SPS1</v>
      </c>
      <c r="C1584" t="str">
        <f t="shared" si="1741"/>
        <v>CH</v>
      </c>
      <c r="D1584" t="s">
        <v>1569</v>
      </c>
      <c r="E1584" t="s">
        <v>1576</v>
      </c>
      <c r="F1584" s="1">
        <f>IFERROR(F1574/F1548,"-")</f>
        <v>0.68922285337539602</v>
      </c>
      <c r="G1584" s="1">
        <f t="shared" ref="G1584:K1584" si="1766">IFERROR(G1574/G1548,"-")</f>
        <v>0.69564643130450521</v>
      </c>
      <c r="H1584" s="1">
        <f t="shared" si="1766"/>
        <v>0.70528179819816972</v>
      </c>
      <c r="I1584" s="1">
        <f t="shared" si="1766"/>
        <v>0.70528179819816939</v>
      </c>
      <c r="J1584" s="1" t="str">
        <f t="shared" si="1766"/>
        <v>-</v>
      </c>
      <c r="K1584" s="1" t="str">
        <f t="shared" si="1766"/>
        <v>-</v>
      </c>
      <c r="L1584" s="1" t="str">
        <f t="shared" ref="L1584:O1584" si="1767">IFERROR(L1574/L1548,"-")</f>
        <v>-</v>
      </c>
      <c r="M1584" s="1" t="str">
        <f t="shared" si="1767"/>
        <v>-</v>
      </c>
      <c r="N1584" s="1" t="str">
        <f t="shared" si="1767"/>
        <v>-</v>
      </c>
      <c r="O1584" s="1" t="str">
        <f t="shared" si="1767"/>
        <v>-</v>
      </c>
      <c r="P1584" s="1" t="str">
        <f>IFERROR(P1574/P1548,"-")</f>
        <v>-</v>
      </c>
      <c r="Q1584" s="1" t="str">
        <f>IFERROR(Q1574/Q1548,"-")</f>
        <v>-</v>
      </c>
      <c r="S1584" s="3"/>
    </row>
    <row r="1585" spans="2:19" x14ac:dyDescent="0.5">
      <c r="B1585" t="str">
        <f t="shared" si="1740"/>
        <v>SPS1</v>
      </c>
      <c r="C1585" t="str">
        <f t="shared" si="1741"/>
        <v>CH</v>
      </c>
      <c r="D1585" t="s">
        <v>1570</v>
      </c>
      <c r="E1585" t="s">
        <v>1576</v>
      </c>
      <c r="F1585" s="1">
        <f>IFERROR(F1575/F1549,"-")</f>
        <v>0.68135756995377272</v>
      </c>
      <c r="G1585" s="1">
        <f t="shared" ref="G1585:K1585" si="1768">IFERROR(G1575/G1549,"-")</f>
        <v>0.68135756995377228</v>
      </c>
      <c r="H1585" s="1">
        <f t="shared" si="1768"/>
        <v>0.68135756995377306</v>
      </c>
      <c r="I1585" s="1">
        <f t="shared" si="1768"/>
        <v>0.68135756995377228</v>
      </c>
      <c r="J1585" s="1">
        <f t="shared" si="1768"/>
        <v>0.68135756995377239</v>
      </c>
      <c r="K1585" s="1">
        <f t="shared" si="1768"/>
        <v>0.68135756995377328</v>
      </c>
      <c r="L1585" s="1">
        <f t="shared" ref="L1585:O1585" si="1769">IFERROR(L1575/L1549,"-")</f>
        <v>0.68135756995377306</v>
      </c>
      <c r="M1585" s="1">
        <f t="shared" si="1769"/>
        <v>0.6813575699537725</v>
      </c>
      <c r="N1585" s="1">
        <f t="shared" si="1769"/>
        <v>0.68135756995377161</v>
      </c>
      <c r="O1585" s="1">
        <f t="shared" si="1769"/>
        <v>0.68135756995377328</v>
      </c>
      <c r="P1585" s="1">
        <f>IFERROR(P1575/P1549,"-")</f>
        <v>0.68135756995377295</v>
      </c>
      <c r="Q1585" s="1">
        <f>IFERROR(Q1575/Q1549,"-")</f>
        <v>0.68135756995377328</v>
      </c>
      <c r="S1585" s="3"/>
    </row>
    <row r="1586" spans="2:19" x14ac:dyDescent="0.5">
      <c r="B1586" t="str">
        <f t="shared" si="1740"/>
        <v>SPS1</v>
      </c>
      <c r="C1586" t="str">
        <f t="shared" si="1741"/>
        <v>CH</v>
      </c>
      <c r="D1586" t="s">
        <v>1571</v>
      </c>
      <c r="E1586" t="s">
        <v>1576</v>
      </c>
      <c r="F1586" s="1" t="str">
        <f>IFERROR(F1576/F1551,"-")</f>
        <v>-</v>
      </c>
      <c r="G1586" s="1">
        <f t="shared" ref="G1586:K1586" si="1770">IFERROR(G1576/G1551,"-")</f>
        <v>0.46510343171505425</v>
      </c>
      <c r="H1586" s="1">
        <f t="shared" si="1770"/>
        <v>0.47396633689317458</v>
      </c>
      <c r="I1586" s="1">
        <f t="shared" si="1770"/>
        <v>0.49160595375426125</v>
      </c>
      <c r="J1586" s="1">
        <f t="shared" si="1770"/>
        <v>0.52545647305492249</v>
      </c>
      <c r="K1586" s="1">
        <f t="shared" si="1770"/>
        <v>0.55525502294480666</v>
      </c>
      <c r="L1586" s="1">
        <f t="shared" ref="L1586:O1586" si="1771">IFERROR(L1576/L1551,"-")</f>
        <v>0.57388058448053159</v>
      </c>
      <c r="M1586" s="1">
        <f t="shared" si="1771"/>
        <v>0.59211790141376275</v>
      </c>
      <c r="N1586" s="1">
        <f t="shared" si="1771"/>
        <v>0.60081961876904655</v>
      </c>
      <c r="O1586" s="1">
        <f t="shared" si="1771"/>
        <v>0.6048025742931874</v>
      </c>
      <c r="P1586" s="1">
        <f>IFERROR(P1576/P1551,"-")</f>
        <v>0.60480257429318829</v>
      </c>
      <c r="Q1586" s="1">
        <f>IFERROR(Q1576/Q1551,"-")</f>
        <v>0.60480257429318662</v>
      </c>
      <c r="S1586" s="3"/>
    </row>
    <row r="1587" spans="2:19" x14ac:dyDescent="0.5">
      <c r="B1587" t="str">
        <f t="shared" si="1740"/>
        <v>SPS1</v>
      </c>
      <c r="C1587" t="str">
        <f t="shared" si="1741"/>
        <v>CH</v>
      </c>
      <c r="D1587" t="s">
        <v>1591</v>
      </c>
      <c r="E1587" t="s">
        <v>1576</v>
      </c>
      <c r="F1587" s="1">
        <f>IFERROR(F1577/F1557,"-")</f>
        <v>0.27758325613681001</v>
      </c>
      <c r="G1587" s="1">
        <f t="shared" ref="G1587:K1587" si="1772">IFERROR(G1577/G1557,"-")</f>
        <v>0.2801703405158007</v>
      </c>
      <c r="H1587" s="1">
        <f t="shared" si="1772"/>
        <v>0.28405096708428695</v>
      </c>
      <c r="I1587" s="1">
        <f t="shared" si="1772"/>
        <v>0.28405096708428701</v>
      </c>
      <c r="J1587" s="1" t="str">
        <f t="shared" si="1772"/>
        <v>-</v>
      </c>
      <c r="K1587" s="1" t="str">
        <f t="shared" si="1772"/>
        <v>-</v>
      </c>
      <c r="L1587" s="1" t="str">
        <f t="shared" ref="L1587:O1587" si="1773">IFERROR(L1577/L1557,"-")</f>
        <v>-</v>
      </c>
      <c r="M1587" s="1" t="str">
        <f t="shared" si="1773"/>
        <v>-</v>
      </c>
      <c r="N1587" s="1" t="str">
        <f t="shared" si="1773"/>
        <v>-</v>
      </c>
      <c r="O1587" s="1" t="str">
        <f t="shared" si="1773"/>
        <v>-</v>
      </c>
      <c r="P1587" s="1" t="str">
        <f>IFERROR(P1577/P1557,"-")</f>
        <v>-</v>
      </c>
      <c r="Q1587" s="1" t="str">
        <f>IFERROR(Q1577/Q1557,"-")</f>
        <v>-</v>
      </c>
      <c r="S1587" s="3"/>
    </row>
    <row r="1588" spans="2:19" x14ac:dyDescent="0.5">
      <c r="B1588" t="str">
        <f t="shared" si="1740"/>
        <v>SPS1</v>
      </c>
      <c r="C1588" t="str">
        <f t="shared" si="1741"/>
        <v>CH</v>
      </c>
      <c r="D1588" t="s">
        <v>1592</v>
      </c>
      <c r="E1588" t="s">
        <v>1576</v>
      </c>
      <c r="F1588" s="1">
        <f>IFERROR(F1578/F1558,"-")</f>
        <v>0.35122961215622112</v>
      </c>
      <c r="G1588" s="1">
        <f t="shared" ref="G1588:K1588" si="1774">IFERROR(G1578/G1558,"-")</f>
        <v>0.35122961215622139</v>
      </c>
      <c r="H1588" s="1">
        <f t="shared" si="1774"/>
        <v>0.35122961215622106</v>
      </c>
      <c r="I1588" s="1">
        <f t="shared" si="1774"/>
        <v>0.35122961215622095</v>
      </c>
      <c r="J1588" s="1">
        <f t="shared" si="1774"/>
        <v>0.351229612156221</v>
      </c>
      <c r="K1588" s="1">
        <f t="shared" si="1774"/>
        <v>0.35122961215622117</v>
      </c>
      <c r="L1588" s="1" t="str">
        <f t="shared" ref="L1588:O1588" si="1775">IFERROR(L1578/L1558,"-")</f>
        <v>-</v>
      </c>
      <c r="M1588" s="1" t="str">
        <f t="shared" si="1775"/>
        <v>-</v>
      </c>
      <c r="N1588" s="1" t="str">
        <f t="shared" si="1775"/>
        <v>-</v>
      </c>
      <c r="O1588" s="1" t="str">
        <f t="shared" si="1775"/>
        <v>-</v>
      </c>
      <c r="P1588" s="1" t="str">
        <f>IFERROR(P1578/P1558,"-")</f>
        <v>-</v>
      </c>
      <c r="Q1588" s="1" t="str">
        <f>IFERROR(Q1578/Q1558,"-")</f>
        <v>-</v>
      </c>
      <c r="S1588" s="3"/>
    </row>
    <row r="1589" spans="2:19" x14ac:dyDescent="0.5">
      <c r="B1589" t="str">
        <f t="shared" si="1740"/>
        <v>SPS1</v>
      </c>
      <c r="C1589" t="str">
        <f t="shared" si="1741"/>
        <v>CH</v>
      </c>
      <c r="D1589" t="s">
        <v>1572</v>
      </c>
      <c r="E1589" t="s">
        <v>1576</v>
      </c>
      <c r="F1589" s="1">
        <f>IFERROR(F1579/F1564,"-")</f>
        <v>0.25903663625928708</v>
      </c>
      <c r="G1589" s="1">
        <f t="shared" ref="G1589:K1589" si="1776">IFERROR(G1579/G1564,"-")</f>
        <v>0.2679374627761123</v>
      </c>
      <c r="H1589" s="1">
        <f t="shared" si="1776"/>
        <v>0.28128870255134991</v>
      </c>
      <c r="I1589" s="1">
        <f t="shared" si="1776"/>
        <v>0.28128870255135002</v>
      </c>
      <c r="J1589" s="1" t="str">
        <f t="shared" si="1776"/>
        <v>-</v>
      </c>
      <c r="K1589" s="1" t="str">
        <f t="shared" si="1776"/>
        <v>-</v>
      </c>
      <c r="L1589" s="1" t="str">
        <f t="shared" ref="L1589:O1589" si="1777">IFERROR(L1579/L1564,"-")</f>
        <v>-</v>
      </c>
      <c r="M1589" s="1" t="str">
        <f t="shared" si="1777"/>
        <v>-</v>
      </c>
      <c r="N1589" s="1" t="str">
        <f t="shared" si="1777"/>
        <v>-</v>
      </c>
      <c r="O1589" s="1" t="str">
        <f t="shared" si="1777"/>
        <v>-</v>
      </c>
      <c r="P1589" s="1" t="str">
        <f t="shared" ref="P1589:Q1591" si="1778">IFERROR(P1579/P1564,"-")</f>
        <v>-</v>
      </c>
      <c r="Q1589" s="1" t="str">
        <f t="shared" si="1778"/>
        <v>-</v>
      </c>
      <c r="S1589" s="3"/>
    </row>
    <row r="1590" spans="2:19" x14ac:dyDescent="0.5">
      <c r="B1590" t="str">
        <f t="shared" si="1740"/>
        <v>SPS1</v>
      </c>
      <c r="C1590" t="str">
        <f t="shared" si="1741"/>
        <v>CH</v>
      </c>
      <c r="D1590" t="s">
        <v>1573</v>
      </c>
      <c r="E1590" t="s">
        <v>1576</v>
      </c>
      <c r="F1590" s="1">
        <f>IFERROR(F1580/F1565,"-")</f>
        <v>0.34211451343153154</v>
      </c>
      <c r="G1590" s="1">
        <f t="shared" ref="G1590:K1590" si="1779">IFERROR(G1580/G1565,"-")</f>
        <v>0.34211451343153204</v>
      </c>
      <c r="H1590" s="1">
        <f t="shared" si="1779"/>
        <v>0.34211451343153282</v>
      </c>
      <c r="I1590" s="1">
        <f t="shared" si="1779"/>
        <v>0.34211451343153104</v>
      </c>
      <c r="J1590" s="1">
        <f t="shared" si="1779"/>
        <v>0.3421145134315316</v>
      </c>
      <c r="K1590" s="1">
        <f t="shared" si="1779"/>
        <v>0.34211451343153226</v>
      </c>
      <c r="L1590" s="1" t="str">
        <f t="shared" ref="L1590:O1590" si="1780">IFERROR(L1580/L1565,"-")</f>
        <v>-</v>
      </c>
      <c r="M1590" s="1" t="str">
        <f t="shared" si="1780"/>
        <v>-</v>
      </c>
      <c r="N1590" s="1" t="str">
        <f t="shared" si="1780"/>
        <v>-</v>
      </c>
      <c r="O1590" s="1" t="str">
        <f t="shared" si="1780"/>
        <v>-</v>
      </c>
      <c r="P1590" s="1" t="str">
        <f t="shared" si="1778"/>
        <v>-</v>
      </c>
      <c r="Q1590" s="1" t="str">
        <f t="shared" si="1778"/>
        <v>-</v>
      </c>
      <c r="S1590" s="3"/>
    </row>
    <row r="1591" spans="2:19" x14ac:dyDescent="0.5">
      <c r="B1591" t="str">
        <f t="shared" si="1740"/>
        <v>SPS1</v>
      </c>
      <c r="C1591" t="str">
        <f t="shared" si="1741"/>
        <v>CH</v>
      </c>
      <c r="D1591" t="s">
        <v>1574</v>
      </c>
      <c r="E1591" t="s">
        <v>1576</v>
      </c>
      <c r="F1591" s="1" t="str">
        <f>IFERROR(F1581/F1566,"-")</f>
        <v>-</v>
      </c>
      <c r="G1591" s="1">
        <f t="shared" ref="G1591:K1591" si="1781">IFERROR(G1581/G1566,"-")</f>
        <v>0.46076759264650796</v>
      </c>
      <c r="H1591" s="1">
        <f t="shared" si="1781"/>
        <v>0.46076759264650796</v>
      </c>
      <c r="I1591" s="1">
        <f t="shared" si="1781"/>
        <v>0.46076759264650824</v>
      </c>
      <c r="J1591" s="1">
        <f t="shared" si="1781"/>
        <v>0.46076759264650807</v>
      </c>
      <c r="K1591" s="1">
        <f t="shared" si="1781"/>
        <v>0.46076759264650813</v>
      </c>
      <c r="L1591" s="1" t="str">
        <f t="shared" ref="L1591:O1591" si="1782">IFERROR(L1581/L1566,"-")</f>
        <v>-</v>
      </c>
      <c r="M1591" s="1" t="str">
        <f t="shared" si="1782"/>
        <v>-</v>
      </c>
      <c r="N1591" s="1" t="str">
        <f t="shared" si="1782"/>
        <v>-</v>
      </c>
      <c r="O1591" s="1" t="str">
        <f t="shared" si="1782"/>
        <v>-</v>
      </c>
      <c r="P1591" s="1" t="str">
        <f t="shared" si="1778"/>
        <v>-</v>
      </c>
      <c r="Q1591" s="1" t="str">
        <f t="shared" si="1778"/>
        <v>-</v>
      </c>
      <c r="S1591" s="3"/>
    </row>
    <row r="1592" spans="2:19" x14ac:dyDescent="0.5">
      <c r="B1592" t="str">
        <f t="shared" si="1740"/>
        <v>SPS1</v>
      </c>
      <c r="C1592" t="str">
        <f t="shared" si="1741"/>
        <v>CH</v>
      </c>
      <c r="D1592" t="s">
        <v>1575</v>
      </c>
      <c r="E1592" t="s">
        <v>1576</v>
      </c>
      <c r="F1592" s="1">
        <f>IFERROR(F1582/F1572,"-")</f>
        <v>0.32057692743517996</v>
      </c>
      <c r="G1592" s="1">
        <f t="shared" ref="G1592:K1592" si="1783">IFERROR(G1582/G1572,"-")</f>
        <v>0.32057692743518018</v>
      </c>
      <c r="H1592" s="1">
        <f t="shared" si="1783"/>
        <v>0.32057692743517918</v>
      </c>
      <c r="I1592" s="1">
        <f t="shared" si="1783"/>
        <v>0.32057692743518007</v>
      </c>
      <c r="J1592" s="1">
        <f t="shared" si="1783"/>
        <v>0.3205769274351799</v>
      </c>
      <c r="K1592" s="1" t="str">
        <f t="shared" si="1783"/>
        <v>-</v>
      </c>
      <c r="L1592" s="1" t="str">
        <f t="shared" ref="L1592:O1592" si="1784">IFERROR(L1582/L1572,"-")</f>
        <v>-</v>
      </c>
      <c r="M1592" s="1" t="str">
        <f t="shared" si="1784"/>
        <v>-</v>
      </c>
      <c r="N1592" s="1" t="str">
        <f t="shared" si="1784"/>
        <v>-</v>
      </c>
      <c r="O1592" s="1" t="str">
        <f t="shared" si="1784"/>
        <v>-</v>
      </c>
      <c r="P1592" s="1" t="str">
        <f>IFERROR(P1582/P1572,"-")</f>
        <v>-</v>
      </c>
      <c r="Q1592" s="1" t="str">
        <f>IFERROR(Q1582/Q1572,"-")</f>
        <v>-</v>
      </c>
      <c r="S1592" s="3"/>
    </row>
    <row r="1593" spans="2:19" x14ac:dyDescent="0.5">
      <c r="B1593" s="2" t="str">
        <f>B1592</f>
        <v>SPS1</v>
      </c>
      <c r="C1593" s="2" t="str">
        <f>C1592</f>
        <v>CH</v>
      </c>
      <c r="D1593" s="2" t="s">
        <v>1596</v>
      </c>
      <c r="E1593" s="2" t="s">
        <v>8</v>
      </c>
      <c r="F1593" s="3">
        <f>F1594+F1597+F1599+F1606+F1614</f>
        <v>24.482146843560539</v>
      </c>
      <c r="G1593" s="3">
        <f t="shared" ref="G1593" si="1785">G1594+G1597+G1599+G1606+G1614</f>
        <v>23.064400283915894</v>
      </c>
      <c r="H1593" s="3">
        <f t="shared" ref="H1593" si="1786">H1594+H1597+H1599+H1606+H1614</f>
        <v>9.1049145882166709</v>
      </c>
      <c r="I1593" s="3">
        <f t="shared" ref="I1593" si="1787">I1594+I1597+I1599+I1606+I1614</f>
        <v>10.937001170296952</v>
      </c>
      <c r="J1593" s="3">
        <f t="shared" ref="J1593" si="1788">J1594+J1597+J1599+J1606+J1614</f>
        <v>13.434206939790528</v>
      </c>
      <c r="K1593" s="3">
        <f t="shared" ref="K1593" si="1789">K1594+K1597+K1599+K1606+K1614</f>
        <v>13.399267562581798</v>
      </c>
      <c r="L1593" s="3">
        <f t="shared" ref="L1593:O1593" si="1790">L1594+L1597+L1599+L1606+L1614</f>
        <v>8.4768286108638442</v>
      </c>
      <c r="M1593" s="3">
        <f t="shared" si="1790"/>
        <v>8.1793313857107552</v>
      </c>
      <c r="N1593" s="3">
        <f t="shared" si="1790"/>
        <v>8.2883596113979223</v>
      </c>
      <c r="O1593" s="3">
        <f t="shared" si="1790"/>
        <v>8.5771654916566753</v>
      </c>
      <c r="P1593" s="3">
        <f>P1594+P1597+P1599+P1606+P1614</f>
        <v>8.8826535568453817</v>
      </c>
      <c r="Q1593" s="3">
        <f>Q1594+Q1597+Q1599+Q1606+Q1614</f>
        <v>9.2304421945387016</v>
      </c>
      <c r="S1593" s="3"/>
    </row>
    <row r="1594" spans="2:19" x14ac:dyDescent="0.5">
      <c r="B1594" t="str">
        <f t="shared" ref="B1594:B1639" si="1791">B1593</f>
        <v>SPS1</v>
      </c>
      <c r="C1594" t="str">
        <f t="shared" ref="C1594:C1639" si="1792">C1593</f>
        <v>CH</v>
      </c>
      <c r="D1594" t="s">
        <v>1597</v>
      </c>
      <c r="E1594" t="str">
        <f>E1593</f>
        <v>PJ/yr.</v>
      </c>
      <c r="F1594" s="1">
        <f>SUM(F1595:F1596)</f>
        <v>9.5080357949086786E-3</v>
      </c>
      <c r="G1594" s="1">
        <f t="shared" ref="G1594" si="1793">SUM(G1595:G1596)</f>
        <v>5.8125589117425318E-2</v>
      </c>
      <c r="H1594" s="1">
        <f t="shared" ref="H1594" si="1794">SUM(H1595:H1596)</f>
        <v>7.572152826540874</v>
      </c>
      <c r="I1594" s="1">
        <f t="shared" ref="I1594" si="1795">SUM(I1595:I1596)</f>
        <v>5.503297353068203</v>
      </c>
      <c r="J1594" s="1">
        <f t="shared" ref="J1594" si="1796">SUM(J1595:J1596)</f>
        <v>1.5958142575653556</v>
      </c>
      <c r="K1594" s="1">
        <f t="shared" ref="K1594" si="1797">SUM(K1595:K1596)</f>
        <v>2.2649060058088133</v>
      </c>
      <c r="L1594" s="1">
        <f t="shared" ref="L1594:O1594" si="1798">SUM(L1595:L1596)</f>
        <v>7.5318089965767783</v>
      </c>
      <c r="M1594" s="1">
        <f t="shared" si="1798"/>
        <v>8.1713184716595624</v>
      </c>
      <c r="N1594" s="1">
        <f t="shared" si="1798"/>
        <v>8.2869683618215806</v>
      </c>
      <c r="O1594" s="1">
        <f t="shared" si="1798"/>
        <v>8.5758016675832032</v>
      </c>
      <c r="P1594" s="1">
        <f>SUM(P1595:P1596)</f>
        <v>8.8811485849383658</v>
      </c>
      <c r="Q1594" s="1">
        <f>SUM(Q1595:Q1596)</f>
        <v>9.2287650578833471</v>
      </c>
      <c r="S1594" s="3"/>
    </row>
    <row r="1595" spans="2:19" x14ac:dyDescent="0.5">
      <c r="B1595" t="str">
        <f t="shared" si="1791"/>
        <v>SPS1</v>
      </c>
      <c r="C1595" t="str">
        <f t="shared" si="1792"/>
        <v>CH</v>
      </c>
      <c r="D1595" t="s">
        <v>1598</v>
      </c>
      <c r="E1595" t="str">
        <f t="shared" ref="E1595:E1619" si="1799">E1594</f>
        <v>PJ/yr.</v>
      </c>
      <c r="F1595" s="1" cm="1">
        <f t="array" ref="F1595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5" s="1" cm="1">
        <f t="array" ref="G1595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5" s="1" cm="1">
        <f t="array" ref="H1595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5" s="1" cm="1">
        <f t="array" ref="I1595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5" s="1" cm="1">
        <f t="array" ref="J1595">SUMPRODUCT(("TFHGV-BeVELCExt"=[1]OUT_TransportEnergyCons!$A$3:$A$1000)*1,("Var_Fin"=[1]OUT_TransportEnergyCons!$B$3:$B$1000)*1,ISNUMBER(SEARCH("ELC",[1]OUT_TransportEnergyCons!$C$3:$C$1000))*1,[1]OUT_TransportEnergyCons!H$3:H$1000)</f>
        <v>0</v>
      </c>
      <c r="K1595" s="1" cm="1">
        <f t="array" ref="K1595">SUMPRODUCT(("TFHGV-BeVELCExt"=[1]OUT_TransportEnergyCons!$A$3:$A$1000)*1,("Var_Fin"=[1]OUT_TransportEnergyCons!$B$3:$B$1000)*1,ISNUMBER(SEARCH("ELC",[1]OUT_TransportEnergyCons!$C$3:$C$1000))*1,[1]OUT_TransportEnergyCons!I$3:I$1000)</f>
        <v>0</v>
      </c>
      <c r="L1595" s="1" cm="1">
        <f t="array" ref="L1595">SUMPRODUCT(("TFHGV-BeVELCExt"=[1]OUT_TransportEnergyCons!$A$3:$A$1000)*1,("Var_Fin"=[1]OUT_TransportEnergyCons!$B$3:$B$1000)*1,ISNUMBER(SEARCH("ELC",[1]OUT_TransportEnergyCons!$C$3:$C$1000))*1,[1]OUT_TransportEnergyCons!J$3:J$1000)</f>
        <v>0</v>
      </c>
      <c r="M1595" s="1" cm="1">
        <f t="array" ref="M1595">SUMPRODUCT(("TFHGV-BeVELCExt"=[1]OUT_TransportEnergyCons!$A$3:$A$1000)*1,("Var_Fin"=[1]OUT_TransportEnergyCons!$B$3:$B$1000)*1,ISNUMBER(SEARCH("ELC",[1]OUT_TransportEnergyCons!$C$3:$C$1000))*1,[1]OUT_TransportEnergyCons!K$3:K$1000)</f>
        <v>0</v>
      </c>
      <c r="N1595" s="1" cm="1">
        <f t="array" ref="N1595">SUMPRODUCT(("TFHGV-BeVELCExt"=[1]OUT_TransportEnergyCons!$A$3:$A$1000)*1,("Var_Fin"=[1]OUT_TransportEnergyCons!$B$3:$B$1000)*1,ISNUMBER(SEARCH("ELC",[1]OUT_TransportEnergyCons!$C$3:$C$1000))*1,[1]OUT_TransportEnergyCons!L$3:L$1000)</f>
        <v>0</v>
      </c>
      <c r="O1595" s="1" cm="1">
        <f t="array" ref="O1595">SUMPRODUCT(("TFHGV-BeVELCExt"=[1]OUT_TransportEnergyCons!$A$3:$A$1000)*1,("Var_Fin"=[1]OUT_TransportEnergyCons!$B$3:$B$1000)*1,ISNUMBER(SEARCH("ELC",[1]OUT_TransportEnergyCons!$C$3:$C$1000))*1,[1]OUT_TransportEnergyCons!M$3:M$1000)</f>
        <v>0</v>
      </c>
      <c r="P1595" s="1" cm="1">
        <f t="array" ref="P1595">SUMPRODUCT(("TFHGV-BeVELCExt"=[1]OUT_TransportEnergyCons!$A$3:$A$1000)*1,("Var_Fin"=[1]OUT_TransportEnergyCons!$B$3:$B$1000)*1,ISNUMBER(SEARCH("ELC",[1]OUT_TransportEnergyCons!$C$3:$C$1000))*1,[1]OUT_TransportEnergyCons!N$3:N$1000)</f>
        <v>0</v>
      </c>
      <c r="Q1595" s="1" cm="1">
        <f t="array" ref="Q1595">SUMPRODUCT(("TFHGV-BeVELCExt"=[1]OUT_TransportEnergyCons!$A$3:$A$1000)*1,("Var_Fin"=[1]OUT_TransportEnergyCons!$B$3:$B$1000)*1,ISNUMBER(SEARCH("ELC",[1]OUT_TransportEnergyCons!$C$3:$C$1000))*1,[1]OUT_TransportEnergyCons!O$3:O$1000)</f>
        <v>0</v>
      </c>
      <c r="S1595" s="3"/>
    </row>
    <row r="1596" spans="2:19" x14ac:dyDescent="0.5">
      <c r="B1596" t="str">
        <f t="shared" si="1791"/>
        <v>SPS1</v>
      </c>
      <c r="C1596" t="str">
        <f t="shared" si="1792"/>
        <v>CH</v>
      </c>
      <c r="D1596" t="s">
        <v>1599</v>
      </c>
      <c r="E1596" t="str">
        <f t="shared" si="1799"/>
        <v>PJ/yr.</v>
      </c>
      <c r="F1596" s="1" cm="1">
        <f t="array" ref="F1596">SUMPRODUCT(("TFHGV-BEVELC"=[1]OUT_TransportEnergyCons!$A$3:$A$1000)*1,("Var_Fin"=[1]OUT_TransportEnergyCons!$B$3:$B$1000)*1,ISNUMBER(SEARCH("ELC",[1]OUT_TransportEnergyCons!$C$3:$C$1000))*1,[1]OUT_TransportEnergyCons!D$3:D$1000)</f>
        <v>9.5080357949086786E-3</v>
      </c>
      <c r="G1596" s="1" cm="1">
        <f t="array" ref="G1596">SUMPRODUCT(("TFHGV-BEVELC"=[1]OUT_TransportEnergyCons!$A$3:$A$1000)*1,("Var_Fin"=[1]OUT_TransportEnergyCons!$B$3:$B$1000)*1,ISNUMBER(SEARCH("ELC",[1]OUT_TransportEnergyCons!$C$3:$C$1000))*1,[1]OUT_TransportEnergyCons!E$3:E$1000)</f>
        <v>5.8125589117425318E-2</v>
      </c>
      <c r="H1596" s="1" cm="1">
        <f t="array" ref="H1596">SUMPRODUCT(("TFHGV-BEVELC"=[1]OUT_TransportEnergyCons!$A$3:$A$1000)*1,("Var_Fin"=[1]OUT_TransportEnergyCons!$B$3:$B$1000)*1,ISNUMBER(SEARCH("ELC",[1]OUT_TransportEnergyCons!$C$3:$C$1000))*1,[1]OUT_TransportEnergyCons!F$3:F$1000)</f>
        <v>7.572152826540874</v>
      </c>
      <c r="I1596" s="1" cm="1">
        <f t="array" ref="I1596">SUMPRODUCT(("TFHGV-BEVELC"=[1]OUT_TransportEnergyCons!$A$3:$A$1000)*1,("Var_Fin"=[1]OUT_TransportEnergyCons!$B$3:$B$1000)*1,ISNUMBER(SEARCH("ELC",[1]OUT_TransportEnergyCons!$C$3:$C$1000))*1,[1]OUT_TransportEnergyCons!G$3:G$1000)</f>
        <v>5.503297353068203</v>
      </c>
      <c r="J1596" s="1" cm="1">
        <f t="array" ref="J1596">SUMPRODUCT(("TFHGV-BEVELC"=[1]OUT_TransportEnergyCons!$A$3:$A$1000)*1,("Var_Fin"=[1]OUT_TransportEnergyCons!$B$3:$B$1000)*1,ISNUMBER(SEARCH("ELC",[1]OUT_TransportEnergyCons!$C$3:$C$1000))*1,[1]OUT_TransportEnergyCons!H$3:H$1000)</f>
        <v>1.5958142575653556</v>
      </c>
      <c r="K1596" s="1" cm="1">
        <f t="array" ref="K1596">SUMPRODUCT(("TFHGV-BEVELC"=[1]OUT_TransportEnergyCons!$A$3:$A$1000)*1,("Var_Fin"=[1]OUT_TransportEnergyCons!$B$3:$B$1000)*1,ISNUMBER(SEARCH("ELC",[1]OUT_TransportEnergyCons!$C$3:$C$1000))*1,[1]OUT_TransportEnergyCons!I$3:I$1000)</f>
        <v>2.2649060058088133</v>
      </c>
      <c r="L1596" s="1" cm="1">
        <f t="array" ref="L1596">SUMPRODUCT(("TFHGV-BEVELC"=[1]OUT_TransportEnergyCons!$A$3:$A$1000)*1,("Var_Fin"=[1]OUT_TransportEnergyCons!$B$3:$B$1000)*1,ISNUMBER(SEARCH("ELC",[1]OUT_TransportEnergyCons!$C$3:$C$1000))*1,[1]OUT_TransportEnergyCons!J$3:J$1000)</f>
        <v>7.5318089965767783</v>
      </c>
      <c r="M1596" s="1" cm="1">
        <f t="array" ref="M1596">SUMPRODUCT(("TFHGV-BEVELC"=[1]OUT_TransportEnergyCons!$A$3:$A$1000)*1,("Var_Fin"=[1]OUT_TransportEnergyCons!$B$3:$B$1000)*1,ISNUMBER(SEARCH("ELC",[1]OUT_TransportEnergyCons!$C$3:$C$1000))*1,[1]OUT_TransportEnergyCons!K$3:K$1000)</f>
        <v>8.1713184716595624</v>
      </c>
      <c r="N1596" s="1" cm="1">
        <f t="array" ref="N1596">SUMPRODUCT(("TFHGV-BEVELC"=[1]OUT_TransportEnergyCons!$A$3:$A$1000)*1,("Var_Fin"=[1]OUT_TransportEnergyCons!$B$3:$B$1000)*1,ISNUMBER(SEARCH("ELC",[1]OUT_TransportEnergyCons!$C$3:$C$1000))*1,[1]OUT_TransportEnergyCons!L$3:L$1000)</f>
        <v>8.2869683618215806</v>
      </c>
      <c r="O1596" s="1" cm="1">
        <f t="array" ref="O1596">SUMPRODUCT(("TFHGV-BEVELC"=[1]OUT_TransportEnergyCons!$A$3:$A$1000)*1,("Var_Fin"=[1]OUT_TransportEnergyCons!$B$3:$B$1000)*1,ISNUMBER(SEARCH("ELC",[1]OUT_TransportEnergyCons!$C$3:$C$1000))*1,[1]OUT_TransportEnergyCons!M$3:M$1000)</f>
        <v>8.5758016675832032</v>
      </c>
      <c r="P1596" s="1" cm="1">
        <f t="array" ref="P1596">SUMPRODUCT(("TFHGV-BEVELC"=[1]OUT_TransportEnergyCons!$A$3:$A$1000)*1,("Var_Fin"=[1]OUT_TransportEnergyCons!$B$3:$B$1000)*1,ISNUMBER(SEARCH("ELC",[1]OUT_TransportEnergyCons!$C$3:$C$1000))*1,[1]OUT_TransportEnergyCons!N$3:N$1000)</f>
        <v>8.8811485849383658</v>
      </c>
      <c r="Q1596" s="1" cm="1">
        <f t="array" ref="Q1596">SUMPRODUCT(("TFHGV-BEVELC"=[1]OUT_TransportEnergyCons!$A$3:$A$1000)*1,("Var_Fin"=[1]OUT_TransportEnergyCons!$B$3:$B$1000)*1,ISNUMBER(SEARCH("ELC",[1]OUT_TransportEnergyCons!$C$3:$C$1000))*1,[1]OUT_TransportEnergyCons!O$3:O$1000)</f>
        <v>9.2287650578833471</v>
      </c>
      <c r="S1596" s="3"/>
    </row>
    <row r="1597" spans="2:19" x14ac:dyDescent="0.5">
      <c r="B1597" t="str">
        <f t="shared" si="1791"/>
        <v>SPS1</v>
      </c>
      <c r="C1597" t="str">
        <f t="shared" si="1792"/>
        <v>CH</v>
      </c>
      <c r="D1597" t="s">
        <v>1600</v>
      </c>
      <c r="E1597" t="str">
        <f t="shared" si="1799"/>
        <v>PJ/yr.</v>
      </c>
      <c r="F1597" s="1">
        <f>F1598</f>
        <v>4.2178288108147772E-3</v>
      </c>
      <c r="G1597" s="1">
        <f t="shared" ref="G1597" si="1800">G1598</f>
        <v>1.3799320087423182E-2</v>
      </c>
      <c r="H1597" s="1">
        <f t="shared" ref="H1597" si="1801">H1598</f>
        <v>1.4025285810338965E-2</v>
      </c>
      <c r="I1597" s="1">
        <f t="shared" ref="I1597" si="1802">I1598</f>
        <v>1.8435595404952736E-3</v>
      </c>
      <c r="J1597" s="1">
        <f t="shared" ref="J1597" si="1803">J1598</f>
        <v>1.4721575949530898E-3</v>
      </c>
      <c r="K1597" s="1">
        <f t="shared" ref="K1597:O1597" si="1804">K1598</f>
        <v>1.63750351676112E-3</v>
      </c>
      <c r="L1597" s="1">
        <f t="shared" si="1804"/>
        <v>1.4444098188224122E-3</v>
      </c>
      <c r="M1597" s="1">
        <f t="shared" si="1804"/>
        <v>1.4051694680965645E-3</v>
      </c>
      <c r="N1597" s="1">
        <f t="shared" si="1804"/>
        <v>1.3912495763409548E-3</v>
      </c>
      <c r="O1597" s="1">
        <f t="shared" si="1804"/>
        <v>1.3638240734720251E-3</v>
      </c>
      <c r="P1597" s="1">
        <f>P1598</f>
        <v>1.5049719070160967E-3</v>
      </c>
      <c r="Q1597" s="1">
        <f>Q1598</f>
        <v>1.6771366553552641E-3</v>
      </c>
      <c r="S1597" s="3"/>
    </row>
    <row r="1598" spans="2:19" x14ac:dyDescent="0.5">
      <c r="B1598" t="str">
        <f t="shared" si="1791"/>
        <v>SPS1</v>
      </c>
      <c r="C1598" t="str">
        <f t="shared" si="1792"/>
        <v>CH</v>
      </c>
      <c r="D1598" t="s">
        <v>1601</v>
      </c>
      <c r="E1598" t="str">
        <f t="shared" si="1799"/>
        <v>PJ/yr.</v>
      </c>
      <c r="F1598" s="1" cm="1">
        <f t="array" ref="F1598">SUMPRODUCT(("TFHGV-FCLH2O"=[1]OUT_TransportEnergyCons!$A$3:$A$1000)*1,("Var_Fin"=[1]OUT_TransportEnergyCons!$B$3:$B$1000)*1,ISNUMBER(SEARCH("h2",[1]OUT_TransportEnergyCons!$C$3:$C$1000))*1,[1]OUT_TransportEnergyCons!D$3:D$1000)</f>
        <v>4.2178288108147772E-3</v>
      </c>
      <c r="G1598" s="1" cm="1">
        <f t="array" ref="G1598">SUMPRODUCT(("TFHGV-FCLH2O"=[1]OUT_TransportEnergyCons!$A$3:$A$1000)*1,("Var_Fin"=[1]OUT_TransportEnergyCons!$B$3:$B$1000)*1,ISNUMBER(SEARCH("h2",[1]OUT_TransportEnergyCons!$C$3:$C$1000))*1,[1]OUT_TransportEnergyCons!E$3:E$1000)</f>
        <v>1.3799320087423182E-2</v>
      </c>
      <c r="H1598" s="1" cm="1">
        <f t="array" ref="H1598">SUMPRODUCT(("TFHGV-FCLH2O"=[1]OUT_TransportEnergyCons!$A$3:$A$1000)*1,("Var_Fin"=[1]OUT_TransportEnergyCons!$B$3:$B$1000)*1,ISNUMBER(SEARCH("h2",[1]OUT_TransportEnergyCons!$C$3:$C$1000))*1,[1]OUT_TransportEnergyCons!F$3:F$1000)</f>
        <v>1.4025285810338965E-2</v>
      </c>
      <c r="I1598" s="1" cm="1">
        <f t="array" ref="I1598">SUMPRODUCT(("TFHGV-FCLH2O"=[1]OUT_TransportEnergyCons!$A$3:$A$1000)*1,("Var_Fin"=[1]OUT_TransportEnergyCons!$B$3:$B$1000)*1,ISNUMBER(SEARCH("h2",[1]OUT_TransportEnergyCons!$C$3:$C$1000))*1,[1]OUT_TransportEnergyCons!G$3:G$1000)</f>
        <v>1.8435595404952736E-3</v>
      </c>
      <c r="J1598" s="1" cm="1">
        <f t="array" ref="J1598">SUMPRODUCT(("TFHGV-FCLH2O"=[1]OUT_TransportEnergyCons!$A$3:$A$1000)*1,("Var_Fin"=[1]OUT_TransportEnergyCons!$B$3:$B$1000)*1,ISNUMBER(SEARCH("h2",[1]OUT_TransportEnergyCons!$C$3:$C$1000))*1,[1]OUT_TransportEnergyCons!H$3:H$1000)</f>
        <v>1.4721575949530898E-3</v>
      </c>
      <c r="K1598" s="1" cm="1">
        <f t="array" ref="K1598">SUMPRODUCT(("TFHGV-FCLH2O"=[1]OUT_TransportEnergyCons!$A$3:$A$1000)*1,("Var_Fin"=[1]OUT_TransportEnergyCons!$B$3:$B$1000)*1,ISNUMBER(SEARCH("h2",[1]OUT_TransportEnergyCons!$C$3:$C$1000))*1,[1]OUT_TransportEnergyCons!I$3:I$1000)</f>
        <v>1.63750351676112E-3</v>
      </c>
      <c r="L1598" s="1" cm="1">
        <f t="array" ref="L1598">SUMPRODUCT(("TFHGV-FCLH2O"=[1]OUT_TransportEnergyCons!$A$3:$A$1000)*1,("Var_Fin"=[1]OUT_TransportEnergyCons!$B$3:$B$1000)*1,ISNUMBER(SEARCH("h2",[1]OUT_TransportEnergyCons!$C$3:$C$1000))*1,[1]OUT_TransportEnergyCons!J$3:J$1000)</f>
        <v>1.4444098188224122E-3</v>
      </c>
      <c r="M1598" s="1" cm="1">
        <f t="array" ref="M1598">SUMPRODUCT(("TFHGV-FCLH2O"=[1]OUT_TransportEnergyCons!$A$3:$A$1000)*1,("Var_Fin"=[1]OUT_TransportEnergyCons!$B$3:$B$1000)*1,ISNUMBER(SEARCH("h2",[1]OUT_TransportEnergyCons!$C$3:$C$1000))*1,[1]OUT_TransportEnergyCons!K$3:K$1000)</f>
        <v>1.4051694680965645E-3</v>
      </c>
      <c r="N1598" s="1" cm="1">
        <f t="array" ref="N1598">SUMPRODUCT(("TFHGV-FCLH2O"=[1]OUT_TransportEnergyCons!$A$3:$A$1000)*1,("Var_Fin"=[1]OUT_TransportEnergyCons!$B$3:$B$1000)*1,ISNUMBER(SEARCH("h2",[1]OUT_TransportEnergyCons!$C$3:$C$1000))*1,[1]OUT_TransportEnergyCons!L$3:L$1000)</f>
        <v>1.3912495763409548E-3</v>
      </c>
      <c r="O1598" s="1" cm="1">
        <f t="array" ref="O1598">SUMPRODUCT(("TFHGV-FCLH2O"=[1]OUT_TransportEnergyCons!$A$3:$A$1000)*1,("Var_Fin"=[1]OUT_TransportEnergyCons!$B$3:$B$1000)*1,ISNUMBER(SEARCH("h2",[1]OUT_TransportEnergyCons!$C$3:$C$1000))*1,[1]OUT_TransportEnergyCons!M$3:M$1000)</f>
        <v>1.3638240734720251E-3</v>
      </c>
      <c r="P1598" s="1" cm="1">
        <f t="array" ref="P1598">SUMPRODUCT(("TFHGV-FCLH2O"=[1]OUT_TransportEnergyCons!$A$3:$A$1000)*1,("Var_Fin"=[1]OUT_TransportEnergyCons!$B$3:$B$1000)*1,ISNUMBER(SEARCH("h2",[1]OUT_TransportEnergyCons!$C$3:$C$1000))*1,[1]OUT_TransportEnergyCons!N$3:N$1000)</f>
        <v>1.5049719070160967E-3</v>
      </c>
      <c r="Q1598" s="1" cm="1">
        <f t="array" ref="Q1598">SUMPRODUCT(("TFHGV-FCLH2O"=[1]OUT_TransportEnergyCons!$A$3:$A$1000)*1,("Var_Fin"=[1]OUT_TransportEnergyCons!$B$3:$B$1000)*1,ISNUMBER(SEARCH("h2",[1]OUT_TransportEnergyCons!$C$3:$C$1000))*1,[1]OUT_TransportEnergyCons!O$3:O$1000)</f>
        <v>1.6771366553552641E-3</v>
      </c>
      <c r="S1598" s="3"/>
    </row>
    <row r="1599" spans="2:19" x14ac:dyDescent="0.5">
      <c r="B1599" t="str">
        <f t="shared" si="1791"/>
        <v>SPS1</v>
      </c>
      <c r="C1599" t="str">
        <f t="shared" si="1792"/>
        <v>CH</v>
      </c>
      <c r="D1599" t="s">
        <v>1602</v>
      </c>
      <c r="E1599" t="str">
        <f t="shared" si="1799"/>
        <v>PJ/yr.</v>
      </c>
      <c r="F1599" s="1">
        <f>SUM(F1604:F1605)</f>
        <v>0</v>
      </c>
      <c r="G1599" s="1">
        <f t="shared" ref="G1599:K1599" si="1805">SUM(G1604:G1605)</f>
        <v>0</v>
      </c>
      <c r="H1599" s="1">
        <f t="shared" si="1805"/>
        <v>0</v>
      </c>
      <c r="I1599" s="1">
        <f t="shared" si="1805"/>
        <v>0</v>
      </c>
      <c r="J1599" s="1">
        <f t="shared" si="1805"/>
        <v>0</v>
      </c>
      <c r="K1599" s="1">
        <f t="shared" si="1805"/>
        <v>0</v>
      </c>
      <c r="L1599" s="1">
        <f t="shared" ref="L1599:O1599" si="1806">SUM(L1604:L1605)</f>
        <v>0</v>
      </c>
      <c r="M1599" s="1">
        <f t="shared" si="1806"/>
        <v>0</v>
      </c>
      <c r="N1599" s="1">
        <f t="shared" si="1806"/>
        <v>0</v>
      </c>
      <c r="O1599" s="1">
        <f t="shared" si="1806"/>
        <v>0</v>
      </c>
      <c r="P1599" s="1">
        <f>SUM(P1604:P1605)</f>
        <v>0</v>
      </c>
      <c r="Q1599" s="1">
        <f>SUM(Q1604:Q1605)</f>
        <v>0</v>
      </c>
      <c r="S1599" s="3"/>
    </row>
    <row r="1600" spans="2:19" x14ac:dyDescent="0.5">
      <c r="B1600" t="str">
        <f t="shared" si="1791"/>
        <v>SPS1</v>
      </c>
      <c r="C1600" t="str">
        <f t="shared" si="1792"/>
        <v>CH</v>
      </c>
      <c r="D1600" t="s">
        <v>1603</v>
      </c>
      <c r="E1600" t="str">
        <f t="shared" si="1799"/>
        <v>PJ/yr.</v>
      </c>
      <c r="F1600" s="1">
        <f>F1599-F1601</f>
        <v>0</v>
      </c>
      <c r="G1600" s="1">
        <f t="shared" ref="G1600:K1600" si="1807">G1599-G1601</f>
        <v>0</v>
      </c>
      <c r="H1600" s="1">
        <f t="shared" si="1807"/>
        <v>0</v>
      </c>
      <c r="I1600" s="1">
        <f t="shared" si="1807"/>
        <v>0</v>
      </c>
      <c r="J1600" s="1">
        <f t="shared" si="1807"/>
        <v>0</v>
      </c>
      <c r="K1600" s="1">
        <f t="shared" si="1807"/>
        <v>0</v>
      </c>
      <c r="L1600" s="1">
        <f t="shared" ref="L1600:O1600" si="1808">L1599-L1601</f>
        <v>0</v>
      </c>
      <c r="M1600" s="1">
        <f t="shared" si="1808"/>
        <v>0</v>
      </c>
      <c r="N1600" s="1">
        <f t="shared" si="1808"/>
        <v>0</v>
      </c>
      <c r="O1600" s="1">
        <f t="shared" si="1808"/>
        <v>0</v>
      </c>
      <c r="P1600" s="1">
        <f>P1599-P1601</f>
        <v>0</v>
      </c>
      <c r="Q1600" s="1">
        <f>Q1599-Q1601</f>
        <v>0</v>
      </c>
      <c r="S1600" s="3"/>
    </row>
    <row r="1601" spans="2:19" x14ac:dyDescent="0.5">
      <c r="B1601" t="str">
        <f t="shared" si="1791"/>
        <v>SPS1</v>
      </c>
      <c r="C1601" t="str">
        <f t="shared" si="1792"/>
        <v>CH</v>
      </c>
      <c r="D1601" t="s">
        <v>1604</v>
      </c>
      <c r="E1601" t="str">
        <f t="shared" si="1799"/>
        <v>PJ/yr.</v>
      </c>
      <c r="F1601" s="1">
        <f>SUM(F1602:F1603)</f>
        <v>0</v>
      </c>
      <c r="G1601" s="1">
        <f t="shared" ref="G1601:K1601" si="1809">SUM(G1602:G1603)</f>
        <v>0</v>
      </c>
      <c r="H1601" s="1">
        <f t="shared" si="1809"/>
        <v>0</v>
      </c>
      <c r="I1601" s="1">
        <f t="shared" si="1809"/>
        <v>0</v>
      </c>
      <c r="J1601" s="1">
        <f t="shared" si="1809"/>
        <v>0</v>
      </c>
      <c r="K1601" s="1">
        <f t="shared" si="1809"/>
        <v>0</v>
      </c>
      <c r="L1601" s="1">
        <f t="shared" ref="L1601:O1601" si="1810">SUM(L1602:L1603)</f>
        <v>0</v>
      </c>
      <c r="M1601" s="1">
        <f t="shared" si="1810"/>
        <v>0</v>
      </c>
      <c r="N1601" s="1">
        <f t="shared" si="1810"/>
        <v>0</v>
      </c>
      <c r="O1601" s="1">
        <f t="shared" si="1810"/>
        <v>0</v>
      </c>
      <c r="P1601" s="1">
        <f>SUM(P1602:P1603)</f>
        <v>0</v>
      </c>
      <c r="Q1601" s="1">
        <f>SUM(Q1602:Q1603)</f>
        <v>0</v>
      </c>
      <c r="S1601" s="3"/>
    </row>
    <row r="1602" spans="2:19" x14ac:dyDescent="0.5">
      <c r="B1602" t="str">
        <f t="shared" si="1791"/>
        <v>SPS1</v>
      </c>
      <c r="C1602" t="str">
        <f t="shared" si="1792"/>
        <v>CH</v>
      </c>
      <c r="D1602" t="s">
        <v>1605</v>
      </c>
      <c r="E1602" t="str">
        <f t="shared" si="1799"/>
        <v>PJ/yr.</v>
      </c>
      <c r="F1602" s="1">
        <f>[1]Transport!B$25/SUM([1]Transport!B$21,[1]Transport!B$25)*F1599*(F$35+F$600)/(F$35+F$600+F$39)</f>
        <v>0</v>
      </c>
      <c r="G1602" s="1">
        <f>[1]Transport!C$25/SUM([1]Transport!C$21,[1]Transport!C$25)*G1599*(G$35+G$600)/(G$35+G$600+G$39)</f>
        <v>0</v>
      </c>
      <c r="H1602" s="1">
        <f>[1]Transport!D$25/SUM([1]Transport!D$21,[1]Transport!D$25)*H1599*(H$35+H$600)/(H$35+H$600+H$39)</f>
        <v>0</v>
      </c>
      <c r="I1602" s="1">
        <f>[1]Transport!E$25/SUM([1]Transport!E$21,[1]Transport!E$25)*I1599*(I$35+I$600)/(I$35+I$600+I$39)</f>
        <v>0</v>
      </c>
      <c r="J1602" s="1">
        <f>[1]Transport!F$25/SUM([1]Transport!F$21,[1]Transport!F$25)*J1599*(J$35+J$600)/(J$35+J$600+J$39)</f>
        <v>0</v>
      </c>
      <c r="K1602" s="1">
        <f>[1]Transport!G$25/SUM([1]Transport!G$21,[1]Transport!G$25)*K1599*(K$35+K$600)/(K$35+K$600+K$39)</f>
        <v>0</v>
      </c>
      <c r="L1602" s="1">
        <f>[1]Transport!H$25/SUM([1]Transport!H$21,[1]Transport!H$25)*L1599*(L$35+L$600)/(L$35+L$600+L$39)</f>
        <v>0</v>
      </c>
      <c r="M1602" s="1">
        <f>[1]Transport!I$25/SUM([1]Transport!I$21,[1]Transport!I$25)*M1599*(M$35+M$600)/(M$35+M$600+M$39)</f>
        <v>0</v>
      </c>
      <c r="N1602" s="1">
        <f>[1]Transport!J$25/SUM([1]Transport!J$21,[1]Transport!J$25)*N1599*(N$35+N$600)/(N$35+N$600+N$39)</f>
        <v>0</v>
      </c>
      <c r="O1602" s="1">
        <f>[1]Transport!K$25/SUM([1]Transport!K$21,[1]Transport!K$25)*O1599*(O$35+O$600)/(O$35+O$600+O$39)</f>
        <v>0</v>
      </c>
      <c r="P1602" s="1">
        <f>[1]Transport!L$25/SUM([1]Transport!L$21,[1]Transport!L$25)*P1599*(P$35+P$600)/(P$35+P$600+P$39)</f>
        <v>0</v>
      </c>
      <c r="Q1602" s="1">
        <f>[1]Transport!M$25/SUM([1]Transport!M$21,[1]Transport!M$25)*Q1599*(Q$35+Q$600)/(Q$35+Q$600+Q$39)</f>
        <v>0</v>
      </c>
      <c r="S1602" s="3"/>
    </row>
    <row r="1603" spans="2:19" x14ac:dyDescent="0.5">
      <c r="B1603" t="str">
        <f t="shared" si="1791"/>
        <v>SPS1</v>
      </c>
      <c r="C1603" t="str">
        <f t="shared" si="1792"/>
        <v>CH</v>
      </c>
      <c r="D1603" t="s">
        <v>1606</v>
      </c>
      <c r="E1603" t="str">
        <f t="shared" si="1799"/>
        <v>PJ/yr.</v>
      </c>
      <c r="F1603" s="1">
        <f>(F$39+F$719)/([1]Transport!B$21+[1]Transport!B$25)*F1599</f>
        <v>0</v>
      </c>
      <c r="G1603" s="1">
        <f>(G$39+G$719)/([1]Transport!C$21+[1]Transport!C$25)*G1599</f>
        <v>0</v>
      </c>
      <c r="H1603" s="1">
        <f>(H$39+H$719)/([1]Transport!D$21+[1]Transport!D$25)*H1599</f>
        <v>0</v>
      </c>
      <c r="I1603" s="1">
        <f>(I$39+I$719)/([1]Transport!E$21+[1]Transport!E$25)*I1599</f>
        <v>0</v>
      </c>
      <c r="J1603" s="1">
        <f>(J$39+J$719)/([1]Transport!F$21+[1]Transport!F$25)*J1599</f>
        <v>0</v>
      </c>
      <c r="K1603" s="1">
        <f>(K$39+K$719)/([1]Transport!G$21+[1]Transport!G$25)*K1599</f>
        <v>0</v>
      </c>
      <c r="L1603" s="1">
        <f>(L$39+L$719)/([1]Transport!H$21+[1]Transport!H$25)*L1599</f>
        <v>0</v>
      </c>
      <c r="M1603" s="1">
        <f>(M$39+M$719)/([1]Transport!I$21+[1]Transport!I$25)*M1599</f>
        <v>0</v>
      </c>
      <c r="N1603" s="1">
        <f>(N$39+N$719)/([1]Transport!J$21+[1]Transport!J$25)*N1599</f>
        <v>0</v>
      </c>
      <c r="O1603" s="1">
        <f>(O$39+O$719)/([1]Transport!K$21+[1]Transport!K$25)*O1599</f>
        <v>0</v>
      </c>
      <c r="P1603" s="1">
        <f>(P$39+P$719)/([1]Transport!L$21+[1]Transport!L$25)*P1599</f>
        <v>0</v>
      </c>
      <c r="Q1603" s="1">
        <f>(Q$39+Q$719)/([1]Transport!M$21+[1]Transport!M$25)*Q1599</f>
        <v>0</v>
      </c>
      <c r="S1603" s="3"/>
    </row>
    <row r="1604" spans="2:19" x14ac:dyDescent="0.5">
      <c r="B1604" t="str">
        <f t="shared" si="1791"/>
        <v>SPS1</v>
      </c>
      <c r="C1604" t="str">
        <f t="shared" si="1792"/>
        <v>CH</v>
      </c>
      <c r="D1604" t="s">
        <v>1607</v>
      </c>
      <c r="E1604" t="str">
        <f t="shared" si="1799"/>
        <v>PJ/yr.</v>
      </c>
      <c r="F1604" s="1" cm="1">
        <f t="array" ref="F1604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4" s="1" cm="1">
        <f t="array" ref="G1604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4" s="1" cm="1">
        <f t="array" ref="H1604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4" s="1" cm="1">
        <f t="array" ref="I1604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4" s="1" cm="1">
        <f t="array" ref="J1604">SUMPRODUCT(("TFHGV-ICEGSLExt"=[1]OUT_TransportEnergyCons!$A$3:$A$1000)*1,("Var_Fin"=[1]OUT_TransportEnergyCons!$B$3:$B$1000)*1,ISNUMBER(SEARCH("gsl",[1]OUT_TransportEnergyCons!$C$3:$C$1000))*1,[1]OUT_TransportEnergyCons!H$3:H$1000)</f>
        <v>0</v>
      </c>
      <c r="K1604" s="1" cm="1">
        <f t="array" ref="K1604">SUMPRODUCT(("TFHGV-ICEGSLExt"=[1]OUT_TransportEnergyCons!$A$3:$A$1000)*1,("Var_Fin"=[1]OUT_TransportEnergyCons!$B$3:$B$1000)*1,ISNUMBER(SEARCH("gsl",[1]OUT_TransportEnergyCons!$C$3:$C$1000))*1,[1]OUT_TransportEnergyCons!I$3:I$1000)</f>
        <v>0</v>
      </c>
      <c r="L1604" s="1" cm="1">
        <f t="array" ref="L1604">SUMPRODUCT(("TFHGV-ICEGSLExt"=[1]OUT_TransportEnergyCons!$A$3:$A$1000)*1,("Var_Fin"=[1]OUT_TransportEnergyCons!$B$3:$B$1000)*1,ISNUMBER(SEARCH("gsl",[1]OUT_TransportEnergyCons!$C$3:$C$1000))*1,[1]OUT_TransportEnergyCons!J$3:J$1000)</f>
        <v>0</v>
      </c>
      <c r="M1604" s="1" cm="1">
        <f t="array" ref="M1604">SUMPRODUCT(("TFHGV-ICEGSLExt"=[1]OUT_TransportEnergyCons!$A$3:$A$1000)*1,("Var_Fin"=[1]OUT_TransportEnergyCons!$B$3:$B$1000)*1,ISNUMBER(SEARCH("gsl",[1]OUT_TransportEnergyCons!$C$3:$C$1000))*1,[1]OUT_TransportEnergyCons!K$3:K$1000)</f>
        <v>0</v>
      </c>
      <c r="N1604" s="1" cm="1">
        <f t="array" ref="N1604">SUMPRODUCT(("TFHGV-ICEGSLExt"=[1]OUT_TransportEnergyCons!$A$3:$A$1000)*1,("Var_Fin"=[1]OUT_TransportEnergyCons!$B$3:$B$1000)*1,ISNUMBER(SEARCH("gsl",[1]OUT_TransportEnergyCons!$C$3:$C$1000))*1,[1]OUT_TransportEnergyCons!L$3:L$1000)</f>
        <v>0</v>
      </c>
      <c r="O1604" s="1" cm="1">
        <f t="array" ref="O1604">SUMPRODUCT(("TFHGV-ICEGSLExt"=[1]OUT_TransportEnergyCons!$A$3:$A$1000)*1,("Var_Fin"=[1]OUT_TransportEnergyCons!$B$3:$B$1000)*1,ISNUMBER(SEARCH("gsl",[1]OUT_TransportEnergyCons!$C$3:$C$1000))*1,[1]OUT_TransportEnergyCons!M$3:M$1000)</f>
        <v>0</v>
      </c>
      <c r="P1604" s="1" cm="1">
        <f t="array" ref="P1604">SUMPRODUCT(("TFHGV-ICEGSLExt"=[1]OUT_TransportEnergyCons!$A$3:$A$1000)*1,("Var_Fin"=[1]OUT_TransportEnergyCons!$B$3:$B$1000)*1,ISNUMBER(SEARCH("gsl",[1]OUT_TransportEnergyCons!$C$3:$C$1000))*1,[1]OUT_TransportEnergyCons!N$3:N$1000)</f>
        <v>0</v>
      </c>
      <c r="Q1604" s="1" cm="1">
        <f t="array" ref="Q1604">SUMPRODUCT(("TFHGV-ICEGSLExt"=[1]OUT_TransportEnergyCons!$A$3:$A$1000)*1,("Var_Fin"=[1]OUT_TransportEnergyCons!$B$3:$B$1000)*1,ISNUMBER(SEARCH("gsl",[1]OUT_TransportEnergyCons!$C$3:$C$1000))*1,[1]OUT_TransportEnergyCons!O$3:O$1000)</f>
        <v>0</v>
      </c>
      <c r="S1604" s="3"/>
    </row>
    <row r="1605" spans="2:19" x14ac:dyDescent="0.5">
      <c r="B1605" t="str">
        <f t="shared" si="1791"/>
        <v>SPS1</v>
      </c>
      <c r="C1605" t="str">
        <f t="shared" si="1792"/>
        <v>CH</v>
      </c>
      <c r="D1605" t="s">
        <v>1608</v>
      </c>
      <c r="E1605" t="str">
        <f t="shared" si="1799"/>
        <v>PJ/yr.</v>
      </c>
      <c r="F1605" s="1" cm="1">
        <f t="array" ref="F1605">SUMPRODUCT(("TFHGV-ICEGSL"=[1]OUT_TransportEnergyCons!$A$3:$A$1000)*1,("Var_Fin"=[1]OUT_TransportEnergyCons!$B$3:$B$1000)*1,ISNUMBER(SEARCH("gsl",[1]OUT_TransportEnergyCons!$C$3:$C$1000))*1,[1]OUT_TransportEnergyCons!D$3:D$1000)</f>
        <v>0</v>
      </c>
      <c r="G1605" s="1" cm="1">
        <f t="array" ref="G1605">SUMPRODUCT(("TFHGV-ICEGSL"=[1]OUT_TransportEnergyCons!$A$3:$A$1000)*1,("Var_Fin"=[1]OUT_TransportEnergyCons!$B$3:$B$1000)*1,ISNUMBER(SEARCH("gsl",[1]OUT_TransportEnergyCons!$C$3:$C$1000))*1,[1]OUT_TransportEnergyCons!E$3:E$1000)</f>
        <v>0</v>
      </c>
      <c r="H1605" s="1" cm="1">
        <f t="array" ref="H1605">SUMPRODUCT(("TFHGV-ICEGSL"=[1]OUT_TransportEnergyCons!$A$3:$A$1000)*1,("Var_Fin"=[1]OUT_TransportEnergyCons!$B$3:$B$1000)*1,ISNUMBER(SEARCH("gsl",[1]OUT_TransportEnergyCons!$C$3:$C$1000))*1,[1]OUT_TransportEnergyCons!F$3:F$1000)</f>
        <v>0</v>
      </c>
      <c r="I1605" s="1" cm="1">
        <f t="array" ref="I1605">SUMPRODUCT(("TFHGV-ICEGSL"=[1]OUT_TransportEnergyCons!$A$3:$A$1000)*1,("Var_Fin"=[1]OUT_TransportEnergyCons!$B$3:$B$1000)*1,ISNUMBER(SEARCH("gsl",[1]OUT_TransportEnergyCons!$C$3:$C$1000))*1,[1]OUT_TransportEnergyCons!G$3:G$1000)</f>
        <v>0</v>
      </c>
      <c r="J1605" s="1" cm="1">
        <f t="array" ref="J1605">SUMPRODUCT(("TFHGV-ICEGSL"=[1]OUT_TransportEnergyCons!$A$3:$A$1000)*1,("Var_Fin"=[1]OUT_TransportEnergyCons!$B$3:$B$1000)*1,ISNUMBER(SEARCH("gsl",[1]OUT_TransportEnergyCons!$C$3:$C$1000))*1,[1]OUT_TransportEnergyCons!H$3:H$1000)</f>
        <v>0</v>
      </c>
      <c r="K1605" s="1" cm="1">
        <f t="array" ref="K1605">SUMPRODUCT(("TFHGV-ICEGSL"=[1]OUT_TransportEnergyCons!$A$3:$A$1000)*1,("Var_Fin"=[1]OUT_TransportEnergyCons!$B$3:$B$1000)*1,ISNUMBER(SEARCH("gsl",[1]OUT_TransportEnergyCons!$C$3:$C$1000))*1,[1]OUT_TransportEnergyCons!I$3:I$1000)</f>
        <v>0</v>
      </c>
      <c r="L1605" s="1" cm="1">
        <f t="array" ref="L1605">SUMPRODUCT(("TFHGV-ICEGSL"=[1]OUT_TransportEnergyCons!$A$3:$A$1000)*1,("Var_Fin"=[1]OUT_TransportEnergyCons!$B$3:$B$1000)*1,ISNUMBER(SEARCH("gsl",[1]OUT_TransportEnergyCons!$C$3:$C$1000))*1,[1]OUT_TransportEnergyCons!J$3:J$1000)</f>
        <v>0</v>
      </c>
      <c r="M1605" s="1" cm="1">
        <f t="array" ref="M1605">SUMPRODUCT(("TFHGV-ICEGSL"=[1]OUT_TransportEnergyCons!$A$3:$A$1000)*1,("Var_Fin"=[1]OUT_TransportEnergyCons!$B$3:$B$1000)*1,ISNUMBER(SEARCH("gsl",[1]OUT_TransportEnergyCons!$C$3:$C$1000))*1,[1]OUT_TransportEnergyCons!K$3:K$1000)</f>
        <v>0</v>
      </c>
      <c r="N1605" s="1" cm="1">
        <f t="array" ref="N1605">SUMPRODUCT(("TFHGV-ICEGSL"=[1]OUT_TransportEnergyCons!$A$3:$A$1000)*1,("Var_Fin"=[1]OUT_TransportEnergyCons!$B$3:$B$1000)*1,ISNUMBER(SEARCH("gsl",[1]OUT_TransportEnergyCons!$C$3:$C$1000))*1,[1]OUT_TransportEnergyCons!L$3:L$1000)</f>
        <v>0</v>
      </c>
      <c r="O1605" s="1" cm="1">
        <f t="array" ref="O1605">SUMPRODUCT(("TFHGV-ICEGSL"=[1]OUT_TransportEnergyCons!$A$3:$A$1000)*1,("Var_Fin"=[1]OUT_TransportEnergyCons!$B$3:$B$1000)*1,ISNUMBER(SEARCH("gsl",[1]OUT_TransportEnergyCons!$C$3:$C$1000))*1,[1]OUT_TransportEnergyCons!M$3:M$1000)</f>
        <v>0</v>
      </c>
      <c r="P1605" s="1" cm="1">
        <f t="array" ref="P1605">SUMPRODUCT(("TFHGV-ICEGSL"=[1]OUT_TransportEnergyCons!$A$3:$A$1000)*1,("Var_Fin"=[1]OUT_TransportEnergyCons!$B$3:$B$1000)*1,ISNUMBER(SEARCH("gsl",[1]OUT_TransportEnergyCons!$C$3:$C$1000))*1,[1]OUT_TransportEnergyCons!N$3:N$1000)</f>
        <v>0</v>
      </c>
      <c r="Q1605" s="1" cm="1">
        <f t="array" ref="Q1605">SUMPRODUCT(("TFHGV-ICEGSL"=[1]OUT_TransportEnergyCons!$A$3:$A$1000)*1,("Var_Fin"=[1]OUT_TransportEnergyCons!$B$3:$B$1000)*1,ISNUMBER(SEARCH("gsl",[1]OUT_TransportEnergyCons!$C$3:$C$1000))*1,[1]OUT_TransportEnergyCons!O$3:O$1000)</f>
        <v>0</v>
      </c>
      <c r="S1605" s="3"/>
    </row>
    <row r="1606" spans="2:19" x14ac:dyDescent="0.5">
      <c r="B1606" t="str">
        <f t="shared" si="1791"/>
        <v>SPS1</v>
      </c>
      <c r="C1606" t="str">
        <f t="shared" si="1792"/>
        <v>CH</v>
      </c>
      <c r="D1606" t="s">
        <v>1609</v>
      </c>
      <c r="E1606" t="str">
        <f t="shared" si="1799"/>
        <v>PJ/yr.</v>
      </c>
      <c r="F1606" s="1">
        <f>SUM(F1611:F1613)</f>
        <v>24.406585793017989</v>
      </c>
      <c r="G1606" s="1">
        <f t="shared" ref="G1606:K1606" si="1811">SUM(G1611:G1613)</f>
        <v>22.947155381780597</v>
      </c>
      <c r="H1606" s="1">
        <f t="shared" si="1811"/>
        <v>1.4555706531467885</v>
      </c>
      <c r="I1606" s="1">
        <f t="shared" si="1811"/>
        <v>5.3730398684240894</v>
      </c>
      <c r="J1606" s="1">
        <f t="shared" si="1811"/>
        <v>11.782429208743459</v>
      </c>
      <c r="K1606" s="1">
        <f t="shared" si="1811"/>
        <v>11.079878655319455</v>
      </c>
      <c r="L1606" s="1">
        <f t="shared" ref="L1606:O1606" si="1812">SUM(L1611:L1613)</f>
        <v>0.93127431649761694</v>
      </c>
      <c r="M1606" s="1">
        <f t="shared" si="1812"/>
        <v>2.8386373589231453E-3</v>
      </c>
      <c r="N1606" s="1">
        <f t="shared" si="1812"/>
        <v>0</v>
      </c>
      <c r="O1606" s="1">
        <f t="shared" si="1812"/>
        <v>0</v>
      </c>
      <c r="P1606" s="1">
        <f>SUM(P1611:P1613)</f>
        <v>0</v>
      </c>
      <c r="Q1606" s="1">
        <f>SUM(Q1611:Q1613)</f>
        <v>0</v>
      </c>
      <c r="S1606" s="3"/>
    </row>
    <row r="1607" spans="2:19" x14ac:dyDescent="0.5">
      <c r="B1607" t="str">
        <f t="shared" si="1791"/>
        <v>SPS1</v>
      </c>
      <c r="C1607" t="str">
        <f t="shared" si="1792"/>
        <v>CH</v>
      </c>
      <c r="D1607" t="s">
        <v>1610</v>
      </c>
      <c r="E1607" t="str">
        <f t="shared" si="1799"/>
        <v>PJ/yr.</v>
      </c>
      <c r="F1607" s="1">
        <f>IF(F1606-F1608&lt;0,0,F1606-F1608)</f>
        <v>23.804054964740359</v>
      </c>
      <c r="G1607" s="1">
        <f t="shared" ref="G1607:K1607" si="1813">IF(G1606-G1608&lt;0,0,G1606-G1608)</f>
        <v>22.349109482247854</v>
      </c>
      <c r="H1607" s="1">
        <f t="shared" si="1813"/>
        <v>1.3902412580857528</v>
      </c>
      <c r="I1607" s="1">
        <f t="shared" si="1813"/>
        <v>5.0800773088585993</v>
      </c>
      <c r="J1607" s="1">
        <f t="shared" si="1813"/>
        <v>10.813746534499767</v>
      </c>
      <c r="K1607" s="1">
        <f t="shared" si="1813"/>
        <v>9.1405139833059881</v>
      </c>
      <c r="L1607" s="1">
        <f t="shared" ref="L1607:O1607" si="1814">IF(L1606-L1608&lt;0,0,L1606-L1608)</f>
        <v>0.53199241647225404</v>
      </c>
      <c r="M1607" s="1">
        <f t="shared" si="1814"/>
        <v>0</v>
      </c>
      <c r="N1607" s="1">
        <f t="shared" si="1814"/>
        <v>0</v>
      </c>
      <c r="O1607" s="1">
        <f t="shared" si="1814"/>
        <v>0</v>
      </c>
      <c r="P1607" s="1">
        <f>IF(P1606-P1608&lt;0,0,P1606-P1608)</f>
        <v>0</v>
      </c>
      <c r="Q1607" s="1">
        <f>IF(Q1606-Q1608&lt;0,0,Q1606-Q1608)</f>
        <v>0</v>
      </c>
      <c r="S1607" s="3"/>
    </row>
    <row r="1608" spans="2:19" x14ac:dyDescent="0.5">
      <c r="B1608" t="str">
        <f t="shared" si="1791"/>
        <v>SPS1</v>
      </c>
      <c r="C1608" t="str">
        <f t="shared" si="1792"/>
        <v>CH</v>
      </c>
      <c r="D1608" t="s">
        <v>1611</v>
      </c>
      <c r="E1608" t="str">
        <f t="shared" si="1799"/>
        <v>PJ/yr.</v>
      </c>
      <c r="F1608" s="1">
        <f>SUM(F1609:F1610)</f>
        <v>0.60253082827763105</v>
      </c>
      <c r="G1608" s="1">
        <f t="shared" ref="G1608:K1608" si="1815">SUM(G1609:G1610)</f>
        <v>0.59804589953274334</v>
      </c>
      <c r="H1608" s="1">
        <f t="shared" si="1815"/>
        <v>6.5329395061035633E-2</v>
      </c>
      <c r="I1608" s="1">
        <f t="shared" si="1815"/>
        <v>0.29296255956549039</v>
      </c>
      <c r="J1608" s="1">
        <f t="shared" si="1815"/>
        <v>0.9686826742436907</v>
      </c>
      <c r="K1608" s="1">
        <f t="shared" si="1815"/>
        <v>1.9393646720134672</v>
      </c>
      <c r="L1608" s="1">
        <f t="shared" ref="L1608:O1608" si="1816">SUM(L1609:L1610)</f>
        <v>0.3992819000253629</v>
      </c>
      <c r="M1608" s="1">
        <f t="shared" si="1816"/>
        <v>2.8404204153385766E-3</v>
      </c>
      <c r="N1608" s="1">
        <f t="shared" si="1816"/>
        <v>0</v>
      </c>
      <c r="O1608" s="1">
        <f t="shared" si="1816"/>
        <v>0</v>
      </c>
      <c r="P1608" s="1">
        <f>SUM(P1609:P1610)</f>
        <v>0</v>
      </c>
      <c r="Q1608" s="1">
        <f>SUM(Q1609:Q1610)</f>
        <v>0</v>
      </c>
      <c r="S1608" s="3"/>
    </row>
    <row r="1609" spans="2:19" x14ac:dyDescent="0.5">
      <c r="B1609" t="str">
        <f t="shared" si="1791"/>
        <v>SPS1</v>
      </c>
      <c r="C1609" t="str">
        <f t="shared" si="1792"/>
        <v>CH</v>
      </c>
      <c r="D1609" t="s">
        <v>1612</v>
      </c>
      <c r="E1609" t="str">
        <f t="shared" si="1799"/>
        <v>PJ/yr.</v>
      </c>
      <c r="F1609" s="1">
        <f>[1]Transport!B$26/SUM([1]Transport!B$22,[1]Transport!B$26)*F1606*(F$34+F$582)/(F$34+F$582+F$38)</f>
        <v>0.60253082827763105</v>
      </c>
      <c r="G1609" s="1">
        <f>[1]Transport!C$26/SUM([1]Transport!C$22,[1]Transport!C$26)*G1606*(G$34+G$582)/(G$34+G$582+G$38)</f>
        <v>0.59804589953274334</v>
      </c>
      <c r="H1609" s="1">
        <f>[1]Transport!D$26/SUM([1]Transport!D$22,[1]Transport!D$26)*H1606*(H$34+H$582)/(H$34+H$582+H$38)</f>
        <v>6.5329395061035633E-2</v>
      </c>
      <c r="I1609" s="1">
        <f>[1]Transport!E$26/SUM([1]Transport!E$22,[1]Transport!E$26)*I1606*(I$34+I$582)/(I$34+I$582+I$38)</f>
        <v>0.29296255956549039</v>
      </c>
      <c r="J1609" s="1">
        <f>[1]Transport!F$26/SUM([1]Transport!F$22,[1]Transport!F$26)*J1606*(J$34+J$582)/(J$34+J$582+J$38)</f>
        <v>0.96563573543417514</v>
      </c>
      <c r="K1609" s="1">
        <f>[1]Transport!G$26/SUM([1]Transport!G$22,[1]Transport!G$26)*K1606*(K$34+K$582)/(K$34+K$582+K$38)</f>
        <v>1.4035997416647914</v>
      </c>
      <c r="L1609" s="1">
        <f>[1]Transport!H$26/SUM([1]Transport!H$22,[1]Transport!H$26)*L1606*(L$34+L$582)/(L$34+L$582+L$38)</f>
        <v>0.30416955139831953</v>
      </c>
      <c r="M1609" s="1">
        <f>[1]Transport!I$26/SUM([1]Transport!I$22,[1]Transport!I$26)*M1606*(M$34+M$582)/(M$34+M$582+M$38)</f>
        <v>2.7190919103902661E-3</v>
      </c>
      <c r="N1609" s="1">
        <f>[1]Transport!J$26/SUM([1]Transport!J$22,[1]Transport!J$26)*N1606*(N$34+N$582)/(N$34+N$582+N$38)</f>
        <v>0</v>
      </c>
      <c r="O1609" s="1">
        <f>[1]Transport!K$26/SUM([1]Transport!K$22,[1]Transport!K$26)*O1606*(O$34+O$582)/(O$34+O$582+O$38)</f>
        <v>0</v>
      </c>
      <c r="P1609" s="1">
        <f>[1]Transport!L$26/SUM([1]Transport!L$22,[1]Transport!L$26)*P1606*(P$34+P$582)/(P$34+P$582+P$38)</f>
        <v>0</v>
      </c>
      <c r="Q1609" s="1">
        <f>[1]Transport!M$26/SUM([1]Transport!M$22,[1]Transport!M$26)*Q1606*(Q$34+Q$582)/(Q$34+Q$582+Q$38)</f>
        <v>0</v>
      </c>
      <c r="S1609" s="3"/>
    </row>
    <row r="1610" spans="2:19" x14ac:dyDescent="0.5">
      <c r="B1610" t="str">
        <f t="shared" si="1791"/>
        <v>SPS1</v>
      </c>
      <c r="C1610" t="str">
        <f t="shared" si="1792"/>
        <v>CH</v>
      </c>
      <c r="D1610" t="s">
        <v>1613</v>
      </c>
      <c r="E1610" t="str">
        <f t="shared" si="1799"/>
        <v>PJ/yr.</v>
      </c>
      <c r="F1610" s="1">
        <f>(F$38+F$718)/([1]Transport!B$22+[1]Transport!B$26)*F1606</f>
        <v>0</v>
      </c>
      <c r="G1610" s="1">
        <f>(G$38+G$718)/([1]Transport!C$22+[1]Transport!C$26)*G1606</f>
        <v>0</v>
      </c>
      <c r="H1610" s="1">
        <f>(H$38+H$718)/([1]Transport!D$22+[1]Transport!D$26)*H1606</f>
        <v>0</v>
      </c>
      <c r="I1610" s="1">
        <f>(I$38+I$718)/([1]Transport!E$22+[1]Transport!E$26)*I1606</f>
        <v>0</v>
      </c>
      <c r="J1610" s="1">
        <f>(J$38+J$718)/([1]Transport!F$22+[1]Transport!F$26)*J1606</f>
        <v>3.0469388095155721E-3</v>
      </c>
      <c r="K1610" s="1">
        <f>(K$38+K$718)/([1]Transport!G$22+[1]Transport!G$26)*K1606</f>
        <v>0.53576493034867578</v>
      </c>
      <c r="L1610" s="1">
        <f>(L$38+L$718)/([1]Transport!H$22+[1]Transport!H$26)*L1606</f>
        <v>9.5112348627043361E-2</v>
      </c>
      <c r="M1610" s="1">
        <f>(M$38+M$718)/([1]Transport!I$22+[1]Transport!I$26)*M1606</f>
        <v>1.2132850494831066E-4</v>
      </c>
      <c r="N1610" s="1">
        <f>(N$38+N$718)/([1]Transport!J$22+[1]Transport!J$26)*N1606</f>
        <v>0</v>
      </c>
      <c r="O1610" s="1">
        <f>(O$38+O$718)/([1]Transport!K$22+[1]Transport!K$26)*O1606</f>
        <v>0</v>
      </c>
      <c r="P1610" s="1">
        <f>(P$38+P$718)/([1]Transport!L$22+[1]Transport!L$26)*P1606</f>
        <v>0</v>
      </c>
      <c r="Q1610" s="1">
        <f>(Q$38+Q$718)/([1]Transport!M$22+[1]Transport!M$26)*Q1606</f>
        <v>0</v>
      </c>
      <c r="S1610" s="3"/>
    </row>
    <row r="1611" spans="2:19" x14ac:dyDescent="0.5">
      <c r="B1611" t="str">
        <f t="shared" si="1791"/>
        <v>SPS1</v>
      </c>
      <c r="C1611" t="str">
        <f t="shared" si="1792"/>
        <v>CH</v>
      </c>
      <c r="D1611" t="s">
        <v>1614</v>
      </c>
      <c r="E1611" t="str">
        <f t="shared" si="1799"/>
        <v>PJ/yr.</v>
      </c>
      <c r="F1611" s="1" cm="1">
        <f t="array" ref="F1611">SUMPRODUCT(("TFHGV-ICEdslExt"=[1]OUT_TransportEnergyCons!$A$3:$A$1000)*1,("Var_Fin"=[1]OUT_TransportEnergyCons!$B$3:$B$1000)*1,ISNUMBER(SEARCH("dsl",[1]OUT_TransportEnergyCons!$C$3:$C$1000))*1,[1]OUT_TransportEnergyCons!D$3:D$1000)</f>
        <v>19.135250646485559</v>
      </c>
      <c r="G1611" s="1" cm="1">
        <f t="array" ref="G1611">SUMPRODUCT(("TFHGV-ICEdslExt"=[1]OUT_TransportEnergyCons!$A$3:$A$1000)*1,("Var_Fin"=[1]OUT_TransportEnergyCons!$B$3:$B$1000)*1,ISNUMBER(SEARCH("dsl",[1]OUT_TransportEnergyCons!$C$3:$C$1000))*1,[1]OUT_TransportEnergyCons!E$3:E$1000)</f>
        <v>15.99237321102747</v>
      </c>
      <c r="H1611" s="1" cm="1">
        <f t="array" ref="H1611">SUMPRODUCT(("TFHGV-ICEdslExt"=[1]OUT_TransportEnergyCons!$A$3:$A$1000)*1,("Var_Fin"=[1]OUT_TransportEnergyCons!$B$3:$B$1000)*1,ISNUMBER(SEARCH("dsl",[1]OUT_TransportEnergyCons!$C$3:$C$1000))*1,[1]OUT_TransportEnergyCons!F$3:F$1000)</f>
        <v>1.4515917353182402</v>
      </c>
      <c r="I1611" s="1" cm="1">
        <f t="array" ref="I1611">SUMPRODUCT(("TFHGV-ICEdslExt"=[1]OUT_TransportEnergyCons!$A$3:$A$1000)*1,("Var_Fin"=[1]OUT_TransportEnergyCons!$B$3:$B$1000)*1,ISNUMBER(SEARCH("dsl",[1]OUT_TransportEnergyCons!$C$3:$C$1000))*1,[1]OUT_TransportEnergyCons!G$3:G$1000)</f>
        <v>1.452393650991026</v>
      </c>
      <c r="J1611" s="1" cm="1">
        <f t="array" ref="J1611">SUMPRODUCT(("TFHGV-ICEdslExt"=[1]OUT_TransportEnergyCons!$A$3:$A$1000)*1,("Var_Fin"=[1]OUT_TransportEnergyCons!$B$3:$B$1000)*1,ISNUMBER(SEARCH("dsl",[1]OUT_TransportEnergyCons!$C$3:$C$1000))*1,[1]OUT_TransportEnergyCons!H$3:H$1000)</f>
        <v>0</v>
      </c>
      <c r="K1611" s="1" cm="1">
        <f t="array" ref="K1611">SUMPRODUCT(("TFHGV-ICEdslExt"=[1]OUT_TransportEnergyCons!$A$3:$A$1000)*1,("Var_Fin"=[1]OUT_TransportEnergyCons!$B$3:$B$1000)*1,ISNUMBER(SEARCH("dsl",[1]OUT_TransportEnergyCons!$C$3:$C$1000))*1,[1]OUT_TransportEnergyCons!I$3:I$1000)</f>
        <v>0</v>
      </c>
      <c r="L1611" s="1" cm="1">
        <f t="array" ref="L1611">SUMPRODUCT(("TFHGV-ICEdslExt"=[1]OUT_TransportEnergyCons!$A$3:$A$1000)*1,("Var_Fin"=[1]OUT_TransportEnergyCons!$B$3:$B$1000)*1,ISNUMBER(SEARCH("dsl",[1]OUT_TransportEnergyCons!$C$3:$C$1000))*1,[1]OUT_TransportEnergyCons!J$3:J$1000)</f>
        <v>0</v>
      </c>
      <c r="M1611" s="1" cm="1">
        <f t="array" ref="M1611">SUMPRODUCT(("TFHGV-ICEdslExt"=[1]OUT_TransportEnergyCons!$A$3:$A$1000)*1,("Var_Fin"=[1]OUT_TransportEnergyCons!$B$3:$B$1000)*1,ISNUMBER(SEARCH("dsl",[1]OUT_TransportEnergyCons!$C$3:$C$1000))*1,[1]OUT_TransportEnergyCons!K$3:K$1000)</f>
        <v>0</v>
      </c>
      <c r="N1611" s="1" cm="1">
        <f t="array" ref="N1611">SUMPRODUCT(("TFHGV-ICEdslExt"=[1]OUT_TransportEnergyCons!$A$3:$A$1000)*1,("Var_Fin"=[1]OUT_TransportEnergyCons!$B$3:$B$1000)*1,ISNUMBER(SEARCH("dsl",[1]OUT_TransportEnergyCons!$C$3:$C$1000))*1,[1]OUT_TransportEnergyCons!L$3:L$1000)</f>
        <v>0</v>
      </c>
      <c r="O1611" s="1" cm="1">
        <f t="array" ref="O1611">SUMPRODUCT(("TFHGV-ICEdslExt"=[1]OUT_TransportEnergyCons!$A$3:$A$1000)*1,("Var_Fin"=[1]OUT_TransportEnergyCons!$B$3:$B$1000)*1,ISNUMBER(SEARCH("dsl",[1]OUT_TransportEnergyCons!$C$3:$C$1000))*1,[1]OUT_TransportEnergyCons!M$3:M$1000)</f>
        <v>0</v>
      </c>
      <c r="P1611" s="1" cm="1">
        <f t="array" ref="P1611">SUMPRODUCT(("TFHGV-ICEdslExt"=[1]OUT_TransportEnergyCons!$A$3:$A$1000)*1,("Var_Fin"=[1]OUT_TransportEnergyCons!$B$3:$B$1000)*1,ISNUMBER(SEARCH("dsl",[1]OUT_TransportEnergyCons!$C$3:$C$1000))*1,[1]OUT_TransportEnergyCons!N$3:N$1000)</f>
        <v>0</v>
      </c>
      <c r="Q1611" s="1" cm="1">
        <f t="array" ref="Q1611">SUMPRODUCT(("TFHGV-ICEdslExt"=[1]OUT_TransportEnergyCons!$A$3:$A$1000)*1,("Var_Fin"=[1]OUT_TransportEnergyCons!$B$3:$B$1000)*1,ISNUMBER(SEARCH("dsl",[1]OUT_TransportEnergyCons!$C$3:$C$1000))*1,[1]OUT_TransportEnergyCons!O$3:O$1000)</f>
        <v>0</v>
      </c>
      <c r="S1611" s="3"/>
    </row>
    <row r="1612" spans="2:19" x14ac:dyDescent="0.5">
      <c r="B1612" t="str">
        <f t="shared" si="1791"/>
        <v>SPS1</v>
      </c>
      <c r="C1612" t="str">
        <f t="shared" si="1792"/>
        <v>CH</v>
      </c>
      <c r="D1612" t="s">
        <v>1615</v>
      </c>
      <c r="E1612" t="str">
        <f t="shared" si="1799"/>
        <v>PJ/yr.</v>
      </c>
      <c r="F1612" s="1" cm="1">
        <f t="array" ref="F1612">SUMPRODUCT(("TFHGV-ICEdsl"=[1]OUT_TransportEnergyCons!$A$3:$A$1000)*1,("Var_Fin"=[1]OUT_TransportEnergyCons!$B$3:$B$1000)*1,ISNUMBER(SEARCH("dsl",[1]OUT_TransportEnergyCons!$C$3:$C$1000))*1,[1]OUT_TransportEnergyCons!D$3:D$1000)</f>
        <v>5.2713351465324312</v>
      </c>
      <c r="G1612" s="1" cm="1">
        <f t="array" ref="G1612">SUMPRODUCT(("TFHGV-ICEdsl"=[1]OUT_TransportEnergyCons!$A$3:$A$1000)*1,("Var_Fin"=[1]OUT_TransportEnergyCons!$B$3:$B$1000)*1,ISNUMBER(SEARCH("dsl",[1]OUT_TransportEnergyCons!$C$3:$C$1000))*1,[1]OUT_TransportEnergyCons!E$3:E$1000)</f>
        <v>6.175461390155224</v>
      </c>
      <c r="H1612" s="1" cm="1">
        <f t="array" ref="H1612">SUMPRODUCT(("TFHGV-ICEdsl"=[1]OUT_TransportEnergyCons!$A$3:$A$1000)*1,("Var_Fin"=[1]OUT_TransportEnergyCons!$B$3:$B$1000)*1,ISNUMBER(SEARCH("dsl",[1]OUT_TransportEnergyCons!$C$3:$C$1000))*1,[1]OUT_TransportEnergyCons!F$3:F$1000)</f>
        <v>1.5707635380131514E-3</v>
      </c>
      <c r="I1612" s="1" cm="1">
        <f t="array" ref="I1612">SUMPRODUCT(("TFHGV-ICEdsl"=[1]OUT_TransportEnergyCons!$A$3:$A$1000)*1,("Var_Fin"=[1]OUT_TransportEnergyCons!$B$3:$B$1000)*1,ISNUMBER(SEARCH("dsl",[1]OUT_TransportEnergyCons!$C$3:$C$1000))*1,[1]OUT_TransportEnergyCons!G$3:G$1000)</f>
        <v>9.6979163301007705E-3</v>
      </c>
      <c r="J1612" s="1" cm="1">
        <f t="array" ref="J1612">SUMPRODUCT(("TFHGV-ICEdsl"=[1]OUT_TransportEnergyCons!$A$3:$A$1000)*1,("Var_Fin"=[1]OUT_TransportEnergyCons!$B$3:$B$1000)*1,ISNUMBER(SEARCH("dsl",[1]OUT_TransportEnergyCons!$C$3:$C$1000))*1,[1]OUT_TransportEnergyCons!H$3:H$1000)</f>
        <v>4.4040929975104779E-3</v>
      </c>
      <c r="K1612" s="1" cm="1">
        <f t="array" ref="K1612">SUMPRODUCT(("TFHGV-ICEdsl"=[1]OUT_TransportEnergyCons!$A$3:$A$1000)*1,("Var_Fin"=[1]OUT_TransportEnergyCons!$B$3:$B$1000)*1,ISNUMBER(SEARCH("dsl",[1]OUT_TransportEnergyCons!$C$3:$C$1000))*1,[1]OUT_TransportEnergyCons!I$3:I$1000)</f>
        <v>3.1937285264317236E-3</v>
      </c>
      <c r="L1612" s="1" cm="1">
        <f t="array" ref="L1612">SUMPRODUCT(("TFHGV-ICEdsl"=[1]OUT_TransportEnergyCons!$A$3:$A$1000)*1,("Var_Fin"=[1]OUT_TransportEnergyCons!$B$3:$B$1000)*1,ISNUMBER(SEARCH("dsl",[1]OUT_TransportEnergyCons!$C$3:$C$1000))*1,[1]OUT_TransportEnergyCons!J$3:J$1000)</f>
        <v>2.0374624754137846E-3</v>
      </c>
      <c r="M1612" s="1" cm="1">
        <f t="array" ref="M1612">SUMPRODUCT(("TFHGV-ICEdsl"=[1]OUT_TransportEnergyCons!$A$3:$A$1000)*1,("Var_Fin"=[1]OUT_TransportEnergyCons!$B$3:$B$1000)*1,ISNUMBER(SEARCH("dsl",[1]OUT_TransportEnergyCons!$C$3:$C$1000))*1,[1]OUT_TransportEnergyCons!K$3:K$1000)</f>
        <v>7.6062512934973266E-4</v>
      </c>
      <c r="N1612" s="1" cm="1">
        <f t="array" ref="N1612">SUMPRODUCT(("TFHGV-ICEdsl"=[1]OUT_TransportEnergyCons!$A$3:$A$1000)*1,("Var_Fin"=[1]OUT_TransportEnergyCons!$B$3:$B$1000)*1,ISNUMBER(SEARCH("dsl",[1]OUT_TransportEnergyCons!$C$3:$C$1000))*1,[1]OUT_TransportEnergyCons!L$3:L$1000)</f>
        <v>0</v>
      </c>
      <c r="O1612" s="1" cm="1">
        <f t="array" ref="O1612">SUMPRODUCT(("TFHGV-ICEdsl"=[1]OUT_TransportEnergyCons!$A$3:$A$1000)*1,("Var_Fin"=[1]OUT_TransportEnergyCons!$B$3:$B$1000)*1,ISNUMBER(SEARCH("dsl",[1]OUT_TransportEnergyCons!$C$3:$C$1000))*1,[1]OUT_TransportEnergyCons!M$3:M$1000)</f>
        <v>0</v>
      </c>
      <c r="P1612" s="1" cm="1">
        <f t="array" ref="P1612">SUMPRODUCT(("TFHGV-ICEdsl"=[1]OUT_TransportEnergyCons!$A$3:$A$1000)*1,("Var_Fin"=[1]OUT_TransportEnergyCons!$B$3:$B$1000)*1,ISNUMBER(SEARCH("dsl",[1]OUT_TransportEnergyCons!$C$3:$C$1000))*1,[1]OUT_TransportEnergyCons!N$3:N$1000)</f>
        <v>0</v>
      </c>
      <c r="Q1612" s="1" cm="1">
        <f t="array" ref="Q1612">SUMPRODUCT(("TFHGV-ICEdsl"=[1]OUT_TransportEnergyCons!$A$3:$A$1000)*1,("Var_Fin"=[1]OUT_TransportEnergyCons!$B$3:$B$1000)*1,ISNUMBER(SEARCH("dsl",[1]OUT_TransportEnergyCons!$C$3:$C$1000))*1,[1]OUT_TransportEnergyCons!O$3:O$1000)</f>
        <v>0</v>
      </c>
      <c r="S1612" s="3"/>
    </row>
    <row r="1613" spans="2:19" x14ac:dyDescent="0.5">
      <c r="B1613" t="str">
        <f t="shared" si="1791"/>
        <v>SPS1</v>
      </c>
      <c r="C1613" t="str">
        <f t="shared" si="1792"/>
        <v>CH</v>
      </c>
      <c r="D1613" t="s">
        <v>1616</v>
      </c>
      <c r="E1613" t="str">
        <f t="shared" si="1799"/>
        <v>PJ/yr.</v>
      </c>
      <c r="F1613" s="1" cm="1">
        <f t="array" ref="F1613">SUMPRODUCT(("TFHGV-HYBDSL"=[1]OUT_TransportEnergyCons!$A$3:$A$1000)*1,("Var_Fin"=[1]OUT_TransportEnergyCons!$B$3:$B$1000)*1,ISNUMBER(SEARCH("dsl",[1]OUT_TransportEnergyCons!$C$3:$C$1000))*1,[1]OUT_TransportEnergyCons!D$3:D$1000)</f>
        <v>0</v>
      </c>
      <c r="G1613" s="1" cm="1">
        <f t="array" ref="G1613">SUMPRODUCT(("TFHGV-HYBDSL"=[1]OUT_TransportEnergyCons!$A$3:$A$1000)*1,("Var_Fin"=[1]OUT_TransportEnergyCons!$B$3:$B$1000)*1,ISNUMBER(SEARCH("dsl",[1]OUT_TransportEnergyCons!$C$3:$C$1000))*1,[1]OUT_TransportEnergyCons!E$3:E$1000)</f>
        <v>0.779320780597903</v>
      </c>
      <c r="H1613" s="1" cm="1">
        <f t="array" ref="H1613">SUMPRODUCT(("TFHGV-HYBDSL"=[1]OUT_TransportEnergyCons!$A$3:$A$1000)*1,("Var_Fin"=[1]OUT_TransportEnergyCons!$B$3:$B$1000)*1,ISNUMBER(SEARCH("dsl",[1]OUT_TransportEnergyCons!$C$3:$C$1000))*1,[1]OUT_TransportEnergyCons!F$3:F$1000)</f>
        <v>2.4081542905352504E-3</v>
      </c>
      <c r="I1613" s="1" cm="1">
        <f t="array" ref="I1613">SUMPRODUCT(("TFHGV-HYBDSL"=[1]OUT_TransportEnergyCons!$A$3:$A$1000)*1,("Var_Fin"=[1]OUT_TransportEnergyCons!$B$3:$B$1000)*1,ISNUMBER(SEARCH("dsl",[1]OUT_TransportEnergyCons!$C$3:$C$1000))*1,[1]OUT_TransportEnergyCons!G$3:G$1000)</f>
        <v>3.9109483011029624</v>
      </c>
      <c r="J1613" s="1" cm="1">
        <f t="array" ref="J1613">SUMPRODUCT(("TFHGV-HYBDSL"=[1]OUT_TransportEnergyCons!$A$3:$A$1000)*1,("Var_Fin"=[1]OUT_TransportEnergyCons!$B$3:$B$1000)*1,ISNUMBER(SEARCH("dsl",[1]OUT_TransportEnergyCons!$C$3:$C$1000))*1,[1]OUT_TransportEnergyCons!H$3:H$1000)</f>
        <v>11.778025115745947</v>
      </c>
      <c r="K1613" s="1" cm="1">
        <f t="array" ref="K1613">SUMPRODUCT(("TFHGV-HYBDSL"=[1]OUT_TransportEnergyCons!$A$3:$A$1000)*1,("Var_Fin"=[1]OUT_TransportEnergyCons!$B$3:$B$1000)*1,ISNUMBER(SEARCH("dsl",[1]OUT_TransportEnergyCons!$C$3:$C$1000))*1,[1]OUT_TransportEnergyCons!I$3:I$1000)</f>
        <v>11.076684926793023</v>
      </c>
      <c r="L1613" s="1" cm="1">
        <f t="array" ref="L1613">SUMPRODUCT(("TFHGV-HYBDSL"=[1]OUT_TransportEnergyCons!$A$3:$A$1000)*1,("Var_Fin"=[1]OUT_TransportEnergyCons!$B$3:$B$1000)*1,ISNUMBER(SEARCH("dsl",[1]OUT_TransportEnergyCons!$C$3:$C$1000))*1,[1]OUT_TransportEnergyCons!J$3:J$1000)</f>
        <v>0.92923685402220313</v>
      </c>
      <c r="M1613" s="1" cm="1">
        <f t="array" ref="M1613">SUMPRODUCT(("TFHGV-HYBDSL"=[1]OUT_TransportEnergyCons!$A$3:$A$1000)*1,("Var_Fin"=[1]OUT_TransportEnergyCons!$B$3:$B$1000)*1,ISNUMBER(SEARCH("dsl",[1]OUT_TransportEnergyCons!$C$3:$C$1000))*1,[1]OUT_TransportEnergyCons!K$3:K$1000)</f>
        <v>2.0780122295734125E-3</v>
      </c>
      <c r="N1613" s="1" cm="1">
        <f t="array" ref="N1613">SUMPRODUCT(("TFHGV-HYBDSL"=[1]OUT_TransportEnergyCons!$A$3:$A$1000)*1,("Var_Fin"=[1]OUT_TransportEnergyCons!$B$3:$B$1000)*1,ISNUMBER(SEARCH("dsl",[1]OUT_TransportEnergyCons!$C$3:$C$1000))*1,[1]OUT_TransportEnergyCons!L$3:L$1000)</f>
        <v>0</v>
      </c>
      <c r="O1613" s="1" cm="1">
        <f t="array" ref="O1613">SUMPRODUCT(("TFHGV-HYBDSL"=[1]OUT_TransportEnergyCons!$A$3:$A$1000)*1,("Var_Fin"=[1]OUT_TransportEnergyCons!$B$3:$B$1000)*1,ISNUMBER(SEARCH("dsl",[1]OUT_TransportEnergyCons!$C$3:$C$1000))*1,[1]OUT_TransportEnergyCons!M$3:M$1000)</f>
        <v>0</v>
      </c>
      <c r="P1613" s="1" cm="1">
        <f t="array" ref="P1613">SUMPRODUCT(("TFHGV-HYBDSL"=[1]OUT_TransportEnergyCons!$A$3:$A$1000)*1,("Var_Fin"=[1]OUT_TransportEnergyCons!$B$3:$B$1000)*1,ISNUMBER(SEARCH("dsl",[1]OUT_TransportEnergyCons!$C$3:$C$1000))*1,[1]OUT_TransportEnergyCons!N$3:N$1000)</f>
        <v>0</v>
      </c>
      <c r="Q1613" s="1" cm="1">
        <f t="array" ref="Q1613">SUMPRODUCT(("TFHGV-HYBDSL"=[1]OUT_TransportEnergyCons!$A$3:$A$1000)*1,("Var_Fin"=[1]OUT_TransportEnergyCons!$B$3:$B$1000)*1,ISNUMBER(SEARCH("dsl",[1]OUT_TransportEnergyCons!$C$3:$C$1000))*1,[1]OUT_TransportEnergyCons!O$3:O$1000)</f>
        <v>0</v>
      </c>
      <c r="S1613" s="3"/>
    </row>
    <row r="1614" spans="2:19" x14ac:dyDescent="0.5">
      <c r="B1614" t="str">
        <f t="shared" si="1791"/>
        <v>SPS1</v>
      </c>
      <c r="C1614" t="str">
        <f t="shared" si="1792"/>
        <v>CH</v>
      </c>
      <c r="D1614" t="s">
        <v>1617</v>
      </c>
      <c r="E1614" t="str">
        <f t="shared" si="1799"/>
        <v>PJ/yr.</v>
      </c>
      <c r="F1614" s="1">
        <f>F1619</f>
        <v>6.1835185936825909E-2</v>
      </c>
      <c r="G1614" s="1">
        <f t="shared" ref="G1614:K1614" si="1817">G1619</f>
        <v>4.5319992930447341E-2</v>
      </c>
      <c r="H1614" s="1">
        <f t="shared" si="1817"/>
        <v>6.3165822718669107E-2</v>
      </c>
      <c r="I1614" s="1">
        <f t="shared" si="1817"/>
        <v>5.882038926416519E-2</v>
      </c>
      <c r="J1614" s="1">
        <f t="shared" si="1817"/>
        <v>5.449131588676024E-2</v>
      </c>
      <c r="K1614" s="1">
        <f t="shared" si="1817"/>
        <v>5.2845397936769255E-2</v>
      </c>
      <c r="L1614" s="1">
        <f t="shared" ref="L1614:O1614" si="1818">L1619</f>
        <v>1.2300887970626048E-2</v>
      </c>
      <c r="M1614" s="1">
        <f t="shared" si="1818"/>
        <v>3.7691072241720154E-3</v>
      </c>
      <c r="N1614" s="1">
        <f t="shared" si="1818"/>
        <v>0</v>
      </c>
      <c r="O1614" s="1">
        <f t="shared" si="1818"/>
        <v>0</v>
      </c>
      <c r="P1614" s="1">
        <f>P1619</f>
        <v>0</v>
      </c>
      <c r="Q1614" s="1">
        <f>Q1619</f>
        <v>0</v>
      </c>
      <c r="S1614" s="3"/>
    </row>
    <row r="1615" spans="2:19" x14ac:dyDescent="0.5">
      <c r="B1615" t="str">
        <f t="shared" si="1791"/>
        <v>SPS1</v>
      </c>
      <c r="C1615" t="str">
        <f t="shared" si="1792"/>
        <v>CH</v>
      </c>
      <c r="D1615" t="s">
        <v>1618</v>
      </c>
      <c r="E1615" t="str">
        <f t="shared" si="1799"/>
        <v>PJ/yr.</v>
      </c>
      <c r="F1615" s="1">
        <f>IF(F1614-F1616&lt;0,0,F1614-F1616)</f>
        <v>5.711986920955682E-2</v>
      </c>
      <c r="G1615" s="1">
        <f t="shared" ref="G1615:K1615" si="1819">IF(G1614-G1616&lt;0,0,G1614-G1616)</f>
        <v>3.9775225691378126E-2</v>
      </c>
      <c r="H1615" s="1">
        <f t="shared" si="1819"/>
        <v>6.277870623340677E-2</v>
      </c>
      <c r="I1615" s="1">
        <f t="shared" si="1819"/>
        <v>5.8487934885007239E-2</v>
      </c>
      <c r="J1615" s="1">
        <f t="shared" si="1819"/>
        <v>0</v>
      </c>
      <c r="K1615" s="1">
        <f t="shared" si="1819"/>
        <v>0</v>
      </c>
      <c r="L1615" s="1">
        <f t="shared" ref="L1615:O1615" si="1820">IF(L1614-L1616&lt;0,0,L1614-L1616)</f>
        <v>0</v>
      </c>
      <c r="M1615" s="1">
        <f t="shared" si="1820"/>
        <v>0</v>
      </c>
      <c r="N1615" s="1">
        <f t="shared" si="1820"/>
        <v>0</v>
      </c>
      <c r="O1615" s="1">
        <f t="shared" si="1820"/>
        <v>0</v>
      </c>
      <c r="P1615" s="1">
        <f>IF(P1614-P1616&lt;0,0,P1614-P1616)</f>
        <v>0</v>
      </c>
      <c r="Q1615" s="1">
        <f>IF(Q1614-Q1616&lt;0,0,Q1614-Q1616)</f>
        <v>0</v>
      </c>
      <c r="S1615" s="3"/>
    </row>
    <row r="1616" spans="2:19" x14ac:dyDescent="0.5">
      <c r="B1616" t="str">
        <f t="shared" si="1791"/>
        <v>SPS1</v>
      </c>
      <c r="C1616" t="str">
        <f t="shared" si="1792"/>
        <v>CH</v>
      </c>
      <c r="D1616" t="s">
        <v>1619</v>
      </c>
      <c r="E1616" t="str">
        <f t="shared" si="1799"/>
        <v>PJ/yr.</v>
      </c>
      <c r="F1616" s="1">
        <f>SUM(F1617:F1618)</f>
        <v>4.7153167272690928E-3</v>
      </c>
      <c r="G1616" s="1">
        <f t="shared" ref="G1616:K1616" si="1821">SUM(G1617:G1618)</f>
        <v>5.544767239069214E-3</v>
      </c>
      <c r="H1616" s="1">
        <f t="shared" si="1821"/>
        <v>3.8711648526233326E-4</v>
      </c>
      <c r="I1616" s="1">
        <f t="shared" si="1821"/>
        <v>3.3245437915795144E-4</v>
      </c>
      <c r="J1616" s="1">
        <f t="shared" si="1821"/>
        <v>5.5083955301579987E-2</v>
      </c>
      <c r="K1616" s="1">
        <f t="shared" si="1821"/>
        <v>5.8891130453174297E-2</v>
      </c>
      <c r="L1616" s="1">
        <f t="shared" ref="L1616:O1616" si="1822">SUM(L1617:L1618)</f>
        <v>1.6452268062976054E-2</v>
      </c>
      <c r="M1616" s="1">
        <f t="shared" si="1822"/>
        <v>7.232119423533666E-3</v>
      </c>
      <c r="N1616" s="1">
        <f t="shared" si="1822"/>
        <v>0</v>
      </c>
      <c r="O1616" s="1">
        <f t="shared" si="1822"/>
        <v>0</v>
      </c>
      <c r="P1616" s="1">
        <f>SUM(P1617:P1618)</f>
        <v>0</v>
      </c>
      <c r="Q1616" s="1">
        <f>SUM(Q1617:Q1618)</f>
        <v>0</v>
      </c>
      <c r="S1616" s="3"/>
    </row>
    <row r="1617" spans="2:19" x14ac:dyDescent="0.5">
      <c r="B1617" t="str">
        <f t="shared" si="1791"/>
        <v>SPS1</v>
      </c>
      <c r="C1617" t="str">
        <f t="shared" si="1792"/>
        <v>CH</v>
      </c>
      <c r="D1617" t="s">
        <v>1620</v>
      </c>
      <c r="E1617" t="str">
        <f t="shared" si="1799"/>
        <v>PJ/yr.</v>
      </c>
      <c r="F1617" s="1">
        <f>IF(SUM([1]Transport!B$24,[1]Transport!B$27)=0,0,[1]Transport!B$27/SUM([1]Transport!B$24,[1]Transport!B$27)*F1614*(F$47+F$614)/(F$47+F$614+F$49))</f>
        <v>4.7153167272690928E-3</v>
      </c>
      <c r="G1617" s="1">
        <f>IF(SUM([1]Transport!C$24,[1]Transport!C$27)=0,0,[1]Transport!C$27/SUM([1]Transport!C$24,[1]Transport!C$27)*G1614*(G$47+G$614)/(G$47+G$614+G$49))</f>
        <v>5.544767239069214E-3</v>
      </c>
      <c r="H1617" s="1">
        <f>IF(SUM([1]Transport!D$24,[1]Transport!D$27)=0,0,[1]Transport!D$27/SUM([1]Transport!D$24,[1]Transport!D$27)*H1614*(H$47+H$614)/(H$47+H$614+H$49))</f>
        <v>3.8711648526233326E-4</v>
      </c>
      <c r="I1617" s="1">
        <f>IF(SUM([1]Transport!E$24,[1]Transport!E$27)=0,0,[1]Transport!E$27/SUM([1]Transport!E$24,[1]Transport!E$27)*I1614*(I$47+I$614)/(I$47+I$614+I$49))</f>
        <v>3.3245437915795144E-4</v>
      </c>
      <c r="J1617" s="1">
        <f>IF(SUM([1]Transport!F$24,[1]Transport!F$27)=0,0,[1]Transport!F$27/SUM([1]Transport!F$24,[1]Transport!F$27)*J1614*(J$47+J$614)/(J$47+J$614+J$49))</f>
        <v>5.9263941481975033E-4</v>
      </c>
      <c r="K1617" s="1">
        <f>IF(SUM([1]Transport!G$24,[1]Transport!G$27)=0,0,[1]Transport!G$27/SUM([1]Transport!G$24,[1]Transport!G$27)*K1614*(K$47+K$614)/(K$47+K$614+K$49))</f>
        <v>6.045732516405041E-3</v>
      </c>
      <c r="L1617" s="1">
        <f>IF(SUM([1]Transport!H$24,[1]Transport!H$27)=0,0,[1]Transport!H$27/SUM([1]Transport!H$24,[1]Transport!H$27)*L1614*(L$47+L$614)/(L$47+L$614+L$49))</f>
        <v>4.1513800923500066E-3</v>
      </c>
      <c r="M1617" s="1">
        <f>IF(SUM([1]Transport!I$24,[1]Transport!I$27)=0,0,[1]Transport!I$27/SUM([1]Transport!I$24,[1]Transport!I$27)*M1614*(M$47+M$614)/(M$47+M$614+M$49))</f>
        <v>3.4630121993616506E-3</v>
      </c>
      <c r="N1617" s="1">
        <f>IF(SUM([1]Transport!J$24,[1]Transport!J$27)=0,0,[1]Transport!J$27/SUM([1]Transport!J$24,[1]Transport!J$27)*N1614*(N$47+N$614)/(N$47+N$614+N$49))</f>
        <v>0</v>
      </c>
      <c r="O1617" s="1">
        <f>IF(SUM([1]Transport!K$24,[1]Transport!K$27)=0,0,[1]Transport!K$27/SUM([1]Transport!K$24,[1]Transport!K$27)*O1614*(O$47+O$614)/(O$47+O$614+O$49))</f>
        <v>0</v>
      </c>
      <c r="P1617" s="1">
        <f>IF(SUM([1]Transport!L$24,[1]Transport!L$27)=0,0,[1]Transport!L$27/SUM([1]Transport!L$24,[1]Transport!L$27)*P1614*(P$47+P$614)/(P$47+P$614+P$49))</f>
        <v>0</v>
      </c>
      <c r="Q1617" s="1">
        <f>IF(SUM([1]Transport!M$24,[1]Transport!M$27)=0,0,[1]Transport!M$27/SUM([1]Transport!M$24,[1]Transport!M$27)*Q1614*(Q$47+Q$614)/(Q$47+Q$614+Q$49))</f>
        <v>0</v>
      </c>
      <c r="S1617" s="3"/>
    </row>
    <row r="1618" spans="2:19" x14ac:dyDescent="0.5">
      <c r="B1618" t="str">
        <f t="shared" si="1791"/>
        <v>SPS1</v>
      </c>
      <c r="C1618" t="str">
        <f t="shared" si="1792"/>
        <v>CH</v>
      </c>
      <c r="D1618" t="s">
        <v>1621</v>
      </c>
      <c r="E1618" t="str">
        <f t="shared" si="1799"/>
        <v>PJ/yr.</v>
      </c>
      <c r="F1618" s="1">
        <f>IF(([1]Transport!B$24+[1]Transport!B$27)=0,0,IF((F$49+F$716)/([1]Transport!B$24+[1]Transport!B$27)*F1614&gt;F1614,F1614,(F$49+F$716)/([1]Transport!B$24+[1]Transport!B$27)*F1614))</f>
        <v>0</v>
      </c>
      <c r="G1618" s="1">
        <f>IF(([1]Transport!C$24+[1]Transport!C$27)=0,0,IF((G$49+G$716)/([1]Transport!C$24+[1]Transport!C$27)*G1614&gt;G1614,G1614,(G$49+G$716)/([1]Transport!C$24+[1]Transport!C$27)*G1614))</f>
        <v>0</v>
      </c>
      <c r="H1618" s="1">
        <f>IF(([1]Transport!D$24+[1]Transport!D$27)=0,0,IF((H$49+H$716)/([1]Transport!D$24+[1]Transport!D$27)*H1614&gt;H1614,H1614,(H$49+H$716)/([1]Transport!D$24+[1]Transport!D$27)*H1614))</f>
        <v>0</v>
      </c>
      <c r="I1618" s="1">
        <f>IF(([1]Transport!E$24+[1]Transport!E$27)=0,0,IF((I$49+I$716)/([1]Transport!E$24+[1]Transport!E$27)*I1614&gt;I1614,I1614,(I$49+I$716)/([1]Transport!E$24+[1]Transport!E$27)*I1614))</f>
        <v>0</v>
      </c>
      <c r="J1618" s="1">
        <f>IF(([1]Transport!F$24+[1]Transport!F$27)=0,0,IF((J$49+J$716)/([1]Transport!F$24+[1]Transport!F$27)*J1614&gt;J1614,J1614,(J$49+J$716)/([1]Transport!F$24+[1]Transport!F$27)*J1614))</f>
        <v>5.449131588676024E-2</v>
      </c>
      <c r="K1618" s="1">
        <f>IF(([1]Transport!G$24+[1]Transport!G$27)=0,0,IF((K$49+K$716)/([1]Transport!G$24+[1]Transport!G$27)*K1614&gt;K1614,K1614,(K$49+K$716)/([1]Transport!G$24+[1]Transport!G$27)*K1614))</f>
        <v>5.2845397936769255E-2</v>
      </c>
      <c r="L1618" s="1">
        <f>IF(([1]Transport!H$24+[1]Transport!H$27)=0,0,IF((L$49+L$716)/([1]Transport!H$24+[1]Transport!H$27)*L1614&gt;L1614,L1614,(L$49+L$716)/([1]Transport!H$24+[1]Transport!H$27)*L1614))</f>
        <v>1.2300887970626048E-2</v>
      </c>
      <c r="M1618" s="1">
        <f>IF(([1]Transport!I$24+[1]Transport!I$27)=0,0,IF((M$49+M$716)/([1]Transport!I$24+[1]Transport!I$27)*M1614&gt;M1614,M1614,(M$49+M$716)/([1]Transport!I$24+[1]Transport!I$27)*M1614))</f>
        <v>3.7691072241720154E-3</v>
      </c>
      <c r="N1618" s="1">
        <f>IF(([1]Transport!J$24+[1]Transport!J$27)=0,0,IF((N$49+N$716)/([1]Transport!J$24+[1]Transport!J$27)*N1614&gt;N1614,N1614,(N$49+N$716)/([1]Transport!J$24+[1]Transport!J$27)*N1614))</f>
        <v>0</v>
      </c>
      <c r="O1618" s="1">
        <f>IF(([1]Transport!K$24+[1]Transport!K$27)=0,0,IF((O$49+O$716)/([1]Transport!K$24+[1]Transport!K$27)*O1614&gt;O1614,O1614,(O$49+O$716)/([1]Transport!K$24+[1]Transport!K$27)*O1614))</f>
        <v>0</v>
      </c>
      <c r="P1618" s="1">
        <f>IF(([1]Transport!L$24+[1]Transport!L$27)=0,0,IF((P$49+P$716)/([1]Transport!L$24+[1]Transport!L$27)*P1614&gt;P1614,P1614,(P$49+P$716)/([1]Transport!L$24+[1]Transport!L$27)*P1614))</f>
        <v>0</v>
      </c>
      <c r="Q1618" s="1">
        <f>IF(([1]Transport!M$24+[1]Transport!M$27)=0,0,IF((Q$49+Q$716)/([1]Transport!M$24+[1]Transport!M$27)*Q1614&gt;Q1614,Q1614,(Q$49+Q$716)/([1]Transport!M$24+[1]Transport!M$27)*Q1614))</f>
        <v>0</v>
      </c>
      <c r="S1618" s="3"/>
    </row>
    <row r="1619" spans="2:19" x14ac:dyDescent="0.5">
      <c r="B1619" t="str">
        <f t="shared" si="1791"/>
        <v>SPS1</v>
      </c>
      <c r="C1619" t="str">
        <f t="shared" si="1792"/>
        <v>CH</v>
      </c>
      <c r="D1619" t="s">
        <v>1622</v>
      </c>
      <c r="E1619" t="str">
        <f t="shared" si="1799"/>
        <v>PJ/yr.</v>
      </c>
      <c r="F1619" s="1" cm="1">
        <f t="array" ref="F1619">SUMPRODUCT(("TFHGV-ICENGA"=[1]OUT_TransportEnergyCons!$A$3:$A$1000)*1,("Var_Fin"=[1]OUT_TransportEnergyCons!$B$3:$B$1000)*1,ISNUMBER(SEARCH("nga",[1]OUT_TransportEnergyCons!$C$3:$C$1000))*1,[1]OUT_TransportEnergyCons!D$3:D$1000)</f>
        <v>6.1835185936825909E-2</v>
      </c>
      <c r="G1619" s="1" cm="1">
        <f t="array" ref="G1619">SUMPRODUCT(("TFHGV-ICENGA"=[1]OUT_TransportEnergyCons!$A$3:$A$1000)*1,("Var_Fin"=[1]OUT_TransportEnergyCons!$B$3:$B$1000)*1,ISNUMBER(SEARCH("nga",[1]OUT_TransportEnergyCons!$C$3:$C$1000))*1,[1]OUT_TransportEnergyCons!E$3:E$1000)</f>
        <v>4.5319992930447341E-2</v>
      </c>
      <c r="H1619" s="1" cm="1">
        <f t="array" ref="H1619">SUMPRODUCT(("TFHGV-ICENGA"=[1]OUT_TransportEnergyCons!$A$3:$A$1000)*1,("Var_Fin"=[1]OUT_TransportEnergyCons!$B$3:$B$1000)*1,ISNUMBER(SEARCH("nga",[1]OUT_TransportEnergyCons!$C$3:$C$1000))*1,[1]OUT_TransportEnergyCons!F$3:F$1000)</f>
        <v>6.3165822718669107E-2</v>
      </c>
      <c r="I1619" s="1" cm="1">
        <f t="array" ref="I1619">SUMPRODUCT(("TFHGV-ICENGA"=[1]OUT_TransportEnergyCons!$A$3:$A$1000)*1,("Var_Fin"=[1]OUT_TransportEnergyCons!$B$3:$B$1000)*1,ISNUMBER(SEARCH("nga",[1]OUT_TransportEnergyCons!$C$3:$C$1000))*1,[1]OUT_TransportEnergyCons!G$3:G$1000)</f>
        <v>5.882038926416519E-2</v>
      </c>
      <c r="J1619" s="1" cm="1">
        <f t="array" ref="J1619">SUMPRODUCT(("TFHGV-ICENGA"=[1]OUT_TransportEnergyCons!$A$3:$A$1000)*1,("Var_Fin"=[1]OUT_TransportEnergyCons!$B$3:$B$1000)*1,ISNUMBER(SEARCH("nga",[1]OUT_TransportEnergyCons!$C$3:$C$1000))*1,[1]OUT_TransportEnergyCons!H$3:H$1000)</f>
        <v>5.449131588676024E-2</v>
      </c>
      <c r="K1619" s="1" cm="1">
        <f t="array" ref="K1619">SUMPRODUCT(("TFHGV-ICENGA"=[1]OUT_TransportEnergyCons!$A$3:$A$1000)*1,("Var_Fin"=[1]OUT_TransportEnergyCons!$B$3:$B$1000)*1,ISNUMBER(SEARCH("nga",[1]OUT_TransportEnergyCons!$C$3:$C$1000))*1,[1]OUT_TransportEnergyCons!I$3:I$1000)</f>
        <v>5.2845397936769255E-2</v>
      </c>
      <c r="L1619" s="1" cm="1">
        <f t="array" ref="L1619">SUMPRODUCT(("TFHGV-ICENGA"=[1]OUT_TransportEnergyCons!$A$3:$A$1000)*1,("Var_Fin"=[1]OUT_TransportEnergyCons!$B$3:$B$1000)*1,ISNUMBER(SEARCH("nga",[1]OUT_TransportEnergyCons!$C$3:$C$1000))*1,[1]OUT_TransportEnergyCons!J$3:J$1000)</f>
        <v>1.2300887970626048E-2</v>
      </c>
      <c r="M1619" s="1" cm="1">
        <f t="array" ref="M1619">SUMPRODUCT(("TFHGV-ICENGA"=[1]OUT_TransportEnergyCons!$A$3:$A$1000)*1,("Var_Fin"=[1]OUT_TransportEnergyCons!$B$3:$B$1000)*1,ISNUMBER(SEARCH("nga",[1]OUT_TransportEnergyCons!$C$3:$C$1000))*1,[1]OUT_TransportEnergyCons!K$3:K$1000)</f>
        <v>3.7691072241720154E-3</v>
      </c>
      <c r="N1619" s="1" cm="1">
        <f t="array" ref="N1619">SUMPRODUCT(("TFHGV-ICENGA"=[1]OUT_TransportEnergyCons!$A$3:$A$1000)*1,("Var_Fin"=[1]OUT_TransportEnergyCons!$B$3:$B$1000)*1,ISNUMBER(SEARCH("nga",[1]OUT_TransportEnergyCons!$C$3:$C$1000))*1,[1]OUT_TransportEnergyCons!L$3:L$1000)</f>
        <v>0</v>
      </c>
      <c r="O1619" s="1" cm="1">
        <f t="array" ref="O1619">SUMPRODUCT(("TFHGV-ICENGA"=[1]OUT_TransportEnergyCons!$A$3:$A$1000)*1,("Var_Fin"=[1]OUT_TransportEnergyCons!$B$3:$B$1000)*1,ISNUMBER(SEARCH("nga",[1]OUT_TransportEnergyCons!$C$3:$C$1000))*1,[1]OUT_TransportEnergyCons!M$3:M$1000)</f>
        <v>0</v>
      </c>
      <c r="P1619" s="1" cm="1">
        <f t="array" ref="P1619">SUMPRODUCT(("TFHGV-ICENGA"=[1]OUT_TransportEnergyCons!$A$3:$A$1000)*1,("Var_Fin"=[1]OUT_TransportEnergyCons!$B$3:$B$1000)*1,ISNUMBER(SEARCH("nga",[1]OUT_TransportEnergyCons!$C$3:$C$1000))*1,[1]OUT_TransportEnergyCons!N$3:N$1000)</f>
        <v>0</v>
      </c>
      <c r="Q1619" s="1" cm="1">
        <f t="array" ref="Q1619">SUMPRODUCT(("TFHGV-ICENGA"=[1]OUT_TransportEnergyCons!$A$3:$A$1000)*1,("Var_Fin"=[1]OUT_TransportEnergyCons!$B$3:$B$1000)*1,ISNUMBER(SEARCH("nga",[1]OUT_TransportEnergyCons!$C$3:$C$1000))*1,[1]OUT_TransportEnergyCons!O$3:O$1000)</f>
        <v>0</v>
      </c>
      <c r="S1619" s="3"/>
    </row>
    <row r="1620" spans="2:19" x14ac:dyDescent="0.5">
      <c r="B1620" s="2" t="str">
        <f t="shared" si="1791"/>
        <v>SPS1</v>
      </c>
      <c r="C1620" s="2" t="str">
        <f t="shared" si="1792"/>
        <v>CH</v>
      </c>
      <c r="D1620" s="2" t="s">
        <v>1623</v>
      </c>
      <c r="E1620" s="2" t="s">
        <v>1517</v>
      </c>
      <c r="F1620" s="3">
        <f>SUM(F1621:F1629)</f>
        <v>2.2036036358165525</v>
      </c>
      <c r="G1620" s="3">
        <f t="shared" ref="G1620" si="1823">SUM(G1621:G1629)</f>
        <v>2.2266626818133375</v>
      </c>
      <c r="H1620" s="3">
        <f t="shared" ref="H1620" si="1824">SUM(H1621:H1629)</f>
        <v>2.2611371684370822</v>
      </c>
      <c r="I1620" s="3">
        <f t="shared" ref="I1620" si="1825">SUM(I1621:I1629)</f>
        <v>2.3184156929484825</v>
      </c>
      <c r="J1620" s="3">
        <f t="shared" ref="J1620" si="1826">SUM(J1621:J1629)</f>
        <v>2.4190384800194669</v>
      </c>
      <c r="K1620" s="3">
        <f t="shared" ref="K1620" si="1827">SUM(K1621:K1629)</f>
        <v>2.5202358990203861</v>
      </c>
      <c r="L1620" s="3">
        <f t="shared" ref="L1620:O1620" si="1828">SUM(L1621:L1629)</f>
        <v>2.6224716404375794</v>
      </c>
      <c r="M1620" s="3">
        <f t="shared" si="1828"/>
        <v>2.7246671173859198</v>
      </c>
      <c r="N1620" s="3">
        <f t="shared" si="1828"/>
        <v>2.8130204276131878</v>
      </c>
      <c r="O1620" s="3">
        <f t="shared" si="1828"/>
        <v>2.9110485887812794</v>
      </c>
      <c r="P1620" s="3">
        <f>SUM(P1621:P1629)</f>
        <v>3.0147186088314402</v>
      </c>
      <c r="Q1620" s="3">
        <f>SUM(Q1621:Q1629)</f>
        <v>3.1327423119598823</v>
      </c>
      <c r="S1620" s="3"/>
    </row>
    <row r="1621" spans="2:19" x14ac:dyDescent="0.5">
      <c r="B1621" t="str">
        <f t="shared" si="1791"/>
        <v>SPS1</v>
      </c>
      <c r="C1621" t="str">
        <f t="shared" si="1792"/>
        <v>CH</v>
      </c>
      <c r="D1621" t="s">
        <v>1624</v>
      </c>
      <c r="E1621" t="s">
        <v>1517</v>
      </c>
      <c r="F1621" s="1" cm="1">
        <f t="array" ref="F1621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21" s="1" cm="1">
        <f t="array" ref="G1621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21" s="1" cm="1">
        <f t="array" ref="H1621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21" s="1" cm="1">
        <f t="array" ref="I1621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21" s="1" cm="1">
        <f t="array" ref="J1621">SUMPRODUCT(("TFHGV-BeVELCExt"=[1]OUT_TransportEnergyCons!$A$3:$A$1000)*1,("var_fout"=[1]OUT_TransportEnergyCons!$B$3:$B$1000)*1,ISNUMBER(SEARCH("TFHGV",[1]OUT_TransportEnergyCons!$C$3:$C$1000))*1,[1]OUT_TransportEnergyCons!H$3:H$1000)</f>
        <v>0</v>
      </c>
      <c r="K1621" s="1" cm="1">
        <f t="array" ref="K1621">SUMPRODUCT(("TFHGV-BeVELCExt"=[1]OUT_TransportEnergyCons!$A$3:$A$1000)*1,("var_fout"=[1]OUT_TransportEnergyCons!$B$3:$B$1000)*1,ISNUMBER(SEARCH("TFHGV",[1]OUT_TransportEnergyCons!$C$3:$C$1000))*1,[1]OUT_TransportEnergyCons!I$3:I$1000)</f>
        <v>0</v>
      </c>
      <c r="L1621" s="1" cm="1">
        <f t="array" ref="L1621">SUMPRODUCT(("TFHGV-BeVELCExt"=[1]OUT_TransportEnergyCons!$A$3:$A$1000)*1,("var_fout"=[1]OUT_TransportEnergyCons!$B$3:$B$1000)*1,ISNUMBER(SEARCH("TFHGV",[1]OUT_TransportEnergyCons!$C$3:$C$1000))*1,[1]OUT_TransportEnergyCons!J$3:J$1000)</f>
        <v>0</v>
      </c>
      <c r="M1621" s="1" cm="1">
        <f t="array" ref="M1621">SUMPRODUCT(("TFHGV-BeVELCExt"=[1]OUT_TransportEnergyCons!$A$3:$A$1000)*1,("var_fout"=[1]OUT_TransportEnergyCons!$B$3:$B$1000)*1,ISNUMBER(SEARCH("TFHGV",[1]OUT_TransportEnergyCons!$C$3:$C$1000))*1,[1]OUT_TransportEnergyCons!K$3:K$1000)</f>
        <v>0</v>
      </c>
      <c r="N1621" s="1" cm="1">
        <f t="array" ref="N1621">SUMPRODUCT(("TFHGV-BeVELCExt"=[1]OUT_TransportEnergyCons!$A$3:$A$1000)*1,("var_fout"=[1]OUT_TransportEnergyCons!$B$3:$B$1000)*1,ISNUMBER(SEARCH("TFHGV",[1]OUT_TransportEnergyCons!$C$3:$C$1000))*1,[1]OUT_TransportEnergyCons!L$3:L$1000)</f>
        <v>0</v>
      </c>
      <c r="O1621" s="1" cm="1">
        <f t="array" ref="O1621">SUMPRODUCT(("TFHGV-BeVELCExt"=[1]OUT_TransportEnergyCons!$A$3:$A$1000)*1,("var_fout"=[1]OUT_TransportEnergyCons!$B$3:$B$1000)*1,ISNUMBER(SEARCH("TFHGV",[1]OUT_TransportEnergyCons!$C$3:$C$1000))*1,[1]OUT_TransportEnergyCons!M$3:M$1000)</f>
        <v>0</v>
      </c>
      <c r="P1621" s="1" cm="1">
        <f t="array" ref="P1621">SUMPRODUCT(("TFHGV-BeVELCExt"=[1]OUT_TransportEnergyCons!$A$3:$A$1000)*1,("var_fout"=[1]OUT_TransportEnergyCons!$B$3:$B$1000)*1,ISNUMBER(SEARCH("TFHGV",[1]OUT_TransportEnergyCons!$C$3:$C$1000))*1,[1]OUT_TransportEnergyCons!N$3:N$1000)</f>
        <v>0</v>
      </c>
      <c r="Q1621" s="1" cm="1">
        <f t="array" ref="Q1621">SUMPRODUCT(("TFHGV-BeVELCExt"=[1]OUT_TransportEnergyCons!$A$3:$A$1000)*1,("var_fout"=[1]OUT_TransportEnergyCons!$B$3:$B$1000)*1,ISNUMBER(SEARCH("TFHGV",[1]OUT_TransportEnergyCons!$C$3:$C$1000))*1,[1]OUT_TransportEnergyCons!O$3:O$1000)</f>
        <v>0</v>
      </c>
      <c r="S1621" s="3"/>
    </row>
    <row r="1622" spans="2:19" x14ac:dyDescent="0.5">
      <c r="B1622" t="str">
        <f t="shared" si="1791"/>
        <v>SPS1</v>
      </c>
      <c r="C1622" t="str">
        <f t="shared" si="1792"/>
        <v>CH</v>
      </c>
      <c r="D1622" t="s">
        <v>1625</v>
      </c>
      <c r="E1622" t="s">
        <v>1517</v>
      </c>
      <c r="F1622" s="1" cm="1">
        <f t="array" ref="F1622">SUMPRODUCT(("TFHGV-BEVELC"=[1]OUT_TransportEnergyCons!$A$3:$A$1000)*1,("var_fout"=[1]OUT_TransportEnergyCons!$B$3:$B$1000)*1,ISNUMBER(SEARCH("TFHGV",[1]OUT_TransportEnergyCons!$C$3:$C$1000))*1,[1]OUT_TransportEnergyCons!D$3:D$1000)</f>
        <v>2.5550732007704863E-3</v>
      </c>
      <c r="G1622" s="1" cm="1">
        <f t="array" ref="G1622">SUMPRODUCT(("TFHGV-BEVELC"=[1]OUT_TransportEnergyCons!$A$3:$A$1000)*1,("var_fout"=[1]OUT_TransportEnergyCons!$B$3:$B$1000)*1,ISNUMBER(SEARCH("TFHGV",[1]OUT_TransportEnergyCons!$C$3:$C$1000))*1,[1]OUT_TransportEnergyCons!E$3:E$1000)</f>
        <v>1.5819922004715433E-2</v>
      </c>
      <c r="H1622" s="1" cm="1">
        <f t="array" ref="H1622">SUMPRODUCT(("TFHGV-BEVELC"=[1]OUT_TransportEnergyCons!$A$3:$A$1000)*1,("var_fout"=[1]OUT_TransportEnergyCons!$B$3:$B$1000)*1,ISNUMBER(SEARCH("TFHGV",[1]OUT_TransportEnergyCons!$C$3:$C$1000))*1,[1]OUT_TransportEnergyCons!F$3:F$1000)</f>
        <v>2.1250885025618094</v>
      </c>
      <c r="I1622" s="1" cm="1">
        <f t="array" ref="I1622">SUMPRODUCT(("TFHGV-BEVELC"=[1]OUT_TransportEnergyCons!$A$3:$A$1000)*1,("var_fout"=[1]OUT_TransportEnergyCons!$B$3:$B$1000)*1,ISNUMBER(SEARCH("TFHGV",[1]OUT_TransportEnergyCons!$C$3:$C$1000))*1,[1]OUT_TransportEnergyCons!G$3:G$1000)</f>
        <v>1.5447278066725287</v>
      </c>
      <c r="J1622" s="1" cm="1">
        <f t="array" ref="J1622">SUMPRODUCT(("TFHGV-BEVELC"=[1]OUT_TransportEnergyCons!$A$3:$A$1000)*1,("var_fout"=[1]OUT_TransportEnergyCons!$B$3:$B$1000)*1,ISNUMBER(SEARCH("TFHGV",[1]OUT_TransportEnergyCons!$C$3:$C$1000))*1,[1]OUT_TransportEnergyCons!H$3:H$1000)</f>
        <v>0.48662198779125287</v>
      </c>
      <c r="K1622" s="1" cm="1">
        <f t="array" ref="K1622">SUMPRODUCT(("TFHGV-BEVELC"=[1]OUT_TransportEnergyCons!$A$3:$A$1000)*1,("var_fout"=[1]OUT_TransportEnergyCons!$B$3:$B$1000)*1,ISNUMBER(SEARCH("TFHGV",[1]OUT_TransportEnergyCons!$C$3:$C$1000))*1,[1]OUT_TransportEnergyCons!I$3:I$1000)</f>
        <v>0.70264176407321455</v>
      </c>
      <c r="L1622" s="1" cm="1">
        <f t="array" ref="L1622">SUMPRODUCT(("TFHGV-BEVELC"=[1]OUT_TransportEnergyCons!$A$3:$A$1000)*1,("var_fout"=[1]OUT_TransportEnergyCons!$B$3:$B$1000)*1,ISNUMBER(SEARCH("TFHGV",[1]OUT_TransportEnergyCons!$C$3:$C$1000))*1,[1]OUT_TransportEnergyCons!J$3:J$1000)</f>
        <v>2.4685154837788481</v>
      </c>
      <c r="M1622" s="1" cm="1">
        <f t="array" ref="M1622">SUMPRODUCT(("TFHGV-BEVELC"=[1]OUT_TransportEnergyCons!$A$3:$A$1000)*1,("var_fout"=[1]OUT_TransportEnergyCons!$B$3:$B$1000)*1,ISNUMBER(SEARCH("TFHGV",[1]OUT_TransportEnergyCons!$C$3:$C$1000))*1,[1]OUT_TransportEnergyCons!K$3:K$1000)</f>
        <v>2.7234636044850316</v>
      </c>
      <c r="N1622" s="1" cm="1">
        <f t="array" ref="N1622">SUMPRODUCT(("TFHGV-BEVELC"=[1]OUT_TransportEnergyCons!$A$3:$A$1000)*1,("var_fout"=[1]OUT_TransportEnergyCons!$B$3:$B$1000)*1,ISNUMBER(SEARCH("TFHGV",[1]OUT_TransportEnergyCons!$C$3:$C$1000))*1,[1]OUT_TransportEnergyCons!L$3:L$1000)</f>
        <v>2.8127158694313406</v>
      </c>
      <c r="O1622" s="1" cm="1">
        <f t="array" ref="O1622">SUMPRODUCT(("TFHGV-BEVELC"=[1]OUT_TransportEnergyCons!$A$3:$A$1000)*1,("var_fout"=[1]OUT_TransportEnergyCons!$B$3:$B$1000)*1,ISNUMBER(SEARCH("TFHGV",[1]OUT_TransportEnergyCons!$C$3:$C$1000))*1,[1]OUT_TransportEnergyCons!M$3:M$1000)</f>
        <v>2.9107500343110826</v>
      </c>
      <c r="P1622" s="1" cm="1">
        <f t="array" ref="P1622">SUMPRODUCT(("TFHGV-BEVELC"=[1]OUT_TransportEnergyCons!$A$3:$A$1000)*1,("var_fout"=[1]OUT_TransportEnergyCons!$B$3:$B$1000)*1,ISNUMBER(SEARCH("TFHGV",[1]OUT_TransportEnergyCons!$C$3:$C$1000))*1,[1]OUT_TransportEnergyCons!N$3:N$1000)</f>
        <v>3.0143891557156755</v>
      </c>
      <c r="Q1622" s="1" cm="1">
        <f t="array" ref="Q1622">SUMPRODUCT(("TFHGV-BEVELC"=[1]OUT_TransportEnergyCons!$A$3:$A$1000)*1,("var_fout"=[1]OUT_TransportEnergyCons!$B$3:$B$1000)*1,ISNUMBER(SEARCH("TFHGV",[1]OUT_TransportEnergyCons!$C$3:$C$1000))*1,[1]OUT_TransportEnergyCons!O$3:O$1000)</f>
        <v>3.1323751702915934</v>
      </c>
      <c r="S1622" s="3"/>
    </row>
    <row r="1623" spans="2:19" x14ac:dyDescent="0.5">
      <c r="B1623" t="str">
        <f t="shared" si="1791"/>
        <v>SPS1</v>
      </c>
      <c r="C1623" t="str">
        <f t="shared" si="1792"/>
        <v>CH</v>
      </c>
      <c r="D1623" t="s">
        <v>1626</v>
      </c>
      <c r="E1623" t="s">
        <v>1517</v>
      </c>
      <c r="F1623" s="1" cm="1">
        <f t="array" ref="F1623">SUMPRODUCT(("TFHGV-FCLH2O"=[1]OUT_TransportEnergyCons!$A$3:$A$1000)*1,("var_fout"=[1]OUT_TransportEnergyCons!$B$3:$B$1000)*1,ISNUMBER(SEARCH("TFHGV",[1]OUT_TransportEnergyCons!$C$3:$C$1000))*1,[1]OUT_TransportEnergyCons!D$3:D$1000)</f>
        <v>7.358370629682344E-4</v>
      </c>
      <c r="G1623" s="1" cm="1">
        <f t="array" ref="G1623">SUMPRODUCT(("TFHGV-FCLH2O"=[1]OUT_TransportEnergyCons!$A$3:$A$1000)*1,("var_fout"=[1]OUT_TransportEnergyCons!$B$3:$B$1000)*1,ISNUMBER(SEARCH("TFHGV",[1]OUT_TransportEnergyCons!$C$3:$C$1000))*1,[1]OUT_TransportEnergyCons!E$3:E$1000)</f>
        <v>2.4187452746320479E-3</v>
      </c>
      <c r="H1623" s="1" cm="1">
        <f t="array" ref="H1623">SUMPRODUCT(("TFHGV-FCLH2O"=[1]OUT_TransportEnergyCons!$A$3:$A$1000)*1,("var_fout"=[1]OUT_TransportEnergyCons!$B$3:$B$1000)*1,ISNUMBER(SEARCH("TFHGV",[1]OUT_TransportEnergyCons!$C$3:$C$1000))*1,[1]OUT_TransportEnergyCons!F$3:F$1000)</f>
        <v>2.4592492692321402E-3</v>
      </c>
      <c r="I1623" s="1" cm="1">
        <f t="array" ref="I1623">SUMPRODUCT(("TFHGV-FCLH2O"=[1]OUT_TransportEnergyCons!$A$3:$A$1000)*1,("var_fout"=[1]OUT_TransportEnergyCons!$B$3:$B$1000)*1,ISNUMBER(SEARCH("TFHGV",[1]OUT_TransportEnergyCons!$C$3:$C$1000))*1,[1]OUT_TransportEnergyCons!G$3:G$1000)</f>
        <v>3.2530785549898718E-4</v>
      </c>
      <c r="J1623" s="1" cm="1">
        <f t="array" ref="J1623">SUMPRODUCT(("TFHGV-FCLH2O"=[1]OUT_TransportEnergyCons!$A$3:$A$1000)*1,("var_fout"=[1]OUT_TransportEnergyCons!$B$3:$B$1000)*1,ISNUMBER(SEARCH("TFHGV",[1]OUT_TransportEnergyCons!$C$3:$C$1000))*1,[1]OUT_TransportEnergyCons!H$3:H$1000)</f>
        <v>2.8605748081973623E-4</v>
      </c>
      <c r="K1623" s="1" cm="1">
        <f t="array" ref="K1623">SUMPRODUCT(("TFHGV-FCLH2O"=[1]OUT_TransportEnergyCons!$A$3:$A$1000)*1,("var_fout"=[1]OUT_TransportEnergyCons!$B$3:$B$1000)*1,ISNUMBER(SEARCH("TFHGV",[1]OUT_TransportEnergyCons!$C$3:$C$1000))*1,[1]OUT_TransportEnergyCons!I$3:I$1000)</f>
        <v>3.2432978640394413E-4</v>
      </c>
      <c r="L1623" s="1" cm="1">
        <f t="array" ref="L1623">SUMPRODUCT(("TFHGV-FCLH2O"=[1]OUT_TransportEnergyCons!$A$3:$A$1000)*1,("var_fout"=[1]OUT_TransportEnergyCons!$B$3:$B$1000)*1,ISNUMBER(SEARCH("TFHGV",[1]OUT_TransportEnergyCons!$C$3:$C$1000))*1,[1]OUT_TransportEnergyCons!J$3:J$1000)</f>
        <v>3.0224903973899246E-4</v>
      </c>
      <c r="M1623" s="1" cm="1">
        <f t="array" ref="M1623">SUMPRODUCT(("TFHGV-FCLH2O"=[1]OUT_TransportEnergyCons!$A$3:$A$1000)*1,("var_fout"=[1]OUT_TransportEnergyCons!$B$3:$B$1000)*1,ISNUMBER(SEARCH("TFHGV",[1]OUT_TransportEnergyCons!$C$3:$C$1000))*1,[1]OUT_TransportEnergyCons!K$3:K$1000)</f>
        <v>3.0157727698658566E-4</v>
      </c>
      <c r="N1623" s="1" cm="1">
        <f t="array" ref="N1623">SUMPRODUCT(("TFHGV-FCLH2O"=[1]OUT_TransportEnergyCons!$A$3:$A$1000)*1,("var_fout"=[1]OUT_TransportEnergyCons!$B$3:$B$1000)*1,ISNUMBER(SEARCH("TFHGV",[1]OUT_TransportEnergyCons!$C$3:$C$1000))*1,[1]OUT_TransportEnergyCons!L$3:L$1000)</f>
        <v>3.0455818184712364E-4</v>
      </c>
      <c r="O1623" s="1" cm="1">
        <f t="array" ref="O1623">SUMPRODUCT(("TFHGV-FCLH2O"=[1]OUT_TransportEnergyCons!$A$3:$A$1000)*1,("var_fout"=[1]OUT_TransportEnergyCons!$B$3:$B$1000)*1,ISNUMBER(SEARCH("TFHGV",[1]OUT_TransportEnergyCons!$C$3:$C$1000))*1,[1]OUT_TransportEnergyCons!M$3:M$1000)</f>
        <v>2.9855447019678708E-4</v>
      </c>
      <c r="P1623" s="1" cm="1">
        <f t="array" ref="P1623">SUMPRODUCT(("TFHGV-FCLH2O"=[1]OUT_TransportEnergyCons!$A$3:$A$1000)*1,("var_fout"=[1]OUT_TransportEnergyCons!$B$3:$B$1000)*1,ISNUMBER(SEARCH("TFHGV",[1]OUT_TransportEnergyCons!$C$3:$C$1000))*1,[1]OUT_TransportEnergyCons!N$3:N$1000)</f>
        <v>3.2945311576468121E-4</v>
      </c>
      <c r="Q1623" s="1" cm="1">
        <f t="array" ref="Q1623">SUMPRODUCT(("TFHGV-FCLH2O"=[1]OUT_TransportEnergyCons!$A$3:$A$1000)*1,("var_fout"=[1]OUT_TransportEnergyCons!$B$3:$B$1000)*1,ISNUMBER(SEARCH("TFHGV",[1]OUT_TransportEnergyCons!$C$3:$C$1000))*1,[1]OUT_TransportEnergyCons!O$3:O$1000)</f>
        <v>3.6714166828898738E-4</v>
      </c>
      <c r="S1623" s="3"/>
    </row>
    <row r="1624" spans="2:19" x14ac:dyDescent="0.5">
      <c r="B1624" t="str">
        <f t="shared" si="1791"/>
        <v>SPS1</v>
      </c>
      <c r="C1624" t="str">
        <f t="shared" si="1792"/>
        <v>CH</v>
      </c>
      <c r="D1624" t="s">
        <v>1627</v>
      </c>
      <c r="E1624" t="s">
        <v>1517</v>
      </c>
      <c r="F1624" s="1" cm="1">
        <f t="array" ref="F1624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4" s="1" cm="1">
        <f t="array" ref="G1624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4" s="1" cm="1">
        <f t="array" ref="H1624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4" s="1" cm="1">
        <f t="array" ref="I1624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4" s="1" cm="1">
        <f t="array" ref="J1624">SUMPRODUCT(("TFHGV-ICEGSLExt"=[1]OUT_TransportEnergyCons!$A$3:$A$1000)*1,("var_fout"=[1]OUT_TransportEnergyCons!$B$3:$B$1000)*1,ISNUMBER(SEARCH("TFHGV",[1]OUT_TransportEnergyCons!$C$3:$C$1000))*1,[1]OUT_TransportEnergyCons!H$3:H$1000)</f>
        <v>0</v>
      </c>
      <c r="K1624" s="1" cm="1">
        <f t="array" ref="K1624">SUMPRODUCT(("TFHGV-ICEGSLExt"=[1]OUT_TransportEnergyCons!$A$3:$A$1000)*1,("var_fout"=[1]OUT_TransportEnergyCons!$B$3:$B$1000)*1,ISNUMBER(SEARCH("TFHGV",[1]OUT_TransportEnergyCons!$C$3:$C$1000))*1,[1]OUT_TransportEnergyCons!I$3:I$1000)</f>
        <v>0</v>
      </c>
      <c r="L1624" s="1" cm="1">
        <f t="array" ref="L1624">SUMPRODUCT(("TFHGV-ICEGSLExt"=[1]OUT_TransportEnergyCons!$A$3:$A$1000)*1,("var_fout"=[1]OUT_TransportEnergyCons!$B$3:$B$1000)*1,ISNUMBER(SEARCH("TFHGV",[1]OUT_TransportEnergyCons!$C$3:$C$1000))*1,[1]OUT_TransportEnergyCons!J$3:J$1000)</f>
        <v>0</v>
      </c>
      <c r="M1624" s="1" cm="1">
        <f t="array" ref="M1624">SUMPRODUCT(("TFHGV-ICEGSLExt"=[1]OUT_TransportEnergyCons!$A$3:$A$1000)*1,("var_fout"=[1]OUT_TransportEnergyCons!$B$3:$B$1000)*1,ISNUMBER(SEARCH("TFHGV",[1]OUT_TransportEnergyCons!$C$3:$C$1000))*1,[1]OUT_TransportEnergyCons!K$3:K$1000)</f>
        <v>0</v>
      </c>
      <c r="N1624" s="1" cm="1">
        <f t="array" ref="N1624">SUMPRODUCT(("TFHGV-ICEGSLExt"=[1]OUT_TransportEnergyCons!$A$3:$A$1000)*1,("var_fout"=[1]OUT_TransportEnergyCons!$B$3:$B$1000)*1,ISNUMBER(SEARCH("TFHGV",[1]OUT_TransportEnergyCons!$C$3:$C$1000))*1,[1]OUT_TransportEnergyCons!L$3:L$1000)</f>
        <v>0</v>
      </c>
      <c r="O1624" s="1" cm="1">
        <f t="array" ref="O1624">SUMPRODUCT(("TFHGV-ICEGSLExt"=[1]OUT_TransportEnergyCons!$A$3:$A$1000)*1,("var_fout"=[1]OUT_TransportEnergyCons!$B$3:$B$1000)*1,ISNUMBER(SEARCH("TFHGV",[1]OUT_TransportEnergyCons!$C$3:$C$1000))*1,[1]OUT_TransportEnergyCons!M$3:M$1000)</f>
        <v>0</v>
      </c>
      <c r="P1624" s="1" cm="1">
        <f t="array" ref="P1624">SUMPRODUCT(("TFHGV-ICEGSLExt"=[1]OUT_TransportEnergyCons!$A$3:$A$1000)*1,("var_fout"=[1]OUT_TransportEnergyCons!$B$3:$B$1000)*1,ISNUMBER(SEARCH("TFHGV",[1]OUT_TransportEnergyCons!$C$3:$C$1000))*1,[1]OUT_TransportEnergyCons!N$3:N$1000)</f>
        <v>0</v>
      </c>
      <c r="Q1624" s="1" cm="1">
        <f t="array" ref="Q1624">SUMPRODUCT(("TFHGV-ICEGSLExt"=[1]OUT_TransportEnergyCons!$A$3:$A$1000)*1,("var_fout"=[1]OUT_TransportEnergyCons!$B$3:$B$1000)*1,ISNUMBER(SEARCH("TFHGV",[1]OUT_TransportEnergyCons!$C$3:$C$1000))*1,[1]OUT_TransportEnergyCons!O$3:O$1000)</f>
        <v>0</v>
      </c>
      <c r="S1624" s="3"/>
    </row>
    <row r="1625" spans="2:19" x14ac:dyDescent="0.5">
      <c r="B1625" t="str">
        <f t="shared" si="1791"/>
        <v>SPS1</v>
      </c>
      <c r="C1625" t="str">
        <f t="shared" si="1792"/>
        <v>CH</v>
      </c>
      <c r="D1625" t="s">
        <v>1628</v>
      </c>
      <c r="E1625" t="s">
        <v>1517</v>
      </c>
      <c r="F1625" s="1" cm="1">
        <f t="array" ref="F1625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5" s="1" cm="1">
        <f t="array" ref="G1625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5" s="1" cm="1">
        <f t="array" ref="H1625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5" s="1" cm="1">
        <f t="array" ref="I1625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5" s="1" cm="1">
        <f t="array" ref="J1625">SUMPRODUCT(("TFHGV-ICEGSL"=[1]OUT_TransportEnergyCons!$A$3:$A$1000)*1,("var_fout"=[1]OUT_TransportEnergyCons!$B$3:$B$1000)*1,ISNUMBER(SEARCH("TFHGV",[1]OUT_TransportEnergyCons!$C$3:$C$1000))*1,[1]OUT_TransportEnergyCons!H$3:H$1000)</f>
        <v>0</v>
      </c>
      <c r="K1625" s="1" cm="1">
        <f t="array" ref="K1625">SUMPRODUCT(("TFHGV-ICEGSL"=[1]OUT_TransportEnergyCons!$A$3:$A$1000)*1,("var_fout"=[1]OUT_TransportEnergyCons!$B$3:$B$1000)*1,ISNUMBER(SEARCH("TFHGV",[1]OUT_TransportEnergyCons!$C$3:$C$1000))*1,[1]OUT_TransportEnergyCons!I$3:I$1000)</f>
        <v>0</v>
      </c>
      <c r="L1625" s="1" cm="1">
        <f t="array" ref="L1625">SUMPRODUCT(("TFHGV-ICEGSL"=[1]OUT_TransportEnergyCons!$A$3:$A$1000)*1,("var_fout"=[1]OUT_TransportEnergyCons!$B$3:$B$1000)*1,ISNUMBER(SEARCH("TFHGV",[1]OUT_TransportEnergyCons!$C$3:$C$1000))*1,[1]OUT_TransportEnergyCons!J$3:J$1000)</f>
        <v>0</v>
      </c>
      <c r="M1625" s="1" cm="1">
        <f t="array" ref="M1625">SUMPRODUCT(("TFHGV-ICEGSL"=[1]OUT_TransportEnergyCons!$A$3:$A$1000)*1,("var_fout"=[1]OUT_TransportEnergyCons!$B$3:$B$1000)*1,ISNUMBER(SEARCH("TFHGV",[1]OUT_TransportEnergyCons!$C$3:$C$1000))*1,[1]OUT_TransportEnergyCons!K$3:K$1000)</f>
        <v>0</v>
      </c>
      <c r="N1625" s="1" cm="1">
        <f t="array" ref="N1625">SUMPRODUCT(("TFHGV-ICEGSL"=[1]OUT_TransportEnergyCons!$A$3:$A$1000)*1,("var_fout"=[1]OUT_TransportEnergyCons!$B$3:$B$1000)*1,ISNUMBER(SEARCH("TFHGV",[1]OUT_TransportEnergyCons!$C$3:$C$1000))*1,[1]OUT_TransportEnergyCons!L$3:L$1000)</f>
        <v>0</v>
      </c>
      <c r="O1625" s="1" cm="1">
        <f t="array" ref="O1625">SUMPRODUCT(("TFHGV-ICEGSL"=[1]OUT_TransportEnergyCons!$A$3:$A$1000)*1,("var_fout"=[1]OUT_TransportEnergyCons!$B$3:$B$1000)*1,ISNUMBER(SEARCH("TFHGV",[1]OUT_TransportEnergyCons!$C$3:$C$1000))*1,[1]OUT_TransportEnergyCons!M$3:M$1000)</f>
        <v>0</v>
      </c>
      <c r="P1625" s="1" cm="1">
        <f t="array" ref="P1625">SUMPRODUCT(("TFHGV-ICEGSL"=[1]OUT_TransportEnergyCons!$A$3:$A$1000)*1,("var_fout"=[1]OUT_TransportEnergyCons!$B$3:$B$1000)*1,ISNUMBER(SEARCH("TFHGV",[1]OUT_TransportEnergyCons!$C$3:$C$1000))*1,[1]OUT_TransportEnergyCons!N$3:N$1000)</f>
        <v>0</v>
      </c>
      <c r="Q1625" s="1" cm="1">
        <f t="array" ref="Q1625">SUMPRODUCT(("TFHGV-ICEGSL"=[1]OUT_TransportEnergyCons!$A$3:$A$1000)*1,("var_fout"=[1]OUT_TransportEnergyCons!$B$3:$B$1000)*1,ISNUMBER(SEARCH("TFHGV",[1]OUT_TransportEnergyCons!$C$3:$C$1000))*1,[1]OUT_TransportEnergyCons!O$3:O$1000)</f>
        <v>0</v>
      </c>
      <c r="S1625" s="3"/>
    </row>
    <row r="1626" spans="2:19" x14ac:dyDescent="0.5">
      <c r="B1626" t="str">
        <f t="shared" si="1791"/>
        <v>SPS1</v>
      </c>
      <c r="C1626" t="str">
        <f t="shared" si="1792"/>
        <v>CH</v>
      </c>
      <c r="D1626" t="s">
        <v>1629</v>
      </c>
      <c r="E1626" t="s">
        <v>1517</v>
      </c>
      <c r="F1626" s="1" cm="1">
        <f t="array" ref="F1626">SUMPRODUCT(("TFHGV-ICEdslExt"=[1]OUT_TransportEnergyCons!$A$3:$A$1000)*1,("var_fout"=[1]OUT_TransportEnergyCons!$B$3:$B$1000)*1,ISNUMBER(SEARCH("TFHGV",[1]OUT_TransportEnergyCons!$C$3:$C$1000))*1,[1]OUT_TransportEnergyCons!D$3:D$1000)</f>
        <v>1.5682038613117291</v>
      </c>
      <c r="G1626" s="1" cm="1">
        <f t="array" ref="G1626">SUMPRODUCT(("TFHGV-ICEdslExt"=[1]OUT_TransportEnergyCons!$A$3:$A$1000)*1,("var_fout"=[1]OUT_TransportEnergyCons!$B$3:$B$1000)*1,ISNUMBER(SEARCH("TFHGV",[1]OUT_TransportEnergyCons!$C$3:$C$1000))*1,[1]OUT_TransportEnergyCons!E$3:E$1000)</f>
        <v>1.3432987484777053</v>
      </c>
      <c r="H1626" s="1" cm="1">
        <f t="array" ref="H1626">SUMPRODUCT(("TFHGV-ICEdslExt"=[1]OUT_TransportEnergyCons!$A$3:$A$1000)*1,("var_fout"=[1]OUT_TransportEnergyCons!$B$3:$B$1000)*1,ISNUMBER(SEARCH("TFHGV",[1]OUT_TransportEnergyCons!$C$3:$C$1000))*1,[1]OUT_TransportEnergyCons!F$3:F$1000)</f>
        <v>0.12637562544138461</v>
      </c>
      <c r="I1626" s="1" cm="1">
        <f t="array" ref="I1626">SUMPRODUCT(("TFHGV-ICEdslExt"=[1]OUT_TransportEnergyCons!$A$3:$A$1000)*1,("var_fout"=[1]OUT_TransportEnergyCons!$B$3:$B$1000)*1,ISNUMBER(SEARCH("TFHGV",[1]OUT_TransportEnergyCons!$C$3:$C$1000))*1,[1]OUT_TransportEnergyCons!G$3:G$1000)</f>
        <v>0.12644544024690704</v>
      </c>
      <c r="J1626" s="1" cm="1">
        <f t="array" ref="J1626">SUMPRODUCT(("TFHGV-ICEdslExt"=[1]OUT_TransportEnergyCons!$A$3:$A$1000)*1,("var_fout"=[1]OUT_TransportEnergyCons!$B$3:$B$1000)*1,ISNUMBER(SEARCH("TFHGV",[1]OUT_TransportEnergyCons!$C$3:$C$1000))*1,[1]OUT_TransportEnergyCons!H$3:H$1000)</f>
        <v>0</v>
      </c>
      <c r="K1626" s="1" cm="1">
        <f t="array" ref="K1626">SUMPRODUCT(("TFHGV-ICEdslExt"=[1]OUT_TransportEnergyCons!$A$3:$A$1000)*1,("var_fout"=[1]OUT_TransportEnergyCons!$B$3:$B$1000)*1,ISNUMBER(SEARCH("TFHGV",[1]OUT_TransportEnergyCons!$C$3:$C$1000))*1,[1]OUT_TransportEnergyCons!I$3:I$1000)</f>
        <v>0</v>
      </c>
      <c r="L1626" s="1" cm="1">
        <f t="array" ref="L1626">SUMPRODUCT(("TFHGV-ICEdslExt"=[1]OUT_TransportEnergyCons!$A$3:$A$1000)*1,("var_fout"=[1]OUT_TransportEnergyCons!$B$3:$B$1000)*1,ISNUMBER(SEARCH("TFHGV",[1]OUT_TransportEnergyCons!$C$3:$C$1000))*1,[1]OUT_TransportEnergyCons!J$3:J$1000)</f>
        <v>0</v>
      </c>
      <c r="M1626" s="1" cm="1">
        <f t="array" ref="M1626">SUMPRODUCT(("TFHGV-ICEdslExt"=[1]OUT_TransportEnergyCons!$A$3:$A$1000)*1,("var_fout"=[1]OUT_TransportEnergyCons!$B$3:$B$1000)*1,ISNUMBER(SEARCH("TFHGV",[1]OUT_TransportEnergyCons!$C$3:$C$1000))*1,[1]OUT_TransportEnergyCons!K$3:K$1000)</f>
        <v>0</v>
      </c>
      <c r="N1626" s="1" cm="1">
        <f t="array" ref="N1626">SUMPRODUCT(("TFHGV-ICEdslExt"=[1]OUT_TransportEnergyCons!$A$3:$A$1000)*1,("var_fout"=[1]OUT_TransportEnergyCons!$B$3:$B$1000)*1,ISNUMBER(SEARCH("TFHGV",[1]OUT_TransportEnergyCons!$C$3:$C$1000))*1,[1]OUT_TransportEnergyCons!L$3:L$1000)</f>
        <v>0</v>
      </c>
      <c r="O1626" s="1" cm="1">
        <f t="array" ref="O1626">SUMPRODUCT(("TFHGV-ICEdslExt"=[1]OUT_TransportEnergyCons!$A$3:$A$1000)*1,("var_fout"=[1]OUT_TransportEnergyCons!$B$3:$B$1000)*1,ISNUMBER(SEARCH("TFHGV",[1]OUT_TransportEnergyCons!$C$3:$C$1000))*1,[1]OUT_TransportEnergyCons!M$3:M$1000)</f>
        <v>0</v>
      </c>
      <c r="P1626" s="1" cm="1">
        <f t="array" ref="P1626">SUMPRODUCT(("TFHGV-ICEdslExt"=[1]OUT_TransportEnergyCons!$A$3:$A$1000)*1,("var_fout"=[1]OUT_TransportEnergyCons!$B$3:$B$1000)*1,ISNUMBER(SEARCH("TFHGV",[1]OUT_TransportEnergyCons!$C$3:$C$1000))*1,[1]OUT_TransportEnergyCons!N$3:N$1000)</f>
        <v>0</v>
      </c>
      <c r="Q1626" s="1" cm="1">
        <f t="array" ref="Q1626">SUMPRODUCT(("TFHGV-ICEdslExt"=[1]OUT_TransportEnergyCons!$A$3:$A$1000)*1,("var_fout"=[1]OUT_TransportEnergyCons!$B$3:$B$1000)*1,ISNUMBER(SEARCH("TFHGV",[1]OUT_TransportEnergyCons!$C$3:$C$1000))*1,[1]OUT_TransportEnergyCons!O$3:O$1000)</f>
        <v>0</v>
      </c>
      <c r="S1626" s="3"/>
    </row>
    <row r="1627" spans="2:19" x14ac:dyDescent="0.5">
      <c r="B1627" t="str">
        <f t="shared" si="1791"/>
        <v>SPS1</v>
      </c>
      <c r="C1627" t="str">
        <f t="shared" si="1792"/>
        <v>CH</v>
      </c>
      <c r="D1627" t="s">
        <v>1630</v>
      </c>
      <c r="E1627" t="s">
        <v>1517</v>
      </c>
      <c r="F1627" s="1" cm="1">
        <f t="array" ref="F1627">SUMPRODUCT(("TFHGV-ICEdsl"=[1]OUT_TransportEnergyCons!$A$3:$A$1000)*1,("var_fout"=[1]OUT_TransportEnergyCons!$B$3:$B$1000)*1,ISNUMBER(SEARCH("TFHGV",[1]OUT_TransportEnergyCons!$C$3:$C$1000))*1,[1]OUT_TransportEnergyCons!D$3:D$1000)</f>
        <v>0.62572601042840681</v>
      </c>
      <c r="G1627" s="1" cm="1">
        <f t="array" ref="G1627">SUMPRODUCT(("TFHGV-ICEdsl"=[1]OUT_TransportEnergyCons!$A$3:$A$1000)*1,("var_fout"=[1]OUT_TransportEnergyCons!$B$3:$B$1000)*1,ISNUMBER(SEARCH("TFHGV",[1]OUT_TransportEnergyCons!$C$3:$C$1000))*1,[1]OUT_TransportEnergyCons!E$3:E$1000)</f>
        <v>0.73304897351449605</v>
      </c>
      <c r="H1627" s="1" cm="1">
        <f t="array" ref="H1627">SUMPRODUCT(("TFHGV-ICEdsl"=[1]OUT_TransportEnergyCons!$A$3:$A$1000)*1,("var_fout"=[1]OUT_TransportEnergyCons!$B$3:$B$1000)*1,ISNUMBER(SEARCH("TFHGV",[1]OUT_TransportEnergyCons!$C$3:$C$1000))*1,[1]OUT_TransportEnergyCons!F$3:F$1000)</f>
        <v>1.8645515313400735E-4</v>
      </c>
      <c r="I1627" s="1" cm="1">
        <f t="array" ref="I1627">SUMPRODUCT(("TFHGV-ICEdsl"=[1]OUT_TransportEnergyCons!$A$3:$A$1000)*1,("var_fout"=[1]OUT_TransportEnergyCons!$B$3:$B$1000)*1,ISNUMBER(SEARCH("TFHGV",[1]OUT_TransportEnergyCons!$C$3:$C$1000))*1,[1]OUT_TransportEnergyCons!G$3:G$1000)</f>
        <v>1.1511767561761346E-3</v>
      </c>
      <c r="J1627" s="1" cm="1">
        <f t="array" ref="J1627">SUMPRODUCT(("TFHGV-ICEdsl"=[1]OUT_TransportEnergyCons!$A$3:$A$1000)*1,("var_fout"=[1]OUT_TransportEnergyCons!$B$3:$B$1000)*1,ISNUMBER(SEARCH("TFHGV",[1]OUT_TransportEnergyCons!$C$3:$C$1000))*1,[1]OUT_TransportEnergyCons!H$3:H$1000)</f>
        <v>5.2278131901757196E-4</v>
      </c>
      <c r="K1627" s="1" cm="1">
        <f t="array" ref="K1627">SUMPRODUCT(("TFHGV-ICEdsl"=[1]OUT_TransportEnergyCons!$A$3:$A$1000)*1,("var_fout"=[1]OUT_TransportEnergyCons!$B$3:$B$1000)*1,ISNUMBER(SEARCH("TFHGV",[1]OUT_TransportEnergyCons!$C$3:$C$1000))*1,[1]OUT_TransportEnergyCons!I$3:I$1000)</f>
        <v>3.7910680191717485E-4</v>
      </c>
      <c r="L1627" s="1" cm="1">
        <f t="array" ref="L1627">SUMPRODUCT(("TFHGV-ICEdsl"=[1]OUT_TransportEnergyCons!$A$3:$A$1000)*1,("var_fout"=[1]OUT_TransportEnergyCons!$B$3:$B$1000)*1,ISNUMBER(SEARCH("TFHGV",[1]OUT_TransportEnergyCons!$C$3:$C$1000))*1,[1]OUT_TransportEnergyCons!J$3:J$1000)</f>
        <v>2.418539574318089E-4</v>
      </c>
      <c r="M1627" s="1" cm="1">
        <f t="array" ref="M1627">SUMPRODUCT(("TFHGV-ICEdsl"=[1]OUT_TransportEnergyCons!$A$3:$A$1000)*1,("var_fout"=[1]OUT_TransportEnergyCons!$B$3:$B$1000)*1,ISNUMBER(SEARCH("TFHGV",[1]OUT_TransportEnergyCons!$C$3:$C$1000))*1,[1]OUT_TransportEnergyCons!K$3:K$1000)</f>
        <v>9.0288876421124869E-5</v>
      </c>
      <c r="N1627" s="1" cm="1">
        <f t="array" ref="N1627">SUMPRODUCT(("TFHGV-ICEdsl"=[1]OUT_TransportEnergyCons!$A$3:$A$1000)*1,("var_fout"=[1]OUT_TransportEnergyCons!$B$3:$B$1000)*1,ISNUMBER(SEARCH("TFHGV",[1]OUT_TransportEnergyCons!$C$3:$C$1000))*1,[1]OUT_TransportEnergyCons!L$3:L$1000)</f>
        <v>0</v>
      </c>
      <c r="O1627" s="1" cm="1">
        <f t="array" ref="O1627">SUMPRODUCT(("TFHGV-ICEdsl"=[1]OUT_TransportEnergyCons!$A$3:$A$1000)*1,("var_fout"=[1]OUT_TransportEnergyCons!$B$3:$B$1000)*1,ISNUMBER(SEARCH("TFHGV",[1]OUT_TransportEnergyCons!$C$3:$C$1000))*1,[1]OUT_TransportEnergyCons!M$3:M$1000)</f>
        <v>0</v>
      </c>
      <c r="P1627" s="1" cm="1">
        <f t="array" ref="P1627">SUMPRODUCT(("TFHGV-ICEdsl"=[1]OUT_TransportEnergyCons!$A$3:$A$1000)*1,("var_fout"=[1]OUT_TransportEnergyCons!$B$3:$B$1000)*1,ISNUMBER(SEARCH("TFHGV",[1]OUT_TransportEnergyCons!$C$3:$C$1000))*1,[1]OUT_TransportEnergyCons!N$3:N$1000)</f>
        <v>0</v>
      </c>
      <c r="Q1627" s="1" cm="1">
        <f t="array" ref="Q1627">SUMPRODUCT(("TFHGV-ICEdsl"=[1]OUT_TransportEnergyCons!$A$3:$A$1000)*1,("var_fout"=[1]OUT_TransportEnergyCons!$B$3:$B$1000)*1,ISNUMBER(SEARCH("TFHGV",[1]OUT_TransportEnergyCons!$C$3:$C$1000))*1,[1]OUT_TransportEnergyCons!O$3:O$1000)</f>
        <v>0</v>
      </c>
      <c r="S1627" s="3"/>
    </row>
    <row r="1628" spans="2:19" x14ac:dyDescent="0.5">
      <c r="B1628" t="str">
        <f t="shared" si="1791"/>
        <v>SPS1</v>
      </c>
      <c r="C1628" t="str">
        <f t="shared" si="1792"/>
        <v>CH</v>
      </c>
      <c r="D1628" t="s">
        <v>1631</v>
      </c>
      <c r="E1628" t="s">
        <v>1517</v>
      </c>
      <c r="F1628" s="1" cm="1">
        <f t="array" ref="F1628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8" s="1" cm="1">
        <f t="array" ref="G1628">SUMPRODUCT(("TFHGV-HYBDSL"=[1]OUT_TransportEnergyCons!$A$3:$A$1000)*1,("var_fout"=[1]OUT_TransportEnergyCons!$B$3:$B$1000)*1,ISNUMBER(SEARCH("TFHGV",[1]OUT_TransportEnergyCons!$C$3:$C$1000))*1,[1]OUT_TransportEnergyCons!E$3:E$1000)</f>
        <v>0.12739311477792739</v>
      </c>
      <c r="H1628" s="1" cm="1">
        <f t="array" ref="H1628">SUMPRODUCT(("TFHGV-HYBDSL"=[1]OUT_TransportEnergyCons!$A$3:$A$1000)*1,("var_fout"=[1]OUT_TransportEnergyCons!$B$3:$B$1000)*1,ISNUMBER(SEARCH("TFHGV",[1]OUT_TransportEnergyCons!$C$3:$C$1000))*1,[1]OUT_TransportEnergyCons!F$3:F$1000)</f>
        <v>3.9365340123709888E-4</v>
      </c>
      <c r="I1628" s="1" cm="1">
        <f t="array" ref="I1628">SUMPRODUCT(("TFHGV-HYBDSL"=[1]OUT_TransportEnergyCons!$A$3:$A$1000)*1,("var_fout"=[1]OUT_TransportEnergyCons!$B$3:$B$1000)*1,ISNUMBER(SEARCH("TFHGV",[1]OUT_TransportEnergyCons!$C$3:$C$1000))*1,[1]OUT_TransportEnergyCons!G$3:G$1000)</f>
        <v>0.63931040749446533</v>
      </c>
      <c r="J1628" s="1" cm="1">
        <f t="array" ref="J1628">SUMPRODUCT(("TFHGV-HYBDSL"=[1]OUT_TransportEnergyCons!$A$3:$A$1000)*1,("var_fout"=[1]OUT_TransportEnergyCons!$B$3:$B$1000)*1,ISNUMBER(SEARCH("TFHGV",[1]OUT_TransportEnergyCons!$C$3:$C$1000))*1,[1]OUT_TransportEnergyCons!H$3:H$1000)</f>
        <v>1.9253166895875435</v>
      </c>
      <c r="K1628" s="1" cm="1">
        <f t="array" ref="K1628">SUMPRODUCT(("TFHGV-HYBDSL"=[1]OUT_TransportEnergyCons!$A$3:$A$1000)*1,("var_fout"=[1]OUT_TransportEnergyCons!$B$3:$B$1000)*1,ISNUMBER(SEARCH("TFHGV",[1]OUT_TransportEnergyCons!$C$3:$C$1000))*1,[1]OUT_TransportEnergyCons!I$3:I$1000)</f>
        <v>1.8106708166504637</v>
      </c>
      <c r="L1628" s="1" cm="1">
        <f t="array" ref="L1628">SUMPRODUCT(("TFHGV-HYBDSL"=[1]OUT_TransportEnergyCons!$A$3:$A$1000)*1,("var_fout"=[1]OUT_TransportEnergyCons!$B$3:$B$1000)*1,ISNUMBER(SEARCH("TFHGV",[1]OUT_TransportEnergyCons!$C$3:$C$1000))*1,[1]OUT_TransportEnergyCons!J$3:J$1000)</f>
        <v>0.15189942337930393</v>
      </c>
      <c r="M1628" s="1" cm="1">
        <f t="array" ref="M1628">SUMPRODUCT(("TFHGV-HYBDSL"=[1]OUT_TransportEnergyCons!$A$3:$A$1000)*1,("var_fout"=[1]OUT_TransportEnergyCons!$B$3:$B$1000)*1,ISNUMBER(SEARCH("TFHGV",[1]OUT_TransportEnergyCons!$C$3:$C$1000))*1,[1]OUT_TransportEnergyCons!K$3:K$1000)</f>
        <v>3.3968611778693153E-4</v>
      </c>
      <c r="N1628" s="1" cm="1">
        <f t="array" ref="N1628">SUMPRODUCT(("TFHGV-HYBDSL"=[1]OUT_TransportEnergyCons!$A$3:$A$1000)*1,("var_fout"=[1]OUT_TransportEnergyCons!$B$3:$B$1000)*1,ISNUMBER(SEARCH("TFHGV",[1]OUT_TransportEnergyCons!$C$3:$C$1000))*1,[1]OUT_TransportEnergyCons!L$3:L$1000)</f>
        <v>0</v>
      </c>
      <c r="O1628" s="1" cm="1">
        <f t="array" ref="O1628">SUMPRODUCT(("TFHGV-HYBDSL"=[1]OUT_TransportEnergyCons!$A$3:$A$1000)*1,("var_fout"=[1]OUT_TransportEnergyCons!$B$3:$B$1000)*1,ISNUMBER(SEARCH("TFHGV",[1]OUT_TransportEnergyCons!$C$3:$C$1000))*1,[1]OUT_TransportEnergyCons!M$3:M$1000)</f>
        <v>0</v>
      </c>
      <c r="P1628" s="1" cm="1">
        <f t="array" ref="P1628">SUMPRODUCT(("TFHGV-HYBDSL"=[1]OUT_TransportEnergyCons!$A$3:$A$1000)*1,("var_fout"=[1]OUT_TransportEnergyCons!$B$3:$B$1000)*1,ISNUMBER(SEARCH("TFHGV",[1]OUT_TransportEnergyCons!$C$3:$C$1000))*1,[1]OUT_TransportEnergyCons!N$3:N$1000)</f>
        <v>0</v>
      </c>
      <c r="Q1628" s="1" cm="1">
        <f t="array" ref="Q1628">SUMPRODUCT(("TFHGV-HYBDSL"=[1]OUT_TransportEnergyCons!$A$3:$A$1000)*1,("var_fout"=[1]OUT_TransportEnergyCons!$B$3:$B$1000)*1,ISNUMBER(SEARCH("TFHGV",[1]OUT_TransportEnergyCons!$C$3:$C$1000))*1,[1]OUT_TransportEnergyCons!O$3:O$1000)</f>
        <v>0</v>
      </c>
      <c r="S1628" s="3"/>
    </row>
    <row r="1629" spans="2:19" x14ac:dyDescent="0.5">
      <c r="B1629" t="str">
        <f t="shared" si="1791"/>
        <v>SPS1</v>
      </c>
      <c r="C1629" t="str">
        <f t="shared" si="1792"/>
        <v>CH</v>
      </c>
      <c r="D1629" t="s">
        <v>1632</v>
      </c>
      <c r="E1629" t="s">
        <v>1517</v>
      </c>
      <c r="F1629" s="1" cm="1">
        <f t="array" ref="F1629">SUMPRODUCT(("TFHGV-ICENGA"=[1]OUT_TransportEnergyCons!$A$3:$A$1000)*1,("var_fout"=[1]OUT_TransportEnergyCons!$B$3:$B$1000)*1,ISNUMBER(SEARCH("TFHGV",[1]OUT_TransportEnergyCons!$C$3:$C$1000))*1,[1]OUT_TransportEnergyCons!D$3:D$1000)</f>
        <v>6.3828538126776456E-3</v>
      </c>
      <c r="G1629" s="1" cm="1">
        <f t="array" ref="G1629">SUMPRODUCT(("TFHGV-ICENGA"=[1]OUT_TransportEnergyCons!$A$3:$A$1000)*1,("var_fout"=[1]OUT_TransportEnergyCons!$B$3:$B$1000)*1,ISNUMBER(SEARCH("TFHGV",[1]OUT_TransportEnergyCons!$C$3:$C$1000))*1,[1]OUT_TransportEnergyCons!E$3:E$1000)</f>
        <v>4.6831777638614248E-3</v>
      </c>
      <c r="H1629" s="1" cm="1">
        <f t="array" ref="H1629">SUMPRODUCT(("TFHGV-ICENGA"=[1]OUT_TransportEnergyCons!$A$3:$A$1000)*1,("var_fout"=[1]OUT_TransportEnergyCons!$B$3:$B$1000)*1,ISNUMBER(SEARCH("TFHGV",[1]OUT_TransportEnergyCons!$C$3:$C$1000))*1,[1]OUT_TransportEnergyCons!F$3:F$1000)</f>
        <v>6.6336826102844403E-3</v>
      </c>
      <c r="I1629" s="1" cm="1">
        <f t="array" ref="I1629">SUMPRODUCT(("TFHGV-ICENGA"=[1]OUT_TransportEnergyCons!$A$3:$A$1000)*1,("var_fout"=[1]OUT_TransportEnergyCons!$B$3:$B$1000)*1,ISNUMBER(SEARCH("TFHGV",[1]OUT_TransportEnergyCons!$C$3:$C$1000))*1,[1]OUT_TransportEnergyCons!G$3:G$1000)</f>
        <v>6.4555539229065612E-3</v>
      </c>
      <c r="J1629" s="1" cm="1">
        <f t="array" ref="J1629">SUMPRODUCT(("TFHGV-ICENGA"=[1]OUT_TransportEnergyCons!$A$3:$A$1000)*1,("var_fout"=[1]OUT_TransportEnergyCons!$B$3:$B$1000)*1,ISNUMBER(SEARCH("TFHGV",[1]OUT_TransportEnergyCons!$C$3:$C$1000))*1,[1]OUT_TransportEnergyCons!H$3:H$1000)</f>
        <v>6.2909638408332287E-3</v>
      </c>
      <c r="K1629" s="1" cm="1">
        <f t="array" ref="K1629">SUMPRODUCT(("TFHGV-ICENGA"=[1]OUT_TransportEnergyCons!$A$3:$A$1000)*1,("var_fout"=[1]OUT_TransportEnergyCons!$B$3:$B$1000)*1,ISNUMBER(SEARCH("TFHGV",[1]OUT_TransportEnergyCons!$C$3:$C$1000))*1,[1]OUT_TransportEnergyCons!I$3:I$1000)</f>
        <v>6.2198817083865873E-3</v>
      </c>
      <c r="L1629" s="1" cm="1">
        <f t="array" ref="L1629">SUMPRODUCT(("TFHGV-ICENGA"=[1]OUT_TransportEnergyCons!$A$3:$A$1000)*1,("var_fout"=[1]OUT_TransportEnergyCons!$B$3:$B$1000)*1,ISNUMBER(SEARCH("TFHGV",[1]OUT_TransportEnergyCons!$C$3:$C$1000))*1,[1]OUT_TransportEnergyCons!J$3:J$1000)</f>
        <v>1.5126302822565704E-3</v>
      </c>
      <c r="M1629" s="1" cm="1">
        <f t="array" ref="M1629">SUMPRODUCT(("TFHGV-ICENGA"=[1]OUT_TransportEnergyCons!$A$3:$A$1000)*1,("var_fout"=[1]OUT_TransportEnergyCons!$B$3:$B$1000)*1,ISNUMBER(SEARCH("TFHGV",[1]OUT_TransportEnergyCons!$C$3:$C$1000))*1,[1]OUT_TransportEnergyCons!K$3:K$1000)</f>
        <v>4.7196062969356839E-4</v>
      </c>
      <c r="N1629" s="1" cm="1">
        <f t="array" ref="N1629">SUMPRODUCT(("TFHGV-ICENGA"=[1]OUT_TransportEnergyCons!$A$3:$A$1000)*1,("var_fout"=[1]OUT_TransportEnergyCons!$B$3:$B$1000)*1,ISNUMBER(SEARCH("TFHGV",[1]OUT_TransportEnergyCons!$C$3:$C$1000))*1,[1]OUT_TransportEnergyCons!L$3:L$1000)</f>
        <v>0</v>
      </c>
      <c r="O1629" s="1" cm="1">
        <f t="array" ref="O1629">SUMPRODUCT(("TFHGV-ICENGA"=[1]OUT_TransportEnergyCons!$A$3:$A$1000)*1,("var_fout"=[1]OUT_TransportEnergyCons!$B$3:$B$1000)*1,ISNUMBER(SEARCH("TFHGV",[1]OUT_TransportEnergyCons!$C$3:$C$1000))*1,[1]OUT_TransportEnergyCons!M$3:M$1000)</f>
        <v>0</v>
      </c>
      <c r="P1629" s="1" cm="1">
        <f t="array" ref="P1629">SUMPRODUCT(("TFHGV-ICENGA"=[1]OUT_TransportEnergyCons!$A$3:$A$1000)*1,("var_fout"=[1]OUT_TransportEnergyCons!$B$3:$B$1000)*1,ISNUMBER(SEARCH("TFHGV",[1]OUT_TransportEnergyCons!$C$3:$C$1000))*1,[1]OUT_TransportEnergyCons!N$3:N$1000)</f>
        <v>0</v>
      </c>
      <c r="Q1629" s="1" cm="1">
        <f t="array" ref="Q1629">SUMPRODUCT(("TFHGV-ICENGA"=[1]OUT_TransportEnergyCons!$A$3:$A$1000)*1,("var_fout"=[1]OUT_TransportEnergyCons!$B$3:$B$1000)*1,ISNUMBER(SEARCH("TFHGV",[1]OUT_TransportEnergyCons!$C$3:$C$1000))*1,[1]OUT_TransportEnergyCons!O$3:O$1000)</f>
        <v>0</v>
      </c>
      <c r="S1629" s="3"/>
    </row>
    <row r="1630" spans="2:19" x14ac:dyDescent="0.5">
      <c r="B1630" s="2" t="str">
        <f t="shared" si="1791"/>
        <v>SPS1</v>
      </c>
      <c r="C1630" s="2" t="str">
        <f t="shared" si="1792"/>
        <v>CH</v>
      </c>
      <c r="D1630" s="2" t="s">
        <v>1633</v>
      </c>
      <c r="E1630" s="2" t="s">
        <v>1229</v>
      </c>
      <c r="F1630" s="22" t="s">
        <v>292</v>
      </c>
      <c r="G1630" s="22" t="s">
        <v>292</v>
      </c>
      <c r="H1630" s="22" t="s">
        <v>292</v>
      </c>
      <c r="I1630" s="22" t="s">
        <v>292</v>
      </c>
      <c r="J1630" s="22" t="s">
        <v>292</v>
      </c>
      <c r="K1630" s="22" t="s">
        <v>292</v>
      </c>
      <c r="L1630" s="22" t="s">
        <v>292</v>
      </c>
      <c r="M1630" s="22" t="s">
        <v>292</v>
      </c>
      <c r="N1630" s="22" t="s">
        <v>292</v>
      </c>
      <c r="O1630" s="22" t="s">
        <v>292</v>
      </c>
      <c r="P1630" s="22" t="s">
        <v>292</v>
      </c>
      <c r="Q1630" s="22" t="s">
        <v>292</v>
      </c>
      <c r="S1630" s="3"/>
    </row>
    <row r="1631" spans="2:19" x14ac:dyDescent="0.5">
      <c r="B1631" t="str">
        <f t="shared" si="1791"/>
        <v>SPS1</v>
      </c>
      <c r="C1631" t="str">
        <f t="shared" si="1792"/>
        <v>CH</v>
      </c>
      <c r="D1631" t="s">
        <v>1634</v>
      </c>
      <c r="E1631" t="str">
        <f>E1630</f>
        <v>km/MJ</v>
      </c>
      <c r="F1631" s="1" t="str">
        <f>IFERROR(F1621/F1595,"-")</f>
        <v>-</v>
      </c>
      <c r="G1631" s="1" t="str">
        <f t="shared" ref="G1631:K1631" si="1829">IFERROR(G1621/G1595,"-")</f>
        <v>-</v>
      </c>
      <c r="H1631" s="1" t="str">
        <f t="shared" si="1829"/>
        <v>-</v>
      </c>
      <c r="I1631" s="1" t="str">
        <f t="shared" si="1829"/>
        <v>-</v>
      </c>
      <c r="J1631" s="1" t="str">
        <f t="shared" si="1829"/>
        <v>-</v>
      </c>
      <c r="K1631" s="1" t="str">
        <f t="shared" si="1829"/>
        <v>-</v>
      </c>
      <c r="L1631" s="1" t="str">
        <f t="shared" ref="L1631:O1631" si="1830">IFERROR(L1621/L1595,"-")</f>
        <v>-</v>
      </c>
      <c r="M1631" s="1" t="str">
        <f t="shared" si="1830"/>
        <v>-</v>
      </c>
      <c r="N1631" s="1" t="str">
        <f t="shared" si="1830"/>
        <v>-</v>
      </c>
      <c r="O1631" s="1" t="str">
        <f t="shared" si="1830"/>
        <v>-</v>
      </c>
      <c r="P1631" s="1" t="str">
        <f>IFERROR(P1621/P1595,"-")</f>
        <v>-</v>
      </c>
      <c r="Q1631" s="1" t="str">
        <f>IFERROR(Q1621/Q1595,"-")</f>
        <v>-</v>
      </c>
      <c r="S1631" s="3"/>
    </row>
    <row r="1632" spans="2:19" x14ac:dyDescent="0.5">
      <c r="B1632" t="str">
        <f t="shared" si="1791"/>
        <v>SPS1</v>
      </c>
      <c r="C1632" t="str">
        <f t="shared" si="1792"/>
        <v>CH</v>
      </c>
      <c r="D1632" t="s">
        <v>1635</v>
      </c>
      <c r="E1632" t="str">
        <f t="shared" ref="E1632:E1639" si="1831">E1631</f>
        <v>km/MJ</v>
      </c>
      <c r="F1632" s="1">
        <f>IFERROR(F1622/F1596,"-")</f>
        <v>0.268727764165409</v>
      </c>
      <c r="G1632" s="1">
        <f t="shared" ref="G1632:K1632" si="1832">IFERROR(G1622/G1596,"-")</f>
        <v>0.27216794263806987</v>
      </c>
      <c r="H1632" s="1">
        <f t="shared" si="1832"/>
        <v>0.28064522088265836</v>
      </c>
      <c r="I1632" s="1">
        <f t="shared" si="1832"/>
        <v>0.28069132150588061</v>
      </c>
      <c r="J1632" s="1">
        <f t="shared" si="1832"/>
        <v>0.30493648335594192</v>
      </c>
      <c r="K1632" s="1">
        <f t="shared" si="1832"/>
        <v>0.31022998847243394</v>
      </c>
      <c r="L1632" s="1">
        <f t="shared" ref="L1632:O1632" si="1833">IFERROR(L1622/L1596,"-")</f>
        <v>0.32774536434750179</v>
      </c>
      <c r="M1632" s="1">
        <f t="shared" si="1833"/>
        <v>0.33329549128831187</v>
      </c>
      <c r="N1632" s="1">
        <f t="shared" si="1833"/>
        <v>0.33941433665773885</v>
      </c>
      <c r="O1632" s="1">
        <f t="shared" si="1833"/>
        <v>0.33941433665773874</v>
      </c>
      <c r="P1632" s="1">
        <f>IFERROR(P1622/P1596,"-")</f>
        <v>0.33941433665773929</v>
      </c>
      <c r="Q1632" s="1">
        <f>IFERROR(Q1622/Q1596,"-")</f>
        <v>0.33941433665773868</v>
      </c>
      <c r="S1632" s="3"/>
    </row>
    <row r="1633" spans="2:19" x14ac:dyDescent="0.5">
      <c r="B1633" t="str">
        <f t="shared" si="1791"/>
        <v>SPS1</v>
      </c>
      <c r="C1633" t="str">
        <f t="shared" si="1792"/>
        <v>CH</v>
      </c>
      <c r="D1633" t="s">
        <v>1636</v>
      </c>
      <c r="E1633" t="str">
        <f t="shared" si="1831"/>
        <v>km/MJ</v>
      </c>
      <c r="F1633" s="1">
        <f>IFERROR(F1623/F1598,"-")</f>
        <v>0.17445873125089906</v>
      </c>
      <c r="G1633" s="1">
        <f t="shared" ref="G1633:K1633" si="1834">IFERROR(G1623/G1598,"-")</f>
        <v>0.17528003258917901</v>
      </c>
      <c r="H1633" s="1">
        <f t="shared" si="1834"/>
        <v>0.17534396820771134</v>
      </c>
      <c r="I1633" s="1">
        <f t="shared" si="1834"/>
        <v>0.17645638687188428</v>
      </c>
      <c r="J1633" s="1">
        <f t="shared" si="1834"/>
        <v>0.19431172437000635</v>
      </c>
      <c r="K1633" s="1">
        <f t="shared" si="1834"/>
        <v>0.19806356632775254</v>
      </c>
      <c r="L1633" s="1">
        <f t="shared" ref="L1633:O1633" si="1835">IFERROR(L1623/L1598,"-")</f>
        <v>0.20925435136228016</v>
      </c>
      <c r="M1633" s="1">
        <f t="shared" si="1835"/>
        <v>0.21461986175596365</v>
      </c>
      <c r="N1633" s="1">
        <f t="shared" si="1835"/>
        <v>0.21890981102623194</v>
      </c>
      <c r="O1633" s="1">
        <f t="shared" si="1835"/>
        <v>0.21890981102623208</v>
      </c>
      <c r="P1633" s="1">
        <f>IFERROR(P1623/P1598,"-")</f>
        <v>0.21890981102623167</v>
      </c>
      <c r="Q1633" s="1">
        <f>IFERROR(Q1623/Q1598,"-")</f>
        <v>0.21890981102623183</v>
      </c>
      <c r="S1633" s="3"/>
    </row>
    <row r="1634" spans="2:19" x14ac:dyDescent="0.5">
      <c r="B1634" t="str">
        <f t="shared" si="1791"/>
        <v>SPS1</v>
      </c>
      <c r="C1634" t="str">
        <f t="shared" si="1792"/>
        <v>CH</v>
      </c>
      <c r="D1634" t="s">
        <v>1637</v>
      </c>
      <c r="E1634" t="str">
        <f t="shared" si="1831"/>
        <v>km/MJ</v>
      </c>
      <c r="F1634" s="1" t="str">
        <f>IFERROR(F1624/F1604,"-")</f>
        <v>-</v>
      </c>
      <c r="G1634" s="1" t="str">
        <f t="shared" ref="G1634:K1634" si="1836">IFERROR(G1624/G1604,"-")</f>
        <v>-</v>
      </c>
      <c r="H1634" s="1" t="str">
        <f t="shared" si="1836"/>
        <v>-</v>
      </c>
      <c r="I1634" s="1" t="str">
        <f t="shared" si="1836"/>
        <v>-</v>
      </c>
      <c r="J1634" s="1" t="str">
        <f t="shared" si="1836"/>
        <v>-</v>
      </c>
      <c r="K1634" s="1" t="str">
        <f t="shared" si="1836"/>
        <v>-</v>
      </c>
      <c r="L1634" s="1" t="str">
        <f t="shared" ref="L1634:O1634" si="1837">IFERROR(L1624/L1604,"-")</f>
        <v>-</v>
      </c>
      <c r="M1634" s="1" t="str">
        <f t="shared" si="1837"/>
        <v>-</v>
      </c>
      <c r="N1634" s="1" t="str">
        <f t="shared" si="1837"/>
        <v>-</v>
      </c>
      <c r="O1634" s="1" t="str">
        <f t="shared" si="1837"/>
        <v>-</v>
      </c>
      <c r="P1634" s="1" t="str">
        <f>IFERROR(P1624/P1604,"-")</f>
        <v>-</v>
      </c>
      <c r="Q1634" s="1" t="str">
        <f>IFERROR(Q1624/Q1604,"-")</f>
        <v>-</v>
      </c>
      <c r="S1634" s="3"/>
    </row>
    <row r="1635" spans="2:19" x14ac:dyDescent="0.5">
      <c r="B1635" t="str">
        <f t="shared" si="1791"/>
        <v>SPS1</v>
      </c>
      <c r="C1635" t="str">
        <f t="shared" si="1792"/>
        <v>CH</v>
      </c>
      <c r="D1635" t="s">
        <v>1638</v>
      </c>
      <c r="E1635" t="str">
        <f t="shared" si="1831"/>
        <v>km/MJ</v>
      </c>
      <c r="F1635" s="1" t="str">
        <f>IFERROR(F1625/F1605,"-")</f>
        <v>-</v>
      </c>
      <c r="G1635" s="1" t="str">
        <f t="shared" ref="G1635:K1635" si="1838">IFERROR(G1625/G1605,"-")</f>
        <v>-</v>
      </c>
      <c r="H1635" s="1" t="str">
        <f t="shared" si="1838"/>
        <v>-</v>
      </c>
      <c r="I1635" s="1" t="str">
        <f t="shared" si="1838"/>
        <v>-</v>
      </c>
      <c r="J1635" s="1" t="str">
        <f t="shared" si="1838"/>
        <v>-</v>
      </c>
      <c r="K1635" s="1" t="str">
        <f t="shared" si="1838"/>
        <v>-</v>
      </c>
      <c r="L1635" s="1" t="str">
        <f t="shared" ref="L1635:O1635" si="1839">IFERROR(L1625/L1605,"-")</f>
        <v>-</v>
      </c>
      <c r="M1635" s="1" t="str">
        <f t="shared" si="1839"/>
        <v>-</v>
      </c>
      <c r="N1635" s="1" t="str">
        <f t="shared" si="1839"/>
        <v>-</v>
      </c>
      <c r="O1635" s="1" t="str">
        <f t="shared" si="1839"/>
        <v>-</v>
      </c>
      <c r="P1635" s="1" t="str">
        <f>IFERROR(P1625/P1605,"-")</f>
        <v>-</v>
      </c>
      <c r="Q1635" s="1" t="str">
        <f>IFERROR(Q1625/Q1605,"-")</f>
        <v>-</v>
      </c>
      <c r="S1635" s="3"/>
    </row>
    <row r="1636" spans="2:19" x14ac:dyDescent="0.5">
      <c r="B1636" t="str">
        <f t="shared" si="1791"/>
        <v>SPS1</v>
      </c>
      <c r="C1636" t="str">
        <f t="shared" si="1792"/>
        <v>CH</v>
      </c>
      <c r="D1636" t="s">
        <v>1639</v>
      </c>
      <c r="E1636" t="str">
        <f t="shared" si="1831"/>
        <v>km/MJ</v>
      </c>
      <c r="F1636" s="1">
        <f>IFERROR(F1626/F1611,"-")</f>
        <v>8.1953661871669831E-2</v>
      </c>
      <c r="G1636" s="1">
        <f t="shared" ref="G1636:K1636" si="1840">IFERROR(G1626/G1611,"-")</f>
        <v>8.3996210615660191E-2</v>
      </c>
      <c r="H1636" s="1">
        <f t="shared" si="1840"/>
        <v>8.7060033731646058E-2</v>
      </c>
      <c r="I1636" s="1">
        <f t="shared" si="1840"/>
        <v>8.7060033731645878E-2</v>
      </c>
      <c r="J1636" s="1" t="str">
        <f t="shared" si="1840"/>
        <v>-</v>
      </c>
      <c r="K1636" s="1" t="str">
        <f t="shared" si="1840"/>
        <v>-</v>
      </c>
      <c r="L1636" s="1" t="str">
        <f t="shared" ref="L1636:O1636" si="1841">IFERROR(L1626/L1611,"-")</f>
        <v>-</v>
      </c>
      <c r="M1636" s="1" t="str">
        <f t="shared" si="1841"/>
        <v>-</v>
      </c>
      <c r="N1636" s="1" t="str">
        <f t="shared" si="1841"/>
        <v>-</v>
      </c>
      <c r="O1636" s="1" t="str">
        <f t="shared" si="1841"/>
        <v>-</v>
      </c>
      <c r="P1636" s="1" t="str">
        <f t="shared" ref="P1636:Q1638" si="1842">IFERROR(P1626/P1611,"-")</f>
        <v>-</v>
      </c>
      <c r="Q1636" s="1" t="str">
        <f t="shared" si="1842"/>
        <v>-</v>
      </c>
      <c r="S1636" s="3"/>
    </row>
    <row r="1637" spans="2:19" x14ac:dyDescent="0.5">
      <c r="B1637" t="str">
        <f t="shared" si="1791"/>
        <v>SPS1</v>
      </c>
      <c r="C1637" t="str">
        <f t="shared" si="1792"/>
        <v>CH</v>
      </c>
      <c r="D1637" t="s">
        <v>1640</v>
      </c>
      <c r="E1637" t="str">
        <f t="shared" si="1831"/>
        <v>km/MJ</v>
      </c>
      <c r="F1637" s="1">
        <f>IFERROR(F1627/F1612,"-")</f>
        <v>0.11870351496053508</v>
      </c>
      <c r="G1637" s="1">
        <f t="shared" ref="G1637:K1637" si="1843">IFERROR(G1627/G1612,"-")</f>
        <v>0.11870351496053486</v>
      </c>
      <c r="H1637" s="1">
        <f t="shared" si="1843"/>
        <v>0.11870351496053522</v>
      </c>
      <c r="I1637" s="1">
        <f t="shared" si="1843"/>
        <v>0.11870351496053511</v>
      </c>
      <c r="J1637" s="1">
        <f t="shared" si="1843"/>
        <v>0.11870351496053488</v>
      </c>
      <c r="K1637" s="1">
        <f t="shared" si="1843"/>
        <v>0.1187035149605348</v>
      </c>
      <c r="L1637" s="1">
        <f t="shared" ref="L1637:O1637" si="1844">IFERROR(L1627/L1612,"-")</f>
        <v>0.11870351496053502</v>
      </c>
      <c r="M1637" s="1">
        <f t="shared" si="1844"/>
        <v>0.11870351496053501</v>
      </c>
      <c r="N1637" s="1" t="str">
        <f t="shared" si="1844"/>
        <v>-</v>
      </c>
      <c r="O1637" s="1" t="str">
        <f t="shared" si="1844"/>
        <v>-</v>
      </c>
      <c r="P1637" s="1" t="str">
        <f t="shared" si="1842"/>
        <v>-</v>
      </c>
      <c r="Q1637" s="1" t="str">
        <f t="shared" si="1842"/>
        <v>-</v>
      </c>
      <c r="S1637" s="3"/>
    </row>
    <row r="1638" spans="2:19" x14ac:dyDescent="0.5">
      <c r="B1638" t="str">
        <f t="shared" si="1791"/>
        <v>SPS1</v>
      </c>
      <c r="C1638" t="str">
        <f t="shared" si="1792"/>
        <v>CH</v>
      </c>
      <c r="D1638" t="s">
        <v>1641</v>
      </c>
      <c r="E1638" t="str">
        <f t="shared" si="1831"/>
        <v>km/MJ</v>
      </c>
      <c r="F1638" s="1" t="str">
        <f>IFERROR(F1628/F1613,"-")</f>
        <v>-</v>
      </c>
      <c r="G1638" s="1">
        <f t="shared" ref="G1638:K1638" si="1845">IFERROR(G1628/G1613,"-")</f>
        <v>0.16346685209675799</v>
      </c>
      <c r="H1638" s="1">
        <f t="shared" si="1845"/>
        <v>0.16346685209675796</v>
      </c>
      <c r="I1638" s="1">
        <f t="shared" si="1845"/>
        <v>0.1634668520967581</v>
      </c>
      <c r="J1638" s="1">
        <f t="shared" si="1845"/>
        <v>0.16346685209675799</v>
      </c>
      <c r="K1638" s="1">
        <f t="shared" si="1845"/>
        <v>0.16346685209675799</v>
      </c>
      <c r="L1638" s="1">
        <f t="shared" ref="L1638:O1638" si="1846">IFERROR(L1628/L1613,"-")</f>
        <v>0.16346685209675774</v>
      </c>
      <c r="M1638" s="1">
        <f t="shared" si="1846"/>
        <v>0.1634668520967581</v>
      </c>
      <c r="N1638" s="1" t="str">
        <f t="shared" si="1846"/>
        <v>-</v>
      </c>
      <c r="O1638" s="1" t="str">
        <f t="shared" si="1846"/>
        <v>-</v>
      </c>
      <c r="P1638" s="1" t="str">
        <f t="shared" si="1842"/>
        <v>-</v>
      </c>
      <c r="Q1638" s="1" t="str">
        <f t="shared" si="1842"/>
        <v>-</v>
      </c>
      <c r="S1638" s="3"/>
    </row>
    <row r="1639" spans="2:19" x14ac:dyDescent="0.5">
      <c r="B1639" t="str">
        <f t="shared" si="1791"/>
        <v>SPS1</v>
      </c>
      <c r="C1639" t="str">
        <f t="shared" si="1792"/>
        <v>CH</v>
      </c>
      <c r="D1639" t="s">
        <v>1642</v>
      </c>
      <c r="E1639" t="str">
        <f t="shared" si="1831"/>
        <v>km/MJ</v>
      </c>
      <c r="F1639" s="1">
        <f>IFERROR(F1629/F1619,"-")</f>
        <v>0.10322365358775999</v>
      </c>
      <c r="G1639" s="1">
        <f t="shared" ref="G1639:K1639" si="1847">IFERROR(G1629/G1619,"-")</f>
        <v>0.10333580084729281</v>
      </c>
      <c r="H1639" s="1">
        <f t="shared" si="1847"/>
        <v>0.10502012520013941</v>
      </c>
      <c r="I1639" s="1">
        <f t="shared" si="1847"/>
        <v>0.10975027543449872</v>
      </c>
      <c r="J1639" s="1">
        <f t="shared" si="1847"/>
        <v>0.11544892499763884</v>
      </c>
      <c r="K1639" s="1">
        <f t="shared" si="1847"/>
        <v>0.11769959071608885</v>
      </c>
      <c r="L1639" s="1">
        <f t="shared" ref="L1639:O1639" si="1848">IFERROR(L1629/L1619,"-")</f>
        <v>0.12296919424586758</v>
      </c>
      <c r="M1639" s="1">
        <f t="shared" si="1848"/>
        <v>0.12521814892046407</v>
      </c>
      <c r="N1639" s="1" t="str">
        <f t="shared" si="1848"/>
        <v>-</v>
      </c>
      <c r="O1639" s="1" t="str">
        <f t="shared" si="1848"/>
        <v>-</v>
      </c>
      <c r="P1639" s="1" t="str">
        <f>IFERROR(P1629/P1619,"-")</f>
        <v>-</v>
      </c>
      <c r="Q1639" s="1" t="str">
        <f>IFERROR(Q1629/Q1619,"-")</f>
        <v>-</v>
      </c>
      <c r="S1639" s="3"/>
    </row>
    <row r="1640" spans="2:19" x14ac:dyDescent="0.5">
      <c r="B1640" s="2" t="str">
        <f>B1639</f>
        <v>SPS1</v>
      </c>
      <c r="C1640" s="2" t="str">
        <f>C1639</f>
        <v>CH</v>
      </c>
      <c r="D1640" s="2" t="s">
        <v>1651</v>
      </c>
      <c r="E1640" s="2" t="s">
        <v>8</v>
      </c>
      <c r="F1640" s="1">
        <f>F1641+F1645+F1649+F1655</f>
        <v>10.968537875520893</v>
      </c>
      <c r="G1640" s="1">
        <f t="shared" ref="G1640:K1640" si="1849">G1641+G1645+G1649+G1655</f>
        <v>10.537117590179971</v>
      </c>
      <c r="H1640" s="1">
        <f t="shared" si="1849"/>
        <v>11.435262683341323</v>
      </c>
      <c r="I1640" s="1">
        <f t="shared" si="1849"/>
        <v>12.271707590658602</v>
      </c>
      <c r="J1640" s="1">
        <f t="shared" si="1849"/>
        <v>13.241428590593271</v>
      </c>
      <c r="K1640" s="1">
        <f t="shared" si="1849"/>
        <v>16.413749698216524</v>
      </c>
      <c r="L1640" s="1">
        <f t="shared" ref="L1640:O1640" si="1850">L1641+L1645+L1649+L1655</f>
        <v>17.724254494910831</v>
      </c>
      <c r="M1640" s="1">
        <f t="shared" si="1850"/>
        <v>19.244111142224661</v>
      </c>
      <c r="N1640" s="1">
        <f t="shared" si="1850"/>
        <v>19.797695235327385</v>
      </c>
      <c r="O1640" s="1">
        <f t="shared" si="1850"/>
        <v>20.367362012759198</v>
      </c>
      <c r="P1640" s="1">
        <f>P1641+P1645+P1649+P1655</f>
        <v>20.871931577403576</v>
      </c>
      <c r="Q1640" s="1">
        <f>Q1641+Q1645+Q1649+Q1655</f>
        <v>21.369852476502224</v>
      </c>
      <c r="S1640" s="3"/>
    </row>
    <row r="1641" spans="2:19" x14ac:dyDescent="0.5">
      <c r="B1641" t="str">
        <f t="shared" ref="B1641:B1662" si="1851">B1640</f>
        <v>SPS1</v>
      </c>
      <c r="C1641" t="str">
        <f t="shared" ref="C1641:C1687" si="1852">C1640</f>
        <v>CH</v>
      </c>
      <c r="D1641" t="s">
        <v>1652</v>
      </c>
      <c r="E1641" t="s">
        <v>8</v>
      </c>
      <c r="F1641" s="1">
        <f>SUM(F1642:F1644)</f>
        <v>9.2087301117925353</v>
      </c>
      <c r="G1641" s="1">
        <f t="shared" ref="G1641:K1641" si="1853">SUM(G1642:G1644)</f>
        <v>9.5655613227719236</v>
      </c>
      <c r="H1641" s="1">
        <f t="shared" si="1853"/>
        <v>10.026553607842745</v>
      </c>
      <c r="I1641" s="1">
        <f t="shared" si="1853"/>
        <v>10.862919126846748</v>
      </c>
      <c r="J1641" s="1">
        <f t="shared" si="1853"/>
        <v>11.832396042261891</v>
      </c>
      <c r="K1641" s="1">
        <f t="shared" si="1853"/>
        <v>15.954354774479805</v>
      </c>
      <c r="L1641" s="1">
        <f t="shared" ref="L1641:O1641" si="1854">SUM(L1642:L1644)</f>
        <v>17.586562423267253</v>
      </c>
      <c r="M1641" s="1">
        <f t="shared" si="1854"/>
        <v>19.105816285616626</v>
      </c>
      <c r="N1641" s="1">
        <f t="shared" si="1854"/>
        <v>19.659215599604273</v>
      </c>
      <c r="O1641" s="1">
        <f t="shared" si="1854"/>
        <v>20.228858404923727</v>
      </c>
      <c r="P1641" s="1">
        <f>SUM(P1642:P1644)</f>
        <v>20.732782683849749</v>
      </c>
      <c r="Q1641" s="1">
        <f>SUM(Q1642:Q1644)</f>
        <v>21.228553692307642</v>
      </c>
      <c r="S1641" s="3"/>
    </row>
    <row r="1642" spans="2:19" x14ac:dyDescent="0.5">
      <c r="B1642" t="str">
        <f t="shared" si="1851"/>
        <v>SPS1</v>
      </c>
      <c r="C1642" t="str">
        <f t="shared" si="1852"/>
        <v>CH</v>
      </c>
      <c r="D1642" t="s">
        <v>1653</v>
      </c>
      <c r="E1642" t="str">
        <f t="shared" ref="E1642:E1644" si="1855">E1641</f>
        <v>PJ/yr.</v>
      </c>
      <c r="F1642" s="1" cm="1">
        <f t="array" ref="F1642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2" s="1" cm="1">
        <f t="array" ref="G1642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2" s="1" cm="1">
        <f t="array" ref="H1642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2" s="1" cm="1">
        <f t="array" ref="I1642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2" s="1" cm="1">
        <f t="array" ref="J1642">SUMPRODUCT(("TPRLPELCEXT"=[1]OUT_TransportEnergyCons!$A$3:$A$1000)*1,("Var_Fin"=[1]OUT_TransportEnergyCons!$B$3:$B$1000)*1,ISNUMBER(SEARCH("ELC",[1]OUT_TransportEnergyCons!$C$3:$C$1000))*1,[1]OUT_TransportEnergyCons!H$3:H$1000)</f>
        <v>9.2102053769306007</v>
      </c>
      <c r="K1642" s="1" cm="1">
        <f t="array" ref="K1642">SUMPRODUCT(("TPRLPELCEXT"=[1]OUT_TransportEnergyCons!$A$3:$A$1000)*1,("Var_Fin"=[1]OUT_TransportEnergyCons!$B$3:$B$1000)*1,ISNUMBER(SEARCH("ELC",[1]OUT_TransportEnergyCons!$C$3:$C$1000))*1,[1]OUT_TransportEnergyCons!I$3:I$1000)</f>
        <v>9.7105727741802532</v>
      </c>
      <c r="L1642" s="1" cm="1">
        <f t="array" ref="L1642">SUMPRODUCT(("TPRLPELCEXT"=[1]OUT_TransportEnergyCons!$A$3:$A$1000)*1,("Var_Fin"=[1]OUT_TransportEnergyCons!$B$3:$B$1000)*1,ISNUMBER(SEARCH("ELC",[1]OUT_TransportEnergyCons!$C$3:$C$1000))*1,[1]OUT_TransportEnergyCons!J$3:J$1000)</f>
        <v>10.081958071196144</v>
      </c>
      <c r="M1642" s="1" cm="1">
        <f t="array" ref="M1642">SUMPRODUCT(("TPRLPELCEXT"=[1]OUT_TransportEnergyCons!$A$3:$A$1000)*1,("Var_Fin"=[1]OUT_TransportEnergyCons!$B$3:$B$1000)*1,ISNUMBER(SEARCH("ELC",[1]OUT_TransportEnergyCons!$C$3:$C$1000))*1,[1]OUT_TransportEnergyCons!K$3:K$1000)</f>
        <v>10.453647994374153</v>
      </c>
      <c r="N1642" s="1" cm="1">
        <f t="array" ref="N1642">SUMPRODUCT(("TPRLPELCEXT"=[1]OUT_TransportEnergyCons!$A$3:$A$1000)*1,("Var_Fin"=[1]OUT_TransportEnergyCons!$B$3:$B$1000)*1,ISNUMBER(SEARCH("ELC",[1]OUT_TransportEnergyCons!$C$3:$C$1000))*1,[1]OUT_TransportEnergyCons!L$3:L$1000)</f>
        <v>10.946994291160454</v>
      </c>
      <c r="O1642" s="1" cm="1">
        <f t="array" ref="O1642">SUMPRODUCT(("TPRLPELCEXT"=[1]OUT_TransportEnergyCons!$A$3:$A$1000)*1,("Var_Fin"=[1]OUT_TransportEnergyCons!$B$3:$B$1000)*1,ISNUMBER(SEARCH("ELC",[1]OUT_TransportEnergyCons!$C$3:$C$1000))*1,[1]OUT_TransportEnergyCons!M$3:M$1000)</f>
        <v>11.43931226855187</v>
      </c>
      <c r="P1642" s="1" cm="1">
        <f t="array" ref="P1642">SUMPRODUCT(("TPRLPELCEXT"=[1]OUT_TransportEnergyCons!$A$3:$A$1000)*1,("Var_Fin"=[1]OUT_TransportEnergyCons!$B$3:$B$1000)*1,ISNUMBER(SEARCH("ELC",[1]OUT_TransportEnergyCons!$C$3:$C$1000))*1,[1]OUT_TransportEnergyCons!N$3:N$1000)</f>
        <v>11.929898214806496</v>
      </c>
      <c r="Q1642" s="1" cm="1">
        <f t="array" ref="Q1642">SUMPRODUCT(("TPRLPELCEXT"=[1]OUT_TransportEnergyCons!$A$3:$A$1000)*1,("Var_Fin"=[1]OUT_TransportEnergyCons!$B$3:$B$1000)*1,ISNUMBER(SEARCH("ELC",[1]OUT_TransportEnergyCons!$C$3:$C$1000))*1,[1]OUT_TransportEnergyCons!O$3:O$1000)</f>
        <v>12.418341033714837</v>
      </c>
      <c r="S1642" s="3"/>
    </row>
    <row r="1643" spans="2:19" x14ac:dyDescent="0.5">
      <c r="B1643" t="str">
        <f t="shared" si="1851"/>
        <v>SPS1</v>
      </c>
      <c r="C1643" t="str">
        <f t="shared" si="1852"/>
        <v>CH</v>
      </c>
      <c r="D1643" t="s">
        <v>1654</v>
      </c>
      <c r="E1643" t="str">
        <f t="shared" si="1855"/>
        <v>PJ/yr.</v>
      </c>
      <c r="F1643" s="1" cm="1">
        <f t="array" ref="F1643">SUMPRODUCT(("TFRLFELCEXT"=[1]OUT_TransportEnergyCons!$A$3:$A$1000)*1,("Var_Fin"=[1]OUT_TransportEnergyCons!$B$3:$B$1000)*1,ISNUMBER(SEARCH("ELC",[1]OUT_TransportEnergyCons!$C$3:$C$1000))*1,[1]OUT_TransportEnergyCons!D$3:D$1000)</f>
        <v>1.5040100986915894</v>
      </c>
      <c r="G1643" s="1" cm="1">
        <f t="array" ref="G1643">SUMPRODUCT(("TFRLFELCEXT"=[1]OUT_TransportEnergyCons!$A$3:$A$1000)*1,("Var_Fin"=[1]OUT_TransportEnergyCons!$B$3:$B$1000)*1,ISNUMBER(SEARCH("ELC",[1]OUT_TransportEnergyCons!$C$3:$C$1000))*1,[1]OUT_TransportEnergyCons!E$3:E$1000)</f>
        <v>1.6596306754930792</v>
      </c>
      <c r="H1643" s="1" cm="1">
        <f t="array" ref="H1643">SUMPRODUCT(("TFRLFELCEXT"=[1]OUT_TransportEnergyCons!$A$3:$A$1000)*1,("Var_Fin"=[1]OUT_TransportEnergyCons!$B$3:$B$1000)*1,ISNUMBER(SEARCH("ELC",[1]OUT_TransportEnergyCons!$C$3:$C$1000))*1,[1]OUT_TransportEnergyCons!F$3:F$1000)</f>
        <v>1.7496526452669374</v>
      </c>
      <c r="I1643" s="1" cm="1">
        <f t="array" ref="I1643">SUMPRODUCT(("TFRLFELCEXT"=[1]OUT_TransportEnergyCons!$A$3:$A$1000)*1,("Var_Fin"=[1]OUT_TransportEnergyCons!$B$3:$B$1000)*1,ISNUMBER(SEARCH("ELC",[1]OUT_TransportEnergyCons!$C$3:$C$1000))*1,[1]OUT_TransportEnergyCons!G$3:G$1000)</f>
        <v>1.8962024026863076</v>
      </c>
      <c r="J1643" s="1" cm="1">
        <f t="array" ref="J1643">SUMPRODUCT(("TFRLFELCEXT"=[1]OUT_TransportEnergyCons!$A$3:$A$1000)*1,("Var_Fin"=[1]OUT_TransportEnergyCons!$B$3:$B$1000)*1,ISNUMBER(SEARCH("ELC",[1]OUT_TransportEnergyCons!$C$3:$C$1000))*1,[1]OUT_TransportEnergyCons!H$3:H$1000)</f>
        <v>1.9832407200134012</v>
      </c>
      <c r="K1643" s="1" cm="1">
        <f t="array" ref="K1643">SUMPRODUCT(("TFRLFELCEXT"=[1]OUT_TransportEnergyCons!$A$3:$A$1000)*1,("Var_Fin"=[1]OUT_TransportEnergyCons!$B$3:$B$1000)*1,ISNUMBER(SEARCH("ELC",[1]OUT_TransportEnergyCons!$C$3:$C$1000))*1,[1]OUT_TransportEnergyCons!I$3:I$1000)</f>
        <v>2.0300927898460652</v>
      </c>
      <c r="L1643" s="1" cm="1">
        <f t="array" ref="L1643">SUMPRODUCT(("TFRLFELCEXT"=[1]OUT_TransportEnergyCons!$A$3:$A$1000)*1,("Var_Fin"=[1]OUT_TransportEnergyCons!$B$3:$B$1000)*1,ISNUMBER(SEARCH("ELC",[1]OUT_TransportEnergyCons!$C$3:$C$1000))*1,[1]OUT_TransportEnergyCons!J$3:J$1000)</f>
        <v>2.1062132907006665</v>
      </c>
      <c r="M1643" s="1" cm="1">
        <f t="array" ref="M1643">SUMPRODUCT(("TFRLFELCEXT"=[1]OUT_TransportEnergyCons!$A$3:$A$1000)*1,("Var_Fin"=[1]OUT_TransportEnergyCons!$B$3:$B$1000)*1,ISNUMBER(SEARCH("ELC",[1]OUT_TransportEnergyCons!$C$3:$C$1000))*1,[1]OUT_TransportEnergyCons!K$3:K$1000)</f>
        <v>2.1833784780751562</v>
      </c>
      <c r="N1643" s="1" cm="1">
        <f t="array" ref="N1643">SUMPRODUCT(("TFRLFELCEXT"=[1]OUT_TransportEnergyCons!$A$3:$A$1000)*1,("Var_Fin"=[1]OUT_TransportEnergyCons!$B$3:$B$1000)*1,ISNUMBER(SEARCH("ELC",[1]OUT_TransportEnergyCons!$C$3:$C$1000))*1,[1]OUT_TransportEnergyCons!L$3:L$1000)</f>
        <v>2.2168869909797717</v>
      </c>
      <c r="O1643" s="1" cm="1">
        <f t="array" ref="O1643">SUMPRODUCT(("TFRLFELCEXT"=[1]OUT_TransportEnergyCons!$A$3:$A$1000)*1,("Var_Fin"=[1]OUT_TransportEnergyCons!$B$3:$B$1000)*1,ISNUMBER(SEARCH("ELC",[1]OUT_TransportEnergyCons!$C$3:$C$1000))*1,[1]OUT_TransportEnergyCons!M$3:M$1000)</f>
        <v>2.2698783668594662</v>
      </c>
      <c r="P1643" s="1" cm="1">
        <f t="array" ref="P1643">SUMPRODUCT(("TFRLFELCEXT"=[1]OUT_TransportEnergyCons!$A$3:$A$1000)*1,("Var_Fin"=[1]OUT_TransportEnergyCons!$B$3:$B$1000)*1,ISNUMBER(SEARCH("ELC",[1]OUT_TransportEnergyCons!$C$3:$C$1000))*1,[1]OUT_TransportEnergyCons!N$3:N$1000)</f>
        <v>2.2841691007045841</v>
      </c>
      <c r="Q1643" s="1" cm="1">
        <f t="array" ref="Q1643">SUMPRODUCT(("TFRLFELCEXT"=[1]OUT_TransportEnergyCons!$A$3:$A$1000)*1,("Var_Fin"=[1]OUT_TransportEnergyCons!$B$3:$B$1000)*1,ISNUMBER(SEARCH("ELC",[1]OUT_TransportEnergyCons!$C$3:$C$1000))*1,[1]OUT_TransportEnergyCons!O$3:O$1000)</f>
        <v>2.3137068341034035</v>
      </c>
      <c r="S1643" s="3"/>
    </row>
    <row r="1644" spans="2:19" x14ac:dyDescent="0.5">
      <c r="B1644" t="str">
        <f t="shared" si="1851"/>
        <v>SPS1</v>
      </c>
      <c r="C1644" t="str">
        <f t="shared" si="1852"/>
        <v>CH</v>
      </c>
      <c r="D1644" t="s">
        <v>1655</v>
      </c>
      <c r="E1644" t="str">
        <f t="shared" si="1855"/>
        <v>PJ/yr.</v>
      </c>
      <c r="F1644" s="1" cm="1">
        <f t="array" ref="F1644">SUMPRODUCT(("TPSHPELCEXT"=[1]OUT_TransportEnergyCons!$A$3:$A$1000)*1,("Var_Fin"=[1]OUT_TransportEnergyCons!$B$3:$B$1000)*1,ISNUMBER(SEARCH("ELC",[1]OUT_TransportEnergyCons!$C$3:$C$1000))*1,[1]OUT_TransportEnergyCons!D$3:D$1000)+[1]Transport_Aviation_Intl!B$13</f>
        <v>0</v>
      </c>
      <c r="G1644" s="1" cm="1">
        <f t="array" ref="G1644">SUMPRODUCT(("TPSHPELCEXT"=[1]OUT_TransportEnergyCons!$A$3:$A$1000)*1,("Var_Fin"=[1]OUT_TransportEnergyCons!$B$3:$B$1000)*1,ISNUMBER(SEARCH("ELC",[1]OUT_TransportEnergyCons!$C$3:$C$1000))*1,[1]OUT_TransportEnergyCons!E$3:E$1000)+[1]Transport_Aviation_Intl!C$13</f>
        <v>2.5210427920534254E-5</v>
      </c>
      <c r="H1644" s="1" cm="1">
        <f t="array" ref="H1644">SUMPRODUCT(("TPSHPELCEXT"=[1]OUT_TransportEnergyCons!$A$3:$A$1000)*1,("Var_Fin"=[1]OUT_TransportEnergyCons!$B$3:$B$1000)*1,ISNUMBER(SEARCH("ELC",[1]OUT_TransportEnergyCons!$C$3:$C$1000))*1,[1]OUT_TransportEnergyCons!F$3:F$1000)+[1]Transport_Aviation_Intl!D$13</f>
        <v>6.8999510271453346E-2</v>
      </c>
      <c r="I1644" s="1" cm="1">
        <f t="array" ref="I1644">SUMPRODUCT(("TPSHPELCEXT"=[1]OUT_TransportEnergyCons!$A$3:$A$1000)*1,("Var_Fin"=[1]OUT_TransportEnergyCons!$B$3:$B$1000)*1,ISNUMBER(SEARCH("ELC",[1]OUT_TransportEnergyCons!$C$3:$C$1000))*1,[1]OUT_TransportEnergyCons!G$3:G$1000)+[1]Transport_Aviation_Intl!E$13</f>
        <v>0.25490672698435968</v>
      </c>
      <c r="J1644" s="1" cm="1">
        <f t="array" ref="J1644">SUMPRODUCT(("TPSHPELCEXT"=[1]OUT_TransportEnergyCons!$A$3:$A$1000)*1,("Var_Fin"=[1]OUT_TransportEnergyCons!$B$3:$B$1000)*1,ISNUMBER(SEARCH("ELC",[1]OUT_TransportEnergyCons!$C$3:$C$1000))*1,[1]OUT_TransportEnergyCons!H$3:H$1000)+[1]Transport_Aviation_Intl!F$13</f>
        <v>0.63894994531788951</v>
      </c>
      <c r="K1644" s="1" cm="1">
        <f t="array" ref="K1644">SUMPRODUCT(("TPSHPELCEXT"=[1]OUT_TransportEnergyCons!$A$3:$A$1000)*1,("Var_Fin"=[1]OUT_TransportEnergyCons!$B$3:$B$1000)*1,ISNUMBER(SEARCH("ELC",[1]OUT_TransportEnergyCons!$C$3:$C$1000))*1,[1]OUT_TransportEnergyCons!I$3:I$1000)+[1]Transport_Aviation_Intl!G$13</f>
        <v>4.2136892104534862</v>
      </c>
      <c r="L1644" s="1" cm="1">
        <f t="array" ref="L1644">SUMPRODUCT(("TPSHPELCEXT"=[1]OUT_TransportEnergyCons!$A$3:$A$1000)*1,("Var_Fin"=[1]OUT_TransportEnergyCons!$B$3:$B$1000)*1,ISNUMBER(SEARCH("ELC",[1]OUT_TransportEnergyCons!$C$3:$C$1000))*1,[1]OUT_TransportEnergyCons!J$3:J$1000)+[1]Transport_Aviation_Intl!H$13</f>
        <v>5.3983910613704449</v>
      </c>
      <c r="M1644" s="1" cm="1">
        <f t="array" ref="M1644">SUMPRODUCT(("TPSHPELCEXT"=[1]OUT_TransportEnergyCons!$A$3:$A$1000)*1,("Var_Fin"=[1]OUT_TransportEnergyCons!$B$3:$B$1000)*1,ISNUMBER(SEARCH("ELC",[1]OUT_TransportEnergyCons!$C$3:$C$1000))*1,[1]OUT_TransportEnergyCons!K$3:K$1000)+[1]Transport_Aviation_Intl!I$13</f>
        <v>6.4687898131673194</v>
      </c>
      <c r="N1644" s="1" cm="1">
        <f t="array" ref="N1644">SUMPRODUCT(("TPSHPELCEXT"=[1]OUT_TransportEnergyCons!$A$3:$A$1000)*1,("Var_Fin"=[1]OUT_TransportEnergyCons!$B$3:$B$1000)*1,ISNUMBER(SEARCH("ELC",[1]OUT_TransportEnergyCons!$C$3:$C$1000))*1,[1]OUT_TransportEnergyCons!L$3:L$1000)+[1]Transport_Aviation_Intl!J$13</f>
        <v>6.4953343174640468</v>
      </c>
      <c r="O1644" s="1" cm="1">
        <f t="array" ref="O1644">SUMPRODUCT(("TPSHPELCEXT"=[1]OUT_TransportEnergyCons!$A$3:$A$1000)*1,("Var_Fin"=[1]OUT_TransportEnergyCons!$B$3:$B$1000)*1,ISNUMBER(SEARCH("ELC",[1]OUT_TransportEnergyCons!$C$3:$C$1000))*1,[1]OUT_TransportEnergyCons!M$3:M$1000)+[1]Transport_Aviation_Intl!K$13</f>
        <v>6.5196677695123908</v>
      </c>
      <c r="P1644" s="1" cm="1">
        <f t="array" ref="P1644">SUMPRODUCT(("TPSHPELCEXT"=[1]OUT_TransportEnergyCons!$A$3:$A$1000)*1,("Var_Fin"=[1]OUT_TransportEnergyCons!$B$3:$B$1000)*1,ISNUMBER(SEARCH("ELC",[1]OUT_TransportEnergyCons!$C$3:$C$1000))*1,[1]OUT_TransportEnergyCons!N$3:N$1000)+[1]Transport_Aviation_Intl!L$13</f>
        <v>6.5187153683386692</v>
      </c>
      <c r="Q1644" s="1" cm="1">
        <f t="array" ref="Q1644">SUMPRODUCT(("TPSHPELCEXT"=[1]OUT_TransportEnergyCons!$A$3:$A$1000)*1,("Var_Fin"=[1]OUT_TransportEnergyCons!$B$3:$B$1000)*1,ISNUMBER(SEARCH("ELC",[1]OUT_TransportEnergyCons!$C$3:$C$1000))*1,[1]OUT_TransportEnergyCons!O$3:O$1000)+[1]Transport_Aviation_Intl!M$13</f>
        <v>6.4965058244894003</v>
      </c>
      <c r="S1644" s="3"/>
    </row>
    <row r="1645" spans="2:19" x14ac:dyDescent="0.5">
      <c r="B1645" t="str">
        <f t="shared" si="1851"/>
        <v>SPS1</v>
      </c>
      <c r="C1645" t="str">
        <f t="shared" si="1852"/>
        <v>CH</v>
      </c>
      <c r="D1645" t="s">
        <v>1656</v>
      </c>
      <c r="E1645" t="s">
        <v>8</v>
      </c>
      <c r="F1645" s="1">
        <f>SUM(F1646:F1648)</f>
        <v>0</v>
      </c>
      <c r="G1645" s="1">
        <f t="shared" ref="G1645:K1645" si="1856">SUM(G1646:G1648)</f>
        <v>0</v>
      </c>
      <c r="H1645" s="1">
        <f t="shared" si="1856"/>
        <v>0</v>
      </c>
      <c r="I1645" s="1">
        <f t="shared" si="1856"/>
        <v>0</v>
      </c>
      <c r="J1645" s="1">
        <f t="shared" si="1856"/>
        <v>1.2757388128412E-4</v>
      </c>
      <c r="K1645" s="1">
        <f t="shared" si="1856"/>
        <v>8.0962545702731578E-2</v>
      </c>
      <c r="L1645" s="1">
        <f t="shared" ref="L1645:O1645" si="1857">SUM(L1646:L1648)</f>
        <v>0.13742015492816548</v>
      </c>
      <c r="M1645" s="1">
        <f t="shared" si="1857"/>
        <v>0.13829485660803351</v>
      </c>
      <c r="N1645" s="1">
        <f t="shared" si="1857"/>
        <v>0.13847963572311289</v>
      </c>
      <c r="O1645" s="1">
        <f t="shared" si="1857"/>
        <v>0.13850360783547083</v>
      </c>
      <c r="P1645" s="1">
        <f>SUM(P1646:P1648)</f>
        <v>0.13914889355382648</v>
      </c>
      <c r="Q1645" s="1">
        <f>SUM(Q1646:Q1648)</f>
        <v>0.141298784194583</v>
      </c>
      <c r="S1645" s="3"/>
    </row>
    <row r="1646" spans="2:19" x14ac:dyDescent="0.5">
      <c r="B1646" t="str">
        <f t="shared" si="1851"/>
        <v>SPS1</v>
      </c>
      <c r="C1646" t="str">
        <f t="shared" si="1852"/>
        <v>CH</v>
      </c>
      <c r="D1646" t="s">
        <v>1657</v>
      </c>
      <c r="E1646" t="str">
        <f t="shared" ref="E1646:E1648" si="1858">E1645</f>
        <v>PJ/yr.</v>
      </c>
      <c r="F1646" s="1" cm="1">
        <f t="array" ref="F1646">SUMPRODUCT(("TPRLPH2OFCL"=[1]OUT_TransportEnergyCons!$A$3:$A$1000)*1,("Var_Fin"=[1]OUT_TransportEnergyCons!$B$3:$B$1000)*1,ISNUMBER(SEARCH("h2",[1]OUT_TransportEnergyCons!$C$3:$C$1000))*1,[1]OUT_TransportEnergyCons!D$3:D$1000)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SUMPRODUCT(("TPRLPH2OFCL"=[1]OUT_TransportEnergyCons!$A$3:$A$1000)*1,("Var_Fin"=[1]OUT_TransportEnergyCons!$B$3:$B$1000)*1,ISNUMBER(SEARCH("h2",[1]OUT_TransportEnergyCons!$C$3:$C$1000))*1,[1]OUT_TransportEnergyCons!E$3:E$1000)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SUMPRODUCT(("TPRLPH2OFCL"=[1]OUT_TransportEnergyCons!$A$3:$A$1000)*1,("Var_Fin"=[1]OUT_TransportEnergyCons!$B$3:$B$1000)*1,ISNUMBER(SEARCH("h2",[1]OUT_TransportEnergyCons!$C$3:$C$1000))*1,[1]OUT_TransportEnergyCons!F$3:F$1000)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SUMPRODUCT(("TPRLPH2OFCL"=[1]OUT_TransportEnergyCons!$A$3:$A$1000)*1,("Var_Fin"=[1]OUT_TransportEnergyCons!$B$3:$B$1000)*1,ISNUMBER(SEARCH("h2",[1]OUT_TransportEnergyCons!$C$3:$C$1000))*1,[1]OUT_TransportEnergyCons!G$3:G$1000)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SUMPRODUCT(("TPRLPH2OFCL"=[1]OUT_TransportEnergyCons!$A$3:$A$1000)*1,("Var_Fin"=[1]OUT_TransportEnergyCons!$B$3:$B$1000)*1,ISNUMBER(SEARCH("h2",[1]OUT_TransportEnergyCons!$C$3:$C$1000))*1,[1]OUT_TransportEnergyCons!H$3:H$1000)</f>
        <v>0</v>
      </c>
      <c r="K1646" s="1" cm="1">
        <f t="array" ref="K1646">SUMPRODUCT(("TPRLPH2OFCL"=[1]OUT_TransportEnergyCons!$A$3:$A$1000)*1,("Var_Fin"=[1]OUT_TransportEnergyCons!$B$3:$B$1000)*1,ISNUMBER(SEARCH("h2",[1]OUT_TransportEnergyCons!$C$3:$C$1000))*1,[1]OUT_TransportEnergyCons!I$3:I$1000)</f>
        <v>-1.7592900498473287E-3</v>
      </c>
      <c r="L1646" s="1" cm="1">
        <f t="array" ref="L1646">SUMPRODUCT(("TPRLPH2OFCL"=[1]OUT_TransportEnergyCons!$A$3:$A$1000)*1,("Var_Fin"=[1]OUT_TransportEnergyCons!$B$3:$B$1000)*1,ISNUMBER(SEARCH("h2",[1]OUT_TransportEnergyCons!$C$3:$C$1000))*1,[1]OUT_TransportEnergyCons!J$3:J$1000)</f>
        <v>-1.7217499668762883E-3</v>
      </c>
      <c r="M1646" s="1" cm="1">
        <f t="array" ref="M1646">SUMPRODUCT(("TPRLPH2OFCL"=[1]OUT_TransportEnergyCons!$A$3:$A$1000)*1,("Var_Fin"=[1]OUT_TransportEnergyCons!$B$3:$B$1000)*1,ISNUMBER(SEARCH("h2",[1]OUT_TransportEnergyCons!$C$3:$C$1000))*1,[1]OUT_TransportEnergyCons!K$3:K$1000)</f>
        <v>-1.3822147157000972E-3</v>
      </c>
      <c r="N1646" s="1" cm="1">
        <f t="array" ref="N1646">SUMPRODUCT(("TPRLPH2OFCL"=[1]OUT_TransportEnergyCons!$A$3:$A$1000)*1,("Var_Fin"=[1]OUT_TransportEnergyCons!$B$3:$B$1000)*1,ISNUMBER(SEARCH("h2",[1]OUT_TransportEnergyCons!$C$3:$C$1000))*1,[1]OUT_TransportEnergyCons!L$3:L$1000)</f>
        <v>-1.1713850343550408E-3</v>
      </c>
      <c r="O1646" s="1" cm="1">
        <f t="array" ref="O1646">SUMPRODUCT(("TPRLPH2OFCL"=[1]OUT_TransportEnergyCons!$A$3:$A$1000)*1,("Var_Fin"=[1]OUT_TransportEnergyCons!$B$3:$B$1000)*1,ISNUMBER(SEARCH("h2",[1]OUT_TransportEnergyCons!$C$3:$C$1000))*1,[1]OUT_TransportEnergyCons!M$3:M$1000)</f>
        <v>-1.1835579446097303E-3</v>
      </c>
      <c r="P1646" s="1" cm="1">
        <f t="array" ref="P1646">SUMPRODUCT(("TPRLPH2OFCL"=[1]OUT_TransportEnergyCons!$A$3:$A$1000)*1,("Var_Fin"=[1]OUT_TransportEnergyCons!$B$3:$B$1000)*1,ISNUMBER(SEARCH("h2",[1]OUT_TransportEnergyCons!$C$3:$C$1000))*1,[1]OUT_TransportEnergyCons!N$3:N$1000)</f>
        <v>-4.9181569083261696E-4</v>
      </c>
      <c r="Q1646" s="1" cm="1">
        <f t="array" ref="Q1646">SUMPRODUCT(("TPRLPH2OFCL"=[1]OUT_TransportEnergyCons!$A$3:$A$1000)*1,("Var_Fin"=[1]OUT_TransportEnergyCons!$B$3:$B$1000)*1,ISNUMBER(SEARCH("h2",[1]OUT_TransportEnergyCons!$C$3:$C$1000))*1,[1]OUT_TransportEnergyCons!O$3:O$1000)</f>
        <v>1.4431329018793652E-3</v>
      </c>
      <c r="S1646" s="3"/>
    </row>
    <row r="1647" spans="2:19" x14ac:dyDescent="0.5">
      <c r="B1647" t="str">
        <f t="shared" si="1851"/>
        <v>SPS1</v>
      </c>
      <c r="C1647" t="str">
        <f t="shared" si="1852"/>
        <v>CH</v>
      </c>
      <c r="D1647" t="s">
        <v>1658</v>
      </c>
      <c r="E1647" t="str">
        <f t="shared" si="1858"/>
        <v>PJ/yr.</v>
      </c>
      <c r="F1647" s="1" cm="1">
        <f t="array" ref="F1647">SUMPRODUCT(("TFRLFH2OFCL"=[1]OUT_TransportEnergyCons!$A$3:$A$1000)*1,("Var_Fin"=[1]OUT_TransportEnergyCons!$B$3:$B$1000)*1,ISNUMBER(SEARCH("h2",[1]OUT_TransportEnergyCons!$C$3:$C$1000))*1,[1]OUT_TransportEnergyCons!D$3:D$1000)</f>
        <v>0</v>
      </c>
      <c r="G1647" s="1" cm="1">
        <f t="array" ref="G1647">SUMPRODUCT(("TFRLFH2OFCL"=[1]OUT_TransportEnergyCons!$A$3:$A$1000)*1,("Var_Fin"=[1]OUT_TransportEnergyCons!$B$3:$B$1000)*1,ISNUMBER(SEARCH("h2",[1]OUT_TransportEnergyCons!$C$3:$C$1000))*1,[1]OUT_TransportEnergyCons!E$3:E$1000)</f>
        <v>0</v>
      </c>
      <c r="H1647" s="1" cm="1">
        <f t="array" ref="H1647">SUMPRODUCT(("TFRLFH2OFCL"=[1]OUT_TransportEnergyCons!$A$3:$A$1000)*1,("Var_Fin"=[1]OUT_TransportEnergyCons!$B$3:$B$1000)*1,ISNUMBER(SEARCH("h2",[1]OUT_TransportEnergyCons!$C$3:$C$1000))*1,[1]OUT_TransportEnergyCons!F$3:F$1000)</f>
        <v>0</v>
      </c>
      <c r="I1647" s="1" cm="1">
        <f t="array" ref="I1647">SUMPRODUCT(("TFRLFH2OFCL"=[1]OUT_TransportEnergyCons!$A$3:$A$1000)*1,("Var_Fin"=[1]OUT_TransportEnergyCons!$B$3:$B$1000)*1,ISNUMBER(SEARCH("h2",[1]OUT_TransportEnergyCons!$C$3:$C$1000))*1,[1]OUT_TransportEnergyCons!G$3:G$1000)</f>
        <v>0</v>
      </c>
      <c r="J1647" s="1" cm="1">
        <f t="array" ref="J1647">SUMPRODUCT(("TFRLFH2OFCL"=[1]OUT_TransportEnergyCons!$A$3:$A$1000)*1,("Var_Fin"=[1]OUT_TransportEnergyCons!$B$3:$B$1000)*1,ISNUMBER(SEARCH("h2",[1]OUT_TransportEnergyCons!$C$3:$C$1000))*1,[1]OUT_TransportEnergyCons!H$3:H$1000)</f>
        <v>0</v>
      </c>
      <c r="K1647" s="1" cm="1">
        <f t="array" ref="K1647">SUMPRODUCT(("TFRLFH2OFCL"=[1]OUT_TransportEnergyCons!$A$3:$A$1000)*1,("Var_Fin"=[1]OUT_TransportEnergyCons!$B$3:$B$1000)*1,ISNUMBER(SEARCH("h2",[1]OUT_TransportEnergyCons!$C$3:$C$1000))*1,[1]OUT_TransportEnergyCons!I$3:I$1000)</f>
        <v>3.8548353228114998E-3</v>
      </c>
      <c r="L1647" s="1" cm="1">
        <f t="array" ref="L1647">SUMPRODUCT(("TFRLFH2OFCL"=[1]OUT_TransportEnergyCons!$A$3:$A$1000)*1,("Var_Fin"=[1]OUT_TransportEnergyCons!$B$3:$B$1000)*1,ISNUMBER(SEARCH("h2",[1]OUT_TransportEnergyCons!$C$3:$C$1000))*1,[1]OUT_TransportEnergyCons!J$3:J$1000)</f>
        <v>4.2060448433615524E-3</v>
      </c>
      <c r="M1647" s="1" cm="1">
        <f t="array" ref="M1647">SUMPRODUCT(("TFRLFH2OFCL"=[1]OUT_TransportEnergyCons!$A$3:$A$1000)*1,("Var_Fin"=[1]OUT_TransportEnergyCons!$B$3:$B$1000)*1,ISNUMBER(SEARCH("h2",[1]OUT_TransportEnergyCons!$C$3:$C$1000))*1,[1]OUT_TransportEnergyCons!K$3:K$1000)</f>
        <v>4.7298464522517476E-3</v>
      </c>
      <c r="N1647" s="1" cm="1">
        <f t="array" ref="N1647">SUMPRODUCT(("TFRLFH2OFCL"=[1]OUT_TransportEnergyCons!$A$3:$A$1000)*1,("Var_Fin"=[1]OUT_TransportEnergyCons!$B$3:$B$1000)*1,ISNUMBER(SEARCH("h2",[1]OUT_TransportEnergyCons!$C$3:$C$1000))*1,[1]OUT_TransportEnergyCons!L$3:L$1000)</f>
        <v>4.7023163562530321E-3</v>
      </c>
      <c r="O1647" s="1" cm="1">
        <f t="array" ref="O1647">SUMPRODUCT(("TFRLFH2OFCL"=[1]OUT_TransportEnergyCons!$A$3:$A$1000)*1,("Var_Fin"=[1]OUT_TransportEnergyCons!$B$3:$B$1000)*1,ISNUMBER(SEARCH("h2",[1]OUT_TransportEnergyCons!$C$3:$C$1000))*1,[1]OUT_TransportEnergyCons!M$3:M$1000)</f>
        <v>4.7375772196372483E-3</v>
      </c>
      <c r="P1647" s="1" cm="1">
        <f t="array" ref="P1647">SUMPRODUCT(("TFRLFH2OFCL"=[1]OUT_TransportEnergyCons!$A$3:$A$1000)*1,("Var_Fin"=[1]OUT_TransportEnergyCons!$B$3:$B$1000)*1,ISNUMBER(SEARCH("h2",[1]OUT_TransportEnergyCons!$C$3:$C$1000))*1,[1]OUT_TransportEnergyCons!N$3:N$1000)</f>
        <v>4.6903131364004922E-3</v>
      </c>
      <c r="Q1647" s="1" cm="1">
        <f t="array" ref="Q1647">SUMPRODUCT(("TFRLFH2OFCL"=[1]OUT_TransportEnergyCons!$A$3:$A$1000)*1,("Var_Fin"=[1]OUT_TransportEnergyCons!$B$3:$B$1000)*1,ISNUMBER(SEARCH("h2",[1]OUT_TransportEnergyCons!$C$3:$C$1000))*1,[1]OUT_TransportEnergyCons!O$3:O$1000)</f>
        <v>4.9044139321106238E-3</v>
      </c>
      <c r="S1647" s="3"/>
    </row>
    <row r="1648" spans="2:19" x14ac:dyDescent="0.5">
      <c r="B1648" t="str">
        <f t="shared" si="1851"/>
        <v>SPS1</v>
      </c>
      <c r="C1648" t="str">
        <f t="shared" si="1852"/>
        <v>CH</v>
      </c>
      <c r="D1648" t="s">
        <v>1659</v>
      </c>
      <c r="E1648" t="str">
        <f t="shared" si="1858"/>
        <v>PJ/yr.</v>
      </c>
      <c r="F1648" s="1" cm="1">
        <f t="array" ref="F1648">SUMPRODUCT(("TPSHPH2OEXT"=[1]OUT_TransportEnergyCons!$A$3:$A$1000)*1,("Var_Fin"=[1]OUT_TransportEnergyCons!$B$3:$B$1000)*1,ISNUMBER(SEARCH("h2",[1]OUT_TransportEnergyCons!$C$3:$C$1000))*1,[1]OUT_TransportEnergyCons!D$3:D$1000)+[1]Transport_Aviation_Intl!B$14</f>
        <v>0</v>
      </c>
      <c r="G1648" s="1" cm="1">
        <f t="array" ref="G1648">SUMPRODUCT(("TPSHPH2OEXT"=[1]OUT_TransportEnergyCons!$A$3:$A$1000)*1,("Var_Fin"=[1]OUT_TransportEnergyCons!$B$3:$B$1000)*1,ISNUMBER(SEARCH("h2",[1]OUT_TransportEnergyCons!$C$3:$C$1000))*1,[1]OUT_TransportEnergyCons!E$3:E$1000)+[1]Transport_Aviation_Intl!C$14</f>
        <v>0</v>
      </c>
      <c r="H1648" s="1" cm="1">
        <f t="array" ref="H1648">SUMPRODUCT(("TPSHPH2OEXT"=[1]OUT_TransportEnergyCons!$A$3:$A$1000)*1,("Var_Fin"=[1]OUT_TransportEnergyCons!$B$3:$B$1000)*1,ISNUMBER(SEARCH("h2",[1]OUT_TransportEnergyCons!$C$3:$C$1000))*1,[1]OUT_TransportEnergyCons!F$3:F$1000)+[1]Transport_Aviation_Intl!D$14</f>
        <v>0</v>
      </c>
      <c r="I1648" s="1" cm="1">
        <f t="array" ref="I1648">SUMPRODUCT(("TPSHPH2OEXT"=[1]OUT_TransportEnergyCons!$A$3:$A$1000)*1,("Var_Fin"=[1]OUT_TransportEnergyCons!$B$3:$B$1000)*1,ISNUMBER(SEARCH("h2",[1]OUT_TransportEnergyCons!$C$3:$C$1000))*1,[1]OUT_TransportEnergyCons!G$3:G$1000)+[1]Transport_Aviation_Intl!E$14</f>
        <v>0</v>
      </c>
      <c r="J1648" s="1" cm="1">
        <f t="array" ref="J1648">SUMPRODUCT(("TPSHPH2OEXT"=[1]OUT_TransportEnergyCons!$A$3:$A$1000)*1,("Var_Fin"=[1]OUT_TransportEnergyCons!$B$3:$B$1000)*1,ISNUMBER(SEARCH("h2",[1]OUT_TransportEnergyCons!$C$3:$C$1000))*1,[1]OUT_TransportEnergyCons!H$3:H$1000)+[1]Transport_Aviation_Intl!F$14</f>
        <v>1.2757388128412E-4</v>
      </c>
      <c r="K1648" s="1" cm="1">
        <f t="array" ref="K1648">SUMPRODUCT(("TPSHPH2OEXT"=[1]OUT_TransportEnergyCons!$A$3:$A$1000)*1,("Var_Fin"=[1]OUT_TransportEnergyCons!$B$3:$B$1000)*1,ISNUMBER(SEARCH("h2",[1]OUT_TransportEnergyCons!$C$3:$C$1000))*1,[1]OUT_TransportEnergyCons!I$3:I$1000)+[1]Transport_Aviation_Intl!G$14</f>
        <v>7.8867000429767409E-2</v>
      </c>
      <c r="L1648" s="1" cm="1">
        <f t="array" ref="L1648">SUMPRODUCT(("TPSHPH2OEXT"=[1]OUT_TransportEnergyCons!$A$3:$A$1000)*1,("Var_Fin"=[1]OUT_TransportEnergyCons!$B$3:$B$1000)*1,ISNUMBER(SEARCH("h2",[1]OUT_TransportEnergyCons!$C$3:$C$1000))*1,[1]OUT_TransportEnergyCons!J$3:J$1000)+[1]Transport_Aviation_Intl!H$14</f>
        <v>0.13493586005168021</v>
      </c>
      <c r="M1648" s="1" cm="1">
        <f t="array" ref="M1648">SUMPRODUCT(("TPSHPH2OEXT"=[1]OUT_TransportEnergyCons!$A$3:$A$1000)*1,("Var_Fin"=[1]OUT_TransportEnergyCons!$B$3:$B$1000)*1,ISNUMBER(SEARCH("h2",[1]OUT_TransportEnergyCons!$C$3:$C$1000))*1,[1]OUT_TransportEnergyCons!K$3:K$1000)+[1]Transport_Aviation_Intl!I$14</f>
        <v>0.13494722487148186</v>
      </c>
      <c r="N1648" s="1" cm="1">
        <f t="array" ref="N1648">SUMPRODUCT(("TPSHPH2OEXT"=[1]OUT_TransportEnergyCons!$A$3:$A$1000)*1,("Var_Fin"=[1]OUT_TransportEnergyCons!$B$3:$B$1000)*1,ISNUMBER(SEARCH("h2",[1]OUT_TransportEnergyCons!$C$3:$C$1000))*1,[1]OUT_TransportEnergyCons!L$3:L$1000)+[1]Transport_Aviation_Intl!J$14</f>
        <v>0.1349487044012149</v>
      </c>
      <c r="O1648" s="1" cm="1">
        <f t="array" ref="O1648">SUMPRODUCT(("TPSHPH2OEXT"=[1]OUT_TransportEnergyCons!$A$3:$A$1000)*1,("Var_Fin"=[1]OUT_TransportEnergyCons!$B$3:$B$1000)*1,ISNUMBER(SEARCH("h2",[1]OUT_TransportEnergyCons!$C$3:$C$1000))*1,[1]OUT_TransportEnergyCons!M$3:M$1000)+[1]Transport_Aviation_Intl!K$14</f>
        <v>0.13494958856044331</v>
      </c>
      <c r="P1648" s="1" cm="1">
        <f t="array" ref="P1648">SUMPRODUCT(("TPSHPH2OEXT"=[1]OUT_TransportEnergyCons!$A$3:$A$1000)*1,("Var_Fin"=[1]OUT_TransportEnergyCons!$B$3:$B$1000)*1,ISNUMBER(SEARCH("h2",[1]OUT_TransportEnergyCons!$C$3:$C$1000))*1,[1]OUT_TransportEnergyCons!N$3:N$1000)+[1]Transport_Aviation_Intl!L$14</f>
        <v>0.1349503961082586</v>
      </c>
      <c r="Q1648" s="1" cm="1">
        <f t="array" ref="Q1648">SUMPRODUCT(("TPSHPH2OEXT"=[1]OUT_TransportEnergyCons!$A$3:$A$1000)*1,("Var_Fin"=[1]OUT_TransportEnergyCons!$B$3:$B$1000)*1,ISNUMBER(SEARCH("h2",[1]OUT_TransportEnergyCons!$C$3:$C$1000))*1,[1]OUT_TransportEnergyCons!O$3:O$1000)+[1]Transport_Aviation_Intl!M$14</f>
        <v>0.134951237360593</v>
      </c>
      <c r="S1648" s="3"/>
    </row>
    <row r="1649" spans="2:19" x14ac:dyDescent="0.5">
      <c r="B1649" t="str">
        <f t="shared" si="1851"/>
        <v>SPS1</v>
      </c>
      <c r="C1649" t="str">
        <f t="shared" si="1852"/>
        <v>CH</v>
      </c>
      <c r="D1649" t="s">
        <v>1660</v>
      </c>
      <c r="E1649" t="str">
        <f>E1648</f>
        <v>PJ/yr.</v>
      </c>
      <c r="F1649" s="1">
        <f>F1654</f>
        <v>1.759807763728358</v>
      </c>
      <c r="G1649" s="1">
        <f t="shared" ref="G1649:K1649" si="1859">G1654</f>
        <v>0.9715562674080469</v>
      </c>
      <c r="H1649" s="1">
        <f t="shared" si="1859"/>
        <v>1.4087090754985778</v>
      </c>
      <c r="I1649" s="1">
        <f t="shared" si="1859"/>
        <v>1.4087884638118546</v>
      </c>
      <c r="J1649" s="1">
        <f t="shared" si="1859"/>
        <v>1.408904974450095</v>
      </c>
      <c r="K1649" s="1">
        <f t="shared" si="1859"/>
        <v>0.37843237803398971</v>
      </c>
      <c r="L1649" s="1">
        <f t="shared" ref="L1649:O1649" si="1860">L1654</f>
        <v>2.7191671541422713E-4</v>
      </c>
      <c r="M1649" s="1">
        <f t="shared" si="1860"/>
        <v>0</v>
      </c>
      <c r="N1649" s="1">
        <f t="shared" si="1860"/>
        <v>0</v>
      </c>
      <c r="O1649" s="1">
        <f t="shared" si="1860"/>
        <v>0</v>
      </c>
      <c r="P1649" s="1">
        <f>P1654</f>
        <v>0</v>
      </c>
      <c r="Q1649" s="1">
        <f>Q1654</f>
        <v>0</v>
      </c>
      <c r="S1649" s="3"/>
    </row>
    <row r="1650" spans="2:19" x14ac:dyDescent="0.5">
      <c r="B1650" t="str">
        <f t="shared" si="1851"/>
        <v>SPS1</v>
      </c>
      <c r="C1650" t="str">
        <f t="shared" si="1852"/>
        <v>CH</v>
      </c>
      <c r="D1650" t="s">
        <v>1661</v>
      </c>
      <c r="E1650" t="str">
        <f t="shared" ref="E1650:E1662" si="1861">E1649</f>
        <v>PJ/yr.</v>
      </c>
      <c r="F1650" s="1">
        <f>F1649-F1651</f>
        <v>1.6634718376430881</v>
      </c>
      <c r="G1650" s="1">
        <f t="shared" ref="G1650:K1650" si="1862">G1649-G1651</f>
        <v>0.91837117136304047</v>
      </c>
      <c r="H1650" s="1">
        <f t="shared" si="1862"/>
        <v>1.3315957403758281</v>
      </c>
      <c r="I1650" s="1">
        <f t="shared" si="1862"/>
        <v>1.3316512912770604</v>
      </c>
      <c r="J1650" s="1">
        <f t="shared" si="1862"/>
        <v>1.3120639388783106</v>
      </c>
      <c r="K1650" s="1">
        <f t="shared" si="1862"/>
        <v>0.26384191368987897</v>
      </c>
      <c r="L1650" s="1">
        <f t="shared" ref="L1650:O1650" si="1863">L1649-L1651</f>
        <v>2.0326995506055252E-4</v>
      </c>
      <c r="M1650" s="1">
        <f t="shared" si="1863"/>
        <v>0</v>
      </c>
      <c r="N1650" s="1">
        <f t="shared" si="1863"/>
        <v>0</v>
      </c>
      <c r="O1650" s="1">
        <f t="shared" si="1863"/>
        <v>0</v>
      </c>
      <c r="P1650" s="1">
        <f>P1649-P1651</f>
        <v>0</v>
      </c>
      <c r="Q1650" s="1">
        <f>Q1649-Q1651</f>
        <v>0</v>
      </c>
      <c r="S1650" s="3"/>
    </row>
    <row r="1651" spans="2:19" x14ac:dyDescent="0.5">
      <c r="B1651" t="str">
        <f t="shared" si="1851"/>
        <v>SPS1</v>
      </c>
      <c r="C1651" t="str">
        <f t="shared" si="1852"/>
        <v>CH</v>
      </c>
      <c r="D1651" t="s">
        <v>1662</v>
      </c>
      <c r="E1651" t="str">
        <f t="shared" si="1861"/>
        <v>PJ/yr.</v>
      </c>
      <c r="F1651" s="1">
        <f>SUM(F1652:F1653)</f>
        <v>9.6335926085269835E-2</v>
      </c>
      <c r="G1651" s="1">
        <f t="shared" ref="G1651:K1651" si="1864">SUM(G1652:G1653)</f>
        <v>5.3185096045006437E-2</v>
      </c>
      <c r="H1651" s="1">
        <f t="shared" si="1864"/>
        <v>7.7113335122749718E-2</v>
      </c>
      <c r="I1651" s="1">
        <f t="shared" si="1864"/>
        <v>7.7137172534794268E-2</v>
      </c>
      <c r="J1651" s="1">
        <f t="shared" si="1864"/>
        <v>9.684103557178432E-2</v>
      </c>
      <c r="K1651" s="1">
        <f t="shared" si="1864"/>
        <v>0.11459046434411074</v>
      </c>
      <c r="L1651" s="1">
        <f t="shared" ref="L1651:O1651" si="1865">SUM(L1652:L1653)</f>
        <v>6.8646760353674615E-5</v>
      </c>
      <c r="M1651" s="1">
        <f t="shared" si="1865"/>
        <v>0</v>
      </c>
      <c r="N1651" s="1">
        <f t="shared" si="1865"/>
        <v>0</v>
      </c>
      <c r="O1651" s="1">
        <f t="shared" si="1865"/>
        <v>0</v>
      </c>
      <c r="P1651" s="1">
        <f>SUM(P1652:P1653)</f>
        <v>0</v>
      </c>
      <c r="Q1651" s="1">
        <f>SUM(Q1652:Q1653)</f>
        <v>0</v>
      </c>
      <c r="S1651" s="3"/>
    </row>
    <row r="1652" spans="2:19" x14ac:dyDescent="0.5">
      <c r="B1652" t="str">
        <f t="shared" si="1851"/>
        <v>SPS1</v>
      </c>
      <c r="C1652" t="str">
        <f t="shared" si="1852"/>
        <v>CH</v>
      </c>
      <c r="D1652" t="s">
        <v>1663</v>
      </c>
      <c r="E1652" t="str">
        <f t="shared" si="1861"/>
        <v>PJ/yr.</v>
      </c>
      <c r="F1652" s="1">
        <f>[1]Transport!B$25/SUM([1]Transport!B$21,[1]Transport!B$25)*F1649*(F$35+F$600)/(F$35+F$600+F$39)</f>
        <v>9.6335926085269835E-2</v>
      </c>
      <c r="G1652" s="1">
        <f>[1]Transport!C$25/SUM([1]Transport!C$21,[1]Transport!C$25)*G1649*(G$35+G$600)/(G$35+G$600+G$39)</f>
        <v>5.3185096045006437E-2</v>
      </c>
      <c r="H1652" s="1">
        <f>[1]Transport!D$25/SUM([1]Transport!D$21,[1]Transport!D$25)*H1649*(H$35+H$600)/(H$35+H$600+H$39)</f>
        <v>7.7113335122749718E-2</v>
      </c>
      <c r="I1652" s="1">
        <f>[1]Transport!E$25/SUM([1]Transport!E$21,[1]Transport!E$25)*I1649*(I$35+I$600)/(I$35+I$600+I$39)</f>
        <v>7.7137172534794268E-2</v>
      </c>
      <c r="J1652" s="1">
        <f>[1]Transport!F$25/SUM([1]Transport!F$21,[1]Transport!F$25)*J1649*(J$35+J$600)/(J$35+J$600+J$39)</f>
        <v>9.684103557178432E-2</v>
      </c>
      <c r="K1652" s="1">
        <f>[1]Transport!G$25/SUM([1]Transport!G$21,[1]Transport!G$25)*K1649*(K$35+K$600)/(K$35+K$600+K$39)</f>
        <v>2.0879744781515042E-2</v>
      </c>
      <c r="L1652" s="1">
        <f>[1]Transport!H$25/SUM([1]Transport!H$21,[1]Transport!H$25)*L1649*(L$35+L$600)/(L$35+L$600+L$39)</f>
        <v>1.5391020782607232E-5</v>
      </c>
      <c r="M1652" s="1">
        <f>[1]Transport!I$25/SUM([1]Transport!I$21,[1]Transport!I$25)*M1649*(M$35+M$600)/(M$35+M$600+M$39)</f>
        <v>0</v>
      </c>
      <c r="N1652" s="1">
        <f>[1]Transport!J$25/SUM([1]Transport!J$21,[1]Transport!J$25)*N1649*(N$35+N$600)/(N$35+N$600+N$39)</f>
        <v>0</v>
      </c>
      <c r="O1652" s="1">
        <f>[1]Transport!K$25/SUM([1]Transport!K$21,[1]Transport!K$25)*O1649*(O$35+O$600)/(O$35+O$600+O$39)</f>
        <v>0</v>
      </c>
      <c r="P1652" s="1">
        <f>[1]Transport!L$25/SUM([1]Transport!L$21,[1]Transport!L$25)*P1649*(P$35+P$600)/(P$35+P$600+P$39)</f>
        <v>0</v>
      </c>
      <c r="Q1652" s="1">
        <f>[1]Transport!M$25/SUM([1]Transport!M$21,[1]Transport!M$25)*Q1649*(Q$35+Q$600)/(Q$35+Q$600+Q$39)</f>
        <v>0</v>
      </c>
      <c r="S1652" s="3"/>
    </row>
    <row r="1653" spans="2:19" x14ac:dyDescent="0.5">
      <c r="B1653" t="str">
        <f t="shared" si="1851"/>
        <v>SPS1</v>
      </c>
      <c r="C1653" t="str">
        <f t="shared" si="1852"/>
        <v>CH</v>
      </c>
      <c r="D1653" t="s">
        <v>1664</v>
      </c>
      <c r="E1653" t="str">
        <f t="shared" si="1861"/>
        <v>PJ/yr.</v>
      </c>
      <c r="F1653" s="1">
        <f>(F$39+F$719)/([1]Transport!B$21+[1]Transport!B$25)*F1649</f>
        <v>0</v>
      </c>
      <c r="G1653" s="1">
        <f>(G$39+G$719)/([1]Transport!C$21+[1]Transport!C$25)*G1649</f>
        <v>0</v>
      </c>
      <c r="H1653" s="1">
        <f>(H$39+H$719)/([1]Transport!D$21+[1]Transport!D$25)*H1649</f>
        <v>0</v>
      </c>
      <c r="I1653" s="1">
        <f>(I$39+I$719)/([1]Transport!E$21+[1]Transport!E$25)*I1649</f>
        <v>0</v>
      </c>
      <c r="J1653" s="1">
        <f>(J$39+J$719)/([1]Transport!F$21+[1]Transport!F$25)*J1649</f>
        <v>0</v>
      </c>
      <c r="K1653" s="1">
        <f>(K$39+K$719)/([1]Transport!G$21+[1]Transport!G$25)*K1649</f>
        <v>9.3710719562595704E-2</v>
      </c>
      <c r="L1653" s="1">
        <f>(L$39+L$719)/([1]Transport!H$21+[1]Transport!H$25)*L1649</f>
        <v>5.3255739571067389E-5</v>
      </c>
      <c r="M1653" s="1">
        <f>(M$39+M$719)/([1]Transport!I$21+[1]Transport!I$25)*M1649</f>
        <v>0</v>
      </c>
      <c r="N1653" s="1">
        <f>(N$39+N$719)/([1]Transport!J$21+[1]Transport!J$25)*N1649</f>
        <v>0</v>
      </c>
      <c r="O1653" s="1">
        <f>(O$39+O$719)/([1]Transport!K$21+[1]Transport!K$25)*O1649</f>
        <v>0</v>
      </c>
      <c r="P1653" s="1">
        <f>(P$39+P$719)/([1]Transport!L$21+[1]Transport!L$25)*P1649</f>
        <v>0</v>
      </c>
      <c r="Q1653" s="1">
        <f>(Q$39+Q$719)/([1]Transport!M$21+[1]Transport!M$25)*Q1649</f>
        <v>0</v>
      </c>
      <c r="S1653" s="3"/>
    </row>
    <row r="1654" spans="2:19" x14ac:dyDescent="0.5">
      <c r="B1654" t="str">
        <f t="shared" si="1851"/>
        <v>SPS1</v>
      </c>
      <c r="C1654" t="str">
        <f t="shared" si="1852"/>
        <v>CH</v>
      </c>
      <c r="D1654" t="s">
        <v>1665</v>
      </c>
      <c r="E1654" t="str">
        <f t="shared" si="1861"/>
        <v>PJ/yr.</v>
      </c>
      <c r="F1654" s="1" cm="1">
        <f t="array" ref="F1654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4" s="1" cm="1">
        <f t="array" ref="G1654">SUMPRODUCT(("TPSHPGSLEXT"=[1]OUT_TransportEnergyCons!$A$3:$A$1000)*1,("Var_Fin"=[1]OUT_TransportEnergyCons!$B$3:$B$1000)*1,ISNUMBER(SEARCH("GSL",[1]OUT_TransportEnergyCons!$C$3:$C$1000))*1,[1]OUT_TransportEnergyCons!E$3:E$1000)</f>
        <v>0.9715562674080469</v>
      </c>
      <c r="H1654" s="1" cm="1">
        <f t="array" ref="H1654">SUMPRODUCT(("TPSHPGSLEXT"=[1]OUT_TransportEnergyCons!$A$3:$A$1000)*1,("Var_Fin"=[1]OUT_TransportEnergyCons!$B$3:$B$1000)*1,ISNUMBER(SEARCH("GSL",[1]OUT_TransportEnergyCons!$C$3:$C$1000))*1,[1]OUT_TransportEnergyCons!F$3:F$1000)</f>
        <v>1.4087090754985778</v>
      </c>
      <c r="I1654" s="1" cm="1">
        <f t="array" ref="I1654">SUMPRODUCT(("TPSHPGSLEXT"=[1]OUT_TransportEnergyCons!$A$3:$A$1000)*1,("Var_Fin"=[1]OUT_TransportEnergyCons!$B$3:$B$1000)*1,ISNUMBER(SEARCH("GSL",[1]OUT_TransportEnergyCons!$C$3:$C$1000))*1,[1]OUT_TransportEnergyCons!G$3:G$1000)</f>
        <v>1.4087884638118546</v>
      </c>
      <c r="J1654" s="1" cm="1">
        <f t="array" ref="J1654">SUMPRODUCT(("TPSHPGSLEXT"=[1]OUT_TransportEnergyCons!$A$3:$A$1000)*1,("Var_Fin"=[1]OUT_TransportEnergyCons!$B$3:$B$1000)*1,ISNUMBER(SEARCH("GSL",[1]OUT_TransportEnergyCons!$C$3:$C$1000))*1,[1]OUT_TransportEnergyCons!H$3:H$1000)</f>
        <v>1.408904974450095</v>
      </c>
      <c r="K1654" s="1" cm="1">
        <f t="array" ref="K1654">SUMPRODUCT(("TPSHPGSLEXT"=[1]OUT_TransportEnergyCons!$A$3:$A$1000)*1,("Var_Fin"=[1]OUT_TransportEnergyCons!$B$3:$B$1000)*1,ISNUMBER(SEARCH("GSL",[1]OUT_TransportEnergyCons!$C$3:$C$1000))*1,[1]OUT_TransportEnergyCons!I$3:I$1000)</f>
        <v>0.37843237803398971</v>
      </c>
      <c r="L1654" s="1" cm="1">
        <f t="array" ref="L1654">SUMPRODUCT(("TPSHPGSLEXT"=[1]OUT_TransportEnergyCons!$A$3:$A$1000)*1,("Var_Fin"=[1]OUT_TransportEnergyCons!$B$3:$B$1000)*1,ISNUMBER(SEARCH("GSL",[1]OUT_TransportEnergyCons!$C$3:$C$1000))*1,[1]OUT_TransportEnergyCons!J$3:J$1000)</f>
        <v>2.7191671541422713E-4</v>
      </c>
      <c r="M1654" s="1" cm="1">
        <f t="array" ref="M1654">SUMPRODUCT(("TPSHPGSLEXT"=[1]OUT_TransportEnergyCons!$A$3:$A$1000)*1,("Var_Fin"=[1]OUT_TransportEnergyCons!$B$3:$B$1000)*1,ISNUMBER(SEARCH("GSL",[1]OUT_TransportEnergyCons!$C$3:$C$1000))*1,[1]OUT_TransportEnergyCons!K$3:K$1000)</f>
        <v>0</v>
      </c>
      <c r="N1654" s="1" cm="1">
        <f t="array" ref="N1654">SUMPRODUCT(("TPSHPGSLEXT"=[1]OUT_TransportEnergyCons!$A$3:$A$1000)*1,("Var_Fin"=[1]OUT_TransportEnergyCons!$B$3:$B$1000)*1,ISNUMBER(SEARCH("GSL",[1]OUT_TransportEnergyCons!$C$3:$C$1000))*1,[1]OUT_TransportEnergyCons!L$3:L$1000)</f>
        <v>0</v>
      </c>
      <c r="O1654" s="1" cm="1">
        <f t="array" ref="O1654">SUMPRODUCT(("TPSHPGSLEXT"=[1]OUT_TransportEnergyCons!$A$3:$A$1000)*1,("Var_Fin"=[1]OUT_TransportEnergyCons!$B$3:$B$1000)*1,ISNUMBER(SEARCH("GSL",[1]OUT_TransportEnergyCons!$C$3:$C$1000))*1,[1]OUT_TransportEnergyCons!M$3:M$1000)</f>
        <v>0</v>
      </c>
      <c r="P1654" s="1" cm="1">
        <f t="array" ref="P1654">SUMPRODUCT(("TPSHPGSLEXT"=[1]OUT_TransportEnergyCons!$A$3:$A$1000)*1,("Var_Fin"=[1]OUT_TransportEnergyCons!$B$3:$B$1000)*1,ISNUMBER(SEARCH("GSL",[1]OUT_TransportEnergyCons!$C$3:$C$1000))*1,[1]OUT_TransportEnergyCons!N$3:N$1000)</f>
        <v>0</v>
      </c>
      <c r="Q1654" s="1" cm="1">
        <f t="array" ref="Q1654">SUMPRODUCT(("TPSHPGSLEXT"=[1]OUT_TransportEnergyCons!$A$3:$A$1000)*1,("Var_Fin"=[1]OUT_TransportEnergyCons!$B$3:$B$1000)*1,ISNUMBER(SEARCH("GSL",[1]OUT_TransportEnergyCons!$C$3:$C$1000))*1,[1]OUT_TransportEnergyCons!O$3:O$1000)</f>
        <v>0</v>
      </c>
      <c r="S1654" s="3"/>
    </row>
    <row r="1655" spans="2:19" x14ac:dyDescent="0.5">
      <c r="B1655" t="str">
        <f t="shared" si="1851"/>
        <v>SPS1</v>
      </c>
      <c r="C1655" t="str">
        <f t="shared" si="1852"/>
        <v>CH</v>
      </c>
      <c r="D1655" t="s">
        <v>1666</v>
      </c>
      <c r="E1655" t="str">
        <f t="shared" si="1861"/>
        <v>PJ/yr.</v>
      </c>
      <c r="F1655" s="1">
        <f>[1]TRA_FuelByFleet!F$99</f>
        <v>0</v>
      </c>
      <c r="G1655" s="1">
        <f>[1]TRA_FuelByFleet!G$99</f>
        <v>0</v>
      </c>
      <c r="H1655" s="1">
        <f>[1]TRA_FuelByFleet!H$99</f>
        <v>0</v>
      </c>
      <c r="I1655" s="1">
        <f>[1]TRA_FuelByFleet!I$99</f>
        <v>0</v>
      </c>
      <c r="J1655" s="1">
        <f>[1]TRA_FuelByFleet!J$99</f>
        <v>0</v>
      </c>
      <c r="K1655" s="1">
        <f>[1]TRA_FuelByFleet!K$99</f>
        <v>0</v>
      </c>
      <c r="L1655" s="1">
        <f>[1]TRA_FuelByFleet!L$99</f>
        <v>0</v>
      </c>
      <c r="M1655" s="1">
        <f>[1]TRA_FuelByFleet!M$99</f>
        <v>0</v>
      </c>
      <c r="N1655" s="1">
        <f>[1]TRA_FuelByFleet!N$99</f>
        <v>0</v>
      </c>
      <c r="O1655" s="1">
        <f>[1]TRA_FuelByFleet!O$99</f>
        <v>0</v>
      </c>
      <c r="P1655" s="1">
        <f>[1]TRA_FuelByFleet!P$99</f>
        <v>0</v>
      </c>
      <c r="Q1655" s="1">
        <f>[1]TRA_FuelByFleet!Q$99</f>
        <v>0</v>
      </c>
      <c r="S1655" s="3"/>
    </row>
    <row r="1656" spans="2:19" x14ac:dyDescent="0.5">
      <c r="B1656" t="str">
        <f t="shared" si="1851"/>
        <v>SPS1</v>
      </c>
      <c r="C1656" t="str">
        <f t="shared" si="1852"/>
        <v>CH</v>
      </c>
      <c r="D1656" t="s">
        <v>1667</v>
      </c>
      <c r="E1656" t="str">
        <f t="shared" si="1861"/>
        <v>PJ/yr.</v>
      </c>
      <c r="F1656" s="1">
        <f>F1655-F1657</f>
        <v>0</v>
      </c>
      <c r="G1656" s="1">
        <f t="shared" ref="G1656:K1656" si="1866">G1655-G1657</f>
        <v>0</v>
      </c>
      <c r="H1656" s="1">
        <f t="shared" si="1866"/>
        <v>0</v>
      </c>
      <c r="I1656" s="1">
        <f t="shared" si="1866"/>
        <v>0</v>
      </c>
      <c r="J1656" s="1">
        <f t="shared" si="1866"/>
        <v>0</v>
      </c>
      <c r="K1656" s="1">
        <f t="shared" si="1866"/>
        <v>0</v>
      </c>
      <c r="L1656" s="1">
        <f t="shared" ref="L1656:O1656" si="1867">L1655-L1657</f>
        <v>0</v>
      </c>
      <c r="M1656" s="1">
        <f t="shared" si="1867"/>
        <v>0</v>
      </c>
      <c r="N1656" s="1">
        <f t="shared" si="1867"/>
        <v>0</v>
      </c>
      <c r="O1656" s="1">
        <f t="shared" si="1867"/>
        <v>0</v>
      </c>
      <c r="P1656" s="1">
        <f>P1655-P1657</f>
        <v>0</v>
      </c>
      <c r="Q1656" s="1">
        <f>Q1655-Q1657</f>
        <v>0</v>
      </c>
      <c r="S1656" s="3"/>
    </row>
    <row r="1657" spans="2:19" x14ac:dyDescent="0.5">
      <c r="B1657" t="str">
        <f t="shared" si="1851"/>
        <v>SPS1</v>
      </c>
      <c r="C1657" t="str">
        <f t="shared" si="1852"/>
        <v>CH</v>
      </c>
      <c r="D1657" t="s">
        <v>1668</v>
      </c>
      <c r="E1657" t="str">
        <f t="shared" si="1861"/>
        <v>PJ/yr.</v>
      </c>
      <c r="F1657" s="1">
        <f>SUM(F1658:F1659)</f>
        <v>0</v>
      </c>
      <c r="G1657" s="1">
        <f t="shared" ref="G1657:K1657" si="1868">SUM(G1658:G1659)</f>
        <v>0</v>
      </c>
      <c r="H1657" s="1">
        <f t="shared" si="1868"/>
        <v>0</v>
      </c>
      <c r="I1657" s="1">
        <f t="shared" si="1868"/>
        <v>0</v>
      </c>
      <c r="J1657" s="1">
        <f t="shared" si="1868"/>
        <v>0</v>
      </c>
      <c r="K1657" s="1">
        <f t="shared" si="1868"/>
        <v>0</v>
      </c>
      <c r="L1657" s="1">
        <f t="shared" ref="L1657:O1657" si="1869">SUM(L1658:L1659)</f>
        <v>0</v>
      </c>
      <c r="M1657" s="1">
        <f t="shared" si="1869"/>
        <v>0</v>
      </c>
      <c r="N1657" s="1">
        <f t="shared" si="1869"/>
        <v>0</v>
      </c>
      <c r="O1657" s="1">
        <f t="shared" si="1869"/>
        <v>0</v>
      </c>
      <c r="P1657" s="1">
        <f>SUM(P1658:P1659)</f>
        <v>0</v>
      </c>
      <c r="Q1657" s="1">
        <f>SUM(Q1658:Q1659)</f>
        <v>0</v>
      </c>
      <c r="S1657" s="3"/>
    </row>
    <row r="1658" spans="2:19" x14ac:dyDescent="0.5">
      <c r="B1658" t="str">
        <f t="shared" si="1851"/>
        <v>SPS1</v>
      </c>
      <c r="C1658" t="str">
        <f t="shared" si="1852"/>
        <v>CH</v>
      </c>
      <c r="D1658" t="s">
        <v>1669</v>
      </c>
      <c r="E1658" t="str">
        <f t="shared" si="1861"/>
        <v>PJ/yr.</v>
      </c>
      <c r="F1658" s="1">
        <f>[1]Transport!B$26/SUM([1]Transport!B$22,[1]Transport!B$26)*F1655*(F$34+F$582)/(F$34+F$582+F$38)</f>
        <v>0</v>
      </c>
      <c r="G1658" s="1">
        <f>[1]Transport!C$26/SUM([1]Transport!C$22,[1]Transport!C$26)*G1655*(G$34+G$582)/(G$34+G$582+G$38)</f>
        <v>0</v>
      </c>
      <c r="H1658" s="1">
        <f>[1]Transport!D$26/SUM([1]Transport!D$22,[1]Transport!D$26)*H1655*(H$34+H$582)/(H$34+H$582+H$38)</f>
        <v>0</v>
      </c>
      <c r="I1658" s="1">
        <f>[1]Transport!E$26/SUM([1]Transport!E$22,[1]Transport!E$26)*I1655*(I$34+I$582)/(I$34+I$582+I$38)</f>
        <v>0</v>
      </c>
      <c r="J1658" s="1">
        <f>[1]Transport!F$26/SUM([1]Transport!F$22,[1]Transport!F$26)*J1655*(J$34+J$582)/(J$34+J$582+J$38)</f>
        <v>0</v>
      </c>
      <c r="K1658" s="1">
        <f>[1]Transport!G$26/SUM([1]Transport!G$22,[1]Transport!G$26)*K1655*(K$34+K$582)/(K$34+K$582+K$38)</f>
        <v>0</v>
      </c>
      <c r="L1658" s="1">
        <f>[1]Transport!H$26/SUM([1]Transport!H$22,[1]Transport!H$26)*L1655*(L$34+L$582)/(L$34+L$582+L$38)</f>
        <v>0</v>
      </c>
      <c r="M1658" s="1">
        <f>[1]Transport!I$26/SUM([1]Transport!I$22,[1]Transport!I$26)*M1655*(M$34+M$582)/(M$34+M$582+M$38)</f>
        <v>0</v>
      </c>
      <c r="N1658" s="1">
        <f>[1]Transport!J$26/SUM([1]Transport!J$22,[1]Transport!J$26)*N1655*(N$34+N$582)/(N$34+N$582+N$38)</f>
        <v>0</v>
      </c>
      <c r="O1658" s="1">
        <f>[1]Transport!K$26/SUM([1]Transport!K$22,[1]Transport!K$26)*O1655*(O$34+O$582)/(O$34+O$582+O$38)</f>
        <v>0</v>
      </c>
      <c r="P1658" s="1">
        <f>[1]Transport!L$26/SUM([1]Transport!L$22,[1]Transport!L$26)*P1655*(P$34+P$582)/(P$34+P$582+P$38)</f>
        <v>0</v>
      </c>
      <c r="Q1658" s="1">
        <f>[1]Transport!M$26/SUM([1]Transport!M$22,[1]Transport!M$26)*Q1655*(Q$34+Q$582)/(Q$34+Q$582+Q$38)</f>
        <v>0</v>
      </c>
      <c r="S1658" s="3"/>
    </row>
    <row r="1659" spans="2:19" x14ac:dyDescent="0.5">
      <c r="B1659" t="str">
        <f>B1658</f>
        <v>SPS1</v>
      </c>
      <c r="C1659" t="str">
        <f>C1658</f>
        <v>CH</v>
      </c>
      <c r="D1659" t="s">
        <v>1670</v>
      </c>
      <c r="E1659" t="str">
        <f>E1658</f>
        <v>PJ/yr.</v>
      </c>
      <c r="F1659" s="1">
        <f>[1]Transport!B$26/SUM([1]Transport!B$22,[1]Transport!B$26)*F1655-F1658</f>
        <v>0</v>
      </c>
      <c r="G1659" s="1">
        <f>[1]Transport!C$26/SUM([1]Transport!C$22,[1]Transport!C$26)*G1655-G1658</f>
        <v>0</v>
      </c>
      <c r="H1659" s="1">
        <f>[1]Transport!D$26/SUM([1]Transport!D$22,[1]Transport!D$26)*H1655-H1658</f>
        <v>0</v>
      </c>
      <c r="I1659" s="1">
        <f>[1]Transport!E$26/SUM([1]Transport!E$22,[1]Transport!E$26)*I1655-I1658</f>
        <v>0</v>
      </c>
      <c r="J1659" s="1">
        <f>[1]Transport!F$26/SUM([1]Transport!F$22,[1]Transport!F$26)*J1655-J1658</f>
        <v>0</v>
      </c>
      <c r="K1659" s="1">
        <f>[1]Transport!G$26/SUM([1]Transport!G$22,[1]Transport!G$26)*K1655-K1658</f>
        <v>0</v>
      </c>
      <c r="L1659" s="1">
        <f>[1]Transport!H$26/SUM([1]Transport!H$22,[1]Transport!H$26)*L1655-L1658</f>
        <v>0</v>
      </c>
      <c r="M1659" s="1">
        <f>[1]Transport!I$26/SUM([1]Transport!I$22,[1]Transport!I$26)*M1655-M1658</f>
        <v>0</v>
      </c>
      <c r="N1659" s="1">
        <f>[1]Transport!J$26/SUM([1]Transport!J$22,[1]Transport!J$26)*N1655-N1658</f>
        <v>0</v>
      </c>
      <c r="O1659" s="1">
        <f>[1]Transport!K$26/SUM([1]Transport!K$22,[1]Transport!K$26)*O1655-O1658</f>
        <v>0</v>
      </c>
      <c r="P1659" s="1">
        <f>[1]Transport!L$26/SUM([1]Transport!L$22,[1]Transport!L$26)*P1655-P1658</f>
        <v>0</v>
      </c>
      <c r="Q1659" s="1">
        <f>[1]Transport!M$26/SUM([1]Transport!M$22,[1]Transport!M$26)*Q1655-Q1658</f>
        <v>0</v>
      </c>
      <c r="S1659" s="3"/>
    </row>
    <row r="1660" spans="2:19" x14ac:dyDescent="0.5">
      <c r="B1660" t="str">
        <f>B1659</f>
        <v>SPS1</v>
      </c>
      <c r="C1660" t="str">
        <f>C1659</f>
        <v>CH</v>
      </c>
      <c r="D1660" t="s">
        <v>1671</v>
      </c>
      <c r="E1660" t="str">
        <f>E1659</f>
        <v>PJ/yr.</v>
      </c>
      <c r="F1660" s="1" cm="1">
        <f t="array" ref="F1660">SUMPRODUCT(("TPRLPDSLEXT"=[1]OUT_TransportEnergyCons!$A$3:$A$1000)*1,("Var_Fin"=[1]OUT_TransportEnergyCons!$B$3:$B$1000)*1,ISNUMBER(SEARCH("DSL",[1]OUT_TransportEnergyCons!$C$3:$C$1000))*1,[1]OUT_TransportEnergyCons!D$3:D$1000)</f>
        <v>0</v>
      </c>
      <c r="G1660" s="1" cm="1">
        <f t="array" ref="G1660">SUMPRODUCT(("TPRLPDSLEXT"=[1]OUT_TransportEnergyCons!$A$3:$A$1000)*1,("Var_Fin"=[1]OUT_TransportEnergyCons!$B$3:$B$1000)*1,ISNUMBER(SEARCH("DSL",[1]OUT_TransportEnergyCons!$C$3:$C$1000))*1,[1]OUT_TransportEnergyCons!E$3:E$1000)</f>
        <v>0</v>
      </c>
      <c r="H1660" s="1" cm="1">
        <f t="array" ref="H1660">SUMPRODUCT(("TPRLPDSLEXT"=[1]OUT_TransportEnergyCons!$A$3:$A$1000)*1,("Var_Fin"=[1]OUT_TransportEnergyCons!$B$3:$B$1000)*1,ISNUMBER(SEARCH("DSL",[1]OUT_TransportEnergyCons!$C$3:$C$1000))*1,[1]OUT_TransportEnergyCons!F$3:F$1000)</f>
        <v>0</v>
      </c>
      <c r="I1660" s="1" cm="1">
        <f t="array" ref="I1660">SUMPRODUCT(("TPRLPDSLEXT"=[1]OUT_TransportEnergyCons!$A$3:$A$1000)*1,("Var_Fin"=[1]OUT_TransportEnergyCons!$B$3:$B$1000)*1,ISNUMBER(SEARCH("DSL",[1]OUT_TransportEnergyCons!$C$3:$C$1000))*1,[1]OUT_TransportEnergyCons!G$3:G$1000)</f>
        <v>0</v>
      </c>
      <c r="J1660" s="1" cm="1">
        <f t="array" ref="J1660">SUMPRODUCT(("TPRLPDSLEXT"=[1]OUT_TransportEnergyCons!$A$3:$A$1000)*1,("Var_Fin"=[1]OUT_TransportEnergyCons!$B$3:$B$1000)*1,ISNUMBER(SEARCH("DSL",[1]OUT_TransportEnergyCons!$C$3:$C$1000))*1,[1]OUT_TransportEnergyCons!H$3:H$1000)</f>
        <v>0</v>
      </c>
      <c r="K1660" s="1" cm="1">
        <f t="array" ref="K1660">SUMPRODUCT(("TPRLPDSLEXT"=[1]OUT_TransportEnergyCons!$A$3:$A$1000)*1,("Var_Fin"=[1]OUT_TransportEnergyCons!$B$3:$B$1000)*1,ISNUMBER(SEARCH("DSL",[1]OUT_TransportEnergyCons!$C$3:$C$1000))*1,[1]OUT_TransportEnergyCons!I$3:I$1000)</f>
        <v>0</v>
      </c>
      <c r="L1660" s="1" cm="1">
        <f t="array" ref="L1660">SUMPRODUCT(("TPRLPDSLEXT"=[1]OUT_TransportEnergyCons!$A$3:$A$1000)*1,("Var_Fin"=[1]OUT_TransportEnergyCons!$B$3:$B$1000)*1,ISNUMBER(SEARCH("DSL",[1]OUT_TransportEnergyCons!$C$3:$C$1000))*1,[1]OUT_TransportEnergyCons!J$3:J$1000)</f>
        <v>0</v>
      </c>
      <c r="M1660" s="1" cm="1">
        <f t="array" ref="M1660">SUMPRODUCT(("TPRLPDSLEXT"=[1]OUT_TransportEnergyCons!$A$3:$A$1000)*1,("Var_Fin"=[1]OUT_TransportEnergyCons!$B$3:$B$1000)*1,ISNUMBER(SEARCH("DSL",[1]OUT_TransportEnergyCons!$C$3:$C$1000))*1,[1]OUT_TransportEnergyCons!K$3:K$1000)</f>
        <v>0</v>
      </c>
      <c r="N1660" s="1" cm="1">
        <f t="array" ref="N1660">SUMPRODUCT(("TPRLPDSLEXT"=[1]OUT_TransportEnergyCons!$A$3:$A$1000)*1,("Var_Fin"=[1]OUT_TransportEnergyCons!$B$3:$B$1000)*1,ISNUMBER(SEARCH("DSL",[1]OUT_TransportEnergyCons!$C$3:$C$1000))*1,[1]OUT_TransportEnergyCons!L$3:L$1000)</f>
        <v>0</v>
      </c>
      <c r="O1660" s="1" cm="1">
        <f t="array" ref="O1660">SUMPRODUCT(("TPRLPDSLEXT"=[1]OUT_TransportEnergyCons!$A$3:$A$1000)*1,("Var_Fin"=[1]OUT_TransportEnergyCons!$B$3:$B$1000)*1,ISNUMBER(SEARCH("DSL",[1]OUT_TransportEnergyCons!$C$3:$C$1000))*1,[1]OUT_TransportEnergyCons!M$3:M$1000)</f>
        <v>0</v>
      </c>
      <c r="P1660" s="1" cm="1">
        <f t="array" ref="P1660">SUMPRODUCT(("TPRLPDSLEXT"=[1]OUT_TransportEnergyCons!$A$3:$A$1000)*1,("Var_Fin"=[1]OUT_TransportEnergyCons!$B$3:$B$1000)*1,ISNUMBER(SEARCH("DSL",[1]OUT_TransportEnergyCons!$C$3:$C$1000))*1,[1]OUT_TransportEnergyCons!N$3:N$1000)</f>
        <v>0</v>
      </c>
      <c r="Q1660" s="1" cm="1">
        <f t="array" ref="Q1660">SUMPRODUCT(("TPRLPDSLEXT"=[1]OUT_TransportEnergyCons!$A$3:$A$1000)*1,("Var_Fin"=[1]OUT_TransportEnergyCons!$B$3:$B$1000)*1,ISNUMBER(SEARCH("DSL",[1]OUT_TransportEnergyCons!$C$3:$C$1000))*1,[1]OUT_TransportEnergyCons!O$3:O$1000)</f>
        <v>0</v>
      </c>
      <c r="S1660" s="3"/>
    </row>
    <row r="1661" spans="2:19" x14ac:dyDescent="0.5">
      <c r="B1661" t="str">
        <f t="shared" si="1851"/>
        <v>SPS1</v>
      </c>
      <c r="C1661" t="str">
        <f t="shared" si="1852"/>
        <v>CH</v>
      </c>
      <c r="D1661" t="s">
        <v>1672</v>
      </c>
      <c r="E1661" t="str">
        <f t="shared" si="1861"/>
        <v>PJ/yr.</v>
      </c>
      <c r="F1661" s="1" cm="1">
        <f t="array" ref="F1661">SUMPRODUCT(("TFRLFDSLEXT"=[1]OUT_TransportEnergyCons!$A$3:$A$1000)*1,("Var_Fin"=[1]OUT_TransportEnergyCons!$B$3:$B$1000)*1,ISNUMBER(SEARCH("DSL",[1]OUT_TransportEnergyCons!$C$3:$C$1000))*1,[1]OUT_TransportEnergyCons!D$3:D$1000)</f>
        <v>0.38907922658213479</v>
      </c>
      <c r="G1661" s="1" cm="1">
        <f t="array" ref="G1661">SUMPRODUCT(("TFRLFDSLEXT"=[1]OUT_TransportEnergyCons!$A$3:$A$1000)*1,("Var_Fin"=[1]OUT_TransportEnergyCons!$B$3:$B$1000)*1,ISNUMBER(SEARCH("DSL",[1]OUT_TransportEnergyCons!$C$3:$C$1000))*1,[1]OUT_TransportEnergyCons!E$3:E$1000)</f>
        <v>-8.2450419532602588E-3</v>
      </c>
      <c r="H1661" s="1" cm="1">
        <f t="array" ref="H1661">SUMPRODUCT(("TFRLFDSLEXT"=[1]OUT_TransportEnergyCons!$A$3:$A$1000)*1,("Var_Fin"=[1]OUT_TransportEnergyCons!$B$3:$B$1000)*1,ISNUMBER(SEARCH("DSL",[1]OUT_TransportEnergyCons!$C$3:$C$1000))*1,[1]OUT_TransportEnergyCons!F$3:F$1000)</f>
        <v>-1.3196867865333469E-2</v>
      </c>
      <c r="I1661" s="1" cm="1">
        <f t="array" ref="I1661">SUMPRODUCT(("TFRLFDSLEXT"=[1]OUT_TransportEnergyCons!$A$3:$A$1000)*1,("Var_Fin"=[1]OUT_TransportEnergyCons!$B$3:$B$1000)*1,ISNUMBER(SEARCH("DSL",[1]OUT_TransportEnergyCons!$C$3:$C$1000))*1,[1]OUT_TransportEnergyCons!G$3:G$1000)</f>
        <v>-7.0794345834927774E-3</v>
      </c>
      <c r="J1661" s="1" cm="1">
        <f t="array" ref="J1661">SUMPRODUCT(("TFRLFDSLEXT"=[1]OUT_TransportEnergyCons!$A$3:$A$1000)*1,("Var_Fin"=[1]OUT_TransportEnergyCons!$B$3:$B$1000)*1,ISNUMBER(SEARCH("DSL",[1]OUT_TransportEnergyCons!$C$3:$C$1000))*1,[1]OUT_TransportEnergyCons!H$3:H$1000)</f>
        <v>-7.0651892124805084E-3</v>
      </c>
      <c r="K1661" s="1" cm="1">
        <f t="array" ref="K1661">SUMPRODUCT(("TFRLFDSLEXT"=[1]OUT_TransportEnergyCons!$A$3:$A$1000)*1,("Var_Fin"=[1]OUT_TransportEnergyCons!$B$3:$B$1000)*1,ISNUMBER(SEARCH("DSL",[1]OUT_TransportEnergyCons!$C$3:$C$1000))*1,[1]OUT_TransportEnergyCons!I$3:I$1000)</f>
        <v>6.9334031765681146E-3</v>
      </c>
      <c r="L1661" s="1" cm="1">
        <f t="array" ref="L1661">SUMPRODUCT(("TFRLFDSLEXT"=[1]OUT_TransportEnergyCons!$A$3:$A$1000)*1,("Var_Fin"=[1]OUT_TransportEnergyCons!$B$3:$B$1000)*1,ISNUMBER(SEARCH("DSL",[1]OUT_TransportEnergyCons!$C$3:$C$1000))*1,[1]OUT_TransportEnergyCons!J$3:J$1000)</f>
        <v>6.9244960840465107E-3</v>
      </c>
      <c r="M1661" s="1" cm="1">
        <f t="array" ref="M1661">SUMPRODUCT(("TFRLFDSLEXT"=[1]OUT_TransportEnergyCons!$A$3:$A$1000)*1,("Var_Fin"=[1]OUT_TransportEnergyCons!$B$3:$B$1000)*1,ISNUMBER(SEARCH("DSL",[1]OUT_TransportEnergyCons!$C$3:$C$1000))*1,[1]OUT_TransportEnergyCons!K$3:K$1000)</f>
        <v>2.4754930149325561E-3</v>
      </c>
      <c r="N1661" s="1" cm="1">
        <f t="array" ref="N1661">SUMPRODUCT(("TFRLFDSLEXT"=[1]OUT_TransportEnergyCons!$A$3:$A$1000)*1,("Var_Fin"=[1]OUT_TransportEnergyCons!$B$3:$B$1000)*1,ISNUMBER(SEARCH("DSL",[1]OUT_TransportEnergyCons!$C$3:$C$1000))*1,[1]OUT_TransportEnergyCons!L$3:L$1000)</f>
        <v>6.8795852263557533E-3</v>
      </c>
      <c r="O1661" s="1" cm="1">
        <f t="array" ref="O1661">SUMPRODUCT(("TFRLFDSLEXT"=[1]OUT_TransportEnergyCons!$A$3:$A$1000)*1,("Var_Fin"=[1]OUT_TransportEnergyCons!$B$3:$B$1000)*1,ISNUMBER(SEARCH("DSL",[1]OUT_TransportEnergyCons!$C$3:$C$1000))*1,[1]OUT_TransportEnergyCons!M$3:M$1000)</f>
        <v>4.27224595466974E-3</v>
      </c>
      <c r="P1661" s="1" cm="1">
        <f t="array" ref="P1661">SUMPRODUCT(("TFRLFDSLEXT"=[1]OUT_TransportEnergyCons!$A$3:$A$1000)*1,("Var_Fin"=[1]OUT_TransportEnergyCons!$B$3:$B$1000)*1,ISNUMBER(SEARCH("DSL",[1]OUT_TransportEnergyCons!$C$3:$C$1000))*1,[1]OUT_TransportEnergyCons!N$3:N$1000)</f>
        <v>6.9343819951178933E-3</v>
      </c>
      <c r="Q1661" s="1" cm="1">
        <f t="array" ref="Q1661">SUMPRODUCT(("TFRLFDSLEXT"=[1]OUT_TransportEnergyCons!$A$3:$A$1000)*1,("Var_Fin"=[1]OUT_TransportEnergyCons!$B$3:$B$1000)*1,ISNUMBER(SEARCH("DSL",[1]OUT_TransportEnergyCons!$C$3:$C$1000))*1,[1]OUT_TransportEnergyCons!O$3:O$1000)</f>
        <v>6.960872702218325E-3</v>
      </c>
      <c r="S1661" s="3"/>
    </row>
    <row r="1662" spans="2:19" x14ac:dyDescent="0.5">
      <c r="B1662" t="str">
        <f t="shared" si="1851"/>
        <v>SPS1</v>
      </c>
      <c r="C1662" t="str">
        <f t="shared" si="1852"/>
        <v>CH</v>
      </c>
      <c r="D1662" t="s">
        <v>1673</v>
      </c>
      <c r="E1662" t="str">
        <f t="shared" si="1861"/>
        <v>PJ/yr.</v>
      </c>
      <c r="F1662" s="1" cm="1">
        <f t="array" ref="F1662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2" s="1" cm="1">
        <f t="array" ref="G1662">SUMPRODUCT(("TPSHPDSLEXT"=[1]OUT_TransportEnergyCons!$A$3:$A$1000)*1,("Var_Fin"=[1]OUT_TransportEnergyCons!$B$3:$B$1000)*1,ISNUMBER(SEARCH("DSL",[1]OUT_TransportEnergyCons!$C$3:$C$1000))*1,[1]OUT_TransportEnergyCons!E$3:E$1000)</f>
        <v>17.219583007367774</v>
      </c>
      <c r="H1662" s="1" cm="1">
        <f t="array" ref="H1662">SUMPRODUCT(("TPSHPDSLEXT"=[1]OUT_TransportEnergyCons!$A$3:$A$1000)*1,("Var_Fin"=[1]OUT_TransportEnergyCons!$B$3:$B$1000)*1,ISNUMBER(SEARCH("DSL",[1]OUT_TransportEnergyCons!$C$3:$C$1000))*1,[1]OUT_TransportEnergyCons!F$3:F$1000)</f>
        <v>15.76271915298951</v>
      </c>
      <c r="I1662" s="1" cm="1">
        <f t="array" ref="I1662">SUMPRODUCT(("TPSHPDSLEXT"=[1]OUT_TransportEnergyCons!$A$3:$A$1000)*1,("Var_Fin"=[1]OUT_TransportEnergyCons!$B$3:$B$1000)*1,ISNUMBER(SEARCH("DSL",[1]OUT_TransportEnergyCons!$C$3:$C$1000))*1,[1]OUT_TransportEnergyCons!G$3:G$1000)</f>
        <v>14.414782483993015</v>
      </c>
      <c r="J1662" s="1" cm="1">
        <f t="array" ref="J1662">SUMPRODUCT(("TPSHPDSLEXT"=[1]OUT_TransportEnergyCons!$A$3:$A$1000)*1,("Var_Fin"=[1]OUT_TransportEnergyCons!$B$3:$B$1000)*1,ISNUMBER(SEARCH("DSL",[1]OUT_TransportEnergyCons!$C$3:$C$1000))*1,[1]OUT_TransportEnergyCons!H$3:H$1000)</f>
        <v>13.875448174763946</v>
      </c>
      <c r="K1662" s="1" cm="1">
        <f t="array" ref="K1662">SUMPRODUCT(("TPSHPDSLEXT"=[1]OUT_TransportEnergyCons!$A$3:$A$1000)*1,("Var_Fin"=[1]OUT_TransportEnergyCons!$B$3:$B$1000)*1,ISNUMBER(SEARCH("DSL",[1]OUT_TransportEnergyCons!$C$3:$C$1000))*1,[1]OUT_TransportEnergyCons!I$3:I$1000)</f>
        <v>7.2075066190722437</v>
      </c>
      <c r="L1662" s="1" cm="1">
        <f t="array" ref="L1662">SUMPRODUCT(("TPSHPDSLEXT"=[1]OUT_TransportEnergyCons!$A$3:$A$1000)*1,("Var_Fin"=[1]OUT_TransportEnergyCons!$B$3:$B$1000)*1,ISNUMBER(SEARCH("DSL",[1]OUT_TransportEnergyCons!$C$3:$C$1000))*1,[1]OUT_TransportEnergyCons!J$3:J$1000)</f>
        <v>4.625187399617535</v>
      </c>
      <c r="M1662" s="1" cm="1">
        <f t="array" ref="M1662">SUMPRODUCT(("TPSHPDSLEXT"=[1]OUT_TransportEnergyCons!$A$3:$A$1000)*1,("Var_Fin"=[1]OUT_TransportEnergyCons!$B$3:$B$1000)*1,ISNUMBER(SEARCH("DSL",[1]OUT_TransportEnergyCons!$C$3:$C$1000))*1,[1]OUT_TransportEnergyCons!K$3:K$1000)</f>
        <v>2.0429378688671402</v>
      </c>
      <c r="N1662" s="1" cm="1">
        <f t="array" ref="N1662">SUMPRODUCT(("TPSHPDSLEXT"=[1]OUT_TransportEnergyCons!$A$3:$A$1000)*1,("Var_Fin"=[1]OUT_TransportEnergyCons!$B$3:$B$1000)*1,ISNUMBER(SEARCH("DSL",[1]OUT_TransportEnergyCons!$C$3:$C$1000))*1,[1]OUT_TransportEnergyCons!L$3:L$1000)</f>
        <v>2.0429285349362312</v>
      </c>
      <c r="O1662" s="1" cm="1">
        <f t="array" ref="O1662">SUMPRODUCT(("TPSHPDSLEXT"=[1]OUT_TransportEnergyCons!$A$3:$A$1000)*1,("Var_Fin"=[1]OUT_TransportEnergyCons!$B$3:$B$1000)*1,ISNUMBER(SEARCH("DSL",[1]OUT_TransportEnergyCons!$C$3:$C$1000))*1,[1]OUT_TransportEnergyCons!M$3:M$1000)</f>
        <v>2.0429236173731185</v>
      </c>
      <c r="P1662" s="1" cm="1">
        <f t="array" ref="P1662">SUMPRODUCT(("TPSHPDSLEXT"=[1]OUT_TransportEnergyCons!$A$3:$A$1000)*1,("Var_Fin"=[1]OUT_TransportEnergyCons!$B$3:$B$1000)*1,ISNUMBER(SEARCH("DSL",[1]OUT_TransportEnergyCons!$C$3:$C$1000))*1,[1]OUT_TransportEnergyCons!N$3:N$1000)</f>
        <v>2.0429195882502165</v>
      </c>
      <c r="Q1662" s="1" cm="1">
        <f t="array" ref="Q1662">SUMPRODUCT(("TPSHPDSLEXT"=[1]OUT_TransportEnergyCons!$A$3:$A$1000)*1,("Var_Fin"=[1]OUT_TransportEnergyCons!$B$3:$B$1000)*1,ISNUMBER(SEARCH("DSL",[1]OUT_TransportEnergyCons!$C$3:$C$1000))*1,[1]OUT_TransportEnergyCons!O$3:O$1000)</f>
        <v>2.0429164822871844</v>
      </c>
      <c r="S1662" s="3"/>
    </row>
    <row r="1663" spans="2:19" x14ac:dyDescent="0.5">
      <c r="B1663" t="str">
        <f t="shared" ref="B1663:C1665" si="1870">B1657</f>
        <v>SPS1</v>
      </c>
      <c r="C1663" t="str">
        <f t="shared" si="1870"/>
        <v>CH</v>
      </c>
      <c r="D1663" t="s">
        <v>2479</v>
      </c>
      <c r="E1663" t="str">
        <f>E1657</f>
        <v>PJ/yr.</v>
      </c>
      <c r="F1663" s="1">
        <f>IF([1]Transport!B$23+[1]Transport_Aviation_Intl!B$11&lt;0,0,[1]Transport!B$23+[1]Transport_Aviation_Intl!B$11)</f>
        <v>30.629799645554662</v>
      </c>
      <c r="G1663" s="1">
        <f>IF([1]Transport!C$23+[1]Transport_Aviation_Intl!C$11&lt;0,0,[1]Transport!C$23+[1]Transport_Aviation_Intl!C$11)</f>
        <v>59.879856385780492</v>
      </c>
      <c r="H1663" s="1">
        <f>IF([1]Transport!D$23+[1]Transport_Aviation_Intl!D$11&lt;0,0,[1]Transport!D$23+[1]Transport_Aviation_Intl!D$11)</f>
        <v>85.345100813177083</v>
      </c>
      <c r="I1663" s="1">
        <f>IF([1]Transport!E$23+[1]Transport_Aviation_Intl!E$11&lt;0,0,[1]Transport!E$23+[1]Transport_Aviation_Intl!E$11)</f>
        <v>85.629766043505853</v>
      </c>
      <c r="J1663" s="1">
        <f>IF([1]Transport!F$23+[1]Transport_Aviation_Intl!F$11&lt;0,0,[1]Transport!F$23+[1]Transport_Aviation_Intl!F$11)</f>
        <v>76.419373309009288</v>
      </c>
      <c r="K1663" s="1">
        <f>IF([1]Transport!G$23+[1]Transport_Aviation_Intl!G$11&lt;0,0,[1]Transport!G$23+[1]Transport_Aviation_Intl!G$11)</f>
        <v>54.628141817557861</v>
      </c>
      <c r="L1663" s="1">
        <f>IF([1]Transport!H$23+[1]Transport_Aviation_Intl!H$11&lt;0,0,[1]Transport!H$23+[1]Transport_Aviation_Intl!H$11)</f>
        <v>28.156417949059573</v>
      </c>
      <c r="M1663" s="1">
        <f>IF([1]Transport!I$23+[1]Transport_Aviation_Intl!I$11&lt;0,0,[1]Transport!I$23+[1]Transport_Aviation_Intl!I$11)</f>
        <v>0</v>
      </c>
      <c r="N1663" s="1">
        <f>IF([1]Transport!J$23+[1]Transport_Aviation_Intl!J$11&lt;0,0,[1]Transport!J$23+[1]Transport_Aviation_Intl!J$11)</f>
        <v>4.1896921516015873E-4</v>
      </c>
      <c r="O1663" s="1">
        <f>IF([1]Transport!K$23+[1]Transport_Aviation_Intl!K$11&lt;0,0,[1]Transport!K$23+[1]Transport_Aviation_Intl!K$11)</f>
        <v>3.9258984604995106E-4</v>
      </c>
      <c r="P1663" s="1">
        <f>IF([1]Transport!L$23+[1]Transport_Aviation_Intl!L$11&lt;0,0,[1]Transport!L$23+[1]Transport_Aviation_Intl!L$11)</f>
        <v>3.9244554860995429E-4</v>
      </c>
      <c r="Q1663" s="1">
        <f>IF([1]Transport!M$23+[1]Transport_Aviation_Intl!M$11&lt;0,0,[1]Transport!M$23+[1]Transport_Aviation_Intl!M$11)</f>
        <v>6.7844619359003211E-4</v>
      </c>
      <c r="S1663" s="3"/>
    </row>
    <row r="1664" spans="2:19" x14ac:dyDescent="0.5">
      <c r="B1664" t="str">
        <f t="shared" si="1870"/>
        <v>SPS1</v>
      </c>
      <c r="C1664" t="str">
        <f t="shared" si="1870"/>
        <v>CH</v>
      </c>
      <c r="D1664" t="s">
        <v>2480</v>
      </c>
      <c r="E1664" t="str">
        <f>E1658</f>
        <v>PJ/yr.</v>
      </c>
      <c r="F1664" s="1">
        <f t="shared" ref="F1664:K1664" si="1871">F36</f>
        <v>2.00378267327074E-4</v>
      </c>
      <c r="G1664" s="1">
        <f t="shared" si="1871"/>
        <v>1.4363066909150001E-4</v>
      </c>
      <c r="H1664" s="1">
        <f t="shared" si="1871"/>
        <v>1.08874639064796E-4</v>
      </c>
      <c r="I1664" s="1">
        <f t="shared" si="1871"/>
        <v>5.3057662849303213</v>
      </c>
      <c r="J1664" s="1">
        <f t="shared" si="1871"/>
        <v>5.3057662849303213</v>
      </c>
      <c r="K1664" s="1">
        <f t="shared" si="1871"/>
        <v>18.528277738176808</v>
      </c>
      <c r="L1664" s="1">
        <f t="shared" ref="L1664:O1664" si="1872">L36</f>
        <v>38.628867887794527</v>
      </c>
      <c r="M1664" s="1">
        <f t="shared" si="1872"/>
        <v>68.683769151885613</v>
      </c>
      <c r="N1664" s="1">
        <f t="shared" si="1872"/>
        <v>95.383335290232893</v>
      </c>
      <c r="O1664" s="1">
        <f t="shared" si="1872"/>
        <v>95.564577721297425</v>
      </c>
      <c r="P1664" s="1">
        <f>P36</f>
        <v>96.277191168151631</v>
      </c>
      <c r="Q1664" s="1">
        <f>Q36</f>
        <v>97.841339573679505</v>
      </c>
      <c r="S1664" s="3"/>
    </row>
    <row r="1665" spans="2:19" x14ac:dyDescent="0.5">
      <c r="B1665" t="str">
        <f t="shared" si="1870"/>
        <v>SPS1</v>
      </c>
      <c r="C1665" t="str">
        <f t="shared" si="1870"/>
        <v>CH</v>
      </c>
      <c r="D1665" t="s">
        <v>2481</v>
      </c>
      <c r="E1665" t="str">
        <f>E1659</f>
        <v>PJ/yr.</v>
      </c>
      <c r="F1665" s="1">
        <f t="shared" ref="F1665:K1665" si="1873">F40</f>
        <v>0</v>
      </c>
      <c r="G1665" s="1">
        <f t="shared" si="1873"/>
        <v>0</v>
      </c>
      <c r="H1665" s="1">
        <f t="shared" si="1873"/>
        <v>0</v>
      </c>
      <c r="I1665" s="1">
        <f t="shared" si="1873"/>
        <v>0</v>
      </c>
      <c r="J1665" s="1">
        <f t="shared" si="1873"/>
        <v>13.222511453246486</v>
      </c>
      <c r="K1665" s="1">
        <f t="shared" si="1873"/>
        <v>20.10059014961772</v>
      </c>
      <c r="L1665" s="1">
        <f t="shared" ref="L1665:O1665" si="1874">L40</f>
        <v>30.054901264091086</v>
      </c>
      <c r="M1665" s="1">
        <f t="shared" si="1874"/>
        <v>26.880808569411812</v>
      </c>
      <c r="N1665" s="1">
        <f t="shared" si="1874"/>
        <v>0</v>
      </c>
      <c r="O1665" s="1">
        <f t="shared" si="1874"/>
        <v>0.71261344685420625</v>
      </c>
      <c r="P1665" s="1">
        <f>P40</f>
        <v>1.5641484055278738</v>
      </c>
      <c r="Q1665" s="1">
        <f>Q40</f>
        <v>1.5632419412748533</v>
      </c>
      <c r="S1665" s="3"/>
    </row>
    <row r="1666" spans="2:19" x14ac:dyDescent="0.5">
      <c r="B1666" s="2" t="str">
        <f>B1662</f>
        <v>SPS1</v>
      </c>
      <c r="C1666" s="2" t="str">
        <f>C1662</f>
        <v>CH</v>
      </c>
      <c r="D1666" s="2" t="s">
        <v>1674</v>
      </c>
      <c r="E1666" s="19" t="s">
        <v>292</v>
      </c>
      <c r="F1666" s="19" t="s">
        <v>292</v>
      </c>
      <c r="G1666" s="19" t="s">
        <v>292</v>
      </c>
      <c r="H1666" s="19" t="s">
        <v>292</v>
      </c>
      <c r="I1666" s="19" t="s">
        <v>292</v>
      </c>
      <c r="J1666" s="19" t="s">
        <v>292</v>
      </c>
      <c r="K1666" s="19" t="s">
        <v>292</v>
      </c>
      <c r="L1666" s="19" t="s">
        <v>292</v>
      </c>
      <c r="M1666" s="19" t="s">
        <v>292</v>
      </c>
      <c r="N1666" s="19" t="s">
        <v>292</v>
      </c>
      <c r="O1666" s="19" t="s">
        <v>292</v>
      </c>
      <c r="P1666" s="19" t="s">
        <v>292</v>
      </c>
      <c r="Q1666" s="19" t="s">
        <v>292</v>
      </c>
      <c r="S1666" s="3"/>
    </row>
    <row r="1667" spans="2:19" x14ac:dyDescent="0.5">
      <c r="B1667" t="str">
        <f t="shared" ref="B1667:B1687" si="1875">B1666</f>
        <v>SPS1</v>
      </c>
      <c r="C1667" t="str">
        <f t="shared" si="1852"/>
        <v>CH</v>
      </c>
      <c r="D1667" t="s">
        <v>1675</v>
      </c>
      <c r="E1667" t="s">
        <v>1517</v>
      </c>
      <c r="F1667" s="1" cm="1">
        <f t="array" ref="F1667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7" s="1" cm="1">
        <f t="array" ref="G1667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7" s="1" cm="1">
        <f t="array" ref="H1667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7" s="1" cm="1">
        <f t="array" ref="I1667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7" s="1" cm="1">
        <f t="array" ref="J1667">SUMPRODUCT(("TPRLPELCEXT"=[1]OUT_TransportEnergyCons!$A$3:$A$1000)*1,("var_fout"=[1]OUT_TransportEnergyCons!$B$3:$B$1000)*1,ISNUMBER(SEARCH("TPRLP",[1]OUT_TransportEnergyCons!$C$3:$C$1000))*1,[1]OUT_TransportEnergyCons!H$3:H$1000)</f>
        <v>0.23259804492562927</v>
      </c>
      <c r="K1667" s="1" cm="1">
        <f t="array" ref="K1667">SUMPRODUCT(("TPRLPELCEXT"=[1]OUT_TransportEnergyCons!$A$3:$A$1000)*1,("var_fout"=[1]OUT_TransportEnergyCons!$B$3:$B$1000)*1,ISNUMBER(SEARCH("TPRLP",[1]OUT_TransportEnergyCons!$C$3:$C$1000))*1,[1]OUT_TransportEnergyCons!I$3:I$1000)</f>
        <v>0.2450572022035509</v>
      </c>
      <c r="L1667" s="1" cm="1">
        <f t="array" ref="L1667">SUMPRODUCT(("TPRLPELCEXT"=[1]OUT_TransportEnergyCons!$A$3:$A$1000)*1,("var_fout"=[1]OUT_TransportEnergyCons!$B$3:$B$1000)*1,ISNUMBER(SEARCH("TPRLP",[1]OUT_TransportEnergyCons!$C$3:$C$1000))*1,[1]OUT_TransportEnergyCons!J$3:J$1000)</f>
        <v>0.25424543348463202</v>
      </c>
      <c r="M1667" s="1" cm="1">
        <f t="array" ref="M1667">SUMPRODUCT(("TPRLPELCEXT"=[1]OUT_TransportEnergyCons!$A$3:$A$1000)*1,("var_fout"=[1]OUT_TransportEnergyCons!$B$3:$B$1000)*1,ISNUMBER(SEARCH("TPRLP",[1]OUT_TransportEnergyCons!$C$3:$C$1000))*1,[1]OUT_TransportEnergyCons!K$3:K$1000)</f>
        <v>0.26342777845819421</v>
      </c>
      <c r="N1667" s="1" cm="1">
        <f t="array" ref="N1667">SUMPRODUCT(("TPRLPELCEXT"=[1]OUT_TransportEnergyCons!$A$3:$A$1000)*1,("var_fout"=[1]OUT_TransportEnergyCons!$B$3:$B$1000)*1,ISNUMBER(SEARCH("TPRLP",[1]OUT_TransportEnergyCons!$C$3:$C$1000))*1,[1]OUT_TransportEnergyCons!L$3:L$1000)</f>
        <v>0.27585990923617076</v>
      </c>
      <c r="O1667" s="1" cm="1">
        <f t="array" ref="O1667">SUMPRODUCT(("TPRLPELCEXT"=[1]OUT_TransportEnergyCons!$A$3:$A$1000)*1,("var_fout"=[1]OUT_TransportEnergyCons!$B$3:$B$1000)*1,ISNUMBER(SEARCH("TPRLP",[1]OUT_TransportEnergyCons!$C$3:$C$1000))*1,[1]OUT_TransportEnergyCons!M$3:M$1000)</f>
        <v>0.28826612677372787</v>
      </c>
      <c r="P1667" s="1" cm="1">
        <f t="array" ref="P1667">SUMPRODUCT(("TPRLPELCEXT"=[1]OUT_TransportEnergyCons!$A$3:$A$1000)*1,("var_fout"=[1]OUT_TransportEnergyCons!$B$3:$B$1000)*1,ISNUMBER(SEARCH("TPRLP",[1]OUT_TransportEnergyCons!$C$3:$C$1000))*1,[1]OUT_TransportEnergyCons!N$3:N$1000)</f>
        <v>0.30062869781440338</v>
      </c>
      <c r="Q1667" s="1" cm="1">
        <f t="array" ref="Q1667">SUMPRODUCT(("TPRLPELCEXT"=[1]OUT_TransportEnergyCons!$A$3:$A$1000)*1,("var_fout"=[1]OUT_TransportEnergyCons!$B$3:$B$1000)*1,ISNUMBER(SEARCH("TPRLP",[1]OUT_TransportEnergyCons!$C$3:$C$1000))*1,[1]OUT_TransportEnergyCons!O$3:O$1000)</f>
        <v>0.31293726289695911</v>
      </c>
      <c r="S1667" s="3"/>
    </row>
    <row r="1668" spans="2:19" x14ac:dyDescent="0.5">
      <c r="B1668" t="str">
        <f t="shared" si="1875"/>
        <v>SPS1</v>
      </c>
      <c r="C1668" t="str">
        <f t="shared" si="1852"/>
        <v>CH</v>
      </c>
      <c r="D1668" t="s">
        <v>1676</v>
      </c>
      <c r="E1668" t="str">
        <f t="shared" ref="E1668:E1671" si="1876">E1667</f>
        <v>Billion km/yr.</v>
      </c>
      <c r="F1668" s="1" cm="1">
        <f t="array" ref="F1668">SUMPRODUCT(("TFRLFELCEXT"=[1]OUT_TransportEnergyCons!$A$3:$A$1000)*1,("var_fout"=[1]OUT_TransportEnergyCons!$B$3:$B$1000)*1,ISNUMBER(SEARCH("TfRLf",[1]OUT_TransportEnergyCons!$C$3:$C$1000))*1,[1]OUT_TransportEnergyCons!D$3:D$1000)</f>
        <v>2.5123033146849258E-2</v>
      </c>
      <c r="G1668" s="1" cm="1">
        <f t="array" ref="G1668">SUMPRODUCT(("TFRLFELCEXT"=[1]OUT_TransportEnergyCons!$A$3:$A$1000)*1,("var_fout"=[1]OUT_TransportEnergyCons!$B$3:$B$1000)*1,ISNUMBER(SEARCH("TfRLf",[1]OUT_TransportEnergyCons!$C$3:$C$1000))*1,[1]OUT_TransportEnergyCons!E$3:E$1000)</f>
        <v>2.7722524275743114E-2</v>
      </c>
      <c r="H1668" s="1" cm="1">
        <f t="array" ref="H1668">SUMPRODUCT(("TFRLFELCEXT"=[1]OUT_TransportEnergyCons!$A$3:$A$1000)*1,("var_fout"=[1]OUT_TransportEnergyCons!$B$3:$B$1000)*1,ISNUMBER(SEARCH("TfRLf",[1]OUT_TransportEnergyCons!$C$3:$C$1000))*1,[1]OUT_TransportEnergyCons!F$3:F$1000)</f>
        <v>2.9226254159299643E-2</v>
      </c>
      <c r="I1668" s="1" cm="1">
        <f t="array" ref="I1668">SUMPRODUCT(("TFRLFELCEXT"=[1]OUT_TransportEnergyCons!$A$3:$A$1000)*1,("var_fout"=[1]OUT_TransportEnergyCons!$B$3:$B$1000)*1,ISNUMBER(SEARCH("TfRLf",[1]OUT_TransportEnergyCons!$C$3:$C$1000))*1,[1]OUT_TransportEnergyCons!G$3:G$1000)</f>
        <v>3.1674226028978257E-2</v>
      </c>
      <c r="J1668" s="1" cm="1">
        <f t="array" ref="J1668">SUMPRODUCT(("TFRLFELCEXT"=[1]OUT_TransportEnergyCons!$A$3:$A$1000)*1,("var_fout"=[1]OUT_TransportEnergyCons!$B$3:$B$1000)*1,ISNUMBER(SEARCH("TfRLf",[1]OUT_TransportEnergyCons!$C$3:$C$1000))*1,[1]OUT_TransportEnergyCons!H$3:H$1000)</f>
        <v>3.3128116885932507E-2</v>
      </c>
      <c r="K1668" s="1" cm="1">
        <f t="array" ref="K1668">SUMPRODUCT(("TFRLFELCEXT"=[1]OUT_TransportEnergyCons!$A$3:$A$1000)*1,("var_fout"=[1]OUT_TransportEnergyCons!$B$3:$B$1000)*1,ISNUMBER(SEARCH("TfRLf",[1]OUT_TransportEnergyCons!$C$3:$C$1000))*1,[1]OUT_TransportEnergyCons!I$3:I$1000)</f>
        <v>3.3910735369962981E-2</v>
      </c>
      <c r="L1668" s="1" cm="1">
        <f t="array" ref="L1668">SUMPRODUCT(("TFRLFELCEXT"=[1]OUT_TransportEnergyCons!$A$3:$A$1000)*1,("var_fout"=[1]OUT_TransportEnergyCons!$B$3:$B$1000)*1,ISNUMBER(SEARCH("TfRLf",[1]OUT_TransportEnergyCons!$C$3:$C$1000))*1,[1]OUT_TransportEnergyCons!J$3:J$1000)</f>
        <v>3.5182254668795189E-2</v>
      </c>
      <c r="M1668" s="1" cm="1">
        <f t="array" ref="M1668">SUMPRODUCT(("TFRLFELCEXT"=[1]OUT_TransportEnergyCons!$A$3:$A$1000)*1,("var_fout"=[1]OUT_TransportEnergyCons!$B$3:$B$1000)*1,ISNUMBER(SEARCH("TfRLf",[1]OUT_TransportEnergyCons!$C$3:$C$1000))*1,[1]OUT_TransportEnergyCons!K$3:K$1000)</f>
        <v>3.6471224444914727E-2</v>
      </c>
      <c r="N1668" s="1" cm="1">
        <f t="array" ref="N1668">SUMPRODUCT(("TFRLFELCEXT"=[1]OUT_TransportEnergyCons!$A$3:$A$1000)*1,("var_fout"=[1]OUT_TransportEnergyCons!$B$3:$B$1000)*1,ISNUMBER(SEARCH("TfRLf",[1]OUT_TransportEnergyCons!$C$3:$C$1000))*1,[1]OUT_TransportEnergyCons!L$3:L$1000)</f>
        <v>3.7030951724097698E-2</v>
      </c>
      <c r="O1668" s="1" cm="1">
        <f t="array" ref="O1668">SUMPRODUCT(("TFRLFELCEXT"=[1]OUT_TransportEnergyCons!$A$3:$A$1000)*1,("var_fout"=[1]OUT_TransportEnergyCons!$B$3:$B$1000)*1,ISNUMBER(SEARCH("TfRLf",[1]OUT_TransportEnergyCons!$C$3:$C$1000))*1,[1]OUT_TransportEnergyCons!M$3:M$1000)</f>
        <v>3.7916121374142533E-2</v>
      </c>
      <c r="P1668" s="1" cm="1">
        <f t="array" ref="P1668">SUMPRODUCT(("TFRLFELCEXT"=[1]OUT_TransportEnergyCons!$A$3:$A$1000)*1,("var_fout"=[1]OUT_TransportEnergyCons!$B$3:$B$1000)*1,ISNUMBER(SEARCH("TfRLf",[1]OUT_TransportEnergyCons!$C$3:$C$1000))*1,[1]OUT_TransportEnergyCons!N$3:N$1000)</f>
        <v>3.8154834252730238E-2</v>
      </c>
      <c r="Q1668" s="1" cm="1">
        <f t="array" ref="Q1668">SUMPRODUCT(("TFRLFELCEXT"=[1]OUT_TransportEnergyCons!$A$3:$A$1000)*1,("var_fout"=[1]OUT_TransportEnergyCons!$B$3:$B$1000)*1,ISNUMBER(SEARCH("TfRLf",[1]OUT_TransportEnergyCons!$C$3:$C$1000))*1,[1]OUT_TransportEnergyCons!O$3:O$1000)</f>
        <v>3.8648233503112236E-2</v>
      </c>
      <c r="S1668" s="3"/>
    </row>
    <row r="1669" spans="2:19" x14ac:dyDescent="0.5">
      <c r="B1669" t="str">
        <f t="shared" si="1875"/>
        <v>SPS1</v>
      </c>
      <c r="C1669" t="str">
        <f t="shared" si="1852"/>
        <v>CH</v>
      </c>
      <c r="D1669" t="s">
        <v>1677</v>
      </c>
      <c r="E1669" t="s">
        <v>8</v>
      </c>
      <c r="F1669" s="1" cm="1">
        <f t="array" ref="F1669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9" s="1" cm="1">
        <f t="array" ref="G1669">SUMPRODUCT(("TPSHPELCEXT"=[1]OUT_TransportEnergyCons!$A$3:$A$1000)*1,("var_fout"=[1]OUT_TransportEnergyCons!$B$3:$B$1000)*1,ISNUMBER(SEARCH("TPSHP",[1]OUT_TransportEnergyCons!$C$3:$C$1000))*1,[1]OUT_TransportEnergyCons!E$3:E$1000)</f>
        <v>6.2203990630014001E-5</v>
      </c>
      <c r="H1669" s="1" cm="1">
        <f t="array" ref="H1669">SUMPRODUCT(("TPSHPELCEXT"=[1]OUT_TransportEnergyCons!$A$3:$A$1000)*1,("var_fout"=[1]OUT_TransportEnergyCons!$B$3:$B$1000)*1,ISNUMBER(SEARCH("TPSHP",[1]OUT_TransportEnergyCons!$C$3:$C$1000))*1,[1]OUT_TransportEnergyCons!F$3:F$1000)</f>
        <v>0.17024879164804299</v>
      </c>
      <c r="I1669" s="1" cm="1">
        <f t="array" ref="I1669">SUMPRODUCT(("TPSHPELCEXT"=[1]OUT_TransportEnergyCons!$A$3:$A$1000)*1,("var_fout"=[1]OUT_TransportEnergyCons!$B$3:$B$1000)*1,ISNUMBER(SEARCH("TPSHP",[1]OUT_TransportEnergyCons!$C$3:$C$1000))*1,[1]OUT_TransportEnergyCons!G$3:G$1000)</f>
        <v>0.62895464158097902</v>
      </c>
      <c r="J1669" s="1" cm="1">
        <f t="array" ref="J1669">SUMPRODUCT(("TPSHPELCEXT"=[1]OUT_TransportEnergyCons!$A$3:$A$1000)*1,("var_fout"=[1]OUT_TransportEnergyCons!$B$3:$B$1000)*1,ISNUMBER(SEARCH("TPSHP",[1]OUT_TransportEnergyCons!$C$3:$C$1000))*1,[1]OUT_TransportEnergyCons!H$3:H$1000)</f>
        <v>1.1616281340916501</v>
      </c>
      <c r="K1669" s="1" cm="1">
        <f t="array" ref="K1669">SUMPRODUCT(("TPSHPELCEXT"=[1]OUT_TransportEnergyCons!$A$3:$A$1000)*1,("var_fout"=[1]OUT_TransportEnergyCons!$B$3:$B$1000)*1,ISNUMBER(SEARCH("TPSHP",[1]OUT_TransportEnergyCons!$C$3:$C$1000))*1,[1]OUT_TransportEnergyCons!I$3:I$1000)</f>
        <v>8.5441688257761008</v>
      </c>
      <c r="L1669" s="1" cm="1">
        <f t="array" ref="L1669">SUMPRODUCT(("TPSHPELCEXT"=[1]OUT_TransportEnergyCons!$A$3:$A$1000)*1,("var_fout"=[1]OUT_TransportEnergyCons!$B$3:$B$1000)*1,ISNUMBER(SEARCH("TPSHP",[1]OUT_TransportEnergyCons!$C$3:$C$1000))*1,[1]OUT_TransportEnergyCons!J$3:J$1000)</f>
        <v>11.3384078733979</v>
      </c>
      <c r="M1669" s="1" cm="1">
        <f t="array" ref="M1669">SUMPRODUCT(("TPSHPELCEXT"=[1]OUT_TransportEnergyCons!$A$3:$A$1000)*1,("var_fout"=[1]OUT_TransportEnergyCons!$B$3:$B$1000)*1,ISNUMBER(SEARCH("TPSHP",[1]OUT_TransportEnergyCons!$C$3:$C$1000))*1,[1]OUT_TransportEnergyCons!K$3:K$1000)</f>
        <v>13.8905930196188</v>
      </c>
      <c r="N1669" s="1" cm="1">
        <f t="array" ref="N1669">SUMPRODUCT(("TPSHPELCEXT"=[1]OUT_TransportEnergyCons!$A$3:$A$1000)*1,("var_fout"=[1]OUT_TransportEnergyCons!$B$3:$B$1000)*1,ISNUMBER(SEARCH("TPSHP",[1]OUT_TransportEnergyCons!$C$3:$C$1000))*1,[1]OUT_TransportEnergyCons!L$3:L$1000)</f>
        <v>13.890599618492001</v>
      </c>
      <c r="O1669" s="1" cm="1">
        <f t="array" ref="O1669">SUMPRODUCT(("TPSHPELCEXT"=[1]OUT_TransportEnergyCons!$A$3:$A$1000)*1,("var_fout"=[1]OUT_TransportEnergyCons!$B$3:$B$1000)*1,ISNUMBER(SEARCH("TPSHP",[1]OUT_TransportEnergyCons!$C$3:$C$1000))*1,[1]OUT_TransportEnergyCons!M$3:M$1000)</f>
        <v>13.8906028795215</v>
      </c>
      <c r="P1669" s="1" cm="1">
        <f t="array" ref="P1669">SUMPRODUCT(("TPSHPELCEXT"=[1]OUT_TransportEnergyCons!$A$3:$A$1000)*1,("var_fout"=[1]OUT_TransportEnergyCons!$B$3:$B$1000)*1,ISNUMBER(SEARCH("TPSHP",[1]OUT_TransportEnergyCons!$C$3:$C$1000))*1,[1]OUT_TransportEnergyCons!N$3:N$1000)</f>
        <v>13.890605415351899</v>
      </c>
      <c r="Q1669" s="1" cm="1">
        <f t="array" ref="Q1669">SUMPRODUCT(("TPSHPELCEXT"=[1]OUT_TransportEnergyCons!$A$3:$A$1000)*1,("var_fout"=[1]OUT_TransportEnergyCons!$B$3:$B$1000)*1,ISNUMBER(SEARCH("TPSHP",[1]OUT_TransportEnergyCons!$C$3:$C$1000))*1,[1]OUT_TransportEnergyCons!O$3:O$1000)</f>
        <v>13.8906069791955</v>
      </c>
      <c r="S1669" s="3"/>
    </row>
    <row r="1670" spans="2:19" x14ac:dyDescent="0.5">
      <c r="B1670" t="str">
        <f t="shared" si="1875"/>
        <v>SPS1</v>
      </c>
      <c r="C1670" t="str">
        <f t="shared" si="1852"/>
        <v>CH</v>
      </c>
      <c r="D1670" t="s">
        <v>1678</v>
      </c>
      <c r="E1670" t="s">
        <v>1517</v>
      </c>
      <c r="F1670" s="1" cm="1">
        <f t="array" ref="F1670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70" s="1" cm="1">
        <f t="array" ref="G1670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70" s="1" cm="1">
        <f t="array" ref="H1670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70" s="1" cm="1">
        <f t="array" ref="I1670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70" s="1" cm="1">
        <f t="array" ref="J1670">SUMPRODUCT(("TPRLPH2OFCL"=[1]OUT_TransportEnergyCons!$A$3:$A$1000)*1,("var_fout"=[1]OUT_TransportEnergyCons!$B$3:$B$1000)*1,ISNUMBER(SEARCH("TPRLP",[1]OUT_TransportEnergyCons!$C$3:$C$1000))*1,[1]OUT_TransportEnergyCons!H$3:H$1000)</f>
        <v>0</v>
      </c>
      <c r="K1670" s="1" cm="1">
        <f t="array" ref="K1670">SUMPRODUCT(("TPRLPH2OFCL"=[1]OUT_TransportEnergyCons!$A$3:$A$1000)*1,("var_fout"=[1]OUT_TransportEnergyCons!$B$3:$B$1000)*1,ISNUMBER(SEARCH("TPRLP",[1]OUT_TransportEnergyCons!$C$3:$C$1000))*1,[1]OUT_TransportEnergyCons!I$3:I$1000)</f>
        <v>-3.1564977653921271E-5</v>
      </c>
      <c r="L1670" s="1" cm="1">
        <f t="array" ref="L1670">SUMPRODUCT(("TPRLPH2OFCL"=[1]OUT_TransportEnergyCons!$A$3:$A$1000)*1,("var_fout"=[1]OUT_TransportEnergyCons!$B$3:$B$1000)*1,ISNUMBER(SEARCH("TPRLP",[1]OUT_TransportEnergyCons!$C$3:$C$1000))*1,[1]OUT_TransportEnergyCons!J$3:J$1000)</f>
        <v>-3.2077890217591793E-5</v>
      </c>
      <c r="M1670" s="1" cm="1">
        <f t="array" ref="M1670">SUMPRODUCT(("TPRLPH2OFCL"=[1]OUT_TransportEnergyCons!$A$3:$A$1000)*1,("var_fout"=[1]OUT_TransportEnergyCons!$B$3:$B$1000)*1,ISNUMBER(SEARCH("TPRLP",[1]OUT_TransportEnergyCons!$C$3:$C$1000))*1,[1]OUT_TransportEnergyCons!K$3:K$1000)</f>
        <v>-2.670449526221927E-5</v>
      </c>
      <c r="N1670" s="1" cm="1">
        <f t="array" ref="N1670">SUMPRODUCT(("TPRLPH2OFCL"=[1]OUT_TransportEnergyCons!$A$3:$A$1000)*1,("var_fout"=[1]OUT_TransportEnergyCons!$B$3:$B$1000)*1,ISNUMBER(SEARCH("TPRLP",[1]OUT_TransportEnergyCons!$C$3:$C$1000))*1,[1]OUT_TransportEnergyCons!L$3:L$1000)</f>
        <v>-2.2631249504766458E-5</v>
      </c>
      <c r="O1670" s="1" cm="1">
        <f t="array" ref="O1670">SUMPRODUCT(("TPRLPH2OFCL"=[1]OUT_TransportEnergyCons!$A$3:$A$1000)*1,("var_fout"=[1]OUT_TransportEnergyCons!$B$3:$B$1000)*1,ISNUMBER(SEARCH("TPRLP",[1]OUT_TransportEnergyCons!$C$3:$C$1000))*1,[1]OUT_TransportEnergyCons!M$3:M$1000)</f>
        <v>-2.2866431072819107E-5</v>
      </c>
      <c r="P1670" s="1" cm="1">
        <f t="array" ref="P1670">SUMPRODUCT(("TPRLPH2OFCL"=[1]OUT_TransportEnergyCons!$A$3:$A$1000)*1,("var_fout"=[1]OUT_TransportEnergyCons!$B$3:$B$1000)*1,ISNUMBER(SEARCH("TPRLP",[1]OUT_TransportEnergyCons!$C$3:$C$1000))*1,[1]OUT_TransportEnergyCons!N$3:N$1000)</f>
        <v>-9.5019172032707323E-6</v>
      </c>
      <c r="Q1670" s="1" cm="1">
        <f t="array" ref="Q1670">SUMPRODUCT(("TPRLPH2OFCL"=[1]OUT_TransportEnergyCons!$A$3:$A$1000)*1,("var_fout"=[1]OUT_TransportEnergyCons!$B$3:$B$1000)*1,ISNUMBER(SEARCH("TPRLP",[1]OUT_TransportEnergyCons!$C$3:$C$1000))*1,[1]OUT_TransportEnergyCons!O$3:O$1000)</f>
        <v>2.7881439333013142E-5</v>
      </c>
      <c r="S1670" s="3"/>
    </row>
    <row r="1671" spans="2:19" x14ac:dyDescent="0.5">
      <c r="B1671" t="str">
        <f t="shared" si="1875"/>
        <v>SPS1</v>
      </c>
      <c r="C1671" t="str">
        <f t="shared" si="1852"/>
        <v>CH</v>
      </c>
      <c r="D1671" t="s">
        <v>1679</v>
      </c>
      <c r="E1671" t="str">
        <f t="shared" si="1876"/>
        <v>Billion km/yr.</v>
      </c>
      <c r="F1671" s="1" cm="1">
        <f t="array" ref="F1671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71" s="1" cm="1">
        <f t="array" ref="G1671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71" s="1" cm="1">
        <f t="array" ref="H1671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71" s="1" cm="1">
        <f t="array" ref="I1671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71" s="1" cm="1">
        <f t="array" ref="J1671">SUMPRODUCT(("TFRLFH2OFCL"=[1]OUT_TransportEnergyCons!$A$3:$A$1000)*1,("var_fout"=[1]OUT_TransportEnergyCons!$B$3:$B$1000)*1,ISNUMBER(SEARCH("TfRLf",[1]OUT_TransportEnergyCons!$C$3:$C$1000))*1,[1]OUT_TransportEnergyCons!H$3:H$1000)</f>
        <v>0</v>
      </c>
      <c r="K1671" s="1" cm="1">
        <f t="array" ref="K1671">SUMPRODUCT(("TFRLFH2OFCL"=[1]OUT_TransportEnergyCons!$A$3:$A$1000)*1,("var_fout"=[1]OUT_TransportEnergyCons!$B$3:$B$1000)*1,ISNUMBER(SEARCH("TfRLf",[1]OUT_TransportEnergyCons!$C$3:$C$1000))*1,[1]OUT_TransportEnergyCons!I$3:I$1000)</f>
        <v>2.812824376474819E-5</v>
      </c>
      <c r="L1671" s="1" cm="1">
        <f t="array" ref="L1671">SUMPRODUCT(("TFRLFH2OFCL"=[1]OUT_TransportEnergyCons!$A$3:$A$1000)*1,("var_fout"=[1]OUT_TransportEnergyCons!$B$3:$B$1000)*1,ISNUMBER(SEARCH("TfRLf",[1]OUT_TransportEnergyCons!$C$3:$C$1000))*1,[1]OUT_TransportEnergyCons!J$3:J$1000)</f>
        <v>2.7825032501303527E-5</v>
      </c>
      <c r="M1671" s="1" cm="1">
        <f t="array" ref="M1671">SUMPRODUCT(("TFRLFH2OFCL"=[1]OUT_TransportEnergyCons!$A$3:$A$1000)*1,("var_fout"=[1]OUT_TransportEnergyCons!$B$3:$B$1000)*1,ISNUMBER(SEARCH("TfRLf",[1]OUT_TransportEnergyCons!$C$3:$C$1000))*1,[1]OUT_TransportEnergyCons!K$3:K$1000)</f>
        <v>2.8067381008024251E-5</v>
      </c>
      <c r="N1671" s="1" cm="1">
        <f t="array" ref="N1671">SUMPRODUCT(("TFRLFH2OFCL"=[1]OUT_TransportEnergyCons!$A$3:$A$1000)*1,("var_fout"=[1]OUT_TransportEnergyCons!$B$3:$B$1000)*1,ISNUMBER(SEARCH("TfRLf",[1]OUT_TransportEnergyCons!$C$3:$C$1000))*1,[1]OUT_TransportEnergyCons!L$3:L$1000)</f>
        <v>2.7904014670156006E-5</v>
      </c>
      <c r="O1671" s="1" cm="1">
        <f t="array" ref="O1671">SUMPRODUCT(("TFRLFH2OFCL"=[1]OUT_TransportEnergyCons!$A$3:$A$1000)*1,("var_fout"=[1]OUT_TransportEnergyCons!$B$3:$B$1000)*1,ISNUMBER(SEARCH("TfRLf",[1]OUT_TransportEnergyCons!$C$3:$C$1000))*1,[1]OUT_TransportEnergyCons!M$3:M$1000)</f>
        <v>2.81132561534193E-5</v>
      </c>
      <c r="P1671" s="1" cm="1">
        <f t="array" ref="P1671">SUMPRODUCT(("TFRLFH2OFCL"=[1]OUT_TransportEnergyCons!$A$3:$A$1000)*1,("var_fout"=[1]OUT_TransportEnergyCons!$B$3:$B$1000)*1,ISNUMBER(SEARCH("TfRLf",[1]OUT_TransportEnergyCons!$C$3:$C$1000))*1,[1]OUT_TransportEnergyCons!N$3:N$1000)</f>
        <v>2.7832786365320896E-5</v>
      </c>
      <c r="Q1671" s="1" cm="1">
        <f t="array" ref="Q1671">SUMPRODUCT(("TFRLFH2OFCL"=[1]OUT_TransportEnergyCons!$A$3:$A$1000)*1,("var_fout"=[1]OUT_TransportEnergyCons!$B$3:$B$1000)*1,ISNUMBER(SEARCH("TfRLf",[1]OUT_TransportEnergyCons!$C$3:$C$1000))*1,[1]OUT_TransportEnergyCons!O$3:O$1000)</f>
        <v>2.91032818598325E-5</v>
      </c>
      <c r="S1671" s="3"/>
    </row>
    <row r="1672" spans="2:19" x14ac:dyDescent="0.5">
      <c r="B1672" t="str">
        <f t="shared" si="1875"/>
        <v>SPS1</v>
      </c>
      <c r="C1672" t="str">
        <f t="shared" si="1852"/>
        <v>CH</v>
      </c>
      <c r="D1672" t="s">
        <v>1680</v>
      </c>
      <c r="E1672" t="s">
        <v>8</v>
      </c>
      <c r="F1672" s="1" cm="1">
        <f t="array" ref="F1672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72" s="1" cm="1">
        <f t="array" ref="G1672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72" s="1" cm="1">
        <f t="array" ref="H1672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72" s="1" cm="1">
        <f t="array" ref="I1672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72" s="1" cm="1">
        <f t="array" ref="J1672">SUMPRODUCT(("TPSHPH2OEXT"=[1]OUT_TransportEnergyCons!$A$3:$A$1000)*1,("var_fout"=[1]OUT_TransportEnergyCons!$B$3:$B$1000)*1,ISNUMBER(SEARCH("TPSHP",[1]OUT_TransportEnergyCons!$C$3:$C$1000))*1,[1]OUT_TransportEnergyCons!H$3:H$1000)</f>
        <v>2.2880098273782499E-4</v>
      </c>
      <c r="K1672" s="1" cm="1">
        <f t="array" ref="K1672">SUMPRODUCT(("TPSHPH2OEXT"=[1]OUT_TransportEnergyCons!$A$3:$A$1000)*1,("var_fout"=[1]OUT_TransportEnergyCons!$B$3:$B$1000)*1,ISNUMBER(SEARCH("TPSHP",[1]OUT_TransportEnergyCons!$C$3:$C$1000))*1,[1]OUT_TransportEnergyCons!I$3:I$1000)</f>
        <v>0.14144625077077899</v>
      </c>
      <c r="L1672" s="1" cm="1">
        <f t="array" ref="L1672">SUMPRODUCT(("TPSHPH2OEXT"=[1]OUT_TransportEnergyCons!$A$3:$A$1000)*1,("var_fout"=[1]OUT_TransportEnergyCons!$B$3:$B$1000)*1,ISNUMBER(SEARCH("TPSHP",[1]OUT_TransportEnergyCons!$C$3:$C$1000))*1,[1]OUT_TransportEnergyCons!J$3:J$1000)</f>
        <v>0.242004531614427</v>
      </c>
      <c r="M1672" s="1" cm="1">
        <f t="array" ref="M1672">SUMPRODUCT(("TPSHPH2OEXT"=[1]OUT_TransportEnergyCons!$A$3:$A$1000)*1,("var_fout"=[1]OUT_TransportEnergyCons!$B$3:$B$1000)*1,ISNUMBER(SEARCH("TPSHP",[1]OUT_TransportEnergyCons!$C$3:$C$1000))*1,[1]OUT_TransportEnergyCons!K$3:K$1000)</f>
        <v>0.24202491417168101</v>
      </c>
      <c r="N1672" s="1" cm="1">
        <f t="array" ref="N1672">SUMPRODUCT(("TPSHPH2OEXT"=[1]OUT_TransportEnergyCons!$A$3:$A$1000)*1,("var_fout"=[1]OUT_TransportEnergyCons!$B$3:$B$1000)*1,ISNUMBER(SEARCH("TPSHP",[1]OUT_TransportEnergyCons!$C$3:$C$1000))*1,[1]OUT_TransportEnergyCons!L$3:L$1000)</f>
        <v>0.24202756767609299</v>
      </c>
      <c r="O1672" s="1" cm="1">
        <f t="array" ref="O1672">SUMPRODUCT(("TPSHPH2OEXT"=[1]OUT_TransportEnergyCons!$A$3:$A$1000)*1,("var_fout"=[1]OUT_TransportEnergyCons!$B$3:$B$1000)*1,ISNUMBER(SEARCH("TPSHP",[1]OUT_TransportEnergyCons!$C$3:$C$1000))*1,[1]OUT_TransportEnergyCons!M$3:M$1000)</f>
        <v>0.24202915339644801</v>
      </c>
      <c r="P1672" s="1" cm="1">
        <f t="array" ref="P1672">SUMPRODUCT(("TPSHPH2OEXT"=[1]OUT_TransportEnergyCons!$A$3:$A$1000)*1,("var_fout"=[1]OUT_TransportEnergyCons!$B$3:$B$1000)*1,ISNUMBER(SEARCH("TPSHP",[1]OUT_TransportEnergyCons!$C$3:$C$1000))*1,[1]OUT_TransportEnergyCons!N$3:N$1000)</f>
        <v>0.24203060171589999</v>
      </c>
      <c r="Q1672" s="1" cm="1">
        <f t="array" ref="Q1672">SUMPRODUCT(("TPSHPH2OEXT"=[1]OUT_TransportEnergyCons!$A$3:$A$1000)*1,("var_fout"=[1]OUT_TransportEnergyCons!$B$3:$B$1000)*1,ISNUMBER(SEARCH("TPSHP",[1]OUT_TransportEnergyCons!$C$3:$C$1000))*1,[1]OUT_TransportEnergyCons!O$3:O$1000)</f>
        <v>0.24203211048367301</v>
      </c>
      <c r="S1672" s="3"/>
    </row>
    <row r="1673" spans="2:19" x14ac:dyDescent="0.5">
      <c r="B1673" t="str">
        <f t="shared" si="1875"/>
        <v>SPS1</v>
      </c>
      <c r="C1673" t="str">
        <f t="shared" si="1852"/>
        <v>CH</v>
      </c>
      <c r="D1673" t="s">
        <v>1681</v>
      </c>
      <c r="E1673" t="s">
        <v>8</v>
      </c>
      <c r="F1673" s="1" cm="1">
        <f t="array" ref="F1673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73" s="1" cm="1">
        <f t="array" ref="G1673">SUMPRODUCT(("TPSHPGSLEXT"=[1]OUT_TransportEnergyCons!$A$3:$A$1000)*1,("var_fout"=[1]OUT_TransportEnergyCons!$B$3:$B$1000)*1,ISNUMBER(SEARCH("TPSHP",[1]OUT_TransportEnergyCons!$C$3:$C$1000))*1,[1]OUT_TransportEnergyCons!E$3:E$1000)</f>
        <v>0.88063052085348703</v>
      </c>
      <c r="H1673" s="1" cm="1">
        <f t="array" ref="H1673">SUMPRODUCT(("TPSHPGSLEXT"=[1]OUT_TransportEnergyCons!$A$3:$A$1000)*1,("var_fout"=[1]OUT_TransportEnergyCons!$B$3:$B$1000)*1,ISNUMBER(SEARCH("TPSHP",[1]OUT_TransportEnergyCons!$C$3:$C$1000))*1,[1]OUT_TransportEnergyCons!F$3:F$1000)</f>
        <v>1.27687118955748</v>
      </c>
      <c r="I1673" s="1" cm="1">
        <f t="array" ref="I1673">SUMPRODUCT(("TPSHPGSLEXT"=[1]OUT_TransportEnergyCons!$A$3:$A$1000)*1,("var_fout"=[1]OUT_TransportEnergyCons!$B$3:$B$1000)*1,ISNUMBER(SEARCH("TPSHP",[1]OUT_TransportEnergyCons!$C$3:$C$1000))*1,[1]OUT_TransportEnergyCons!G$3:G$1000)</f>
        <v>1.2769431480986599</v>
      </c>
      <c r="J1673" s="1" cm="1">
        <f t="array" ref="J1673">SUMPRODUCT(("TPSHPGSLEXT"=[1]OUT_TransportEnergyCons!$A$3:$A$1000)*1,("var_fout"=[1]OUT_TransportEnergyCons!$B$3:$B$1000)*1,ISNUMBER(SEARCH("TPSHP",[1]OUT_TransportEnergyCons!$C$3:$C$1000))*1,[1]OUT_TransportEnergyCons!H$3:H$1000)</f>
        <v>1.2770487547706399</v>
      </c>
      <c r="K1673" s="1" cm="1">
        <f t="array" ref="K1673">SUMPRODUCT(("TPSHPGSLEXT"=[1]OUT_TransportEnergyCons!$A$3:$A$1000)*1,("var_fout"=[1]OUT_TransportEnergyCons!$B$3:$B$1000)*1,ISNUMBER(SEARCH("TPSHP",[1]OUT_TransportEnergyCons!$C$3:$C$1000))*1,[1]OUT_TransportEnergyCons!I$3:I$1000)</f>
        <v>0.34301575045671401</v>
      </c>
      <c r="L1673" s="1" cm="1">
        <f t="array" ref="L1673">SUMPRODUCT(("TPSHPGSLEXT"=[1]OUT_TransportEnergyCons!$A$3:$A$1000)*1,("var_fout"=[1]OUT_TransportEnergyCons!$B$3:$B$1000)*1,ISNUMBER(SEARCH("TPSHP",[1]OUT_TransportEnergyCons!$C$3:$C$1000))*1,[1]OUT_TransportEnergyCons!J$3:J$1000)</f>
        <v>2.4646864701190598E-4</v>
      </c>
      <c r="M1673" s="1" cm="1">
        <f t="array" ref="M1673">SUMPRODUCT(("TPSHPGSLEXT"=[1]OUT_TransportEnergyCons!$A$3:$A$1000)*1,("var_fout"=[1]OUT_TransportEnergyCons!$B$3:$B$1000)*1,ISNUMBER(SEARCH("TPSHP",[1]OUT_TransportEnergyCons!$C$3:$C$1000))*1,[1]OUT_TransportEnergyCons!K$3:K$1000)</f>
        <v>0</v>
      </c>
      <c r="N1673" s="1" cm="1">
        <f t="array" ref="N1673">SUMPRODUCT(("TPSHPGSLEXT"=[1]OUT_TransportEnergyCons!$A$3:$A$1000)*1,("var_fout"=[1]OUT_TransportEnergyCons!$B$3:$B$1000)*1,ISNUMBER(SEARCH("TPSHP",[1]OUT_TransportEnergyCons!$C$3:$C$1000))*1,[1]OUT_TransportEnergyCons!L$3:L$1000)</f>
        <v>0</v>
      </c>
      <c r="O1673" s="1" cm="1">
        <f t="array" ref="O1673">SUMPRODUCT(("TPSHPGSLEXT"=[1]OUT_TransportEnergyCons!$A$3:$A$1000)*1,("var_fout"=[1]OUT_TransportEnergyCons!$B$3:$B$1000)*1,ISNUMBER(SEARCH("TPSHP",[1]OUT_TransportEnergyCons!$C$3:$C$1000))*1,[1]OUT_TransportEnergyCons!M$3:M$1000)</f>
        <v>0</v>
      </c>
      <c r="P1673" s="1" cm="1">
        <f t="array" ref="P1673">SUMPRODUCT(("TPSHPGSLEXT"=[1]OUT_TransportEnergyCons!$A$3:$A$1000)*1,("var_fout"=[1]OUT_TransportEnergyCons!$B$3:$B$1000)*1,ISNUMBER(SEARCH("TPSHP",[1]OUT_TransportEnergyCons!$C$3:$C$1000))*1,[1]OUT_TransportEnergyCons!N$3:N$1000)</f>
        <v>0</v>
      </c>
      <c r="Q1673" s="1" cm="1">
        <f t="array" ref="Q1673">SUMPRODUCT(("TPSHPGSLEXT"=[1]OUT_TransportEnergyCons!$A$3:$A$1000)*1,("var_fout"=[1]OUT_TransportEnergyCons!$B$3:$B$1000)*1,ISNUMBER(SEARCH("TPSHP",[1]OUT_TransportEnergyCons!$C$3:$C$1000))*1,[1]OUT_TransportEnergyCons!O$3:O$1000)</f>
        <v>0</v>
      </c>
      <c r="S1673" s="3"/>
    </row>
    <row r="1674" spans="2:19" x14ac:dyDescent="0.5">
      <c r="B1674" t="str">
        <f t="shared" si="1875"/>
        <v>SPS1</v>
      </c>
      <c r="C1674" t="str">
        <f t="shared" si="1852"/>
        <v>CH</v>
      </c>
      <c r="D1674" t="s">
        <v>1682</v>
      </c>
      <c r="E1674" t="s">
        <v>1517</v>
      </c>
      <c r="F1674" s="1" cm="1">
        <f t="array" ref="F1674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74" s="1" cm="1">
        <f t="array" ref="G1674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74" s="1" cm="1">
        <f t="array" ref="H1674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74" s="1" cm="1">
        <f t="array" ref="I1674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74" s="1" cm="1">
        <f t="array" ref="J1674">SUMPRODUCT(("TPRLPDSLEXT"=[1]OUT_TransportEnergyCons!$A$3:$A$1000)*1,("var_fout"=[1]OUT_TransportEnergyCons!$B$3:$B$1000)*1,ISNUMBER(SEARCH("TPRLP",[1]OUT_TransportEnergyCons!$C$3:$C$1000))*1,[1]OUT_TransportEnergyCons!H$3:H$1000)</f>
        <v>0</v>
      </c>
      <c r="K1674" s="1" cm="1">
        <f t="array" ref="K1674">SUMPRODUCT(("TPRLPDSLEXT"=[1]OUT_TransportEnergyCons!$A$3:$A$1000)*1,("var_fout"=[1]OUT_TransportEnergyCons!$B$3:$B$1000)*1,ISNUMBER(SEARCH("TPRLP",[1]OUT_TransportEnergyCons!$C$3:$C$1000))*1,[1]OUT_TransportEnergyCons!I$3:I$1000)</f>
        <v>0</v>
      </c>
      <c r="L1674" s="1" cm="1">
        <f t="array" ref="L1674">SUMPRODUCT(("TPRLPDSLEXT"=[1]OUT_TransportEnergyCons!$A$3:$A$1000)*1,("var_fout"=[1]OUT_TransportEnergyCons!$B$3:$B$1000)*1,ISNUMBER(SEARCH("TPRLP",[1]OUT_TransportEnergyCons!$C$3:$C$1000))*1,[1]OUT_TransportEnergyCons!J$3:J$1000)</f>
        <v>0</v>
      </c>
      <c r="M1674" s="1" cm="1">
        <f t="array" ref="M1674">SUMPRODUCT(("TPRLPDSLEXT"=[1]OUT_TransportEnergyCons!$A$3:$A$1000)*1,("var_fout"=[1]OUT_TransportEnergyCons!$B$3:$B$1000)*1,ISNUMBER(SEARCH("TPRLP",[1]OUT_TransportEnergyCons!$C$3:$C$1000))*1,[1]OUT_TransportEnergyCons!K$3:K$1000)</f>
        <v>0</v>
      </c>
      <c r="N1674" s="1" cm="1">
        <f t="array" ref="N1674">SUMPRODUCT(("TPRLPDSLEXT"=[1]OUT_TransportEnergyCons!$A$3:$A$1000)*1,("var_fout"=[1]OUT_TransportEnergyCons!$B$3:$B$1000)*1,ISNUMBER(SEARCH("TPRLP",[1]OUT_TransportEnergyCons!$C$3:$C$1000))*1,[1]OUT_TransportEnergyCons!L$3:L$1000)</f>
        <v>0</v>
      </c>
      <c r="O1674" s="1" cm="1">
        <f t="array" ref="O1674">SUMPRODUCT(("TPRLPDSLEXT"=[1]OUT_TransportEnergyCons!$A$3:$A$1000)*1,("var_fout"=[1]OUT_TransportEnergyCons!$B$3:$B$1000)*1,ISNUMBER(SEARCH("TPRLP",[1]OUT_TransportEnergyCons!$C$3:$C$1000))*1,[1]OUT_TransportEnergyCons!M$3:M$1000)</f>
        <v>0</v>
      </c>
      <c r="P1674" s="1" cm="1">
        <f t="array" ref="P1674">SUMPRODUCT(("TPRLPDSLEXT"=[1]OUT_TransportEnergyCons!$A$3:$A$1000)*1,("var_fout"=[1]OUT_TransportEnergyCons!$B$3:$B$1000)*1,ISNUMBER(SEARCH("TPRLP",[1]OUT_TransportEnergyCons!$C$3:$C$1000))*1,[1]OUT_TransportEnergyCons!N$3:N$1000)</f>
        <v>0</v>
      </c>
      <c r="Q1674" s="1" cm="1">
        <f t="array" ref="Q1674">SUMPRODUCT(("TPRLPDSLEXT"=[1]OUT_TransportEnergyCons!$A$3:$A$1000)*1,("var_fout"=[1]OUT_TransportEnergyCons!$B$3:$B$1000)*1,ISNUMBER(SEARCH("TPRLP",[1]OUT_TransportEnergyCons!$C$3:$C$1000))*1,[1]OUT_TransportEnergyCons!O$3:O$1000)</f>
        <v>0</v>
      </c>
      <c r="S1674" s="3"/>
    </row>
    <row r="1675" spans="2:19" x14ac:dyDescent="0.5">
      <c r="B1675" t="str">
        <f t="shared" si="1875"/>
        <v>SPS1</v>
      </c>
      <c r="C1675" t="str">
        <f t="shared" si="1852"/>
        <v>CH</v>
      </c>
      <c r="D1675" t="s">
        <v>1683</v>
      </c>
      <c r="E1675" t="str">
        <f t="shared" ref="E1675" si="1877">E1674</f>
        <v>Billion km/yr.</v>
      </c>
      <c r="F1675" s="1" cm="1">
        <f t="array" ref="F1675">SUMPRODUCT(("TFRLFDSLEXT"=[1]OUT_TransportEnergyCons!$A$3:$A$1000)*1,("var_fout"=[1]OUT_TransportEnergyCons!$B$3:$B$1000)*1,ISNUMBER(SEARCH("TfRLf",[1]OUT_TransportEnergyCons!$C$3:$C$1000))*1,[1]OUT_TransportEnergyCons!D$3:D$1000)</f>
        <v>1.5769668531507544E-3</v>
      </c>
      <c r="G1675" s="1" cm="1">
        <f t="array" ref="G1675">SUMPRODUCT(("TFRLFDSLEXT"=[1]OUT_TransportEnergyCons!$A$3:$A$1000)*1,("var_fout"=[1]OUT_TransportEnergyCons!$B$3:$B$1000)*1,ISNUMBER(SEARCH("TfRLf",[1]OUT_TransportEnergyCons!$C$3:$C$1000))*1,[1]OUT_TransportEnergyCons!E$3:E$1000)</f>
        <v>-3.3417764236210152E-5</v>
      </c>
      <c r="H1675" s="1" cm="1">
        <f t="array" ref="H1675">SUMPRODUCT(("TFRLFDSLEXT"=[1]OUT_TransportEnergyCons!$A$3:$A$1000)*1,("var_fout"=[1]OUT_TransportEnergyCons!$B$3:$B$1000)*1,ISNUMBER(SEARCH("TfRLf",[1]OUT_TransportEnergyCons!$C$3:$C$1000))*1,[1]OUT_TransportEnergyCons!F$3:F$1000)</f>
        <v>-5.3487880532341944E-5</v>
      </c>
      <c r="I1675" s="1" cm="1">
        <f t="array" ref="I1675">SUMPRODUCT(("TFRLFDSLEXT"=[1]OUT_TransportEnergyCons!$A$3:$A$1000)*1,("var_fout"=[1]OUT_TransportEnergyCons!$B$3:$B$1000)*1,ISNUMBER(SEARCH("TfRLf",[1]OUT_TransportEnergyCons!$C$3:$C$1000))*1,[1]OUT_TransportEnergyCons!G$3:G$1000)</f>
        <v>-2.8693471443560861E-5</v>
      </c>
      <c r="J1675" s="1" cm="1">
        <f t="array" ref="J1675">SUMPRODUCT(("TFRLFDSLEXT"=[1]OUT_TransportEnergyCons!$A$3:$A$1000)*1,("var_fout"=[1]OUT_TransportEnergyCons!$B$3:$B$1000)*1,ISNUMBER(SEARCH("TfRLf",[1]OUT_TransportEnergyCons!$C$3:$C$1000))*1,[1]OUT_TransportEnergyCons!H$3:H$1000)</f>
        <v>-2.8635733902303424E-5</v>
      </c>
      <c r="K1675" s="1" cm="1">
        <f t="array" ref="K1675">SUMPRODUCT(("TFRLFDSLEXT"=[1]OUT_TransportEnergyCons!$A$3:$A$1000)*1,("var_fout"=[1]OUT_TransportEnergyCons!$B$3:$B$1000)*1,ISNUMBER(SEARCH("TfRLf",[1]OUT_TransportEnergyCons!$C$3:$C$1000))*1,[1]OUT_TransportEnergyCons!I$3:I$1000)</f>
        <v>2.810159536150393E-5</v>
      </c>
      <c r="L1675" s="1" cm="1">
        <f t="array" ref="L1675">SUMPRODUCT(("TFRLFDSLEXT"=[1]OUT_TransportEnergyCons!$A$3:$A$1000)*1,("var_fout"=[1]OUT_TransportEnergyCons!$B$3:$B$1000)*1,ISNUMBER(SEARCH("TfRLf",[1]OUT_TransportEnergyCons!$C$3:$C$1000))*1,[1]OUT_TransportEnergyCons!J$3:J$1000)</f>
        <v>2.806549425739744E-5</v>
      </c>
      <c r="M1675" s="1" cm="1">
        <f t="array" ref="M1675">SUMPRODUCT(("TFRLFDSLEXT"=[1]OUT_TransportEnergyCons!$A$3:$A$1000)*1,("var_fout"=[1]OUT_TransportEnergyCons!$B$3:$B$1000)*1,ISNUMBER(SEARCH("TfRLf",[1]OUT_TransportEnergyCons!$C$3:$C$1000))*1,[1]OUT_TransportEnergyCons!K$3:K$1000)</f>
        <v>1.0033356095743074E-5</v>
      </c>
      <c r="N1675" s="1" cm="1">
        <f t="array" ref="N1675">SUMPRODUCT(("TFRLFDSLEXT"=[1]OUT_TransportEnergyCons!$A$3:$A$1000)*1,("var_fout"=[1]OUT_TransportEnergyCons!$B$3:$B$1000)*1,ISNUMBER(SEARCH("TfRLf",[1]OUT_TransportEnergyCons!$C$3:$C$1000))*1,[1]OUT_TransportEnergyCons!L$3:L$1000)</f>
        <v>2.7883467232857897E-5</v>
      </c>
      <c r="O1675" s="1" cm="1">
        <f t="array" ref="O1675">SUMPRODUCT(("TFRLFDSLEXT"=[1]OUT_TransportEnergyCons!$A$3:$A$1000)*1,("var_fout"=[1]OUT_TransportEnergyCons!$B$3:$B$1000)*1,ISNUMBER(SEARCH("TfRLf",[1]OUT_TransportEnergyCons!$C$3:$C$1000))*1,[1]OUT_TransportEnergyCons!M$3:M$1000)</f>
        <v>1.7315728516796974E-5</v>
      </c>
      <c r="P1675" s="1" cm="1">
        <f t="array" ref="P1675">SUMPRODUCT(("TFRLFDSLEXT"=[1]OUT_TransportEnergyCons!$A$3:$A$1000)*1,("var_fout"=[1]OUT_TransportEnergyCons!$B$3:$B$1000)*1,ISNUMBER(SEARCH("TfRLf",[1]OUT_TransportEnergyCons!$C$3:$C$1000))*1,[1]OUT_TransportEnergyCons!N$3:N$1000)</f>
        <v>2.8105562585407956E-5</v>
      </c>
      <c r="Q1675" s="1" cm="1">
        <f t="array" ref="Q1675">SUMPRODUCT(("TFRLFDSLEXT"=[1]OUT_TransportEnergyCons!$A$3:$A$1000)*1,("var_fout"=[1]OUT_TransportEnergyCons!$B$3:$B$1000)*1,ISNUMBER(SEARCH("TfRLf",[1]OUT_TransportEnergyCons!$C$3:$C$1000))*1,[1]OUT_TransportEnergyCons!O$3:O$1000)</f>
        <v>2.8212931378599198E-5</v>
      </c>
      <c r="S1675" s="3"/>
    </row>
    <row r="1676" spans="2:19" x14ac:dyDescent="0.5">
      <c r="B1676" t="str">
        <f t="shared" si="1875"/>
        <v>SPS1</v>
      </c>
      <c r="C1676" t="str">
        <f t="shared" si="1852"/>
        <v>CH</v>
      </c>
      <c r="D1676" t="s">
        <v>1684</v>
      </c>
      <c r="E1676" t="s">
        <v>8</v>
      </c>
      <c r="F1676" s="1" cm="1">
        <f t="array" ref="F1676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6" s="1" cm="1">
        <f t="array" ref="G1676">SUMPRODUCT(("TPSHPDSLEXT"=[1]OUT_TransportEnergyCons!$A$3:$A$1000)*1,("var_fout"=[1]OUT_TransportEnergyCons!$B$3:$B$1000)*1,ISNUMBER(SEARCH("TPSHP",[1]OUT_TransportEnergyCons!$C$3:$C$1000))*1,[1]OUT_TransportEnergyCons!E$3:E$1000)</f>
        <v>17.017593512987499</v>
      </c>
      <c r="H1676" s="1" cm="1">
        <f t="array" ref="H1676">SUMPRODUCT(("TPSHPDSLEXT"=[1]OUT_TransportEnergyCons!$A$3:$A$1000)*1,("var_fout"=[1]OUT_TransportEnergyCons!$B$3:$B$1000)*1,ISNUMBER(SEARCH("TPSHP",[1]OUT_TransportEnergyCons!$C$3:$C$1000))*1,[1]OUT_TransportEnergyCons!F$3:F$1000)</f>
        <v>15.577818991910799</v>
      </c>
      <c r="I1676" s="1" cm="1">
        <f t="array" ref="I1676">SUMPRODUCT(("TPSHPDSLEXT"=[1]OUT_TransportEnergyCons!$A$3:$A$1000)*1,("var_fout"=[1]OUT_TransportEnergyCons!$B$3:$B$1000)*1,ISNUMBER(SEARCH("TPSHP",[1]OUT_TransportEnergyCons!$C$3:$C$1000))*1,[1]OUT_TransportEnergyCons!G$3:G$1000)</f>
        <v>14.2456939163838</v>
      </c>
      <c r="J1676" s="1" cm="1">
        <f t="array" ref="J1676">SUMPRODUCT(("TPSHPDSLEXT"=[1]OUT_TransportEnergyCons!$A$3:$A$1000)*1,("var_fout"=[1]OUT_TransportEnergyCons!$B$3:$B$1000)*1,ISNUMBER(SEARCH("TPSHP",[1]OUT_TransportEnergyCons!$C$3:$C$1000))*1,[1]OUT_TransportEnergyCons!H$3:H$1000)</f>
        <v>13.712686117174099</v>
      </c>
      <c r="K1676" s="1" cm="1">
        <f t="array" ref="K1676">SUMPRODUCT(("TPSHPDSLEXT"=[1]OUT_TransportEnergyCons!$A$3:$A$1000)*1,("var_fout"=[1]OUT_TransportEnergyCons!$B$3:$B$1000)*1,ISNUMBER(SEARCH("TPSHP",[1]OUT_TransportEnergyCons!$C$3:$C$1000))*1,[1]OUT_TransportEnergyCons!I$3:I$1000)</f>
        <v>7.1229609818692197</v>
      </c>
      <c r="L1676" s="1" cm="1">
        <f t="array" ref="L1676">SUMPRODUCT(("TPSHPDSLEXT"=[1]OUT_TransportEnergyCons!$A$3:$A$1000)*1,("var_fout"=[1]OUT_TransportEnergyCons!$B$3:$B$1000)*1,ISNUMBER(SEARCH("TPSHP",[1]OUT_TransportEnergyCons!$C$3:$C$1000))*1,[1]OUT_TransportEnergyCons!J$3:J$1000)</f>
        <v>4.5709329345783303</v>
      </c>
      <c r="M1676" s="1" cm="1">
        <f t="array" ref="M1676">SUMPRODUCT(("TPSHPDSLEXT"=[1]OUT_TransportEnergyCons!$A$3:$A$1000)*1,("var_fout"=[1]OUT_TransportEnergyCons!$B$3:$B$1000)*1,ISNUMBER(SEARCH("TPSHP",[1]OUT_TransportEnergyCons!$C$3:$C$1000))*1,[1]OUT_TransportEnergyCons!K$3:K$1000)</f>
        <v>2.0189737585279901</v>
      </c>
      <c r="N1676" s="1" cm="1">
        <f t="array" ref="N1676">SUMPRODUCT(("TPSHPDSLEXT"=[1]OUT_TransportEnergyCons!$A$3:$A$1000)*1,("var_fout"=[1]OUT_TransportEnergyCons!$B$3:$B$1000)*1,ISNUMBER(SEARCH("TPSHP",[1]OUT_TransportEnergyCons!$C$3:$C$1000))*1,[1]OUT_TransportEnergyCons!L$3:L$1000)</f>
        <v>2.0189645340861402</v>
      </c>
      <c r="O1676" s="1" cm="1">
        <f t="array" ref="O1676">SUMPRODUCT(("TPSHPDSLEXT"=[1]OUT_TransportEnergyCons!$A$3:$A$1000)*1,("var_fout"=[1]OUT_TransportEnergyCons!$B$3:$B$1000)*1,ISNUMBER(SEARCH("TPSHP",[1]OUT_TransportEnergyCons!$C$3:$C$1000))*1,[1]OUT_TransportEnergyCons!M$3:M$1000)</f>
        <v>2.0189596742071299</v>
      </c>
      <c r="P1676" s="1" cm="1">
        <f t="array" ref="P1676">SUMPRODUCT(("TPSHPDSLEXT"=[1]OUT_TransportEnergyCons!$A$3:$A$1000)*1,("var_fout"=[1]OUT_TransportEnergyCons!$B$3:$B$1000)*1,ISNUMBER(SEARCH("TPSHP",[1]OUT_TransportEnergyCons!$C$3:$C$1000))*1,[1]OUT_TransportEnergyCons!N$3:N$1000)</f>
        <v>2.01895569234672</v>
      </c>
      <c r="Q1676" s="1" cm="1">
        <f t="array" ref="Q1676">SUMPRODUCT(("TPSHPDSLEXT"=[1]OUT_TransportEnergyCons!$A$3:$A$1000)*1,("var_fout"=[1]OUT_TransportEnergyCons!$B$3:$B$1000)*1,ISNUMBER(SEARCH("TPSHP",[1]OUT_TransportEnergyCons!$C$3:$C$1000))*1,[1]OUT_TransportEnergyCons!O$3:O$1000)</f>
        <v>2.0189526228173098</v>
      </c>
      <c r="S1676" s="3"/>
    </row>
    <row r="1677" spans="2:19" x14ac:dyDescent="0.5">
      <c r="B1677" s="2" t="str">
        <f t="shared" si="1875"/>
        <v>SPS1</v>
      </c>
      <c r="C1677" s="2" t="str">
        <f t="shared" si="1852"/>
        <v>CH</v>
      </c>
      <c r="D1677" s="2" t="s">
        <v>1685</v>
      </c>
      <c r="E1677" s="19" t="s">
        <v>292</v>
      </c>
      <c r="F1677" s="19" t="s">
        <v>292</v>
      </c>
      <c r="G1677" s="19" t="s">
        <v>292</v>
      </c>
      <c r="H1677" s="19" t="s">
        <v>292</v>
      </c>
      <c r="I1677" s="19" t="s">
        <v>292</v>
      </c>
      <c r="J1677" s="19" t="s">
        <v>292</v>
      </c>
      <c r="K1677" s="19" t="s">
        <v>292</v>
      </c>
      <c r="L1677" s="19" t="s">
        <v>292</v>
      </c>
      <c r="M1677" s="19" t="s">
        <v>292</v>
      </c>
      <c r="N1677" s="19" t="s">
        <v>292</v>
      </c>
      <c r="O1677" s="19" t="s">
        <v>292</v>
      </c>
      <c r="P1677" s="19" t="s">
        <v>292</v>
      </c>
      <c r="Q1677" s="19" t="s">
        <v>292</v>
      </c>
      <c r="S1677" s="3"/>
    </row>
    <row r="1678" spans="2:19" x14ac:dyDescent="0.5">
      <c r="B1678" t="str">
        <f t="shared" si="1875"/>
        <v>SPS1</v>
      </c>
      <c r="C1678" t="str">
        <f t="shared" si="1852"/>
        <v>CH</v>
      </c>
      <c r="D1678" t="s">
        <v>1686</v>
      </c>
      <c r="E1678" t="s">
        <v>1229</v>
      </c>
      <c r="F1678" s="7">
        <f t="shared" ref="F1678:K1680" si="1878">IFERROR(F1667/F1642,"-")</f>
        <v>2.5309161094553195E-2</v>
      </c>
      <c r="G1678" s="7">
        <f t="shared" si="1878"/>
        <v>2.5301857215832019E-2</v>
      </c>
      <c r="H1678" s="7">
        <f t="shared" si="1878"/>
        <v>2.5290901397750198E-2</v>
      </c>
      <c r="I1678" s="7">
        <f t="shared" si="1878"/>
        <v>2.5272641700947188E-2</v>
      </c>
      <c r="J1678" s="7">
        <f t="shared" si="1878"/>
        <v>2.5254382004144305E-2</v>
      </c>
      <c r="K1678" s="7">
        <f t="shared" si="1878"/>
        <v>2.5236122307341249E-2</v>
      </c>
      <c r="L1678" s="7">
        <f t="shared" ref="L1678:O1678" si="1879">IFERROR(L1667/L1642,"-")</f>
        <v>2.5217862610538294E-2</v>
      </c>
      <c r="M1678" s="7">
        <f t="shared" si="1879"/>
        <v>2.5199602913735311E-2</v>
      </c>
      <c r="N1678" s="7">
        <f t="shared" si="1879"/>
        <v>2.5199602913735308E-2</v>
      </c>
      <c r="O1678" s="7">
        <f t="shared" si="1879"/>
        <v>2.5199602913735318E-2</v>
      </c>
      <c r="P1678" s="7">
        <f t="shared" ref="P1678:Q1680" si="1880">IFERROR(P1667/P1642,"-")</f>
        <v>2.5199602913735304E-2</v>
      </c>
      <c r="Q1678" s="7">
        <f t="shared" si="1880"/>
        <v>2.5199602913735304E-2</v>
      </c>
      <c r="S1678" s="3"/>
    </row>
    <row r="1679" spans="2:19" x14ac:dyDescent="0.5">
      <c r="B1679" t="str">
        <f t="shared" si="1875"/>
        <v>SPS1</v>
      </c>
      <c r="C1679" t="str">
        <f t="shared" si="1852"/>
        <v>CH</v>
      </c>
      <c r="D1679" t="s">
        <v>1687</v>
      </c>
      <c r="E1679" t="s">
        <v>1229</v>
      </c>
      <c r="F1679" s="7">
        <f t="shared" si="1878"/>
        <v>1.6704032219401314E-2</v>
      </c>
      <c r="G1679" s="7">
        <f t="shared" si="1878"/>
        <v>1.6704032219401286E-2</v>
      </c>
      <c r="H1679" s="7">
        <f t="shared" si="1878"/>
        <v>1.6704032219401303E-2</v>
      </c>
      <c r="I1679" s="7">
        <f t="shared" si="1878"/>
        <v>1.670403221940131E-2</v>
      </c>
      <c r="J1679" s="7">
        <f t="shared" si="1878"/>
        <v>1.670403221940131E-2</v>
      </c>
      <c r="K1679" s="7">
        <f t="shared" si="1878"/>
        <v>1.6704032219401317E-2</v>
      </c>
      <c r="L1679" s="7">
        <f t="shared" ref="L1679:O1679" si="1881">IFERROR(L1668/L1643,"-")</f>
        <v>1.670403221940131E-2</v>
      </c>
      <c r="M1679" s="7">
        <f t="shared" si="1881"/>
        <v>1.6704032219401276E-2</v>
      </c>
      <c r="N1679" s="7">
        <f t="shared" si="1881"/>
        <v>1.6704032219401296E-2</v>
      </c>
      <c r="O1679" s="7">
        <f t="shared" si="1881"/>
        <v>1.6704032219401303E-2</v>
      </c>
      <c r="P1679" s="7">
        <f t="shared" si="1880"/>
        <v>1.6704032219401289E-2</v>
      </c>
      <c r="Q1679" s="7">
        <f t="shared" si="1880"/>
        <v>1.6704032219401303E-2</v>
      </c>
      <c r="S1679" s="3"/>
    </row>
    <row r="1680" spans="2:19" x14ac:dyDescent="0.5">
      <c r="B1680" t="str">
        <f t="shared" si="1875"/>
        <v>SPS1</v>
      </c>
      <c r="C1680" t="str">
        <f t="shared" si="1852"/>
        <v>CH</v>
      </c>
      <c r="D1680" t="s">
        <v>1688</v>
      </c>
      <c r="E1680" t="s">
        <v>240</v>
      </c>
      <c r="F1680" t="str">
        <f t="shared" si="1878"/>
        <v>-</v>
      </c>
      <c r="G1680">
        <f t="shared" si="1878"/>
        <v>2.4673913043478315</v>
      </c>
      <c r="H1680">
        <f t="shared" si="1878"/>
        <v>2.4673913043478333</v>
      </c>
      <c r="I1680">
        <f t="shared" si="1878"/>
        <v>2.4673913043478439</v>
      </c>
      <c r="J1680">
        <f t="shared" si="1878"/>
        <v>1.8180268150953804</v>
      </c>
      <c r="K1680">
        <f t="shared" si="1878"/>
        <v>2.0277169005676523</v>
      </c>
      <c r="L1680">
        <f t="shared" ref="L1680:O1680" si="1882">IFERROR(L1669/L1644,"-")</f>
        <v>2.1003309587059653</v>
      </c>
      <c r="M1680">
        <f t="shared" si="1882"/>
        <v>2.1473248352179084</v>
      </c>
      <c r="N1680">
        <f t="shared" si="1882"/>
        <v>2.1385503716327974</v>
      </c>
      <c r="O1680">
        <f t="shared" si="1882"/>
        <v>2.1305691287641157</v>
      </c>
      <c r="P1680">
        <f t="shared" si="1880"/>
        <v>2.1308807994314987</v>
      </c>
      <c r="Q1680">
        <f t="shared" si="1880"/>
        <v>2.1381658624599549</v>
      </c>
      <c r="S1680" s="3"/>
    </row>
    <row r="1681" spans="2:19" x14ac:dyDescent="0.5">
      <c r="B1681" t="str">
        <f t="shared" si="1875"/>
        <v>SPS1</v>
      </c>
      <c r="C1681" t="str">
        <f t="shared" si="1852"/>
        <v>CH</v>
      </c>
      <c r="D1681" t="s">
        <v>1689</v>
      </c>
      <c r="E1681" t="s">
        <v>1229</v>
      </c>
      <c r="F1681" t="str">
        <f t="shared" ref="F1681:K1683" si="1883">IFERROR(F1670/F1646,"-")</f>
        <v>-</v>
      </c>
      <c r="G1681" t="str">
        <f t="shared" si="1883"/>
        <v>-</v>
      </c>
      <c r="H1681" t="str">
        <f t="shared" si="1883"/>
        <v>-</v>
      </c>
      <c r="I1681" t="str">
        <f t="shared" si="1883"/>
        <v>-</v>
      </c>
      <c r="J1681" t="str">
        <f t="shared" si="1883"/>
        <v>-</v>
      </c>
      <c r="K1681">
        <f t="shared" si="1883"/>
        <v>1.7941883805152246E-2</v>
      </c>
      <c r="L1681">
        <f t="shared" ref="L1681:O1681" si="1884">IFERROR(L1670/L1646,"-")</f>
        <v>1.8630980592257311E-2</v>
      </c>
      <c r="M1681">
        <f t="shared" si="1884"/>
        <v>1.9320077379362394E-2</v>
      </c>
      <c r="N1681">
        <f t="shared" si="1884"/>
        <v>1.9320077379362387E-2</v>
      </c>
      <c r="O1681">
        <f t="shared" si="1884"/>
        <v>1.9320077379362401E-2</v>
      </c>
      <c r="P1681">
        <f t="shared" ref="P1681:Q1683" si="1885">IFERROR(P1670/P1646,"-")</f>
        <v>1.9320077379362394E-2</v>
      </c>
      <c r="Q1681">
        <f t="shared" si="1885"/>
        <v>1.9320077379362401E-2</v>
      </c>
      <c r="S1681" s="3"/>
    </row>
    <row r="1682" spans="2:19" x14ac:dyDescent="0.5">
      <c r="B1682" t="str">
        <f t="shared" si="1875"/>
        <v>SPS1</v>
      </c>
      <c r="C1682" t="str">
        <f t="shared" si="1852"/>
        <v>CH</v>
      </c>
      <c r="D1682" t="s">
        <v>1690</v>
      </c>
      <c r="E1682" t="s">
        <v>1229</v>
      </c>
      <c r="F1682" t="str">
        <f t="shared" si="1883"/>
        <v>-</v>
      </c>
      <c r="G1682" t="str">
        <f t="shared" si="1883"/>
        <v>-</v>
      </c>
      <c r="H1682" t="str">
        <f t="shared" si="1883"/>
        <v>-</v>
      </c>
      <c r="I1682" t="str">
        <f t="shared" si="1883"/>
        <v>-</v>
      </c>
      <c r="J1682" t="str">
        <f t="shared" si="1883"/>
        <v>-</v>
      </c>
      <c r="K1682">
        <f t="shared" si="1883"/>
        <v>7.2968729943651738E-3</v>
      </c>
      <c r="L1682">
        <f t="shared" ref="L1682:O1682" si="1886">IFERROR(L1671/L1647,"-")</f>
        <v>6.6154864100462663E-3</v>
      </c>
      <c r="M1682">
        <f t="shared" si="1886"/>
        <v>5.9340998257273563E-3</v>
      </c>
      <c r="N1682">
        <f t="shared" si="1886"/>
        <v>5.9340998257273545E-3</v>
      </c>
      <c r="O1682">
        <f t="shared" si="1886"/>
        <v>5.9340998257273589E-3</v>
      </c>
      <c r="P1682">
        <f t="shared" si="1885"/>
        <v>5.9340998257273571E-3</v>
      </c>
      <c r="Q1682">
        <f t="shared" si="1885"/>
        <v>5.9340998257273623E-3</v>
      </c>
      <c r="S1682" s="3"/>
    </row>
    <row r="1683" spans="2:19" x14ac:dyDescent="0.5">
      <c r="B1683" t="str">
        <f t="shared" si="1875"/>
        <v>SPS1</v>
      </c>
      <c r="C1683" t="str">
        <f t="shared" si="1852"/>
        <v>CH</v>
      </c>
      <c r="D1683" t="s">
        <v>1691</v>
      </c>
      <c r="E1683" t="s">
        <v>240</v>
      </c>
      <c r="F1683" t="str">
        <f t="shared" si="1883"/>
        <v>-</v>
      </c>
      <c r="G1683" t="str">
        <f t="shared" si="1883"/>
        <v>-</v>
      </c>
      <c r="H1683" t="str">
        <f t="shared" si="1883"/>
        <v>-</v>
      </c>
      <c r="I1683" t="str">
        <f t="shared" si="1883"/>
        <v>-</v>
      </c>
      <c r="J1683">
        <f t="shared" si="1883"/>
        <v>1.7934782608695736</v>
      </c>
      <c r="K1683">
        <f t="shared" si="1883"/>
        <v>1.7934782608695714</v>
      </c>
      <c r="L1683">
        <f t="shared" ref="L1683:O1683" si="1887">IFERROR(L1672/L1648,"-")</f>
        <v>1.7934782608695692</v>
      </c>
      <c r="M1683">
        <f t="shared" si="1887"/>
        <v>1.793478260869577</v>
      </c>
      <c r="N1683">
        <f t="shared" si="1887"/>
        <v>1.793478260869573</v>
      </c>
      <c r="O1683">
        <f t="shared" si="1887"/>
        <v>1.793478260869571</v>
      </c>
      <c r="P1683">
        <f t="shared" si="1885"/>
        <v>1.7934782608695758</v>
      </c>
      <c r="Q1683">
        <f t="shared" si="1885"/>
        <v>1.793478260869571</v>
      </c>
      <c r="S1683" s="3"/>
    </row>
    <row r="1684" spans="2:19" x14ac:dyDescent="0.5">
      <c r="B1684" t="str">
        <f t="shared" si="1875"/>
        <v>SPS1</v>
      </c>
      <c r="C1684" t="str">
        <f t="shared" si="1852"/>
        <v>CH</v>
      </c>
      <c r="D1684" t="s">
        <v>1692</v>
      </c>
      <c r="E1684" t="s">
        <v>240</v>
      </c>
      <c r="F1684" s="4">
        <f t="shared" ref="F1684:K1684" si="1888">IFERROR(F1673/F1654,"-")</f>
        <v>0.90641226905247907</v>
      </c>
      <c r="G1684" s="4">
        <f t="shared" si="1888"/>
        <v>0.90641226905248129</v>
      </c>
      <c r="H1684" s="4">
        <f t="shared" si="1888"/>
        <v>0.90641226905247485</v>
      </c>
      <c r="I1684" s="4">
        <f t="shared" si="1888"/>
        <v>0.9064122690524794</v>
      </c>
      <c r="J1684" s="4">
        <f t="shared" si="1888"/>
        <v>0.90641226905248207</v>
      </c>
      <c r="K1684" s="4">
        <f t="shared" si="1888"/>
        <v>0.90641226905247874</v>
      </c>
      <c r="L1684" s="4">
        <f t="shared" ref="L1684:O1684" si="1889">IFERROR(L1673/L1654,"-")</f>
        <v>0.90641226905247596</v>
      </c>
      <c r="M1684" s="4" t="str">
        <f t="shared" si="1889"/>
        <v>-</v>
      </c>
      <c r="N1684" s="4" t="str">
        <f t="shared" si="1889"/>
        <v>-</v>
      </c>
      <c r="O1684" s="4" t="str">
        <f t="shared" si="1889"/>
        <v>-</v>
      </c>
      <c r="P1684" s="4" t="str">
        <f>IFERROR(P1673/P1654,"-")</f>
        <v>-</v>
      </c>
      <c r="Q1684" s="4" t="str">
        <f>IFERROR(Q1673/Q1654,"-")</f>
        <v>-</v>
      </c>
      <c r="S1684" s="3"/>
    </row>
    <row r="1685" spans="2:19" x14ac:dyDescent="0.5">
      <c r="B1685" t="str">
        <f t="shared" si="1875"/>
        <v>SPS1</v>
      </c>
      <c r="C1685" t="str">
        <f t="shared" si="1852"/>
        <v>CH</v>
      </c>
      <c r="D1685" t="s">
        <v>1693</v>
      </c>
      <c r="E1685" t="s">
        <v>1229</v>
      </c>
      <c r="F1685" t="str">
        <f t="shared" ref="F1685:K1687" si="1890">IFERROR(F1674/F1660,"-")</f>
        <v>-</v>
      </c>
      <c r="G1685" t="str">
        <f t="shared" si="1890"/>
        <v>-</v>
      </c>
      <c r="H1685" t="str">
        <f t="shared" si="1890"/>
        <v>-</v>
      </c>
      <c r="I1685" t="str">
        <f t="shared" si="1890"/>
        <v>-</v>
      </c>
      <c r="J1685" t="str">
        <f t="shared" si="1890"/>
        <v>-</v>
      </c>
      <c r="K1685" t="str">
        <f t="shared" si="1890"/>
        <v>-</v>
      </c>
      <c r="L1685" t="str">
        <f t="shared" ref="L1685:O1685" si="1891">IFERROR(L1674/L1660,"-")</f>
        <v>-</v>
      </c>
      <c r="M1685" t="str">
        <f t="shared" si="1891"/>
        <v>-</v>
      </c>
      <c r="N1685" t="str">
        <f t="shared" si="1891"/>
        <v>-</v>
      </c>
      <c r="O1685" t="str">
        <f t="shared" si="1891"/>
        <v>-</v>
      </c>
      <c r="P1685" t="str">
        <f t="shared" ref="P1685:Q1687" si="1892">IFERROR(P1674/P1660,"-")</f>
        <v>-</v>
      </c>
      <c r="Q1685" t="str">
        <f t="shared" si="1892"/>
        <v>-</v>
      </c>
      <c r="S1685" s="3"/>
    </row>
    <row r="1686" spans="2:19" x14ac:dyDescent="0.5">
      <c r="B1686" t="str">
        <f t="shared" si="1875"/>
        <v>SPS1</v>
      </c>
      <c r="C1686" t="str">
        <f t="shared" si="1852"/>
        <v>CH</v>
      </c>
      <c r="D1686" t="s">
        <v>1694</v>
      </c>
      <c r="E1686" t="s">
        <v>1229</v>
      </c>
      <c r="F1686" s="1">
        <f t="shared" si="1890"/>
        <v>4.053073886785513E-3</v>
      </c>
      <c r="G1686" s="1">
        <f t="shared" si="1890"/>
        <v>4.0530738867855104E-3</v>
      </c>
      <c r="H1686">
        <f t="shared" si="1890"/>
        <v>4.0530738867855121E-3</v>
      </c>
      <c r="I1686">
        <f t="shared" si="1890"/>
        <v>4.0530738867855147E-3</v>
      </c>
      <c r="J1686">
        <f t="shared" si="1890"/>
        <v>4.0530738867855087E-3</v>
      </c>
      <c r="K1686">
        <f t="shared" si="1890"/>
        <v>4.0530738867855095E-3</v>
      </c>
      <c r="L1686">
        <f t="shared" ref="L1686:O1686" si="1893">IFERROR(L1675/L1661,"-")</f>
        <v>4.0530738867855113E-3</v>
      </c>
      <c r="M1686">
        <f t="shared" si="1893"/>
        <v>4.0530738867855095E-3</v>
      </c>
      <c r="N1686">
        <f t="shared" si="1893"/>
        <v>4.0530738867855113E-3</v>
      </c>
      <c r="O1686">
        <f t="shared" si="1893"/>
        <v>4.0530738867855147E-3</v>
      </c>
      <c r="P1686">
        <f t="shared" si="1892"/>
        <v>4.0530738867855121E-3</v>
      </c>
      <c r="Q1686">
        <f t="shared" si="1892"/>
        <v>4.0530738867855121E-3</v>
      </c>
      <c r="S1686" s="3"/>
    </row>
    <row r="1687" spans="2:19" x14ac:dyDescent="0.5">
      <c r="B1687" t="str">
        <f t="shared" si="1875"/>
        <v>SPS1</v>
      </c>
      <c r="C1687" t="str">
        <f t="shared" si="1852"/>
        <v>CH</v>
      </c>
      <c r="D1687" t="s">
        <v>1695</v>
      </c>
      <c r="E1687" t="s">
        <v>240</v>
      </c>
      <c r="F1687" s="4">
        <f t="shared" si="1890"/>
        <v>0.98826978015125178</v>
      </c>
      <c r="G1687" s="4">
        <f t="shared" si="1890"/>
        <v>0.988269780151247</v>
      </c>
      <c r="H1687" s="4">
        <f t="shared" si="1890"/>
        <v>0.98826978015124745</v>
      </c>
      <c r="I1687" s="4">
        <f t="shared" si="1890"/>
        <v>0.98826978015124545</v>
      </c>
      <c r="J1687" s="4">
        <f t="shared" si="1890"/>
        <v>0.98826978015125511</v>
      </c>
      <c r="K1687" s="4">
        <f t="shared" si="1890"/>
        <v>0.988269780151252</v>
      </c>
      <c r="L1687" s="4">
        <f t="shared" ref="L1687:O1687" si="1894">IFERROR(L1676/L1662,"-")</f>
        <v>0.98826978015124511</v>
      </c>
      <c r="M1687" s="4">
        <f t="shared" si="1894"/>
        <v>0.98826978015124911</v>
      </c>
      <c r="N1687" s="4">
        <f t="shared" si="1894"/>
        <v>0.98826978015124789</v>
      </c>
      <c r="O1687" s="4">
        <f t="shared" si="1894"/>
        <v>0.98826978015125089</v>
      </c>
      <c r="P1687" s="4">
        <f t="shared" si="1892"/>
        <v>0.98826978015124822</v>
      </c>
      <c r="Q1687" s="4">
        <f t="shared" si="1892"/>
        <v>0.98826978015124467</v>
      </c>
      <c r="S1687" s="3"/>
    </row>
    <row r="1688" spans="2:19" x14ac:dyDescent="0.5">
      <c r="B1688" s="2" t="str">
        <f>B1687</f>
        <v>SPS1</v>
      </c>
      <c r="C1688" s="2" t="str">
        <f>C1687</f>
        <v>CH</v>
      </c>
      <c r="D1688" s="2" t="s">
        <v>1701</v>
      </c>
      <c r="E1688" s="2" t="s">
        <v>442</v>
      </c>
      <c r="F1688" s="3">
        <f>SUM(F1689:F1691,F1694:F1696,-F1701)</f>
        <v>34.647621206475307</v>
      </c>
      <c r="G1688" s="3">
        <f t="shared" ref="G1688:K1688" si="1895">SUM(G1689:G1691,G1694:G1696,-G1701)</f>
        <v>32.413256393087892</v>
      </c>
      <c r="H1688" s="3">
        <f t="shared" si="1895"/>
        <v>27.551022623819524</v>
      </c>
      <c r="I1688" s="3">
        <f t="shared" si="1895"/>
        <v>23.199159070939373</v>
      </c>
      <c r="J1688" s="3">
        <f t="shared" si="1895"/>
        <v>16.298404009871469</v>
      </c>
      <c r="K1688" s="3">
        <f t="shared" si="1895"/>
        <v>10.450820500344726</v>
      </c>
      <c r="L1688" s="3">
        <f t="shared" ref="L1688:O1688" si="1896">SUM(L1689:L1691,L1694:L1696,-L1701)</f>
        <v>4.7514201412431607</v>
      </c>
      <c r="M1688" s="3">
        <f>SUM(M1689:M1691,M1694:M1696,-M1701)</f>
        <v>-1.1824583369371287E-2</v>
      </c>
      <c r="N1688" s="3">
        <f t="shared" si="1896"/>
        <v>-1.4079495156665698</v>
      </c>
      <c r="O1688" s="3">
        <f t="shared" si="1896"/>
        <v>-2.8037261517402245</v>
      </c>
      <c r="P1688" s="3">
        <f>SUM(P1689:P1691,P1694:P1696,-P1701)</f>
        <v>-3.6372397592468566</v>
      </c>
      <c r="Q1688" s="3">
        <f>SUM(Q1689:Q1691,Q1694:Q1696,-Q1701)</f>
        <v>-4.4708887288605403</v>
      </c>
      <c r="S1688" s="3"/>
    </row>
    <row r="1689" spans="2:19" x14ac:dyDescent="0.5">
      <c r="B1689" t="str">
        <f>B1688</f>
        <v>SPS1</v>
      </c>
      <c r="C1689" t="str">
        <f t="shared" ref="C1689" si="1897">C1688</f>
        <v>CH</v>
      </c>
      <c r="D1689" t="s">
        <v>1702</v>
      </c>
      <c r="E1689" t="str">
        <f>E1688</f>
        <v>Mt/yr.</v>
      </c>
      <c r="F1689" s="1">
        <f>[1]Summary!B53+[1]Summary!B59</f>
        <v>2.6095710203915723</v>
      </c>
      <c r="G1689" s="1">
        <f>[1]Summary!C53+[1]Summary!C59</f>
        <v>2.4679121971117874</v>
      </c>
      <c r="H1689" s="1">
        <f>[1]Summary!D53+[1]Summary!D59</f>
        <v>2.3965108160968795</v>
      </c>
      <c r="I1689" s="1">
        <f>[1]Summary!E53+[1]Summary!E59</f>
        <v>2.2440508526740399</v>
      </c>
      <c r="J1689" s="1">
        <f>[1]Summary!F53+[1]Summary!F59</f>
        <v>2.2412502462749679</v>
      </c>
      <c r="K1689" s="1">
        <f>[1]Summary!G53+[1]Summary!G59</f>
        <v>1.8303848791334323</v>
      </c>
      <c r="L1689" s="1">
        <f>[1]Summary!H53+[1]Summary!H59</f>
        <v>0.24684883984670858</v>
      </c>
      <c r="M1689" s="1">
        <f>[1]Summary!I53+[1]Summary!I59</f>
        <v>8.225583194209074E-2</v>
      </c>
      <c r="N1689" s="1">
        <f>[1]Summary!J53+[1]Summary!J59</f>
        <v>-0.18617630745105673</v>
      </c>
      <c r="O1689" s="1">
        <f>[1]Summary!K53+[1]Summary!K59</f>
        <v>-0.30230194754922524</v>
      </c>
      <c r="P1689" s="1">
        <f>[1]Summary!L53+[1]Summary!L59</f>
        <v>-0.30486985405540556</v>
      </c>
      <c r="Q1689" s="1">
        <f>[1]Summary!M53+[1]Summary!M59</f>
        <v>-0.3118739687996448</v>
      </c>
      <c r="S1689" s="3"/>
    </row>
    <row r="1690" spans="2:19" x14ac:dyDescent="0.5">
      <c r="B1690" t="str">
        <f t="shared" ref="B1690:B1701" si="1898">B1689</f>
        <v>SPS1</v>
      </c>
      <c r="C1690" t="str">
        <f t="shared" ref="C1690:C1701" si="1899">C1689</f>
        <v>CH</v>
      </c>
      <c r="D1690" t="s">
        <v>1703</v>
      </c>
      <c r="E1690" t="str">
        <f t="shared" ref="E1690:E1701" si="1900">E1689</f>
        <v>Mt/yr.</v>
      </c>
      <c r="F1690" s="1">
        <f>[1]Summary!B54+[1]Summary!B61</f>
        <v>0</v>
      </c>
      <c r="G1690" s="1">
        <f>[1]Summary!C54+[1]Summary!C61</f>
        <v>0</v>
      </c>
      <c r="H1690" s="1">
        <f>[1]Summary!D54+[1]Summary!D61</f>
        <v>0</v>
      </c>
      <c r="I1690" s="1">
        <f>[1]Summary!E54+[1]Summary!E61</f>
        <v>0</v>
      </c>
      <c r="J1690" s="1">
        <f>[1]Summary!F54+[1]Summary!F61</f>
        <v>0</v>
      </c>
      <c r="K1690" s="1">
        <f>[1]Summary!G54+[1]Summary!G61+[1]Summary!G62</f>
        <v>-2.6061533816881279E-4</v>
      </c>
      <c r="L1690" s="1">
        <f>[1]Summary!H54+[1]Summary!H61+[1]Summary!H62</f>
        <v>-3.4403757861975248E-4</v>
      </c>
      <c r="M1690" s="1">
        <f>[1]Summary!I54+[1]Summary!I61+[1]Summary!I62</f>
        <v>-0.88706191189702577</v>
      </c>
      <c r="N1690" s="1">
        <f>[1]Summary!J54+[1]Summary!J61+[1]Summary!J62</f>
        <v>-1.6951640821583802</v>
      </c>
      <c r="O1690" s="1">
        <f>[1]Summary!K54+[1]Summary!K61+[1]Summary!K62</f>
        <v>-1.5768899052960927</v>
      </c>
      <c r="P1690" s="1">
        <f>[1]Summary!L54+[1]Summary!L61+[1]Summary!L62</f>
        <v>-2.2507472532913191</v>
      </c>
      <c r="Q1690" s="1">
        <f>[1]Summary!M54+[1]Summary!M61+[1]Summary!M62</f>
        <v>-2.3845966740479057</v>
      </c>
      <c r="S1690" s="3"/>
    </row>
    <row r="1691" spans="2:19" x14ac:dyDescent="0.5">
      <c r="B1691" t="str">
        <f t="shared" si="1898"/>
        <v>SPS1</v>
      </c>
      <c r="C1691" t="str">
        <f t="shared" si="1899"/>
        <v>CH</v>
      </c>
      <c r="D1691" t="s">
        <v>1704</v>
      </c>
      <c r="E1691" t="str">
        <f t="shared" si="1900"/>
        <v>Mt/yr.</v>
      </c>
      <c r="F1691" s="1">
        <f>[1]Summary!B55+[1]Summary!B60</f>
        <v>6.4948181757928927</v>
      </c>
      <c r="G1691" s="1">
        <f>[1]Summary!C55+[1]Summary!C60</f>
        <v>6.1128787406009195</v>
      </c>
      <c r="H1691" s="1">
        <f>[1]Summary!D55+[1]Summary!D60</f>
        <v>5.6426330032093572</v>
      </c>
      <c r="I1691" s="1">
        <f>[1]Summary!E55+[1]Summary!E60</f>
        <v>4.9672348192396747</v>
      </c>
      <c r="J1691" s="1">
        <f>[1]Summary!F55+[1]Summary!F60</f>
        <v>4.0963181540035567</v>
      </c>
      <c r="K1691" s="1">
        <f>[1]Summary!G55+[1]Summary!G60</f>
        <v>3.0694230492030821</v>
      </c>
      <c r="L1691" s="1">
        <f>[1]Summary!H55+[1]Summary!H60</f>
        <v>1.8278460570338686</v>
      </c>
      <c r="M1691" s="1">
        <f>[1]Summary!I55+[1]Summary!I60</f>
        <v>6.0468595866527419E-2</v>
      </c>
      <c r="N1691" s="1">
        <f>[1]Summary!J55+[1]Summary!J60</f>
        <v>1.2424634931504475E-2</v>
      </c>
      <c r="O1691" s="1">
        <f>[1]Summary!K55+[1]Summary!K60</f>
        <v>1.1127054444200812E-2</v>
      </c>
      <c r="P1691" s="1">
        <f>[1]Summary!L55+[1]Summary!L60</f>
        <v>9.9079549367737663E-3</v>
      </c>
      <c r="Q1691" s="1">
        <f>[1]Summary!M55+[1]Summary!M60</f>
        <v>8.7470438024528363E-3</v>
      </c>
      <c r="S1691" s="3"/>
    </row>
    <row r="1692" spans="2:19" x14ac:dyDescent="0.5">
      <c r="B1692" t="str">
        <f t="shared" si="1898"/>
        <v>SPS1</v>
      </c>
      <c r="C1692" t="str">
        <f t="shared" si="1899"/>
        <v>CH</v>
      </c>
      <c r="D1692" t="s">
        <v>1714</v>
      </c>
      <c r="E1692" t="str">
        <f t="shared" si="1900"/>
        <v>Mt/yr.</v>
      </c>
      <c r="F1692" s="1">
        <f>F1691-F1693</f>
        <v>4.4054713753082524</v>
      </c>
      <c r="G1692" s="1">
        <f t="shared" ref="G1692:K1692" si="1901">G1691-G1693</f>
        <v>4.0018655707268387</v>
      </c>
      <c r="H1692" s="1">
        <f t="shared" si="1901"/>
        <v>3.5403635321480973</v>
      </c>
      <c r="I1692" s="1">
        <f t="shared" si="1901"/>
        <v>2.8735777327961447</v>
      </c>
      <c r="J1692" s="1">
        <f t="shared" si="1901"/>
        <v>2.0107831751858867</v>
      </c>
      <c r="K1692" s="1">
        <f t="shared" si="1901"/>
        <v>0.99232044560183752</v>
      </c>
      <c r="L1692" s="1">
        <f t="shared" ref="L1692:O1692" si="1902">L1691-L1693</f>
        <v>-0.241713621246048</v>
      </c>
      <c r="M1692" s="1">
        <f t="shared" si="1902"/>
        <v>-0.97140749948547245</v>
      </c>
      <c r="N1692" s="1">
        <f t="shared" si="1902"/>
        <v>-1.0194498652271555</v>
      </c>
      <c r="O1692" s="1">
        <f t="shared" si="1902"/>
        <v>-1.0207462887338394</v>
      </c>
      <c r="P1692" s="1">
        <f>P1691-P1693</f>
        <v>-1.0219656084759163</v>
      </c>
      <c r="Q1692" s="1">
        <f>Q1691-Q1693</f>
        <v>-1.0231261840614969</v>
      </c>
      <c r="S1692" s="3"/>
    </row>
    <row r="1693" spans="2:19" x14ac:dyDescent="0.5">
      <c r="B1693" t="str">
        <f t="shared" si="1898"/>
        <v>SPS1</v>
      </c>
      <c r="C1693" t="str">
        <f t="shared" si="1899"/>
        <v>CH</v>
      </c>
      <c r="D1693" t="s">
        <v>1713</v>
      </c>
      <c r="E1693" t="str">
        <f t="shared" si="1900"/>
        <v>Mt/yr.</v>
      </c>
      <c r="F1693" s="1" cm="1">
        <f t="array" ref="F1693">SUMPRODUCT(ISNUMBER(SEARCH("processco2",[1]OUT_CO2_emissions!$D$3:$D$1000))*1,("var_fout"=[1]OUT_CO2_emissions!$C$3:$C$1000)*1,("CO2"=[1]OUT_CO2_emissions!$B$3:$B$1000)*1,[1]OUT_CO2_emissions!E$3:E$1000)/1000</f>
        <v>2.0893468004846398</v>
      </c>
      <c r="G1693" s="1" cm="1">
        <f t="array" ref="G1693">SUMPRODUCT(ISNUMBER(SEARCH("processco2",[1]OUT_CO2_emissions!$D$3:$D$1000))*1,("var_fout"=[1]OUT_CO2_emissions!$C$3:$C$1000)*1,("CO2"=[1]OUT_CO2_emissions!$B$3:$B$1000)*1,[1]OUT_CO2_emissions!F$3:F$1000)/1000</f>
        <v>2.1110131698740804</v>
      </c>
      <c r="H1693" s="1" cm="1">
        <f t="array" ref="H1693">SUMPRODUCT(ISNUMBER(SEARCH("processco2",[1]OUT_CO2_emissions!$D$3:$D$1000))*1,("var_fout"=[1]OUT_CO2_emissions!$C$3:$C$1000)*1,("CO2"=[1]OUT_CO2_emissions!$B$3:$B$1000)*1,[1]OUT_CO2_emissions!G$3:G$1000)/1000</f>
        <v>2.1022694710612599</v>
      </c>
      <c r="I1693" s="1" cm="1">
        <f t="array" ref="I1693">SUMPRODUCT(ISNUMBER(SEARCH("processco2",[1]OUT_CO2_emissions!$D$3:$D$1000))*1,("var_fout"=[1]OUT_CO2_emissions!$C$3:$C$1000)*1,("CO2"=[1]OUT_CO2_emissions!$B$3:$B$1000)*1,[1]OUT_CO2_emissions!H$3:H$1000)/1000</f>
        <v>2.09365708644353</v>
      </c>
      <c r="J1693" s="1" cm="1">
        <f t="array" ref="J1693">SUMPRODUCT(ISNUMBER(SEARCH("processco2",[1]OUT_CO2_emissions!$D$3:$D$1000))*1,("var_fout"=[1]OUT_CO2_emissions!$C$3:$C$1000)*1,("CO2"=[1]OUT_CO2_emissions!$B$3:$B$1000)*1,[1]OUT_CO2_emissions!I$3:I$1000)/1000</f>
        <v>2.08553497881767</v>
      </c>
      <c r="K1693" s="1" cm="1">
        <f t="array" ref="K1693">SUMPRODUCT(ISNUMBER(SEARCH("processco2",[1]OUT_CO2_emissions!$D$3:$D$1000))*1,("var_fout"=[1]OUT_CO2_emissions!$C$3:$C$1000)*1,("CO2"=[1]OUT_CO2_emissions!$B$3:$B$1000)*1,[1]OUT_CO2_emissions!J$3:J$1000)/1000</f>
        <v>2.0771026036012445</v>
      </c>
      <c r="L1693" s="1" cm="1">
        <f t="array" ref="L1693">SUMPRODUCT(ISNUMBER(SEARCH("processco2",[1]OUT_CO2_emissions!$D$3:$D$1000))*1,("var_fout"=[1]OUT_CO2_emissions!$C$3:$C$1000)*1,("CO2"=[1]OUT_CO2_emissions!$B$3:$B$1000)*1,[1]OUT_CO2_emissions!K$3:K$1000)/1000</f>
        <v>2.0695596782799166</v>
      </c>
      <c r="M1693" s="1" cm="1">
        <f t="array" ref="M1693">SUMPRODUCT(ISNUMBER(SEARCH("processco2",[1]OUT_CO2_emissions!$D$3:$D$1000))*1,("var_fout"=[1]OUT_CO2_emissions!$C$3:$C$1000)*1,("CO2"=[1]OUT_CO2_emissions!$B$3:$B$1000)*1,[1]OUT_CO2_emissions!L$3:L$1000)/1000</f>
        <v>1.0318760953519999</v>
      </c>
      <c r="N1693" s="1" cm="1">
        <f t="array" ref="N1693">SUMPRODUCT(ISNUMBER(SEARCH("processco2",[1]OUT_CO2_emissions!$D$3:$D$1000))*1,("var_fout"=[1]OUT_CO2_emissions!$C$3:$C$1000)*1,("CO2"=[1]OUT_CO2_emissions!$B$3:$B$1000)*1,[1]OUT_CO2_emissions!M$3:M$1000)/1000</f>
        <v>1.03187450015866</v>
      </c>
      <c r="O1693" s="1" cm="1">
        <f t="array" ref="O1693">SUMPRODUCT(ISNUMBER(SEARCH("processco2",[1]OUT_CO2_emissions!$D$3:$D$1000))*1,("var_fout"=[1]OUT_CO2_emissions!$C$3:$C$1000)*1,("CO2"=[1]OUT_CO2_emissions!$B$3:$B$1000)*1,[1]OUT_CO2_emissions!N$3:N$1000)/1000</f>
        <v>1.0318733431780402</v>
      </c>
      <c r="P1693" s="1" cm="1">
        <f t="array" ref="P1693">SUMPRODUCT(ISNUMBER(SEARCH("processco2",[1]OUT_CO2_emissions!$D$3:$D$1000))*1,("var_fout"=[1]OUT_CO2_emissions!$C$3:$C$1000)*1,("CO2"=[1]OUT_CO2_emissions!$B$3:$B$1000)*1,[1]OUT_CO2_emissions!O$3:O$1000)/1000</f>
        <v>1.0318735634126901</v>
      </c>
      <c r="Q1693" s="1" cm="1">
        <f t="array" ref="Q1693">SUMPRODUCT(ISNUMBER(SEARCH("processco2",[1]OUT_CO2_emissions!$D$3:$D$1000))*1,("var_fout"=[1]OUT_CO2_emissions!$C$3:$C$1000)*1,("CO2"=[1]OUT_CO2_emissions!$B$3:$B$1000)*1,[1]OUT_CO2_emissions!P$3:P$1000)/1000</f>
        <v>1.0318732278639497</v>
      </c>
      <c r="S1693" s="3"/>
    </row>
    <row r="1694" spans="2:19" x14ac:dyDescent="0.5">
      <c r="B1694" t="str">
        <f t="shared" si="1898"/>
        <v>SPS1</v>
      </c>
      <c r="C1694" t="str">
        <f t="shared" si="1899"/>
        <v>CH</v>
      </c>
      <c r="D1694" t="s">
        <v>1705</v>
      </c>
      <c r="E1694" t="str">
        <f t="shared" si="1900"/>
        <v>Mt/yr.</v>
      </c>
      <c r="F1694" s="1">
        <f>[1]Summary!B56</f>
        <v>3.7928009939286098</v>
      </c>
      <c r="G1694" s="1">
        <f>[1]Summary!C56</f>
        <v>3.3581381988380601</v>
      </c>
      <c r="H1694" s="1">
        <f>[1]Summary!D56</f>
        <v>2.7981761540996399</v>
      </c>
      <c r="I1694" s="1">
        <f>[1]Summary!E56</f>
        <v>2.5767619909864297</v>
      </c>
      <c r="J1694" s="1">
        <f>[1]Summary!F56</f>
        <v>2.0488274103147024</v>
      </c>
      <c r="K1694" s="1">
        <f>[1]Summary!G56</f>
        <v>1.5029897954259082</v>
      </c>
      <c r="L1694" s="1">
        <f>[1]Summary!H56</f>
        <v>0.56166773051171104</v>
      </c>
      <c r="M1694" s="1">
        <f>[1]Summary!I56</f>
        <v>0.18014479614773043</v>
      </c>
      <c r="N1694" s="1">
        <f>[1]Summary!J56</f>
        <v>0.19736217299084416</v>
      </c>
      <c r="O1694" s="1">
        <f>[1]Summary!K56</f>
        <v>0.19482450676440918</v>
      </c>
      <c r="P1694" s="1">
        <f>[1]Summary!L56</f>
        <v>0.19195334375155512</v>
      </c>
      <c r="Q1694" s="1">
        <f>[1]Summary!M56</f>
        <v>0.1958367061778058</v>
      </c>
      <c r="S1694" s="3"/>
    </row>
    <row r="1695" spans="2:19" x14ac:dyDescent="0.5">
      <c r="B1695" t="str">
        <f t="shared" si="1898"/>
        <v>SPS1</v>
      </c>
      <c r="C1695" t="str">
        <f t="shared" si="1899"/>
        <v>CH</v>
      </c>
      <c r="D1695" t="s">
        <v>1706</v>
      </c>
      <c r="E1695" t="str">
        <f t="shared" si="1900"/>
        <v>Mt/yr.</v>
      </c>
      <c r="F1695" s="1">
        <f>[1]Summary!B57</f>
        <v>7.1809564870063891</v>
      </c>
      <c r="G1695" s="1">
        <f>[1]Summary!C57</f>
        <v>6.5872411352306361</v>
      </c>
      <c r="H1695" s="1">
        <f>[1]Summary!D57</f>
        <v>6.598532426872036</v>
      </c>
      <c r="I1695" s="1">
        <f>[1]Summary!E57</f>
        <v>5.9670002658018895</v>
      </c>
      <c r="J1695" s="1">
        <f>[1]Summary!F57</f>
        <v>3.6618845220502108</v>
      </c>
      <c r="K1695" s="1">
        <f>[1]Summary!G57</f>
        <v>1.705842848981501</v>
      </c>
      <c r="L1695" s="1">
        <f>[1]Summary!H57</f>
        <v>1.1377964213856471</v>
      </c>
      <c r="M1695" s="1">
        <f>[1]Summary!I57</f>
        <v>0.54778760236271795</v>
      </c>
      <c r="N1695" s="1">
        <f>[1]Summary!J57</f>
        <v>0.44411083452521244</v>
      </c>
      <c r="O1695" s="1">
        <f>[1]Summary!K57</f>
        <v>0.43425626021813396</v>
      </c>
      <c r="P1695" s="1">
        <f>[1]Summary!L57</f>
        <v>0.44456860871611831</v>
      </c>
      <c r="Q1695" s="1">
        <f>[1]Summary!M57</f>
        <v>0.41726000644323208</v>
      </c>
      <c r="S1695" s="3"/>
    </row>
    <row r="1696" spans="2:19" x14ac:dyDescent="0.5">
      <c r="B1696" t="str">
        <f t="shared" si="1898"/>
        <v>SPS1</v>
      </c>
      <c r="C1696" t="str">
        <f t="shared" si="1899"/>
        <v>CH</v>
      </c>
      <c r="D1696" t="s">
        <v>1707</v>
      </c>
      <c r="E1696" t="str">
        <f t="shared" si="1900"/>
        <v>Mt/yr.</v>
      </c>
      <c r="F1696" s="1">
        <f>[1]Summary!B58</f>
        <v>14.569474529355846</v>
      </c>
      <c r="G1696" s="1">
        <f>[1]Summary!C58</f>
        <v>13.887086121306487</v>
      </c>
      <c r="H1696" s="1">
        <f>[1]Summary!D58</f>
        <v>10.115170223541611</v>
      </c>
      <c r="I1696" s="1">
        <f>[1]Summary!E58</f>
        <v>7.4441111422373378</v>
      </c>
      <c r="J1696" s="1">
        <f>[1]Summary!F58</f>
        <v>4.2501236772280313</v>
      </c>
      <c r="K1696" s="1">
        <f>[1]Summary!G58</f>
        <v>2.3424612672313052</v>
      </c>
      <c r="L1696" s="1">
        <f>[1]Summary!H58</f>
        <v>0.97763159841552505</v>
      </c>
      <c r="M1696" s="1">
        <f>[1]Summary!I58</f>
        <v>2.6395039179868011E-2</v>
      </c>
      <c r="N1696" s="1">
        <f>[1]Summary!J58</f>
        <v>3.8856740928069407E-2</v>
      </c>
      <c r="O1696" s="1">
        <f>[1]Summary!K58</f>
        <v>1.4595273918605541E-2</v>
      </c>
      <c r="P1696" s="1">
        <f>[1]Summary!L58</f>
        <v>2.1146582295814065E-2</v>
      </c>
      <c r="Q1696" s="1">
        <f>[1]Summary!M58</f>
        <v>1.7511034147784883E-2</v>
      </c>
      <c r="S1696" s="3"/>
    </row>
    <row r="1697" spans="2:19" x14ac:dyDescent="0.5">
      <c r="B1697" t="str">
        <f t="shared" si="1898"/>
        <v>SPS1</v>
      </c>
      <c r="C1697" t="str">
        <f t="shared" si="1899"/>
        <v>CH</v>
      </c>
      <c r="D1697" t="s">
        <v>1708</v>
      </c>
      <c r="E1697" t="str">
        <f t="shared" si="1900"/>
        <v>Mt/yr.</v>
      </c>
      <c r="F1697" s="1">
        <f>-[1]Summary!B59</f>
        <v>0</v>
      </c>
      <c r="G1697" s="1">
        <f>-[1]Summary!C59</f>
        <v>0</v>
      </c>
      <c r="H1697" s="1">
        <f>-[1]Summary!D59</f>
        <v>0</v>
      </c>
      <c r="I1697" s="1">
        <f>-[1]Summary!E59</f>
        <v>0</v>
      </c>
      <c r="J1697" s="1">
        <f>-[1]Summary!F59</f>
        <v>0</v>
      </c>
      <c r="K1697" s="1">
        <f>-[1]Summary!G59</f>
        <v>0.6679556544274402</v>
      </c>
      <c r="L1697" s="1">
        <f>-[1]Summary!H59</f>
        <v>2.264963909412602</v>
      </c>
      <c r="M1697" s="1">
        <f>-[1]Summary!I59</f>
        <v>2.4706642242835626</v>
      </c>
      <c r="N1697" s="1">
        <f>-[1]Summary!J59</f>
        <v>2.6205356158354634</v>
      </c>
      <c r="O1697" s="1">
        <f>-[1]Summary!K59</f>
        <v>2.6852462757383528</v>
      </c>
      <c r="P1697" s="1">
        <f>-[1]Summary!L59</f>
        <v>2.6849942294921818</v>
      </c>
      <c r="Q1697" s="1">
        <f>-[1]Summary!M59</f>
        <v>2.694577671799586</v>
      </c>
      <c r="S1697" s="3"/>
    </row>
    <row r="1698" spans="2:19" x14ac:dyDescent="0.5">
      <c r="B1698" t="str">
        <f t="shared" si="1898"/>
        <v>SPS1</v>
      </c>
      <c r="C1698" t="str">
        <f t="shared" si="1899"/>
        <v>CH</v>
      </c>
      <c r="D1698" t="s">
        <v>1709</v>
      </c>
      <c r="E1698" t="str">
        <f t="shared" si="1900"/>
        <v>Mt/yr.</v>
      </c>
      <c r="F1698" s="1">
        <f>-[1]Summary!B60</f>
        <v>0</v>
      </c>
      <c r="G1698" s="1">
        <f>-[1]Summary!C60</f>
        <v>0</v>
      </c>
      <c r="H1698" s="1">
        <f>-[1]Summary!D60</f>
        <v>0</v>
      </c>
      <c r="I1698" s="1">
        <f>-[1]Summary!E60</f>
        <v>0</v>
      </c>
      <c r="J1698" s="1">
        <f>-[1]Summary!F60</f>
        <v>0</v>
      </c>
      <c r="K1698" s="1">
        <f>-[1]Summary!G60</f>
        <v>0.54871708199962477</v>
      </c>
      <c r="L1698" s="1">
        <f>-[1]Summary!H60</f>
        <v>1.4587709054996656</v>
      </c>
      <c r="M1698" s="1">
        <f>-[1]Summary!I60</f>
        <v>3.1055893099625109</v>
      </c>
      <c r="N1698" s="1">
        <f>-[1]Summary!J60</f>
        <v>3.0406414085973452</v>
      </c>
      <c r="O1698" s="1">
        <f>-[1]Summary!K60</f>
        <v>3.0394716016786529</v>
      </c>
      <c r="P1698" s="1">
        <f>-[1]Summary!L60</f>
        <v>3.0414004734493694</v>
      </c>
      <c r="Q1698" s="1">
        <f>-[1]Summary!M60</f>
        <v>3.0416884114618989</v>
      </c>
      <c r="S1698" s="3"/>
    </row>
    <row r="1699" spans="2:19" x14ac:dyDescent="0.5">
      <c r="B1699" t="str">
        <f t="shared" si="1898"/>
        <v>SPS1</v>
      </c>
      <c r="C1699" t="str">
        <f t="shared" si="1899"/>
        <v>CH</v>
      </c>
      <c r="D1699" t="s">
        <v>1710</v>
      </c>
      <c r="E1699" t="str">
        <f t="shared" si="1900"/>
        <v>Mt/yr.</v>
      </c>
      <c r="F1699" s="1">
        <f>-[1]Summary!B61</f>
        <v>0</v>
      </c>
      <c r="G1699" s="1">
        <f>-[1]Summary!C61</f>
        <v>0</v>
      </c>
      <c r="H1699" s="1">
        <f>-[1]Summary!D61</f>
        <v>0</v>
      </c>
      <c r="I1699" s="1">
        <f>-[1]Summary!E61</f>
        <v>0</v>
      </c>
      <c r="J1699" s="1">
        <f>-[1]Summary!F61</f>
        <v>0</v>
      </c>
      <c r="K1699" s="1">
        <f>-[1]Summary!G61</f>
        <v>0</v>
      </c>
      <c r="L1699" s="1">
        <f>-[1]Summary!H61</f>
        <v>0</v>
      </c>
      <c r="M1699" s="1">
        <f>-[1]Summary!I61</f>
        <v>0.3443095129188028</v>
      </c>
      <c r="N1699" s="1">
        <f>-[1]Summary!J61</f>
        <v>0.97719070329662783</v>
      </c>
      <c r="O1699" s="1">
        <f>-[1]Summary!K61</f>
        <v>0.9714376518599197</v>
      </c>
      <c r="P1699" s="1">
        <f>-[1]Summary!L61</f>
        <v>1.5399414442171531</v>
      </c>
      <c r="Q1699" s="1">
        <f>-[1]Summary!M61</f>
        <v>1.6743259285857481</v>
      </c>
      <c r="S1699" s="3"/>
    </row>
    <row r="1700" spans="2:19" x14ac:dyDescent="0.5">
      <c r="B1700" t="str">
        <f t="shared" si="1898"/>
        <v>SPS1</v>
      </c>
      <c r="C1700" t="str">
        <f t="shared" si="1899"/>
        <v>CH</v>
      </c>
      <c r="D1700" t="s">
        <v>1711</v>
      </c>
      <c r="E1700" t="str">
        <f t="shared" si="1900"/>
        <v>Mt/yr.</v>
      </c>
      <c r="F1700" s="1">
        <f>-[1]Summary!B62</f>
        <v>0</v>
      </c>
      <c r="G1700" s="1">
        <f>-[1]Summary!C62</f>
        <v>0</v>
      </c>
      <c r="H1700" s="1">
        <f>-[1]Summary!D62</f>
        <v>0</v>
      </c>
      <c r="I1700" s="1">
        <f>-[1]Summary!E62</f>
        <v>0</v>
      </c>
      <c r="J1700" s="1">
        <f>-[1]Summary!F62</f>
        <v>0</v>
      </c>
      <c r="K1700" s="1">
        <f>-[1]Summary!G62</f>
        <v>2.6061533816881279E-4</v>
      </c>
      <c r="L1700" s="1">
        <f>-[1]Summary!H62</f>
        <v>3.4403757861975248E-4</v>
      </c>
      <c r="M1700" s="1">
        <f>-[1]Summary!I62</f>
        <v>0.54275239897822292</v>
      </c>
      <c r="N1700" s="1">
        <f>-[1]Summary!J62</f>
        <v>0.7179733788617525</v>
      </c>
      <c r="O1700" s="1">
        <f>-[1]Summary!K62</f>
        <v>0.60545225343617304</v>
      </c>
      <c r="P1700" s="1">
        <f>-[1]Summary!L62</f>
        <v>0.71080580907416602</v>
      </c>
      <c r="Q1700" s="1">
        <f>-[1]Summary!M62</f>
        <v>0.71027074546215752</v>
      </c>
      <c r="S1700" s="3"/>
    </row>
    <row r="1701" spans="2:19" x14ac:dyDescent="0.5">
      <c r="B1701" t="str">
        <f t="shared" si="1898"/>
        <v>SPS1</v>
      </c>
      <c r="C1701" t="str">
        <f t="shared" si="1899"/>
        <v>CH</v>
      </c>
      <c r="D1701" t="s">
        <v>1712</v>
      </c>
      <c r="E1701" t="str">
        <f t="shared" si="1900"/>
        <v>Mt/yr.</v>
      </c>
      <c r="F1701" s="1">
        <f>-[1]Summary!B63</f>
        <v>0</v>
      </c>
      <c r="G1701" s="1">
        <f>-[1]Summary!C63</f>
        <v>0</v>
      </c>
      <c r="H1701" s="1">
        <f>-[1]Summary!D63</f>
        <v>0</v>
      </c>
      <c r="I1701" s="1">
        <f>-[1]Summary!E63</f>
        <v>0</v>
      </c>
      <c r="J1701" s="1">
        <f>-[1]Summary!F63</f>
        <v>0</v>
      </c>
      <c r="K1701" s="1">
        <f>-[1]Summary!G63</f>
        <v>2.0724292333417408E-5</v>
      </c>
      <c r="L1701" s="1">
        <f>-[1]Summary!H63</f>
        <v>2.6468371680148018E-5</v>
      </c>
      <c r="M1701" s="1">
        <f>-[1]Summary!I63</f>
        <v>2.1814536971280132E-2</v>
      </c>
      <c r="N1701" s="1">
        <f>-[1]Summary!J63</f>
        <v>0.21936350943276328</v>
      </c>
      <c r="O1701" s="1">
        <f>-[1]Summary!K63</f>
        <v>1.579337394240256</v>
      </c>
      <c r="P1701" s="1">
        <f>-[1]Summary!L63</f>
        <v>1.7491991416003929</v>
      </c>
      <c r="Q1701" s="1">
        <f>-[1]Summary!M63</f>
        <v>2.4137728765842659</v>
      </c>
      <c r="S1701" s="3"/>
    </row>
    <row r="1702" spans="2:19" x14ac:dyDescent="0.5">
      <c r="B1702" s="2" t="str">
        <f>B1701</f>
        <v>SPS1</v>
      </c>
      <c r="C1702" s="2" t="str">
        <f>C1701</f>
        <v>CH</v>
      </c>
      <c r="D1702" s="2" t="s">
        <v>1715</v>
      </c>
      <c r="E1702" s="2" t="s">
        <v>442</v>
      </c>
      <c r="F1702" s="3">
        <f>SUM(F1703:F1705)</f>
        <v>0</v>
      </c>
      <c r="G1702" s="3">
        <f t="shared" ref="G1702:K1702" si="1903">SUM(G1703:G1705)</f>
        <v>0</v>
      </c>
      <c r="H1702" s="3">
        <f t="shared" si="1903"/>
        <v>0</v>
      </c>
      <c r="I1702" s="3">
        <f t="shared" si="1903"/>
        <v>0</v>
      </c>
      <c r="J1702" s="3">
        <f t="shared" si="1903"/>
        <v>1.216189581123684</v>
      </c>
      <c r="K1702" s="3">
        <f t="shared" si="1903"/>
        <v>1.216189581123684</v>
      </c>
      <c r="L1702" s="3">
        <f t="shared" ref="L1702:O1702" si="1904">SUM(L1703:L1705)</f>
        <v>3.7236011334200976</v>
      </c>
      <c r="M1702" s="3">
        <f t="shared" si="1904"/>
        <v>0</v>
      </c>
      <c r="N1702" s="3">
        <f t="shared" si="1904"/>
        <v>0</v>
      </c>
      <c r="O1702" s="3">
        <f t="shared" si="1904"/>
        <v>0</v>
      </c>
      <c r="P1702" s="3">
        <f>SUM(P1703:P1705)</f>
        <v>0</v>
      </c>
      <c r="Q1702" s="3">
        <f>SUM(Q1703:Q1705)</f>
        <v>0</v>
      </c>
      <c r="S1702" s="3"/>
    </row>
    <row r="1703" spans="2:19" x14ac:dyDescent="0.5">
      <c r="B1703" t="str">
        <f>B1702</f>
        <v>SPS1</v>
      </c>
      <c r="C1703" t="str">
        <f>C1702</f>
        <v>CH</v>
      </c>
      <c r="D1703" t="s">
        <v>1716</v>
      </c>
      <c r="E1703" t="str">
        <f>E1702</f>
        <v>Mt/yr.</v>
      </c>
      <c r="F1703" s="1">
        <v>0</v>
      </c>
      <c r="G1703" s="1">
        <v>0</v>
      </c>
      <c r="H1703" s="1">
        <v>0</v>
      </c>
      <c r="I1703" s="1">
        <v>0</v>
      </c>
      <c r="J1703" s="1">
        <f>[1]Summary!B$77</f>
        <v>0.83333088058087912</v>
      </c>
      <c r="K1703" s="1">
        <f>[1]Summary!B$77</f>
        <v>0.83333088058087912</v>
      </c>
      <c r="L1703" s="1">
        <f>[1]Summary!C$77</f>
        <v>1.1596293287957526</v>
      </c>
      <c r="M1703" s="1">
        <f>[1]Summary!D$77</f>
        <v>0</v>
      </c>
      <c r="N1703" s="1">
        <f>[1]Summary!E$77</f>
        <v>0</v>
      </c>
      <c r="O1703" s="1">
        <f>[1]Summary!F$77</f>
        <v>0</v>
      </c>
      <c r="P1703" s="1">
        <f>[1]Summary!G$77</f>
        <v>0</v>
      </c>
      <c r="Q1703" s="1">
        <f>[1]Summary!H$77</f>
        <v>0</v>
      </c>
      <c r="S1703" s="3"/>
    </row>
    <row r="1704" spans="2:19" x14ac:dyDescent="0.5">
      <c r="B1704" t="str">
        <f t="shared" ref="B1704:B1705" si="1905">B1703</f>
        <v>SPS1</v>
      </c>
      <c r="C1704" t="str">
        <f t="shared" ref="C1704:C1705" si="1906">C1703</f>
        <v>CH</v>
      </c>
      <c r="D1704" t="s">
        <v>1717</v>
      </c>
      <c r="E1704" t="str">
        <f>E1703</f>
        <v>Mt/yr.</v>
      </c>
      <c r="F1704" s="1">
        <v>0</v>
      </c>
      <c r="G1704" s="1">
        <v>0</v>
      </c>
      <c r="H1704" s="1">
        <v>0</v>
      </c>
      <c r="I1704" s="1">
        <v>0</v>
      </c>
      <c r="J1704" s="1">
        <f>[1]Summary!B$78</f>
        <v>0.38285870054280491</v>
      </c>
      <c r="K1704" s="1">
        <f>[1]Summary!B$78</f>
        <v>0.38285870054280491</v>
      </c>
      <c r="L1704" s="1">
        <f>[1]Summary!C$78</f>
        <v>0.48155509156050053</v>
      </c>
      <c r="M1704" s="1">
        <f>[1]Summary!D$78</f>
        <v>0</v>
      </c>
      <c r="N1704" s="1">
        <f>[1]Summary!E$78</f>
        <v>0</v>
      </c>
      <c r="O1704" s="1">
        <f>[1]Summary!F$78</f>
        <v>0</v>
      </c>
      <c r="P1704" s="1">
        <f>[1]Summary!G$78</f>
        <v>0</v>
      </c>
      <c r="Q1704" s="1">
        <f>[1]Summary!H$78</f>
        <v>0</v>
      </c>
      <c r="S1704" s="3"/>
    </row>
    <row r="1705" spans="2:19" x14ac:dyDescent="0.5">
      <c r="B1705" t="str">
        <f t="shared" si="1905"/>
        <v>SPS1</v>
      </c>
      <c r="C1705" t="str">
        <f t="shared" si="1906"/>
        <v>CH</v>
      </c>
      <c r="D1705" t="s">
        <v>1718</v>
      </c>
      <c r="E1705" t="str">
        <f>E1704</f>
        <v>Mt/yr.</v>
      </c>
      <c r="F1705" s="1">
        <v>0</v>
      </c>
      <c r="G1705" s="1">
        <v>0</v>
      </c>
      <c r="H1705" s="1">
        <v>0</v>
      </c>
      <c r="I1705" s="1">
        <v>0</v>
      </c>
      <c r="J1705" s="1">
        <f>[1]Summary!B$79</f>
        <v>0</v>
      </c>
      <c r="K1705" s="1">
        <f>[1]Summary!B$79</f>
        <v>0</v>
      </c>
      <c r="L1705" s="1">
        <f>[1]Summary!C$79</f>
        <v>2.0824167130638442</v>
      </c>
      <c r="M1705" s="1">
        <f>[1]Summary!D$79</f>
        <v>0</v>
      </c>
      <c r="N1705" s="1">
        <f>[1]Summary!E$79</f>
        <v>0</v>
      </c>
      <c r="O1705" s="1">
        <f>[1]Summary!F$79</f>
        <v>0</v>
      </c>
      <c r="P1705" s="1">
        <f>[1]Summary!G$79</f>
        <v>0</v>
      </c>
      <c r="Q1705" s="1">
        <f>[1]Summary!H$79</f>
        <v>0</v>
      </c>
      <c r="S1705" s="3"/>
    </row>
    <row r="1706" spans="2:19" x14ac:dyDescent="0.5">
      <c r="B1706" s="2" t="str">
        <f t="shared" ref="B1706:C1711" si="1907">B1705</f>
        <v>SPS1</v>
      </c>
      <c r="C1706" s="2" t="str">
        <f t="shared" si="1907"/>
        <v>CH</v>
      </c>
      <c r="D1706" s="2" t="s">
        <v>1720</v>
      </c>
      <c r="E1706" s="19" t="s">
        <v>292</v>
      </c>
      <c r="F1706" s="19" t="s">
        <v>292</v>
      </c>
      <c r="G1706" s="19" t="s">
        <v>292</v>
      </c>
      <c r="H1706" s="19" t="s">
        <v>292</v>
      </c>
      <c r="I1706" s="19" t="s">
        <v>292</v>
      </c>
      <c r="J1706" s="19" t="s">
        <v>292</v>
      </c>
      <c r="K1706" s="19" t="s">
        <v>292</v>
      </c>
      <c r="L1706" s="19" t="s">
        <v>292</v>
      </c>
      <c r="M1706" s="19" t="s">
        <v>292</v>
      </c>
      <c r="N1706" s="19" t="s">
        <v>292</v>
      </c>
      <c r="O1706" s="19" t="s">
        <v>292</v>
      </c>
      <c r="P1706" s="19" t="s">
        <v>292</v>
      </c>
      <c r="Q1706" s="19" t="s">
        <v>292</v>
      </c>
      <c r="S1706" s="3"/>
    </row>
    <row r="1707" spans="2:19" x14ac:dyDescent="0.5">
      <c r="B1707" t="str">
        <f t="shared" si="1907"/>
        <v>SPS1</v>
      </c>
      <c r="C1707" t="str">
        <f t="shared" si="1907"/>
        <v>CH</v>
      </c>
      <c r="D1707" t="s">
        <v>1723</v>
      </c>
      <c r="E1707" t="s">
        <v>8</v>
      </c>
      <c r="F1707" s="1">
        <f>SUM(F1708:F1709)</f>
        <v>0</v>
      </c>
      <c r="G1707" s="1">
        <f t="shared" ref="G1707:K1707" si="1908">SUM(G1708:G1709)</f>
        <v>0</v>
      </c>
      <c r="H1707" s="1">
        <f t="shared" si="1908"/>
        <v>0</v>
      </c>
      <c r="I1707" s="1">
        <f t="shared" si="1908"/>
        <v>0</v>
      </c>
      <c r="J1707" s="1">
        <f t="shared" si="1908"/>
        <v>0</v>
      </c>
      <c r="K1707" s="1">
        <f t="shared" si="1908"/>
        <v>1.6653724226136784E-4</v>
      </c>
      <c r="L1707" s="1">
        <f t="shared" ref="L1707:O1707" si="1909">SUM(L1708:L1709)</f>
        <v>2.0274266481305539E-4</v>
      </c>
      <c r="M1707" s="1">
        <f t="shared" si="1909"/>
        <v>0.15889208068376207</v>
      </c>
      <c r="N1707" s="1">
        <f t="shared" si="1909"/>
        <v>1.5977934569847738</v>
      </c>
      <c r="O1707" s="1">
        <f t="shared" si="1909"/>
        <v>11.503531108768639</v>
      </c>
      <c r="P1707" s="1">
        <f>SUM(P1708:P1709)</f>
        <v>12.740765091876568</v>
      </c>
      <c r="Q1707" s="1">
        <f>SUM(Q1708:Q1709)</f>
        <v>17.581367652379598</v>
      </c>
      <c r="S1707" s="3"/>
    </row>
    <row r="1708" spans="2:19" x14ac:dyDescent="0.5">
      <c r="B1708" t="str">
        <f t="shared" si="1907"/>
        <v>SPS1</v>
      </c>
      <c r="C1708" t="str">
        <f t="shared" si="1907"/>
        <v>CH</v>
      </c>
      <c r="D1708" t="s">
        <v>1724</v>
      </c>
      <c r="E1708" t="s">
        <v>8</v>
      </c>
      <c r="F1708" s="1" cm="1">
        <f t="array" ref="F1708">SUMPRODUCT(("SUP_DAC"=[1]OUT_SyntheticFuels!$C$1:$C$1000)*1,("Var_Fin"=[1]OUT_SyntheticFuels!$B$1:$B$1000)*1,ISNUMBER(SEARCH("ELC",[1]OUT_SyntheticFuels!$A$1:$A$1000))*1,[1]OUT_SyntheticFuels!E$1:E$1000)</f>
        <v>0</v>
      </c>
      <c r="G1708" s="1" cm="1">
        <f t="array" ref="G1708">SUMPRODUCT(("SUP_DAC"=[1]OUT_SyntheticFuels!$C$1:$C$1000)*1,("Var_Fin"=[1]OUT_SyntheticFuels!$B$1:$B$1000)*1,ISNUMBER(SEARCH("ELC",[1]OUT_SyntheticFuels!$A$1:$A$1000))*1,[1]OUT_SyntheticFuels!F$1:F$1000)</f>
        <v>0</v>
      </c>
      <c r="H1708" s="1" cm="1">
        <f t="array" ref="H1708">SUMPRODUCT(("SUP_DAC"=[1]OUT_SyntheticFuels!$C$1:$C$1000)*1,("Var_Fin"=[1]OUT_SyntheticFuels!$B$1:$B$1000)*1,ISNUMBER(SEARCH("ELC",[1]OUT_SyntheticFuels!$A$1:$A$1000))*1,[1]OUT_SyntheticFuels!G$1:G$1000)</f>
        <v>0</v>
      </c>
      <c r="I1708" s="1" cm="1">
        <f t="array" ref="I1708">SUMPRODUCT(("SUP_DAC"=[1]OUT_SyntheticFuels!$C$1:$C$1000)*1,("Var_Fin"=[1]OUT_SyntheticFuels!$B$1:$B$1000)*1,ISNUMBER(SEARCH("ELC",[1]OUT_SyntheticFuels!$A$1:$A$1000))*1,[1]OUT_SyntheticFuels!H$1:H$1000)</f>
        <v>0</v>
      </c>
      <c r="J1708" s="1" cm="1">
        <f t="array" ref="J1708">SUMPRODUCT(("SUP_DAC"=[1]OUT_SyntheticFuels!$C$1:$C$1000)*1,("Var_Fin"=[1]OUT_SyntheticFuels!$B$1:$B$1000)*1,ISNUMBER(SEARCH("ELC",[1]OUT_SyntheticFuels!$A$1:$A$1000))*1,[1]OUT_SyntheticFuels!I$1:I$1000)</f>
        <v>0</v>
      </c>
      <c r="K1708" s="1" cm="1">
        <f t="array" ref="K1708">SUMPRODUCT(("SUP_DAC"=[1]OUT_SyntheticFuels!$C$1:$C$1000)*1,("Var_Fin"=[1]OUT_SyntheticFuels!$B$1:$B$1000)*1,ISNUMBER(SEARCH("ELC",[1]OUT_SyntheticFuels!$A$1:$A$1000))*1,[1]OUT_SyntheticFuels!J$1:J$1000)</f>
        <v>2.8737685369005495E-5</v>
      </c>
      <c r="L1708" s="1" cm="1">
        <f t="array" ref="L1708">SUMPRODUCT(("SUP_DAC"=[1]OUT_SyntheticFuels!$C$1:$C$1000)*1,("Var_Fin"=[1]OUT_SyntheticFuels!$B$1:$B$1000)*1,ISNUMBER(SEARCH("ELC",[1]OUT_SyntheticFuels!$A$1:$A$1000))*1,[1]OUT_SyntheticFuels!K$1:K$1000)</f>
        <v>3.039451347937E-5</v>
      </c>
      <c r="M1708" s="1" cm="1">
        <f t="array" ref="M1708">SUMPRODUCT(("SUP_DAC"=[1]OUT_SyntheticFuels!$C$1:$C$1000)*1,("Var_Fin"=[1]OUT_SyntheticFuels!$B$1:$B$1000)*1,ISNUMBER(SEARCH("ELC",[1]OUT_SyntheticFuels!$A$1:$A$1000))*1,[1]OUT_SyntheticFuels!L$1:L$1000)</f>
        <v>1.9851228643864922E-2</v>
      </c>
      <c r="N1708" s="1" cm="1">
        <f t="array" ref="N1708">SUMPRODUCT(("SUP_DAC"=[1]OUT_SyntheticFuels!$C$1:$C$1000)*1,("Var_Fin"=[1]OUT_SyntheticFuels!$B$1:$B$1000)*1,ISNUMBER(SEARCH("ELC",[1]OUT_SyntheticFuels!$A$1:$A$1000))*1,[1]OUT_SyntheticFuels!M$1:M$1000)</f>
        <v>0.19962079358381482</v>
      </c>
      <c r="O1708" s="1" cm="1">
        <f t="array" ref="O1708">SUMPRODUCT(("SUP_DAC"=[1]OUT_SyntheticFuels!$C$1:$C$1000)*1,("Var_Fin"=[1]OUT_SyntheticFuels!$B$1:$B$1000)*1,ISNUMBER(SEARCH("ELC",[1]OUT_SyntheticFuels!$A$1:$A$1000))*1,[1]OUT_SyntheticFuels!N$1:N$1000)</f>
        <v>1.4371970287586306</v>
      </c>
      <c r="P1708" s="1" cm="1">
        <f t="array" ref="P1708">SUMPRODUCT(("SUP_DAC"=[1]OUT_SyntheticFuels!$C$1:$C$1000)*1,("Var_Fin"=[1]OUT_SyntheticFuels!$B$1:$B$1000)*1,ISNUMBER(SEARCH("ELC",[1]OUT_SyntheticFuels!$A$1:$A$1000))*1,[1]OUT_SyntheticFuels!O$1:O$1000)</f>
        <v>1.5917712188563575</v>
      </c>
      <c r="Q1708" s="1" cm="1">
        <f t="array" ref="Q1708">SUMPRODUCT(("SUP_DAC"=[1]OUT_SyntheticFuels!$C$1:$C$1000)*1,("Var_Fin"=[1]OUT_SyntheticFuels!$B$1:$B$1000)*1,ISNUMBER(SEARCH("ELC",[1]OUT_SyntheticFuels!$A$1:$A$1000))*1,[1]OUT_SyntheticFuels!P$1:P$1000)</f>
        <v>2.1965333176916833</v>
      </c>
      <c r="S1708" s="3"/>
    </row>
    <row r="1709" spans="2:19" x14ac:dyDescent="0.5">
      <c r="B1709" t="str">
        <f t="shared" si="1907"/>
        <v>SPS1</v>
      </c>
      <c r="C1709" t="str">
        <f t="shared" si="1907"/>
        <v>CH</v>
      </c>
      <c r="D1709" t="s">
        <v>1725</v>
      </c>
      <c r="E1709" t="s">
        <v>8</v>
      </c>
      <c r="F1709" s="1" cm="1">
        <f t="array" ref="F1709">SUMPRODUCT(("SUP_DAC"=[1]OUT_SyntheticFuels!$C$1:$C$1000)*1,("Var_Fin"=[1]OUT_SyntheticFuels!$B$1:$B$1000)*1,ISNUMBER(SEARCH("HEAT",[1]OUT_SyntheticFuels!$A$1:$A$1000))*1,[1]OUT_SyntheticFuels!E$1:E$1000)</f>
        <v>0</v>
      </c>
      <c r="G1709" s="1" cm="1">
        <f t="array" ref="G1709">SUMPRODUCT(("SUP_DAC"=[1]OUT_SyntheticFuels!$C$1:$C$1000)*1,("Var_Fin"=[1]OUT_SyntheticFuels!$B$1:$B$1000)*1,ISNUMBER(SEARCH("HEAT",[1]OUT_SyntheticFuels!$A$1:$A$1000))*1,[1]OUT_SyntheticFuels!F$1:F$1000)</f>
        <v>0</v>
      </c>
      <c r="H1709" s="1" cm="1">
        <f t="array" ref="H1709">SUMPRODUCT(("SUP_DAC"=[1]OUT_SyntheticFuels!$C$1:$C$1000)*1,("Var_Fin"=[1]OUT_SyntheticFuels!$B$1:$B$1000)*1,ISNUMBER(SEARCH("HEAT",[1]OUT_SyntheticFuels!$A$1:$A$1000))*1,[1]OUT_SyntheticFuels!G$1:G$1000)</f>
        <v>0</v>
      </c>
      <c r="I1709" s="1" cm="1">
        <f t="array" ref="I1709">SUMPRODUCT(("SUP_DAC"=[1]OUT_SyntheticFuels!$C$1:$C$1000)*1,("Var_Fin"=[1]OUT_SyntheticFuels!$B$1:$B$1000)*1,ISNUMBER(SEARCH("HEAT",[1]OUT_SyntheticFuels!$A$1:$A$1000))*1,[1]OUT_SyntheticFuels!H$1:H$1000)</f>
        <v>0</v>
      </c>
      <c r="J1709" s="1" cm="1">
        <f t="array" ref="J1709">SUMPRODUCT(("SUP_DAC"=[1]OUT_SyntheticFuels!$C$1:$C$1000)*1,("Var_Fin"=[1]OUT_SyntheticFuels!$B$1:$B$1000)*1,ISNUMBER(SEARCH("HEAT",[1]OUT_SyntheticFuels!$A$1:$A$1000))*1,[1]OUT_SyntheticFuels!I$1:I$1000)</f>
        <v>0</v>
      </c>
      <c r="K1709" s="1" cm="1">
        <f t="array" ref="K1709">SUMPRODUCT(("SUP_DAC"=[1]OUT_SyntheticFuels!$C$1:$C$1000)*1,("Var_Fin"=[1]OUT_SyntheticFuels!$B$1:$B$1000)*1,ISNUMBER(SEARCH("HEAT",[1]OUT_SyntheticFuels!$A$1:$A$1000))*1,[1]OUT_SyntheticFuels!J$1:J$1000)</f>
        <v>1.3779955689236233E-4</v>
      </c>
      <c r="L1709" s="1" cm="1">
        <f t="array" ref="L1709">SUMPRODUCT(("SUP_DAC"=[1]OUT_SyntheticFuels!$C$1:$C$1000)*1,("Var_Fin"=[1]OUT_SyntheticFuels!$B$1:$B$1000)*1,ISNUMBER(SEARCH("HEAT",[1]OUT_SyntheticFuels!$A$1:$A$1000))*1,[1]OUT_SyntheticFuels!K$1:K$1000)</f>
        <v>1.7234815133368539E-4</v>
      </c>
      <c r="M1709" s="1" cm="1">
        <f t="array" ref="M1709">SUMPRODUCT(("SUP_DAC"=[1]OUT_SyntheticFuels!$C$1:$C$1000)*1,("Var_Fin"=[1]OUT_SyntheticFuels!$B$1:$B$1000)*1,ISNUMBER(SEARCH("HEAT",[1]OUT_SyntheticFuels!$A$1:$A$1000))*1,[1]OUT_SyntheticFuels!L$1:L$1000)</f>
        <v>0.13904085203989713</v>
      </c>
      <c r="N1709" s="1" cm="1">
        <f t="array" ref="N1709">SUMPRODUCT(("SUP_DAC"=[1]OUT_SyntheticFuels!$C$1:$C$1000)*1,("Var_Fin"=[1]OUT_SyntheticFuels!$B$1:$B$1000)*1,ISNUMBER(SEARCH("HEAT",[1]OUT_SyntheticFuels!$A$1:$A$1000))*1,[1]OUT_SyntheticFuels!M$1:M$1000)</f>
        <v>1.398172663400959</v>
      </c>
      <c r="O1709" s="1" cm="1">
        <f t="array" ref="O1709">SUMPRODUCT(("SUP_DAC"=[1]OUT_SyntheticFuels!$C$1:$C$1000)*1,("Var_Fin"=[1]OUT_SyntheticFuels!$B$1:$B$1000)*1,ISNUMBER(SEARCH("HEAT",[1]OUT_SyntheticFuels!$A$1:$A$1000))*1,[1]OUT_SyntheticFuels!N$1:N$1000)</f>
        <v>10.066334080010009</v>
      </c>
      <c r="P1709" s="1" cm="1">
        <f t="array" ref="P1709">SUMPRODUCT(("SUP_DAC"=[1]OUT_SyntheticFuels!$C$1:$C$1000)*1,("Var_Fin"=[1]OUT_SyntheticFuels!$B$1:$B$1000)*1,ISNUMBER(SEARCH("HEAT",[1]OUT_SyntheticFuels!$A$1:$A$1000))*1,[1]OUT_SyntheticFuels!O$1:O$1000)</f>
        <v>11.14899387302021</v>
      </c>
      <c r="Q1709" s="1" cm="1">
        <f t="array" ref="Q1709">SUMPRODUCT(("SUP_DAC"=[1]OUT_SyntheticFuels!$C$1:$C$1000)*1,("Var_Fin"=[1]OUT_SyntheticFuels!$B$1:$B$1000)*1,ISNUMBER(SEARCH("HEAT",[1]OUT_SyntheticFuels!$A$1:$A$1000))*1,[1]OUT_SyntheticFuels!P$1:P$1000)</f>
        <v>15.384834334687916</v>
      </c>
      <c r="S1709" s="3"/>
    </row>
    <row r="1710" spans="2:19" x14ac:dyDescent="0.5">
      <c r="B1710" t="str">
        <f t="shared" si="1907"/>
        <v>SPS1</v>
      </c>
      <c r="C1710" t="str">
        <f t="shared" si="1907"/>
        <v>CH</v>
      </c>
      <c r="D1710" t="s">
        <v>1726</v>
      </c>
      <c r="E1710" t="s">
        <v>442</v>
      </c>
      <c r="F1710" s="1">
        <f>F1701</f>
        <v>0</v>
      </c>
      <c r="G1710" s="1">
        <f t="shared" ref="G1710:K1710" si="1910">G1701</f>
        <v>0</v>
      </c>
      <c r="H1710" s="1">
        <f t="shared" si="1910"/>
        <v>0</v>
      </c>
      <c r="I1710" s="1">
        <f t="shared" si="1910"/>
        <v>0</v>
      </c>
      <c r="J1710" s="1">
        <f t="shared" si="1910"/>
        <v>0</v>
      </c>
      <c r="K1710" s="1">
        <f t="shared" si="1910"/>
        <v>2.0724292333417408E-5</v>
      </c>
      <c r="L1710" s="1">
        <f t="shared" ref="L1710:O1710" si="1911">L1701</f>
        <v>2.6468371680148018E-5</v>
      </c>
      <c r="M1710" s="1">
        <f t="shared" si="1911"/>
        <v>2.1814536971280132E-2</v>
      </c>
      <c r="N1710" s="1">
        <f t="shared" si="1911"/>
        <v>0.21936350943276328</v>
      </c>
      <c r="O1710" s="1">
        <f t="shared" si="1911"/>
        <v>1.579337394240256</v>
      </c>
      <c r="P1710" s="1">
        <f>P1701</f>
        <v>1.7491991416003929</v>
      </c>
      <c r="Q1710" s="1">
        <f>Q1701</f>
        <v>2.4137728765842659</v>
      </c>
      <c r="S1710" s="3"/>
    </row>
    <row r="1711" spans="2:19" x14ac:dyDescent="0.5">
      <c r="B1711" s="2" t="str">
        <f t="shared" si="1907"/>
        <v>SPS1</v>
      </c>
      <c r="C1711" s="2" t="str">
        <f t="shared" si="1907"/>
        <v>CH</v>
      </c>
      <c r="D1711" s="2" t="s">
        <v>1768</v>
      </c>
      <c r="E1711" s="2" t="s">
        <v>8</v>
      </c>
      <c r="F1711" s="3">
        <f>SUM(F1712:F1713,F1730,F1739:F1740,F1741,F1742,F1747,F1750,,F1755:F1758,F1751)</f>
        <v>963.77526537648578</v>
      </c>
      <c r="G1711" s="3">
        <f t="shared" ref="G1711:K1711" si="1912">SUM(G1712:G1713,G1730,G1739:G1740,G1741,G1742,G1747,G1750,,G1755:G1758,G1751)</f>
        <v>963.1978279731585</v>
      </c>
      <c r="H1711" s="3">
        <f t="shared" si="1912"/>
        <v>883.92346265631852</v>
      </c>
      <c r="I1711" s="3">
        <f t="shared" si="1912"/>
        <v>874.94449235616844</v>
      </c>
      <c r="J1711" s="3">
        <f t="shared" si="1912"/>
        <v>792.07823506111822</v>
      </c>
      <c r="K1711" s="3">
        <f t="shared" si="1912"/>
        <v>746.44557070555175</v>
      </c>
      <c r="L1711" s="3">
        <f t="shared" ref="L1711:O1711" si="1913">SUM(L1712:L1713,L1730,L1739:L1740,L1741,L1742,L1747,L1750,,L1755:L1758,L1751)</f>
        <v>692.38116663068149</v>
      </c>
      <c r="M1711" s="3">
        <f t="shared" si="1913"/>
        <v>716.48816767927838</v>
      </c>
      <c r="N1711" s="3">
        <f t="shared" si="1913"/>
        <v>718.84023558013541</v>
      </c>
      <c r="O1711" s="3">
        <f t="shared" si="1913"/>
        <v>729.03476388855393</v>
      </c>
      <c r="P1711" s="3">
        <f>SUM(P1712:P1713,P1730,P1739:P1740,P1741,P1742,P1747,P1750,,P1755:P1758,P1751)</f>
        <v>730.28323679478399</v>
      </c>
      <c r="Q1711" s="3">
        <f>SUM(Q1712:Q1713,Q1730,Q1739:Q1740,Q1741,Q1742,Q1747,Q1750,,Q1755:Q1758,Q1751)</f>
        <v>733.59601361294256</v>
      </c>
      <c r="S1711" s="3"/>
    </row>
    <row r="1712" spans="2:19" x14ac:dyDescent="0.5">
      <c r="B1712" t="str">
        <f>B1711</f>
        <v>SPS1</v>
      </c>
      <c r="C1712" t="str">
        <f t="shared" ref="C1712" si="1914">C1711</f>
        <v>CH</v>
      </c>
      <c r="D1712" t="s">
        <v>1738</v>
      </c>
      <c r="E1712" t="str">
        <f>E1711</f>
        <v>PJ/yr.</v>
      </c>
      <c r="F1712" s="1">
        <f t="shared" ref="F1712:K1722" si="1915">F21</f>
        <v>3.6600801580656013</v>
      </c>
      <c r="G1712" s="1">
        <f t="shared" si="1915"/>
        <v>3.5647958650814391</v>
      </c>
      <c r="H1712" s="1">
        <f t="shared" si="1915"/>
        <v>2.4916180180443916E-2</v>
      </c>
      <c r="I1712" s="1">
        <f t="shared" si="1915"/>
        <v>5.1530996728071342E-3</v>
      </c>
      <c r="J1712" s="1">
        <f t="shared" si="1915"/>
        <v>3.2006388693047168E-3</v>
      </c>
      <c r="K1712" s="1">
        <f t="shared" si="1915"/>
        <v>3.9947130196455504E-3</v>
      </c>
      <c r="L1712" s="1">
        <f t="shared" ref="L1712:O1712" si="1916">L21</f>
        <v>1.9201830249886559E-3</v>
      </c>
      <c r="M1712" s="1">
        <f t="shared" si="1916"/>
        <v>4.1694470104093183E-5</v>
      </c>
      <c r="N1712" s="1">
        <f t="shared" si="1916"/>
        <v>1.1309141021156351E-4</v>
      </c>
      <c r="O1712" s="1">
        <f t="shared" si="1916"/>
        <v>1.5727616072570364E-4</v>
      </c>
      <c r="P1712" s="1">
        <f t="shared" ref="P1712:Q1722" si="1917">P21</f>
        <v>1.5267060017638086E-4</v>
      </c>
      <c r="Q1712" s="1">
        <f t="shared" si="1917"/>
        <v>1.7477235583997954E-4</v>
      </c>
      <c r="S1712" s="3"/>
    </row>
    <row r="1713" spans="2:19" x14ac:dyDescent="0.5">
      <c r="B1713" t="str">
        <f t="shared" ref="B1713:B1765" si="1918">B1712</f>
        <v>SPS1</v>
      </c>
      <c r="C1713" t="str">
        <f t="shared" ref="C1713:C1765" si="1919">C1712</f>
        <v>CH</v>
      </c>
      <c r="D1713" t="s">
        <v>1739</v>
      </c>
      <c r="E1713" t="str">
        <f t="shared" ref="E1713:E1741" si="1920">E1712</f>
        <v>PJ/yr.</v>
      </c>
      <c r="F1713" s="1">
        <f t="shared" si="1915"/>
        <v>310.34449715557719</v>
      </c>
      <c r="G1713" s="1">
        <f t="shared" si="1915"/>
        <v>286.80605511412904</v>
      </c>
      <c r="H1713" s="1">
        <f t="shared" si="1915"/>
        <v>221.20173360499479</v>
      </c>
      <c r="I1713" s="1">
        <f t="shared" si="1915"/>
        <v>175.64515690053088</v>
      </c>
      <c r="J1713" s="1">
        <f t="shared" si="1915"/>
        <v>108.4886065921884</v>
      </c>
      <c r="K1713" s="1">
        <f t="shared" si="1915"/>
        <v>79.757035873173038</v>
      </c>
      <c r="L1713" s="1">
        <f t="shared" ref="L1713:O1713" si="1921">L22</f>
        <v>87.865607474206783</v>
      </c>
      <c r="M1713" s="1">
        <f t="shared" si="1921"/>
        <v>97.817095057581568</v>
      </c>
      <c r="N1713" s="1">
        <f t="shared" si="1921"/>
        <v>96.273811891997866</v>
      </c>
      <c r="O1713" s="1">
        <f t="shared" si="1921"/>
        <v>98.044237104551698</v>
      </c>
      <c r="P1713" s="1">
        <f t="shared" si="1917"/>
        <v>98.742424418954542</v>
      </c>
      <c r="Q1713" s="1">
        <f t="shared" si="1917"/>
        <v>100.28767116636928</v>
      </c>
      <c r="S1713" s="3"/>
    </row>
    <row r="1714" spans="2:19" x14ac:dyDescent="0.5">
      <c r="B1714" t="str">
        <f t="shared" si="1918"/>
        <v>SPS1</v>
      </c>
      <c r="C1714" t="str">
        <f t="shared" si="1919"/>
        <v>CH</v>
      </c>
      <c r="D1714" t="s">
        <v>1740</v>
      </c>
      <c r="E1714" t="str">
        <f t="shared" si="1920"/>
        <v>PJ/yr.</v>
      </c>
      <c r="F1714" s="1">
        <f t="shared" si="1915"/>
        <v>304.20934128879463</v>
      </c>
      <c r="G1714" s="1">
        <f t="shared" si="1915"/>
        <v>280.67109155102673</v>
      </c>
      <c r="H1714" s="1">
        <f t="shared" si="1915"/>
        <v>215.06656039060394</v>
      </c>
      <c r="I1714" s="1">
        <f t="shared" si="1915"/>
        <v>164.72336300083549</v>
      </c>
      <c r="J1714" s="1">
        <f t="shared" si="1915"/>
        <v>85.106373845091312</v>
      </c>
      <c r="K1714" s="1">
        <f t="shared" si="1915"/>
        <v>37.360752106632759</v>
      </c>
      <c r="L1714" s="1">
        <f t="shared" ref="L1714:O1714" si="1922">L23</f>
        <v>15.625520059732418</v>
      </c>
      <c r="M1714" s="1">
        <f t="shared" si="1922"/>
        <v>0</v>
      </c>
      <c r="N1714" s="1">
        <f t="shared" si="1922"/>
        <v>1.531355167811083E-3</v>
      </c>
      <c r="O1714" s="1">
        <f t="shared" si="1922"/>
        <v>2.3684240859460446E-3</v>
      </c>
      <c r="P1714" s="1">
        <f t="shared" si="1917"/>
        <v>2.3461848243527292E-3</v>
      </c>
      <c r="Q1714" s="1">
        <f t="shared" si="1917"/>
        <v>3.2886383756845637E-3</v>
      </c>
      <c r="S1714" s="3"/>
    </row>
    <row r="1715" spans="2:19" x14ac:dyDescent="0.5">
      <c r="B1715" t="str">
        <f t="shared" si="1918"/>
        <v>SPS1</v>
      </c>
      <c r="C1715" t="str">
        <f t="shared" si="1919"/>
        <v>CH</v>
      </c>
      <c r="D1715" t="s">
        <v>1741</v>
      </c>
      <c r="E1715" t="str">
        <f t="shared" si="1920"/>
        <v>PJ/yr.</v>
      </c>
      <c r="F1715" s="1">
        <f t="shared" si="1915"/>
        <v>101.81197206324623</v>
      </c>
      <c r="G1715" s="1">
        <f t="shared" si="1915"/>
        <v>88.217144345877742</v>
      </c>
      <c r="H1715" s="1">
        <f t="shared" si="1915"/>
        <v>76.506181112946209</v>
      </c>
      <c r="I1715" s="1">
        <f t="shared" si="1915"/>
        <v>63.571194787243229</v>
      </c>
      <c r="J1715" s="1">
        <f t="shared" si="1915"/>
        <v>27.295646585700307</v>
      </c>
      <c r="K1715" s="1">
        <f t="shared" si="1915"/>
        <v>9.3891517828106572</v>
      </c>
      <c r="L1715" s="1">
        <f t="shared" ref="L1715:O1715" si="1923">L24</f>
        <v>4.6746384865889619</v>
      </c>
      <c r="M1715" s="1">
        <f t="shared" si="1923"/>
        <v>0</v>
      </c>
      <c r="N1715" s="1">
        <f t="shared" si="1923"/>
        <v>1.3578506455689471E-3</v>
      </c>
      <c r="O1715" s="1">
        <f t="shared" si="1923"/>
        <v>2.1261878294051143E-3</v>
      </c>
      <c r="P1715" s="1">
        <f t="shared" si="1917"/>
        <v>2.1094961316949373E-3</v>
      </c>
      <c r="Q1715" s="1">
        <f t="shared" si="1917"/>
        <v>2.9825451701626909E-3</v>
      </c>
      <c r="S1715" s="3"/>
    </row>
    <row r="1716" spans="2:19" x14ac:dyDescent="0.5">
      <c r="B1716" t="str">
        <f t="shared" si="1918"/>
        <v>SPS1</v>
      </c>
      <c r="C1716" t="str">
        <f t="shared" si="1919"/>
        <v>CH</v>
      </c>
      <c r="D1716" t="s">
        <v>1742</v>
      </c>
      <c r="E1716" t="str">
        <f t="shared" si="1920"/>
        <v>PJ/yr.</v>
      </c>
      <c r="F1716" s="1">
        <f t="shared" si="1915"/>
        <v>2.7764113357715652</v>
      </c>
      <c r="G1716" s="1">
        <f t="shared" si="1915"/>
        <v>2.7644455885582047</v>
      </c>
      <c r="H1716" s="1">
        <f t="shared" si="1915"/>
        <v>8.2344887702521692E-3</v>
      </c>
      <c r="I1716" s="1">
        <f t="shared" si="1915"/>
        <v>1.7914530812517958E-3</v>
      </c>
      <c r="J1716" s="1">
        <f t="shared" si="1915"/>
        <v>2.3473434881341004E-3</v>
      </c>
      <c r="K1716" s="1">
        <f t="shared" si="1915"/>
        <v>4.8221185461121792E-3</v>
      </c>
      <c r="L1716" s="1">
        <f t="shared" ref="L1716:O1716" si="1924">L25</f>
        <v>2.1801738885602784E-3</v>
      </c>
      <c r="M1716" s="1">
        <f t="shared" si="1924"/>
        <v>0</v>
      </c>
      <c r="N1716" s="1">
        <f t="shared" si="1924"/>
        <v>0</v>
      </c>
      <c r="O1716" s="1">
        <f t="shared" si="1924"/>
        <v>0</v>
      </c>
      <c r="P1716" s="1">
        <f t="shared" si="1917"/>
        <v>0</v>
      </c>
      <c r="Q1716" s="1">
        <f t="shared" si="1917"/>
        <v>0</v>
      </c>
      <c r="S1716" s="3"/>
    </row>
    <row r="1717" spans="2:19" x14ac:dyDescent="0.5">
      <c r="B1717" t="str">
        <f t="shared" si="1918"/>
        <v>SPS1</v>
      </c>
      <c r="C1717" t="str">
        <f t="shared" si="1919"/>
        <v>CH</v>
      </c>
      <c r="D1717" t="s">
        <v>1743</v>
      </c>
      <c r="E1717" t="str">
        <f t="shared" si="1920"/>
        <v>PJ/yr.</v>
      </c>
      <c r="F1717" s="1">
        <f t="shared" si="1915"/>
        <v>119.13053968348927</v>
      </c>
      <c r="G1717" s="1">
        <f t="shared" si="1915"/>
        <v>112.68602531245527</v>
      </c>
      <c r="H1717" s="1">
        <f t="shared" si="1915"/>
        <v>68.165514097621937</v>
      </c>
      <c r="I1717" s="1">
        <f t="shared" si="1915"/>
        <v>52.265977688944822</v>
      </c>
      <c r="J1717" s="1">
        <f t="shared" si="1915"/>
        <v>33.713339746559605</v>
      </c>
      <c r="K1717" s="1">
        <f t="shared" si="1915"/>
        <v>19.663715695419764</v>
      </c>
      <c r="L1717" s="1">
        <f t="shared" ref="L1717:O1717" si="1925">L26</f>
        <v>5.2893274753799577</v>
      </c>
      <c r="M1717" s="1">
        <f t="shared" si="1925"/>
        <v>0</v>
      </c>
      <c r="N1717" s="1">
        <f t="shared" si="1925"/>
        <v>5.7487089991131152E-5</v>
      </c>
      <c r="O1717" s="1">
        <f t="shared" si="1925"/>
        <v>8.0138060856029604E-5</v>
      </c>
      <c r="P1717" s="1">
        <f t="shared" si="1917"/>
        <v>7.8452199579728544E-5</v>
      </c>
      <c r="Q1717" s="1">
        <f t="shared" si="1917"/>
        <v>1.0167950868917803E-4</v>
      </c>
      <c r="S1717" s="3"/>
    </row>
    <row r="1718" spans="2:19" x14ac:dyDescent="0.5">
      <c r="B1718" t="str">
        <f t="shared" si="1918"/>
        <v>SPS1</v>
      </c>
      <c r="C1718" t="str">
        <f t="shared" si="1919"/>
        <v>CH</v>
      </c>
      <c r="D1718" t="s">
        <v>1744</v>
      </c>
      <c r="E1718" t="str">
        <f t="shared" si="1920"/>
        <v>PJ/yr.</v>
      </c>
      <c r="F1718" s="1">
        <f t="shared" si="1915"/>
        <v>79.381207263144987</v>
      </c>
      <c r="G1718" s="1">
        <f t="shared" si="1915"/>
        <v>75.598378250430841</v>
      </c>
      <c r="H1718" s="1">
        <f t="shared" si="1915"/>
        <v>68.537753088306715</v>
      </c>
      <c r="I1718" s="1">
        <f t="shared" si="1915"/>
        <v>46.298537652950955</v>
      </c>
      <c r="J1718" s="1">
        <f t="shared" si="1915"/>
        <v>21.730558405245123</v>
      </c>
      <c r="K1718" s="1">
        <f t="shared" si="1915"/>
        <v>6.6212431766521282</v>
      </c>
      <c r="L1718" s="1">
        <f t="shared" ref="L1718:O1718" si="1926">L27</f>
        <v>4.1029248096555566</v>
      </c>
      <c r="M1718" s="1">
        <f t="shared" si="1926"/>
        <v>0</v>
      </c>
      <c r="N1718" s="1">
        <f t="shared" si="1926"/>
        <v>6.1028638378265498E-5</v>
      </c>
      <c r="O1718" s="1">
        <f t="shared" si="1926"/>
        <v>8.8898154495663578E-5</v>
      </c>
      <c r="P1718" s="1">
        <f t="shared" si="1917"/>
        <v>8.5024867155139149E-5</v>
      </c>
      <c r="Q1718" s="1">
        <f t="shared" si="1917"/>
        <v>1.1113761467555288E-4</v>
      </c>
      <c r="S1718" s="3"/>
    </row>
    <row r="1719" spans="2:19" x14ac:dyDescent="0.5">
      <c r="B1719" t="str">
        <f t="shared" si="1918"/>
        <v>SPS1</v>
      </c>
      <c r="C1719" t="str">
        <f t="shared" si="1919"/>
        <v>CH</v>
      </c>
      <c r="D1719" t="s">
        <v>1745</v>
      </c>
      <c r="E1719" t="str">
        <f t="shared" si="1920"/>
        <v>PJ/yr.</v>
      </c>
      <c r="F1719" s="1">
        <f t="shared" si="1915"/>
        <v>1.1092109431425539</v>
      </c>
      <c r="G1719" s="1">
        <f t="shared" si="1915"/>
        <v>1.4050980537047013</v>
      </c>
      <c r="H1719" s="1">
        <f t="shared" si="1915"/>
        <v>1.8488776029588259</v>
      </c>
      <c r="I1719" s="1">
        <f t="shared" si="1915"/>
        <v>2.5858614186152269</v>
      </c>
      <c r="J1719" s="1">
        <f t="shared" si="1915"/>
        <v>2.3644817640981484</v>
      </c>
      <c r="K1719" s="1">
        <f t="shared" si="1915"/>
        <v>1.6818193332040992</v>
      </c>
      <c r="L1719" s="1">
        <f t="shared" ref="L1719:O1719" si="1927">L28</f>
        <v>1.5564491142193813</v>
      </c>
      <c r="M1719" s="1">
        <f t="shared" si="1927"/>
        <v>0</v>
      </c>
      <c r="N1719" s="1">
        <f t="shared" si="1927"/>
        <v>5.498879387273923E-5</v>
      </c>
      <c r="O1719" s="1">
        <f t="shared" si="1927"/>
        <v>7.3200041189236975E-5</v>
      </c>
      <c r="P1719" s="1">
        <f t="shared" si="1917"/>
        <v>7.3211625922923654E-5</v>
      </c>
      <c r="Q1719" s="1">
        <f t="shared" si="1917"/>
        <v>9.3276082157141949E-5</v>
      </c>
      <c r="S1719" s="3"/>
    </row>
    <row r="1720" spans="2:19" x14ac:dyDescent="0.5">
      <c r="B1720" t="str">
        <f t="shared" si="1918"/>
        <v>SPS1</v>
      </c>
      <c r="C1720" t="str">
        <f t="shared" si="1919"/>
        <v>CH</v>
      </c>
      <c r="D1720" t="s">
        <v>1746</v>
      </c>
      <c r="E1720" t="str">
        <f t="shared" si="1920"/>
        <v>PJ/yr.</v>
      </c>
      <c r="F1720" s="1">
        <f t="shared" si="1915"/>
        <v>6.135155866782541</v>
      </c>
      <c r="G1720" s="1">
        <f t="shared" si="1915"/>
        <v>6.1349635631022892</v>
      </c>
      <c r="H1720" s="1">
        <f t="shared" si="1915"/>
        <v>6.1351732143908428</v>
      </c>
      <c r="I1720" s="1">
        <f t="shared" si="1915"/>
        <v>10.9217938996954</v>
      </c>
      <c r="J1720" s="1">
        <f t="shared" si="1915"/>
        <v>23.382232747097092</v>
      </c>
      <c r="K1720" s="1">
        <f t="shared" si="1915"/>
        <v>42.396283766540279</v>
      </c>
      <c r="L1720" s="1">
        <f t="shared" ref="L1720:O1720" si="1928">L29</f>
        <v>72.24008741447436</v>
      </c>
      <c r="M1720" s="1">
        <f t="shared" si="1928"/>
        <v>97.817095057581568</v>
      </c>
      <c r="N1720" s="1">
        <f t="shared" si="1928"/>
        <v>96.272280536830053</v>
      </c>
      <c r="O1720" s="1">
        <f t="shared" si="1928"/>
        <v>98.041868680465754</v>
      </c>
      <c r="P1720" s="1">
        <f t="shared" si="1917"/>
        <v>98.740078234130195</v>
      </c>
      <c r="Q1720" s="1">
        <f t="shared" si="1917"/>
        <v>100.2843825279936</v>
      </c>
      <c r="S1720" s="3"/>
    </row>
    <row r="1721" spans="2:19" x14ac:dyDescent="0.5">
      <c r="B1721" t="str">
        <f t="shared" si="1918"/>
        <v>SPS1</v>
      </c>
      <c r="C1721" t="str">
        <f t="shared" si="1919"/>
        <v>CH</v>
      </c>
      <c r="D1721" t="s">
        <v>1747</v>
      </c>
      <c r="E1721" t="str">
        <f t="shared" si="1920"/>
        <v>PJ/yr.</v>
      </c>
      <c r="F1721" s="1">
        <f t="shared" si="1915"/>
        <v>1.812140919299043</v>
      </c>
      <c r="G1721" s="1">
        <f t="shared" si="1915"/>
        <v>1.8127713842173718</v>
      </c>
      <c r="H1721" s="1">
        <f t="shared" si="1915"/>
        <v>3.2031095153604321</v>
      </c>
      <c r="I1721" s="1">
        <f t="shared" si="1915"/>
        <v>3.2414241532235657</v>
      </c>
      <c r="J1721" s="1">
        <f t="shared" si="1915"/>
        <v>3.2507835751836751</v>
      </c>
      <c r="K1721" s="1">
        <f t="shared" si="1915"/>
        <v>3.2470071166074987</v>
      </c>
      <c r="L1721" s="1">
        <f t="shared" ref="L1721:O1721" si="1929">L30</f>
        <v>3.2477658219679171</v>
      </c>
      <c r="M1721" s="1">
        <f t="shared" si="1929"/>
        <v>1.0974689411012548</v>
      </c>
      <c r="N1721" s="1">
        <f t="shared" si="1929"/>
        <v>-0.18870516006258242</v>
      </c>
      <c r="O1721" s="1">
        <f t="shared" si="1929"/>
        <v>0.69193088495370603</v>
      </c>
      <c r="P1721" s="1">
        <f t="shared" si="1917"/>
        <v>-2.3079916015376511E-2</v>
      </c>
      <c r="Q1721" s="1">
        <f t="shared" si="1917"/>
        <v>-4.0966004445436965E-2</v>
      </c>
      <c r="S1721" s="3"/>
    </row>
    <row r="1722" spans="2:19" x14ac:dyDescent="0.5">
      <c r="B1722" t="str">
        <f t="shared" si="1918"/>
        <v>SPS1</v>
      </c>
      <c r="C1722" t="str">
        <f t="shared" si="1919"/>
        <v>CH</v>
      </c>
      <c r="D1722" t="s">
        <v>1748</v>
      </c>
      <c r="E1722" t="str">
        <f t="shared" si="1920"/>
        <v>PJ/yr.</v>
      </c>
      <c r="F1722" s="1">
        <f t="shared" si="1915"/>
        <v>4.3228145692161712</v>
      </c>
      <c r="G1722" s="1">
        <f t="shared" si="1915"/>
        <v>4.3220485482158262</v>
      </c>
      <c r="H1722" s="1">
        <f t="shared" si="1915"/>
        <v>2.9319548243913456</v>
      </c>
      <c r="I1722" s="1">
        <f t="shared" si="1915"/>
        <v>2.3746034615415135</v>
      </c>
      <c r="J1722" s="1">
        <f t="shared" si="1915"/>
        <v>1.6031714337366112</v>
      </c>
      <c r="K1722" s="1">
        <f t="shared" si="1915"/>
        <v>0.52040876213825393</v>
      </c>
      <c r="L1722" s="1">
        <f t="shared" ref="L1722:O1722" si="1930">L31</f>
        <v>0.30855244062082282</v>
      </c>
      <c r="M1722" s="1">
        <f t="shared" si="1930"/>
        <v>1.1550483951828885</v>
      </c>
      <c r="N1722" s="1">
        <f t="shared" si="1930"/>
        <v>1.0776504066597381</v>
      </c>
      <c r="O1722" s="1">
        <f t="shared" si="1930"/>
        <v>1.0727466273604227</v>
      </c>
      <c r="P1722" s="1">
        <f t="shared" si="1917"/>
        <v>0.92181857646606047</v>
      </c>
      <c r="Q1722" s="1">
        <f t="shared" si="1917"/>
        <v>0.92076701748468481</v>
      </c>
      <c r="S1722" s="3"/>
    </row>
    <row r="1723" spans="2:19" x14ac:dyDescent="0.5">
      <c r="B1723" t="str">
        <f t="shared" si="1918"/>
        <v>SPS1</v>
      </c>
      <c r="C1723" t="str">
        <f t="shared" si="1919"/>
        <v>CH</v>
      </c>
      <c r="D1723" t="s">
        <v>1749</v>
      </c>
      <c r="E1723" t="str">
        <f t="shared" si="1920"/>
        <v>PJ/yr.</v>
      </c>
      <c r="F1723" s="1">
        <f t="shared" ref="F1723:K1725" si="1931">F33</f>
        <v>6.135155866782541</v>
      </c>
      <c r="G1723" s="1">
        <f t="shared" si="1931"/>
        <v>6.1349635631022892</v>
      </c>
      <c r="H1723" s="1">
        <f t="shared" si="1931"/>
        <v>6.1351732143908428</v>
      </c>
      <c r="I1723" s="1">
        <f t="shared" si="1931"/>
        <v>10.9217938996954</v>
      </c>
      <c r="J1723" s="1">
        <f t="shared" si="1931"/>
        <v>10.150361871890498</v>
      </c>
      <c r="K1723" s="1">
        <f t="shared" si="1931"/>
        <v>22.295693616922559</v>
      </c>
      <c r="L1723" s="1">
        <f t="shared" ref="L1723:O1723" si="1932">L33</f>
        <v>42.185186150383267</v>
      </c>
      <c r="M1723" s="1">
        <f t="shared" si="1932"/>
        <v>70.936286488169756</v>
      </c>
      <c r="N1723" s="1">
        <f t="shared" si="1932"/>
        <v>96.272280536830053</v>
      </c>
      <c r="O1723" s="1">
        <f t="shared" si="1932"/>
        <v>97.329255233611548</v>
      </c>
      <c r="P1723" s="1">
        <f t="shared" ref="P1723:Q1725" si="1933">P33</f>
        <v>97.175929828602321</v>
      </c>
      <c r="Q1723" s="1">
        <f t="shared" si="1933"/>
        <v>98.721140586718747</v>
      </c>
      <c r="S1723" s="3"/>
    </row>
    <row r="1724" spans="2:19" x14ac:dyDescent="0.5">
      <c r="B1724" t="str">
        <f t="shared" si="1918"/>
        <v>SPS1</v>
      </c>
      <c r="C1724" t="str">
        <f t="shared" si="1919"/>
        <v>CH</v>
      </c>
      <c r="D1724" t="s">
        <v>1750</v>
      </c>
      <c r="E1724" t="str">
        <f t="shared" si="1920"/>
        <v>PJ/yr.</v>
      </c>
      <c r="F1724" s="1">
        <f t="shared" si="1931"/>
        <v>1.812140919299043</v>
      </c>
      <c r="G1724" s="1">
        <f t="shared" si="1931"/>
        <v>1.8127713842173718</v>
      </c>
      <c r="H1724" s="1">
        <f t="shared" si="1931"/>
        <v>3.2031095153604321</v>
      </c>
      <c r="I1724" s="1">
        <f t="shared" si="1931"/>
        <v>3.2414241532235657</v>
      </c>
      <c r="J1724" s="1">
        <f t="shared" si="1931"/>
        <v>3.2414241532235657</v>
      </c>
      <c r="K1724" s="1">
        <f t="shared" si="1931"/>
        <v>3.2470071166074987</v>
      </c>
      <c r="L1724" s="1">
        <f t="shared" ref="L1724:O1724" si="1934">L34</f>
        <v>3.2477658219679171</v>
      </c>
      <c r="M1724" s="1">
        <f t="shared" si="1934"/>
        <v>1.0974689411012548</v>
      </c>
      <c r="N1724" s="1">
        <f t="shared" si="1934"/>
        <v>-0.18870516006258242</v>
      </c>
      <c r="O1724" s="1">
        <f t="shared" si="1934"/>
        <v>0.69193088495370603</v>
      </c>
      <c r="P1724" s="1">
        <f t="shared" si="1933"/>
        <v>-2.3079916015376511E-2</v>
      </c>
      <c r="Q1724" s="1">
        <f t="shared" si="1933"/>
        <v>-4.0966004445436965E-2</v>
      </c>
      <c r="S1724" s="3"/>
    </row>
    <row r="1725" spans="2:19" x14ac:dyDescent="0.5">
      <c r="B1725" t="str">
        <f t="shared" si="1918"/>
        <v>SPS1</v>
      </c>
      <c r="C1725" t="str">
        <f t="shared" si="1919"/>
        <v>CH</v>
      </c>
      <c r="D1725" t="s">
        <v>1751</v>
      </c>
      <c r="E1725" t="str">
        <f t="shared" si="1920"/>
        <v>PJ/yr.</v>
      </c>
      <c r="F1725" s="1">
        <f t="shared" si="1931"/>
        <v>4.3228145692161712</v>
      </c>
      <c r="G1725" s="1">
        <f t="shared" si="1931"/>
        <v>4.3220485482158262</v>
      </c>
      <c r="H1725" s="1">
        <f t="shared" si="1931"/>
        <v>2.9319548243913456</v>
      </c>
      <c r="I1725" s="1">
        <f t="shared" si="1931"/>
        <v>2.3746034615415135</v>
      </c>
      <c r="J1725" s="1">
        <f t="shared" si="1931"/>
        <v>1.6031714337366112</v>
      </c>
      <c r="K1725" s="1">
        <f t="shared" si="1931"/>
        <v>0.52040876213825393</v>
      </c>
      <c r="L1725" s="1">
        <f t="shared" ref="L1725:O1725" si="1935">L35</f>
        <v>0.30855244062082282</v>
      </c>
      <c r="M1725" s="1">
        <f t="shared" si="1935"/>
        <v>1.1550483951828885</v>
      </c>
      <c r="N1725" s="1">
        <f t="shared" si="1935"/>
        <v>1.0776504066597381</v>
      </c>
      <c r="O1725" s="1">
        <f t="shared" si="1935"/>
        <v>1.0727466273604227</v>
      </c>
      <c r="P1725" s="1">
        <f t="shared" si="1933"/>
        <v>0.92181857646606047</v>
      </c>
      <c r="Q1725" s="1">
        <f t="shared" si="1933"/>
        <v>0.92076701748468481</v>
      </c>
      <c r="S1725" s="3"/>
    </row>
    <row r="1726" spans="2:19" x14ac:dyDescent="0.5">
      <c r="B1726" t="str">
        <f t="shared" si="1918"/>
        <v>SPS1</v>
      </c>
      <c r="C1726" t="str">
        <f t="shared" si="1919"/>
        <v>CH</v>
      </c>
      <c r="D1726" t="s">
        <v>1752</v>
      </c>
      <c r="E1726" t="str">
        <f t="shared" si="1920"/>
        <v>PJ/yr.</v>
      </c>
      <c r="F1726" s="1">
        <f t="shared" ref="F1726:K1739" si="1936">F37</f>
        <v>0</v>
      </c>
      <c r="G1726" s="1">
        <f t="shared" si="1936"/>
        <v>0</v>
      </c>
      <c r="H1726" s="1">
        <f t="shared" si="1936"/>
        <v>0</v>
      </c>
      <c r="I1726" s="1">
        <f t="shared" si="1936"/>
        <v>0</v>
      </c>
      <c r="J1726" s="1">
        <f t="shared" si="1936"/>
        <v>13.231870875206596</v>
      </c>
      <c r="K1726" s="1">
        <f t="shared" si="1936"/>
        <v>20.10059014961772</v>
      </c>
      <c r="L1726" s="1">
        <f t="shared" ref="L1726:O1726" si="1937">L37</f>
        <v>30.054901264091086</v>
      </c>
      <c r="M1726" s="1">
        <f t="shared" si="1937"/>
        <v>26.880808569411812</v>
      </c>
      <c r="N1726" s="1">
        <f t="shared" si="1937"/>
        <v>0</v>
      </c>
      <c r="O1726" s="1">
        <f t="shared" si="1937"/>
        <v>0.71261344685420625</v>
      </c>
      <c r="P1726" s="1">
        <f t="shared" ref="P1726:Q1739" si="1938">P37</f>
        <v>1.5641484055278738</v>
      </c>
      <c r="Q1726" s="1">
        <f t="shared" si="1938"/>
        <v>1.5632419412748533</v>
      </c>
      <c r="S1726" s="3"/>
    </row>
    <row r="1727" spans="2:19" x14ac:dyDescent="0.5">
      <c r="B1727" t="str">
        <f t="shared" si="1918"/>
        <v>SPS1</v>
      </c>
      <c r="C1727" t="str">
        <f t="shared" si="1919"/>
        <v>CH</v>
      </c>
      <c r="D1727" t="s">
        <v>1753</v>
      </c>
      <c r="E1727" t="str">
        <f t="shared" si="1920"/>
        <v>PJ/yr.</v>
      </c>
      <c r="F1727" s="1">
        <f t="shared" si="1936"/>
        <v>0</v>
      </c>
      <c r="G1727" s="1">
        <f t="shared" si="1936"/>
        <v>0</v>
      </c>
      <c r="H1727" s="1">
        <f t="shared" si="1936"/>
        <v>0</v>
      </c>
      <c r="I1727" s="1">
        <f t="shared" si="1936"/>
        <v>0</v>
      </c>
      <c r="J1727" s="1">
        <f t="shared" si="1936"/>
        <v>9.3594219601094153E-3</v>
      </c>
      <c r="K1727" s="1">
        <f t="shared" si="1936"/>
        <v>0</v>
      </c>
      <c r="L1727" s="1">
        <f t="shared" ref="L1727:O1727" si="1939">L38</f>
        <v>0</v>
      </c>
      <c r="M1727" s="1">
        <f t="shared" si="1939"/>
        <v>0</v>
      </c>
      <c r="N1727" s="1">
        <f t="shared" si="1939"/>
        <v>0</v>
      </c>
      <c r="O1727" s="1">
        <f t="shared" si="1939"/>
        <v>0</v>
      </c>
      <c r="P1727" s="1">
        <f t="shared" si="1938"/>
        <v>0</v>
      </c>
      <c r="Q1727" s="1">
        <f t="shared" si="1938"/>
        <v>0</v>
      </c>
      <c r="S1727" s="3"/>
    </row>
    <row r="1728" spans="2:19" x14ac:dyDescent="0.5">
      <c r="B1728" t="str">
        <f t="shared" si="1918"/>
        <v>SPS1</v>
      </c>
      <c r="C1728" t="str">
        <f t="shared" si="1919"/>
        <v>CH</v>
      </c>
      <c r="D1728" t="s">
        <v>1754</v>
      </c>
      <c r="E1728" t="str">
        <f t="shared" si="1920"/>
        <v>PJ/yr.</v>
      </c>
      <c r="F1728" s="1">
        <f t="shared" si="1936"/>
        <v>0</v>
      </c>
      <c r="G1728" s="1">
        <f t="shared" si="1936"/>
        <v>0</v>
      </c>
      <c r="H1728" s="1">
        <f t="shared" si="1936"/>
        <v>0</v>
      </c>
      <c r="I1728" s="1">
        <f t="shared" si="1936"/>
        <v>0</v>
      </c>
      <c r="J1728" s="1">
        <f t="shared" si="1936"/>
        <v>0</v>
      </c>
      <c r="K1728" s="1">
        <f t="shared" si="1936"/>
        <v>0</v>
      </c>
      <c r="L1728" s="1">
        <f t="shared" ref="L1728:O1728" si="1940">L39</f>
        <v>0</v>
      </c>
      <c r="M1728" s="1">
        <f t="shared" si="1940"/>
        <v>0</v>
      </c>
      <c r="N1728" s="1">
        <f t="shared" si="1940"/>
        <v>0</v>
      </c>
      <c r="O1728" s="1">
        <f t="shared" si="1940"/>
        <v>0</v>
      </c>
      <c r="P1728" s="1">
        <f t="shared" si="1938"/>
        <v>0</v>
      </c>
      <c r="Q1728" s="1">
        <f t="shared" si="1938"/>
        <v>0</v>
      </c>
      <c r="S1728" s="3"/>
    </row>
    <row r="1729" spans="2:19" x14ac:dyDescent="0.5">
      <c r="B1729" t="str">
        <f t="shared" si="1918"/>
        <v>SPS1</v>
      </c>
      <c r="C1729" t="str">
        <f t="shared" si="1919"/>
        <v>CH</v>
      </c>
      <c r="D1729" t="s">
        <v>1755</v>
      </c>
      <c r="E1729" t="str">
        <f t="shared" si="1920"/>
        <v>PJ/yr.</v>
      </c>
      <c r="F1729" s="1">
        <f t="shared" si="1936"/>
        <v>0</v>
      </c>
      <c r="G1729" s="1">
        <f t="shared" si="1936"/>
        <v>0</v>
      </c>
      <c r="H1729" s="1">
        <f t="shared" si="1936"/>
        <v>0</v>
      </c>
      <c r="I1729" s="1">
        <f t="shared" si="1936"/>
        <v>0</v>
      </c>
      <c r="J1729" s="1">
        <f t="shared" si="1936"/>
        <v>13.222511453246486</v>
      </c>
      <c r="K1729" s="1">
        <f t="shared" si="1936"/>
        <v>20.10059014961772</v>
      </c>
      <c r="L1729" s="1">
        <f t="shared" ref="L1729:O1729" si="1941">L40</f>
        <v>30.054901264091086</v>
      </c>
      <c r="M1729" s="1">
        <f t="shared" si="1941"/>
        <v>26.880808569411812</v>
      </c>
      <c r="N1729" s="1">
        <f t="shared" si="1941"/>
        <v>0</v>
      </c>
      <c r="O1729" s="1">
        <f t="shared" si="1941"/>
        <v>0.71261344685420625</v>
      </c>
      <c r="P1729" s="1">
        <f t="shared" si="1938"/>
        <v>1.5641484055278738</v>
      </c>
      <c r="Q1729" s="1">
        <f t="shared" si="1938"/>
        <v>1.5632419412748533</v>
      </c>
      <c r="S1729" s="3"/>
    </row>
    <row r="1730" spans="2:19" x14ac:dyDescent="0.5">
      <c r="B1730" t="str">
        <f t="shared" si="1918"/>
        <v>SPS1</v>
      </c>
      <c r="C1730" t="str">
        <f t="shared" si="1919"/>
        <v>CH</v>
      </c>
      <c r="D1730" t="s">
        <v>1756</v>
      </c>
      <c r="E1730" t="str">
        <f t="shared" si="1920"/>
        <v>PJ/yr.</v>
      </c>
      <c r="F1730" s="1">
        <f t="shared" si="1936"/>
        <v>117.2830928400453</v>
      </c>
      <c r="G1730" s="1">
        <f t="shared" si="1936"/>
        <v>106.72024844457306</v>
      </c>
      <c r="H1730" s="1">
        <f t="shared" si="1936"/>
        <v>112.94272590808744</v>
      </c>
      <c r="I1730" s="1">
        <f t="shared" si="1936"/>
        <v>104.26990046578753</v>
      </c>
      <c r="J1730" s="1">
        <f t="shared" si="1936"/>
        <v>86.39648760077344</v>
      </c>
      <c r="K1730" s="1">
        <f t="shared" si="1936"/>
        <v>55.66999454015378</v>
      </c>
      <c r="L1730" s="1">
        <f t="shared" ref="L1730:O1730" si="1942">L41</f>
        <v>25.218117699715119</v>
      </c>
      <c r="M1730" s="1">
        <f t="shared" si="1942"/>
        <v>2.1911403563612897</v>
      </c>
      <c r="N1730" s="1">
        <f t="shared" si="1942"/>
        <v>3.7362019815589083</v>
      </c>
      <c r="O1730" s="1">
        <f t="shared" si="1942"/>
        <v>3.0225232502978763</v>
      </c>
      <c r="P1730" s="1">
        <f t="shared" si="1938"/>
        <v>4.0324593418158718</v>
      </c>
      <c r="Q1730" s="1">
        <f t="shared" si="1938"/>
        <v>4.1803015879099057</v>
      </c>
      <c r="S1730" s="3"/>
    </row>
    <row r="1731" spans="2:19" x14ac:dyDescent="0.5">
      <c r="B1731" t="str">
        <f t="shared" si="1918"/>
        <v>SPS1</v>
      </c>
      <c r="C1731" t="str">
        <f t="shared" si="1919"/>
        <v>CH</v>
      </c>
      <c r="D1731" t="s">
        <v>1757</v>
      </c>
      <c r="E1731" t="str">
        <f t="shared" si="1920"/>
        <v>PJ/yr.</v>
      </c>
      <c r="F1731" s="1">
        <f t="shared" si="1936"/>
        <v>117.2830928400453</v>
      </c>
      <c r="G1731" s="1">
        <f t="shared" si="1936"/>
        <v>106.72002752311008</v>
      </c>
      <c r="H1731" s="1">
        <f t="shared" si="1936"/>
        <v>112.94271407375933</v>
      </c>
      <c r="I1731" s="1">
        <f t="shared" si="1936"/>
        <v>101.63950680069054</v>
      </c>
      <c r="J1731" s="1">
        <f t="shared" si="1936"/>
        <v>83.569367083428617</v>
      </c>
      <c r="K1731" s="1">
        <f t="shared" si="1936"/>
        <v>53.300430243930919</v>
      </c>
      <c r="L1731" s="1">
        <f t="shared" ref="L1731:O1731" si="1943">L42</f>
        <v>22.64027308959551</v>
      </c>
      <c r="M1731" s="1">
        <f t="shared" si="1943"/>
        <v>6.0698750510612703E-5</v>
      </c>
      <c r="N1731" s="1">
        <f t="shared" si="1943"/>
        <v>2.8051914373545037E-4</v>
      </c>
      <c r="O1731" s="1">
        <f t="shared" si="1943"/>
        <v>3.8849059505349759E-4</v>
      </c>
      <c r="P1731" s="1">
        <f t="shared" si="1938"/>
        <v>3.8900805096962299E-4</v>
      </c>
      <c r="Q1731" s="1">
        <f t="shared" si="1938"/>
        <v>5.0566955647175836E-4</v>
      </c>
      <c r="S1731" s="3"/>
    </row>
    <row r="1732" spans="2:19" x14ac:dyDescent="0.5">
      <c r="B1732" t="str">
        <f t="shared" si="1918"/>
        <v>SPS1</v>
      </c>
      <c r="C1732" t="str">
        <f t="shared" si="1919"/>
        <v>CH</v>
      </c>
      <c r="D1732" t="s">
        <v>1758</v>
      </c>
      <c r="E1732" t="str">
        <f t="shared" si="1920"/>
        <v>PJ/yr.</v>
      </c>
      <c r="F1732" s="1">
        <f t="shared" si="1936"/>
        <v>117.2830928400453</v>
      </c>
      <c r="G1732" s="1">
        <f t="shared" si="1936"/>
        <v>106.72002752311008</v>
      </c>
      <c r="H1732" s="1">
        <f t="shared" si="1936"/>
        <v>112.94271407375933</v>
      </c>
      <c r="I1732" s="1">
        <f t="shared" si="1936"/>
        <v>101.63469631606067</v>
      </c>
      <c r="J1732" s="1">
        <f t="shared" si="1936"/>
        <v>83.560897001897814</v>
      </c>
      <c r="K1732" s="1">
        <f t="shared" si="1936"/>
        <v>53.291657030086249</v>
      </c>
      <c r="L1732" s="1">
        <f t="shared" ref="L1732:O1732" si="1944">L43</f>
        <v>22.632101647254171</v>
      </c>
      <c r="M1732" s="1">
        <f t="shared" si="1944"/>
        <v>1.584667652920014E-5</v>
      </c>
      <c r="N1732" s="1">
        <f t="shared" si="1944"/>
        <v>6.3425115202030312E-5</v>
      </c>
      <c r="O1732" s="1">
        <f t="shared" si="1944"/>
        <v>8.4351190797318868E-5</v>
      </c>
      <c r="P1732" s="1">
        <f t="shared" si="1938"/>
        <v>8.2314419112913969E-5</v>
      </c>
      <c r="Q1732" s="1">
        <f t="shared" si="1938"/>
        <v>1.0808123548537854E-4</v>
      </c>
      <c r="S1732" s="3"/>
    </row>
    <row r="1733" spans="2:19" x14ac:dyDescent="0.5">
      <c r="B1733" t="str">
        <f t="shared" si="1918"/>
        <v>SPS1</v>
      </c>
      <c r="C1733" t="str">
        <f t="shared" si="1919"/>
        <v>CH</v>
      </c>
      <c r="D1733" t="s">
        <v>1759</v>
      </c>
      <c r="E1733" t="str">
        <f t="shared" si="1920"/>
        <v>PJ/yr.</v>
      </c>
      <c r="F1733" s="1">
        <f t="shared" si="1936"/>
        <v>0</v>
      </c>
      <c r="G1733" s="1">
        <f t="shared" si="1936"/>
        <v>0</v>
      </c>
      <c r="H1733" s="1">
        <f t="shared" si="1936"/>
        <v>0</v>
      </c>
      <c r="I1733" s="1">
        <f t="shared" si="1936"/>
        <v>4.8104846298666955E-3</v>
      </c>
      <c r="J1733" s="1">
        <f t="shared" si="1936"/>
        <v>8.4700815308058723E-3</v>
      </c>
      <c r="K1733" s="1">
        <f t="shared" si="1936"/>
        <v>8.7732138446698377E-3</v>
      </c>
      <c r="L1733" s="1">
        <f t="shared" ref="L1733:O1733" si="1945">L44</f>
        <v>8.1714423413379571E-3</v>
      </c>
      <c r="M1733" s="1">
        <f t="shared" si="1945"/>
        <v>4.4852073981412566E-5</v>
      </c>
      <c r="N1733" s="1">
        <f t="shared" si="1945"/>
        <v>2.1709402853342004E-4</v>
      </c>
      <c r="O1733" s="1">
        <f t="shared" si="1945"/>
        <v>3.0413940425617875E-4</v>
      </c>
      <c r="P1733" s="1">
        <f t="shared" si="1938"/>
        <v>3.0669363185670902E-4</v>
      </c>
      <c r="Q1733" s="1">
        <f t="shared" si="1938"/>
        <v>3.9758832098637983E-4</v>
      </c>
      <c r="S1733" s="3"/>
    </row>
    <row r="1734" spans="2:19" x14ac:dyDescent="0.5">
      <c r="B1734" t="str">
        <f t="shared" si="1918"/>
        <v>SPS1</v>
      </c>
      <c r="C1734" t="str">
        <f t="shared" si="1919"/>
        <v>CH</v>
      </c>
      <c r="D1734" t="s">
        <v>1760</v>
      </c>
      <c r="E1734" t="str">
        <f t="shared" si="1920"/>
        <v>PJ/yr.</v>
      </c>
      <c r="F1734" s="1">
        <f t="shared" si="1936"/>
        <v>0</v>
      </c>
      <c r="G1734" s="1">
        <f t="shared" si="1936"/>
        <v>2.2092146298503836E-4</v>
      </c>
      <c r="H1734" s="1">
        <f t="shared" si="1936"/>
        <v>1.1834328101880158E-5</v>
      </c>
      <c r="I1734" s="1">
        <f t="shared" si="1936"/>
        <v>2.6303936650969924</v>
      </c>
      <c r="J1734" s="1">
        <f t="shared" si="1936"/>
        <v>2.8271205173448282</v>
      </c>
      <c r="K1734" s="1">
        <f t="shared" si="1936"/>
        <v>2.3695642962228614</v>
      </c>
      <c r="L1734" s="1">
        <f t="shared" ref="L1734:O1734" si="1946">L45</f>
        <v>2.5778446101196075</v>
      </c>
      <c r="M1734" s="1">
        <f t="shared" si="1946"/>
        <v>2.1910796576107789</v>
      </c>
      <c r="N1734" s="1">
        <f t="shared" si="1946"/>
        <v>3.7359214624151726</v>
      </c>
      <c r="O1734" s="1">
        <f t="shared" si="1946"/>
        <v>3.0221347597028227</v>
      </c>
      <c r="P1734" s="1">
        <f t="shared" si="1938"/>
        <v>4.032070333764902</v>
      </c>
      <c r="Q1734" s="1">
        <f t="shared" si="1938"/>
        <v>4.1797959183534337</v>
      </c>
      <c r="S1734" s="3"/>
    </row>
    <row r="1735" spans="2:19" x14ac:dyDescent="0.5">
      <c r="B1735" t="str">
        <f t="shared" si="1918"/>
        <v>SPS1</v>
      </c>
      <c r="C1735" t="str">
        <f t="shared" si="1919"/>
        <v>CH</v>
      </c>
      <c r="D1735" t="s">
        <v>1761</v>
      </c>
      <c r="E1735" t="str">
        <f t="shared" si="1920"/>
        <v>PJ/yr.</v>
      </c>
      <c r="F1735" s="1">
        <f t="shared" si="1936"/>
        <v>0</v>
      </c>
      <c r="G1735" s="1">
        <f t="shared" si="1936"/>
        <v>2.2092146298503836E-4</v>
      </c>
      <c r="H1735" s="1">
        <f t="shared" si="1936"/>
        <v>1.1834328101880158E-5</v>
      </c>
      <c r="I1735" s="1">
        <f t="shared" si="1936"/>
        <v>2.6303936650969924</v>
      </c>
      <c r="J1735" s="1">
        <f t="shared" si="1936"/>
        <v>2.6303936650969924</v>
      </c>
      <c r="K1735" s="1">
        <f t="shared" si="1936"/>
        <v>2.3695642962228614</v>
      </c>
      <c r="L1735" s="1">
        <f t="shared" ref="L1735:O1735" si="1947">L46</f>
        <v>2.5778446101196075</v>
      </c>
      <c r="M1735" s="1">
        <f t="shared" si="1947"/>
        <v>2.1910796576107789</v>
      </c>
      <c r="N1735" s="1">
        <f t="shared" si="1947"/>
        <v>2.8271205173448282</v>
      </c>
      <c r="O1735" s="1">
        <f t="shared" si="1947"/>
        <v>3.0221347597028227</v>
      </c>
      <c r="P1735" s="1">
        <f t="shared" si="1938"/>
        <v>3.7359214624151726</v>
      </c>
      <c r="Q1735" s="1">
        <f t="shared" si="1938"/>
        <v>4.032070333764902</v>
      </c>
      <c r="S1735" s="3"/>
    </row>
    <row r="1736" spans="2:19" x14ac:dyDescent="0.5">
      <c r="B1736" t="str">
        <f t="shared" si="1918"/>
        <v>SPS1</v>
      </c>
      <c r="C1736" t="str">
        <f t="shared" si="1919"/>
        <v>CH</v>
      </c>
      <c r="D1736" t="s">
        <v>1762</v>
      </c>
      <c r="E1736" t="str">
        <f t="shared" si="1920"/>
        <v>PJ/yr.</v>
      </c>
      <c r="F1736" s="1">
        <f t="shared" si="1936"/>
        <v>0</v>
      </c>
      <c r="G1736" s="1">
        <f t="shared" si="1936"/>
        <v>2.2092146298503836E-4</v>
      </c>
      <c r="H1736" s="1">
        <f t="shared" si="1936"/>
        <v>1.1834328101880158E-5</v>
      </c>
      <c r="I1736" s="1">
        <f t="shared" si="1936"/>
        <v>2.6303936650969924</v>
      </c>
      <c r="J1736" s="1">
        <f t="shared" si="1936"/>
        <v>2.6303936650969924</v>
      </c>
      <c r="K1736" s="1">
        <f t="shared" si="1936"/>
        <v>2.3695642962228614</v>
      </c>
      <c r="L1736" s="1">
        <f t="shared" ref="L1736:O1736" si="1948">L47</f>
        <v>2.5778446101196075</v>
      </c>
      <c r="M1736" s="1">
        <f t="shared" si="1948"/>
        <v>2.1910796576107789</v>
      </c>
      <c r="N1736" s="1">
        <f t="shared" si="1948"/>
        <v>2.8271205173448282</v>
      </c>
      <c r="O1736" s="1">
        <f t="shared" si="1948"/>
        <v>3.0221347597028227</v>
      </c>
      <c r="P1736" s="1">
        <f t="shared" si="1938"/>
        <v>3.7359214624151726</v>
      </c>
      <c r="Q1736" s="1">
        <f t="shared" si="1938"/>
        <v>4.032070333764902</v>
      </c>
      <c r="S1736" s="3"/>
    </row>
    <row r="1737" spans="2:19" x14ac:dyDescent="0.5">
      <c r="B1737" t="str">
        <f t="shared" si="1918"/>
        <v>SPS1</v>
      </c>
      <c r="C1737" t="str">
        <f t="shared" si="1919"/>
        <v>CH</v>
      </c>
      <c r="D1737" t="s">
        <v>1763</v>
      </c>
      <c r="E1737" t="str">
        <f t="shared" si="1920"/>
        <v>PJ/yr.</v>
      </c>
      <c r="F1737" s="1">
        <f t="shared" si="1936"/>
        <v>0</v>
      </c>
      <c r="G1737" s="1">
        <f t="shared" si="1936"/>
        <v>0</v>
      </c>
      <c r="H1737" s="1">
        <f t="shared" si="1936"/>
        <v>0</v>
      </c>
      <c r="I1737" s="1">
        <f t="shared" si="1936"/>
        <v>0</v>
      </c>
      <c r="J1737" s="1">
        <f t="shared" si="1936"/>
        <v>0.19672685224783582</v>
      </c>
      <c r="K1737" s="1">
        <f t="shared" si="1936"/>
        <v>0</v>
      </c>
      <c r="L1737" s="1">
        <f t="shared" ref="L1737:O1737" si="1949">L48</f>
        <v>0</v>
      </c>
      <c r="M1737" s="1">
        <f t="shared" si="1949"/>
        <v>0</v>
      </c>
      <c r="N1737" s="1">
        <f t="shared" si="1949"/>
        <v>0.90880094507034448</v>
      </c>
      <c r="O1737" s="1">
        <f t="shared" si="1949"/>
        <v>0</v>
      </c>
      <c r="P1737" s="1">
        <f t="shared" si="1938"/>
        <v>0.29614887134972934</v>
      </c>
      <c r="Q1737" s="1">
        <f t="shared" si="1938"/>
        <v>0.14772558458853169</v>
      </c>
      <c r="S1737" s="3"/>
    </row>
    <row r="1738" spans="2:19" x14ac:dyDescent="0.5">
      <c r="B1738" t="str">
        <f t="shared" si="1918"/>
        <v>SPS1</v>
      </c>
      <c r="C1738" t="str">
        <f t="shared" si="1919"/>
        <v>CH</v>
      </c>
      <c r="D1738" t="s">
        <v>1764</v>
      </c>
      <c r="E1738" t="str">
        <f t="shared" si="1920"/>
        <v>PJ/yr.</v>
      </c>
      <c r="F1738" s="1">
        <f t="shared" si="1936"/>
        <v>0</v>
      </c>
      <c r="G1738" s="1">
        <f t="shared" si="1936"/>
        <v>0</v>
      </c>
      <c r="H1738" s="1">
        <f t="shared" si="1936"/>
        <v>0</v>
      </c>
      <c r="I1738" s="1">
        <f t="shared" si="1936"/>
        <v>0</v>
      </c>
      <c r="J1738" s="1">
        <f t="shared" si="1936"/>
        <v>0.19672685224783582</v>
      </c>
      <c r="K1738" s="1">
        <f t="shared" si="1936"/>
        <v>0</v>
      </c>
      <c r="L1738" s="1">
        <f t="shared" ref="L1738:O1738" si="1950">L49</f>
        <v>0</v>
      </c>
      <c r="M1738" s="1">
        <f t="shared" si="1950"/>
        <v>0</v>
      </c>
      <c r="N1738" s="1">
        <f t="shared" si="1950"/>
        <v>0.90880094507034448</v>
      </c>
      <c r="O1738" s="1">
        <f t="shared" si="1950"/>
        <v>0</v>
      </c>
      <c r="P1738" s="1">
        <f t="shared" si="1938"/>
        <v>0.29614887134972934</v>
      </c>
      <c r="Q1738" s="1">
        <f t="shared" si="1938"/>
        <v>0.14772558458853169</v>
      </c>
      <c r="S1738" s="3"/>
    </row>
    <row r="1739" spans="2:19" x14ac:dyDescent="0.5">
      <c r="B1739" t="str">
        <f t="shared" si="1918"/>
        <v>SPS1</v>
      </c>
      <c r="C1739" t="str">
        <f t="shared" si="1919"/>
        <v>CH</v>
      </c>
      <c r="D1739" t="s">
        <v>1765</v>
      </c>
      <c r="E1739" t="str">
        <f t="shared" si="1920"/>
        <v>PJ/yr.</v>
      </c>
      <c r="F1739" s="1">
        <f t="shared" si="1936"/>
        <v>250.94845473400619</v>
      </c>
      <c r="G1739" s="1">
        <f t="shared" si="1936"/>
        <v>254.39266173624486</v>
      </c>
      <c r="H1739" s="1">
        <f t="shared" si="1936"/>
        <v>224.17755079030491</v>
      </c>
      <c r="I1739" s="1">
        <f t="shared" si="1936"/>
        <v>221.47213765894637</v>
      </c>
      <c r="J1739" s="1">
        <f t="shared" si="1936"/>
        <v>170.42371610197867</v>
      </c>
      <c r="K1739" s="1">
        <f t="shared" si="1936"/>
        <v>100.00506324824322</v>
      </c>
      <c r="L1739" s="1">
        <f t="shared" ref="L1739:O1739" si="1951">L50</f>
        <v>0</v>
      </c>
      <c r="M1739" s="1">
        <f t="shared" si="1951"/>
        <v>0</v>
      </c>
      <c r="N1739" s="1">
        <f t="shared" si="1951"/>
        <v>0</v>
      </c>
      <c r="O1739" s="1">
        <f t="shared" si="1951"/>
        <v>0</v>
      </c>
      <c r="P1739" s="1">
        <f t="shared" si="1938"/>
        <v>0</v>
      </c>
      <c r="Q1739" s="1">
        <f t="shared" si="1938"/>
        <v>0</v>
      </c>
      <c r="S1739" s="3"/>
    </row>
    <row r="1740" spans="2:19" x14ac:dyDescent="0.5">
      <c r="B1740" t="str">
        <f t="shared" si="1918"/>
        <v>SPS1</v>
      </c>
      <c r="C1740" t="str">
        <f t="shared" si="1919"/>
        <v>CH</v>
      </c>
      <c r="D1740" t="s">
        <v>1766</v>
      </c>
      <c r="E1740" t="str">
        <f t="shared" si="1920"/>
        <v>PJ/yr.</v>
      </c>
      <c r="F1740" s="1">
        <f>-F58+F51</f>
        <v>-20.00999995803258</v>
      </c>
      <c r="G1740" s="1">
        <f t="shared" ref="G1740:K1740" si="1952">-G58+G51</f>
        <v>14.741006650008423</v>
      </c>
      <c r="H1740" s="1">
        <f t="shared" si="1952"/>
        <v>-3.7093548340091047</v>
      </c>
      <c r="I1740" s="1">
        <f t="shared" si="1952"/>
        <v>-1.9999969825235553</v>
      </c>
      <c r="J1740" s="1">
        <f t="shared" si="1952"/>
        <v>-1.9999872278141311</v>
      </c>
      <c r="K1740" s="1">
        <f t="shared" si="1952"/>
        <v>-1.9999961214748581</v>
      </c>
      <c r="L1740" s="1">
        <f t="shared" ref="L1740:O1740" si="1953">-L58+L51</f>
        <v>2.5657065611813294</v>
      </c>
      <c r="M1740" s="1">
        <f t="shared" si="1953"/>
        <v>-1.999988526218722</v>
      </c>
      <c r="N1740" s="1">
        <f t="shared" si="1953"/>
        <v>-1.9999909465520389</v>
      </c>
      <c r="O1740" s="1">
        <f t="shared" si="1953"/>
        <v>-1.9999903247797164</v>
      </c>
      <c r="P1740" s="1">
        <f>-P58+P51</f>
        <v>-1.9999907708004088</v>
      </c>
      <c r="Q1740" s="1">
        <f>-Q58+Q51</f>
        <v>-1.9999907337231519</v>
      </c>
      <c r="S1740" s="3"/>
    </row>
    <row r="1741" spans="2:19" x14ac:dyDescent="0.5">
      <c r="B1741" t="str">
        <f t="shared" si="1918"/>
        <v>SPS1</v>
      </c>
      <c r="C1741" t="str">
        <f t="shared" si="1919"/>
        <v>CH</v>
      </c>
      <c r="D1741" t="s">
        <v>1767</v>
      </c>
      <c r="E1741" t="str">
        <f t="shared" si="1920"/>
        <v>PJ/yr.</v>
      </c>
      <c r="F1741" s="1">
        <f t="shared" ref="F1741:K1741" si="1954">F56</f>
        <v>0</v>
      </c>
      <c r="G1741" s="1">
        <f t="shared" si="1954"/>
        <v>0</v>
      </c>
      <c r="H1741" s="1">
        <f t="shared" si="1954"/>
        <v>0</v>
      </c>
      <c r="I1741" s="1">
        <f t="shared" si="1954"/>
        <v>0</v>
      </c>
      <c r="J1741" s="1">
        <f t="shared" si="1954"/>
        <v>0</v>
      </c>
      <c r="K1741" s="1">
        <f t="shared" si="1954"/>
        <v>0.80857557047202255</v>
      </c>
      <c r="L1741" s="1">
        <f t="shared" ref="L1741:O1741" si="1955">L56</f>
        <v>1.5698389320461521</v>
      </c>
      <c r="M1741" s="1">
        <f t="shared" si="1955"/>
        <v>2.3378154708861606E-5</v>
      </c>
      <c r="N1741" s="1">
        <f t="shared" si="1955"/>
        <v>5.69692420270985E-5</v>
      </c>
      <c r="O1741" s="1">
        <f t="shared" si="1955"/>
        <v>8.3549955596580024E-5</v>
      </c>
      <c r="P1741" s="1">
        <f>P56</f>
        <v>8.0923795820748884E-5</v>
      </c>
      <c r="Q1741" s="1">
        <f>Q56</f>
        <v>1.0424603246943406E-4</v>
      </c>
      <c r="S1741" s="3"/>
    </row>
    <row r="1742" spans="2:19" x14ac:dyDescent="0.5">
      <c r="B1742" t="str">
        <f t="shared" si="1918"/>
        <v>SPS1</v>
      </c>
      <c r="C1742" t="str">
        <f t="shared" si="1919"/>
        <v>CH</v>
      </c>
      <c r="D1742" t="s">
        <v>1769</v>
      </c>
      <c r="E1742" t="str">
        <f t="shared" ref="E1742:K1751" si="1956">E3</f>
        <v>PJ/yr.</v>
      </c>
      <c r="F1742" s="1">
        <f t="shared" si="1956"/>
        <v>46.333876478346639</v>
      </c>
      <c r="G1742" s="1">
        <f t="shared" si="1956"/>
        <v>50.490577321213451</v>
      </c>
      <c r="H1742" s="1">
        <f t="shared" si="1956"/>
        <v>50.490588688230645</v>
      </c>
      <c r="I1742" s="1">
        <f t="shared" si="1956"/>
        <v>50.493247419083104</v>
      </c>
      <c r="J1742" s="1">
        <f t="shared" si="1956"/>
        <v>50.495324975738086</v>
      </c>
      <c r="K1742" s="1">
        <f t="shared" si="1956"/>
        <v>53.853611814190998</v>
      </c>
      <c r="L1742" s="1">
        <f t="shared" ref="L1742:O1742" si="1957">L3</f>
        <v>68.069844569058546</v>
      </c>
      <c r="M1742" s="1">
        <f t="shared" si="1957"/>
        <v>68.101973535723346</v>
      </c>
      <c r="N1742" s="1">
        <f t="shared" si="1957"/>
        <v>68.10190319299663</v>
      </c>
      <c r="O1742" s="1">
        <f t="shared" si="1957"/>
        <v>68.101884200643781</v>
      </c>
      <c r="P1742" s="1">
        <f t="shared" ref="P1742:Q1758" si="1958">P3</f>
        <v>68.101896329356535</v>
      </c>
      <c r="Q1742" s="1">
        <f t="shared" si="1958"/>
        <v>68.10189154638465</v>
      </c>
      <c r="S1742" s="3"/>
    </row>
    <row r="1743" spans="2:19" x14ac:dyDescent="0.5">
      <c r="B1743" t="str">
        <f t="shared" si="1918"/>
        <v>SPS1</v>
      </c>
      <c r="C1743" t="str">
        <f t="shared" si="1919"/>
        <v>CH</v>
      </c>
      <c r="D1743" t="s">
        <v>1770</v>
      </c>
      <c r="E1743" t="str">
        <f t="shared" si="1956"/>
        <v>PJ/yr.</v>
      </c>
      <c r="F1743" s="1">
        <f t="shared" si="1956"/>
        <v>11.111902888654518</v>
      </c>
      <c r="G1743" s="1">
        <f t="shared" si="1956"/>
        <v>11.952908097576151</v>
      </c>
      <c r="H1743" s="1">
        <f t="shared" si="1956"/>
        <v>13.357217929306096</v>
      </c>
      <c r="I1743" s="1">
        <f t="shared" si="1956"/>
        <v>15.65618321910493</v>
      </c>
      <c r="J1743" s="1">
        <f t="shared" si="1956"/>
        <v>16.424591048669345</v>
      </c>
      <c r="K1743" s="1">
        <f t="shared" si="1956"/>
        <v>17.113675693398491</v>
      </c>
      <c r="L1743" s="1">
        <f t="shared" ref="L1743:O1743" si="1959">L4</f>
        <v>17.771681113264421</v>
      </c>
      <c r="M1743" s="1">
        <f t="shared" si="1959"/>
        <v>18.429710248582623</v>
      </c>
      <c r="N1743" s="1">
        <f t="shared" si="1959"/>
        <v>18.341199840226128</v>
      </c>
      <c r="O1743" s="1">
        <f t="shared" si="1959"/>
        <v>18.252688705473137</v>
      </c>
      <c r="P1743" s="1">
        <f t="shared" si="1958"/>
        <v>18.16419450267491</v>
      </c>
      <c r="Q1743" s="1">
        <f t="shared" si="1958"/>
        <v>18.075697788836447</v>
      </c>
      <c r="S1743" s="3"/>
    </row>
    <row r="1744" spans="2:19" x14ac:dyDescent="0.5">
      <c r="B1744" t="str">
        <f t="shared" si="1918"/>
        <v>SPS1</v>
      </c>
      <c r="C1744" t="str">
        <f t="shared" si="1919"/>
        <v>CH</v>
      </c>
      <c r="D1744" t="s">
        <v>1771</v>
      </c>
      <c r="E1744" t="str">
        <f t="shared" si="1956"/>
        <v>PJ/yr.</v>
      </c>
      <c r="F1744" s="1">
        <f t="shared" si="1956"/>
        <v>7.5116959111787738</v>
      </c>
      <c r="G1744" s="1">
        <f t="shared" si="1956"/>
        <v>7.5431658055464093</v>
      </c>
      <c r="H1744" s="1">
        <f t="shared" si="1956"/>
        <v>7.5903709349104389</v>
      </c>
      <c r="I1744" s="1">
        <f t="shared" si="1956"/>
        <v>7.6690517457443956</v>
      </c>
      <c r="J1744" s="1">
        <f t="shared" si="1956"/>
        <v>7.6690477891725077</v>
      </c>
      <c r="K1744" s="1">
        <f t="shared" si="1956"/>
        <v>7.6690598814023891</v>
      </c>
      <c r="L1744" s="1">
        <f t="shared" ref="L1744:O1744" si="1960">L5</f>
        <v>7.6690514812027137</v>
      </c>
      <c r="M1744" s="1">
        <f t="shared" si="1960"/>
        <v>7.6690671389012595</v>
      </c>
      <c r="N1744" s="1">
        <f t="shared" si="1960"/>
        <v>7.6690561219346325</v>
      </c>
      <c r="O1744" s="1">
        <f t="shared" si="1960"/>
        <v>7.6690460755043288</v>
      </c>
      <c r="P1744" s="1">
        <f t="shared" si="1958"/>
        <v>7.6690509707328598</v>
      </c>
      <c r="Q1744" s="1">
        <f t="shared" si="1958"/>
        <v>7.6690541735422393</v>
      </c>
      <c r="S1744" s="3"/>
    </row>
    <row r="1745" spans="2:19" x14ac:dyDescent="0.5">
      <c r="B1745" t="str">
        <f t="shared" si="1918"/>
        <v>SPS1</v>
      </c>
      <c r="C1745" t="str">
        <f t="shared" si="1919"/>
        <v>CH</v>
      </c>
      <c r="D1745" t="s">
        <v>1772</v>
      </c>
      <c r="E1745" t="str">
        <f t="shared" si="1956"/>
        <v>PJ/yr.</v>
      </c>
      <c r="F1745" s="1">
        <f t="shared" si="1956"/>
        <v>3.1682696594764166</v>
      </c>
      <c r="G1745" s="1">
        <f t="shared" si="1956"/>
        <v>3.4956961672834042</v>
      </c>
      <c r="H1745" s="1">
        <f t="shared" si="1956"/>
        <v>3.9868362492396967</v>
      </c>
      <c r="I1745" s="1">
        <f t="shared" si="1956"/>
        <v>4.8054097350017244</v>
      </c>
      <c r="J1745" s="1">
        <f t="shared" si="1956"/>
        <v>4.8054046790013789</v>
      </c>
      <c r="K1745" s="1">
        <f t="shared" si="1956"/>
        <v>4.8054182788489959</v>
      </c>
      <c r="L1745" s="1">
        <f t="shared" ref="L1745:O1745" si="1961">L6</f>
        <v>4.8054101475728013</v>
      </c>
      <c r="M1745" s="1">
        <f t="shared" si="1961"/>
        <v>4.8054249933639133</v>
      </c>
      <c r="N1745" s="1">
        <f t="shared" si="1961"/>
        <v>4.8054147137772771</v>
      </c>
      <c r="O1745" s="1">
        <f t="shared" si="1961"/>
        <v>4.8054043567307003</v>
      </c>
      <c r="P1745" s="1">
        <f t="shared" si="1958"/>
        <v>4.8054090989910385</v>
      </c>
      <c r="Q1745" s="1">
        <f t="shared" si="1958"/>
        <v>4.8054134797873349</v>
      </c>
      <c r="S1745" s="3"/>
    </row>
    <row r="1746" spans="2:19" x14ac:dyDescent="0.5">
      <c r="B1746" t="str">
        <f t="shared" si="1918"/>
        <v>SPS1</v>
      </c>
      <c r="C1746" t="str">
        <f t="shared" si="1919"/>
        <v>CH</v>
      </c>
      <c r="D1746" t="s">
        <v>1773</v>
      </c>
      <c r="E1746" t="str">
        <f t="shared" si="1956"/>
        <v>PJ/yr.</v>
      </c>
      <c r="F1746" s="1">
        <f t="shared" si="1956"/>
        <v>24.542008019036928</v>
      </c>
      <c r="G1746" s="1">
        <f t="shared" si="1956"/>
        <v>27.498807250807488</v>
      </c>
      <c r="H1746" s="1">
        <f t="shared" si="1956"/>
        <v>25.556163574774413</v>
      </c>
      <c r="I1746" s="1">
        <f t="shared" si="1956"/>
        <v>22.362602719232051</v>
      </c>
      <c r="J1746" s="1">
        <f t="shared" si="1956"/>
        <v>21.596281458894858</v>
      </c>
      <c r="K1746" s="1">
        <f t="shared" si="1956"/>
        <v>24.265457960541116</v>
      </c>
      <c r="L1746" s="1">
        <f t="shared" ref="L1746:O1746" si="1962">L7</f>
        <v>37.823701827018617</v>
      </c>
      <c r="M1746" s="1">
        <f t="shared" si="1962"/>
        <v>37.197771154875547</v>
      </c>
      <c r="N1746" s="1">
        <f t="shared" si="1962"/>
        <v>37.286232517058586</v>
      </c>
      <c r="O1746" s="1">
        <f t="shared" si="1962"/>
        <v>37.374745062935617</v>
      </c>
      <c r="P1746" s="1">
        <f t="shared" si="1958"/>
        <v>37.463241756957729</v>
      </c>
      <c r="Q1746" s="1">
        <f t="shared" si="1958"/>
        <v>37.551726104218631</v>
      </c>
      <c r="S1746" s="3"/>
    </row>
    <row r="1747" spans="2:19" x14ac:dyDescent="0.5">
      <c r="B1747" t="str">
        <f t="shared" si="1918"/>
        <v>SPS1</v>
      </c>
      <c r="C1747" t="str">
        <f t="shared" si="1919"/>
        <v>CH</v>
      </c>
      <c r="D1747" t="s">
        <v>1774</v>
      </c>
      <c r="E1747" t="str">
        <f t="shared" si="1956"/>
        <v>PJ/yr.</v>
      </c>
      <c r="F1747" s="1">
        <f t="shared" si="1956"/>
        <v>70.032736504551735</v>
      </c>
      <c r="G1747" s="1">
        <f t="shared" si="1956"/>
        <v>70.331975914083429</v>
      </c>
      <c r="H1747" s="1">
        <f t="shared" si="1956"/>
        <v>70.124875107140525</v>
      </c>
      <c r="I1747" s="1">
        <f t="shared" si="1956"/>
        <v>69.140510438029622</v>
      </c>
      <c r="J1747" s="1">
        <f t="shared" si="1956"/>
        <v>69.0406422629746</v>
      </c>
      <c r="K1747" s="1">
        <f t="shared" si="1956"/>
        <v>78.225019551521143</v>
      </c>
      <c r="L1747" s="1">
        <f t="shared" ref="L1747:O1747" si="1963">L8</f>
        <v>80.556331808824666</v>
      </c>
      <c r="M1747" s="1">
        <f t="shared" si="1963"/>
        <v>83.828076397947697</v>
      </c>
      <c r="N1747" s="1">
        <f t="shared" si="1963"/>
        <v>81.469886677267738</v>
      </c>
      <c r="O1747" s="1">
        <f t="shared" si="1963"/>
        <v>81.609771597662558</v>
      </c>
      <c r="P1747" s="1">
        <f t="shared" si="1958"/>
        <v>81.579233285582632</v>
      </c>
      <c r="Q1747" s="1">
        <f t="shared" si="1958"/>
        <v>81.639441011176274</v>
      </c>
      <c r="S1747" s="3"/>
    </row>
    <row r="1748" spans="2:19" x14ac:dyDescent="0.5">
      <c r="B1748" t="str">
        <f t="shared" si="1918"/>
        <v>SPS1</v>
      </c>
      <c r="C1748" t="str">
        <f t="shared" si="1919"/>
        <v>CH</v>
      </c>
      <c r="D1748" t="s">
        <v>1775</v>
      </c>
      <c r="E1748" t="str">
        <f t="shared" si="1956"/>
        <v>PJ/yr.</v>
      </c>
      <c r="F1748" s="1">
        <f t="shared" si="1956"/>
        <v>35.931914866006736</v>
      </c>
      <c r="G1748" s="1">
        <f t="shared" si="1956"/>
        <v>36.231421704266943</v>
      </c>
      <c r="H1748" s="1">
        <f t="shared" si="1956"/>
        <v>36.02193067314635</v>
      </c>
      <c r="I1748" s="1">
        <f t="shared" si="1956"/>
        <v>35.039995919345017</v>
      </c>
      <c r="J1748" s="1">
        <f t="shared" si="1956"/>
        <v>34.93764216276562</v>
      </c>
      <c r="K1748" s="1">
        <f t="shared" si="1956"/>
        <v>37.252116491137812</v>
      </c>
      <c r="L1748" s="1">
        <f t="shared" ref="L1748:O1748" si="1964">L9</f>
        <v>37.696583714534064</v>
      </c>
      <c r="M1748" s="1">
        <f t="shared" si="1964"/>
        <v>39.221674637269835</v>
      </c>
      <c r="N1748" s="1">
        <f t="shared" si="1964"/>
        <v>36.862731074510236</v>
      </c>
      <c r="O1748" s="1">
        <f t="shared" si="1964"/>
        <v>36.308313989107752</v>
      </c>
      <c r="P1748" s="1">
        <f t="shared" si="1958"/>
        <v>36.27776731966069</v>
      </c>
      <c r="Q1748" s="1">
        <f t="shared" si="1958"/>
        <v>36.304968761199234</v>
      </c>
      <c r="S1748" s="3"/>
    </row>
    <row r="1749" spans="2:19" x14ac:dyDescent="0.5">
      <c r="B1749" t="str">
        <f t="shared" si="1918"/>
        <v>SPS1</v>
      </c>
      <c r="C1749" t="str">
        <f t="shared" si="1919"/>
        <v>CH</v>
      </c>
      <c r="D1749" t="s">
        <v>1776</v>
      </c>
      <c r="E1749" t="str">
        <f t="shared" si="1956"/>
        <v>PJ/yr.</v>
      </c>
      <c r="F1749" s="1">
        <f t="shared" si="1956"/>
        <v>34.100821638544993</v>
      </c>
      <c r="G1749" s="1">
        <f t="shared" si="1956"/>
        <v>34.100554209816487</v>
      </c>
      <c r="H1749" s="1">
        <f t="shared" si="1956"/>
        <v>34.102944433994168</v>
      </c>
      <c r="I1749" s="1">
        <f t="shared" si="1956"/>
        <v>34.100514518684605</v>
      </c>
      <c r="J1749" s="1">
        <f t="shared" si="1956"/>
        <v>34.10300010020898</v>
      </c>
      <c r="K1749" s="1">
        <f t="shared" si="1956"/>
        <v>40.972903060383324</v>
      </c>
      <c r="L1749" s="1">
        <f t="shared" ref="L1749:O1749" si="1965">L10</f>
        <v>42.859748094290602</v>
      </c>
      <c r="M1749" s="1">
        <f t="shared" si="1965"/>
        <v>44.606401760677862</v>
      </c>
      <c r="N1749" s="1">
        <f t="shared" si="1965"/>
        <v>44.607155602757508</v>
      </c>
      <c r="O1749" s="1">
        <f t="shared" si="1965"/>
        <v>45.301457608554813</v>
      </c>
      <c r="P1749" s="1">
        <f t="shared" si="1958"/>
        <v>45.301465965921942</v>
      </c>
      <c r="Q1749" s="1">
        <f t="shared" si="1958"/>
        <v>45.334472249977047</v>
      </c>
      <c r="S1749" s="3"/>
    </row>
    <row r="1750" spans="2:19" x14ac:dyDescent="0.5">
      <c r="B1750" t="str">
        <f t="shared" si="1918"/>
        <v>SPS1</v>
      </c>
      <c r="C1750" t="str">
        <f t="shared" si="1919"/>
        <v>CH</v>
      </c>
      <c r="D1750" t="s">
        <v>1777</v>
      </c>
      <c r="E1750" t="str">
        <f t="shared" si="1956"/>
        <v>PJ/yr.</v>
      </c>
      <c r="F1750" s="1">
        <f t="shared" si="1956"/>
        <v>3.7981634609877606</v>
      </c>
      <c r="G1750" s="1">
        <f t="shared" si="1956"/>
        <v>11.252286127554454</v>
      </c>
      <c r="H1750" s="1">
        <f t="shared" si="1956"/>
        <v>12.540446220780618</v>
      </c>
      <c r="I1750" s="1">
        <f t="shared" si="1956"/>
        <v>12.540493368836378</v>
      </c>
      <c r="J1750" s="1">
        <f t="shared" si="1956"/>
        <v>12.540499869310899</v>
      </c>
      <c r="K1750" s="1">
        <f t="shared" si="1956"/>
        <v>12.566494609810103</v>
      </c>
      <c r="L1750" s="1">
        <f t="shared" ref="L1750:O1750" si="1966">L11</f>
        <v>14.662043630112278</v>
      </c>
      <c r="M1750" s="1">
        <f t="shared" si="1966"/>
        <v>19.704721262425913</v>
      </c>
      <c r="N1750" s="1">
        <f t="shared" si="1966"/>
        <v>19.704732848406962</v>
      </c>
      <c r="O1750" s="1">
        <f t="shared" si="1966"/>
        <v>26.287343923222505</v>
      </c>
      <c r="P1750" s="1">
        <f t="shared" si="1958"/>
        <v>26.287369045745869</v>
      </c>
      <c r="Q1750" s="1">
        <f t="shared" si="1958"/>
        <v>26.288441662101629</v>
      </c>
      <c r="S1750" s="3"/>
    </row>
    <row r="1751" spans="2:19" x14ac:dyDescent="0.5">
      <c r="B1751" t="str">
        <f t="shared" si="1918"/>
        <v>SPS1</v>
      </c>
      <c r="C1751" t="str">
        <f t="shared" si="1919"/>
        <v>CH</v>
      </c>
      <c r="D1751" t="s">
        <v>1778</v>
      </c>
      <c r="E1751" t="str">
        <f t="shared" si="1956"/>
        <v>PJ/yr.</v>
      </c>
      <c r="F1751" s="1">
        <f t="shared" si="1956"/>
        <v>149.43059337480662</v>
      </c>
      <c r="G1751" s="1">
        <f t="shared" si="1956"/>
        <v>125.6135373350977</v>
      </c>
      <c r="H1751" s="1">
        <f t="shared" si="1956"/>
        <v>136.72851371781385</v>
      </c>
      <c r="I1751" s="1">
        <f t="shared" si="1956"/>
        <v>151.8587986691914</v>
      </c>
      <c r="J1751" s="1">
        <f t="shared" si="1956"/>
        <v>152.7984553986376</v>
      </c>
      <c r="K1751" s="1">
        <f t="shared" si="1956"/>
        <v>155.24931358623027</v>
      </c>
      <c r="L1751" s="1">
        <f t="shared" ref="L1751:O1751" si="1967">L12</f>
        <v>157.35810234559594</v>
      </c>
      <c r="M1751" s="1">
        <f t="shared" si="1967"/>
        <v>159.61656544504115</v>
      </c>
      <c r="N1751" s="1">
        <f t="shared" si="1967"/>
        <v>160.22837810981682</v>
      </c>
      <c r="O1751" s="1">
        <f t="shared" si="1967"/>
        <v>159.77001382162845</v>
      </c>
      <c r="P1751" s="1">
        <f t="shared" si="1958"/>
        <v>159.69766320955407</v>
      </c>
      <c r="Q1751" s="1">
        <f t="shared" si="1958"/>
        <v>159.73738471343759</v>
      </c>
      <c r="S1751" s="3"/>
    </row>
    <row r="1752" spans="2:19" x14ac:dyDescent="0.5">
      <c r="B1752" t="str">
        <f t="shared" si="1918"/>
        <v>SPS1</v>
      </c>
      <c r="C1752" t="str">
        <f t="shared" si="1919"/>
        <v>CH</v>
      </c>
      <c r="D1752" t="s">
        <v>1779</v>
      </c>
      <c r="E1752" t="str">
        <f t="shared" ref="E1752:K1758" si="1968">E13</f>
        <v>PJ/yr.</v>
      </c>
      <c r="F1752" s="1">
        <f t="shared" si="1968"/>
        <v>66.745708281990133</v>
      </c>
      <c r="G1752" s="1">
        <f t="shared" si="1968"/>
        <v>49.79887989838307</v>
      </c>
      <c r="H1752" s="1">
        <f t="shared" si="1968"/>
        <v>68.897628517817694</v>
      </c>
      <c r="I1752" s="1">
        <f t="shared" si="1968"/>
        <v>67.436176323598133</v>
      </c>
      <c r="J1752" s="1">
        <f t="shared" si="1968"/>
        <v>69.602693607232482</v>
      </c>
      <c r="K1752" s="1">
        <f t="shared" si="1968"/>
        <v>72.110610586777625</v>
      </c>
      <c r="L1752" s="1">
        <f t="shared" ref="L1752:O1752" si="1969">L13</f>
        <v>74.384203130425917</v>
      </c>
      <c r="M1752" s="1">
        <f t="shared" si="1969"/>
        <v>74.836122087372644</v>
      </c>
      <c r="N1752" s="1">
        <f t="shared" si="1969"/>
        <v>74.836120767225623</v>
      </c>
      <c r="O1752" s="1">
        <f t="shared" si="1969"/>
        <v>74.836121311270801</v>
      </c>
      <c r="P1752" s="1">
        <f t="shared" si="1958"/>
        <v>74.836121465747624</v>
      </c>
      <c r="Q1752" s="1">
        <f t="shared" si="1958"/>
        <v>74.836110192055827</v>
      </c>
      <c r="S1752" s="3"/>
    </row>
    <row r="1753" spans="2:19" x14ac:dyDescent="0.5">
      <c r="B1753" t="str">
        <f t="shared" si="1918"/>
        <v>SPS1</v>
      </c>
      <c r="C1753" t="str">
        <f t="shared" si="1919"/>
        <v>CH</v>
      </c>
      <c r="D1753" t="s">
        <v>1780</v>
      </c>
      <c r="E1753" t="str">
        <f t="shared" si="1968"/>
        <v>PJ/yr.</v>
      </c>
      <c r="F1753" s="1">
        <f t="shared" si="1968"/>
        <v>66.632456704505273</v>
      </c>
      <c r="G1753" s="1">
        <f t="shared" si="1968"/>
        <v>55.764165713605053</v>
      </c>
      <c r="H1753" s="1">
        <f t="shared" si="1968"/>
        <v>65.579025810201756</v>
      </c>
      <c r="I1753" s="1">
        <f t="shared" si="1968"/>
        <v>67.20614308569202</v>
      </c>
      <c r="J1753" s="1">
        <f t="shared" si="1968"/>
        <v>66.883813285455119</v>
      </c>
      <c r="K1753" s="1">
        <f t="shared" si="1968"/>
        <v>66.204245097786654</v>
      </c>
      <c r="L1753" s="1">
        <f t="shared" ref="L1753:O1753" si="1970">L14</f>
        <v>65.605812293477044</v>
      </c>
      <c r="M1753" s="1">
        <f t="shared" si="1970"/>
        <v>67.134916696870022</v>
      </c>
      <c r="N1753" s="1">
        <f t="shared" si="1970"/>
        <v>67.134923157520916</v>
      </c>
      <c r="O1753" s="1">
        <f t="shared" si="1970"/>
        <v>67.13494239530003</v>
      </c>
      <c r="P1753" s="1">
        <f t="shared" si="1958"/>
        <v>67.1349506734133</v>
      </c>
      <c r="Q1753" s="1">
        <f t="shared" si="1958"/>
        <v>67.134986787595707</v>
      </c>
      <c r="S1753" s="3"/>
    </row>
    <row r="1754" spans="2:19" x14ac:dyDescent="0.5">
      <c r="B1754" t="str">
        <f t="shared" si="1918"/>
        <v>SPS1</v>
      </c>
      <c r="C1754" t="str">
        <f t="shared" si="1919"/>
        <v>CH</v>
      </c>
      <c r="D1754" t="s">
        <v>1781</v>
      </c>
      <c r="E1754" t="str">
        <f t="shared" si="1968"/>
        <v>PJ/yr.</v>
      </c>
      <c r="F1754" s="1">
        <f t="shared" si="1968"/>
        <v>16.052428388311217</v>
      </c>
      <c r="G1754" s="1">
        <f t="shared" si="1968"/>
        <v>20.05049172310958</v>
      </c>
      <c r="H1754" s="1">
        <f t="shared" si="1968"/>
        <v>2.2518593897944266</v>
      </c>
      <c r="I1754" s="1">
        <f t="shared" si="1968"/>
        <v>17.21647925990122</v>
      </c>
      <c r="J1754" s="1">
        <f t="shared" si="1968"/>
        <v>16.311948505949989</v>
      </c>
      <c r="K1754" s="1">
        <f t="shared" si="1968"/>
        <v>16.934457901665986</v>
      </c>
      <c r="L1754" s="1">
        <f t="shared" ref="L1754:O1754" si="1971">L15</f>
        <v>17.368086921693003</v>
      </c>
      <c r="M1754" s="1">
        <f t="shared" si="1971"/>
        <v>17.645526660798485</v>
      </c>
      <c r="N1754" s="1">
        <f t="shared" si="1971"/>
        <v>18.257334185070285</v>
      </c>
      <c r="O1754" s="1">
        <f t="shared" si="1971"/>
        <v>17.798950115057636</v>
      </c>
      <c r="P1754" s="1">
        <f t="shared" si="1958"/>
        <v>17.726591070393145</v>
      </c>
      <c r="Q1754" s="1">
        <f t="shared" si="1958"/>
        <v>17.766287733786076</v>
      </c>
      <c r="S1754" s="3"/>
    </row>
    <row r="1755" spans="2:19" x14ac:dyDescent="0.5">
      <c r="B1755" t="str">
        <f t="shared" si="1918"/>
        <v>SPS1</v>
      </c>
      <c r="C1755" t="str">
        <f t="shared" si="1919"/>
        <v>CH</v>
      </c>
      <c r="D1755" t="s">
        <v>1782</v>
      </c>
      <c r="E1755" t="str">
        <f t="shared" si="1968"/>
        <v>PJ/yr.</v>
      </c>
      <c r="F1755" s="1">
        <f t="shared" si="1968"/>
        <v>12.556494257032776</v>
      </c>
      <c r="G1755" s="1">
        <f t="shared" si="1968"/>
        <v>16.522306445645874</v>
      </c>
      <c r="H1755" s="1">
        <f t="shared" si="1968"/>
        <v>32.05398651432921</v>
      </c>
      <c r="I1755" s="1">
        <f t="shared" si="1968"/>
        <v>50.377630975325346</v>
      </c>
      <c r="J1755" s="1">
        <f t="shared" si="1968"/>
        <v>81.469108322648992</v>
      </c>
      <c r="K1755" s="1">
        <f t="shared" si="1968"/>
        <v>132.06503396131743</v>
      </c>
      <c r="L1755" s="1">
        <f t="shared" ref="L1755:O1755" si="1972">L16</f>
        <v>161.64713133033644</v>
      </c>
      <c r="M1755" s="1">
        <f t="shared" si="1972"/>
        <v>177.45154684417281</v>
      </c>
      <c r="N1755" s="1">
        <f t="shared" si="1972"/>
        <v>180.00065400154011</v>
      </c>
      <c r="O1755" s="1">
        <f t="shared" si="1972"/>
        <v>180.00078999116968</v>
      </c>
      <c r="P1755" s="1">
        <f t="shared" si="1958"/>
        <v>180.00080694433231</v>
      </c>
      <c r="Q1755" s="1">
        <f t="shared" si="1958"/>
        <v>180.00178861996113</v>
      </c>
      <c r="S1755" s="3"/>
    </row>
    <row r="1756" spans="2:19" x14ac:dyDescent="0.5">
      <c r="B1756" t="str">
        <f t="shared" si="1918"/>
        <v>SPS1</v>
      </c>
      <c r="C1756" t="str">
        <f t="shared" si="1919"/>
        <v>CH</v>
      </c>
      <c r="D1756" t="s">
        <v>1783</v>
      </c>
      <c r="E1756" t="str">
        <f t="shared" si="1968"/>
        <v>PJ/yr.</v>
      </c>
      <c r="F1756" s="1">
        <f t="shared" si="1968"/>
        <v>0.52414210879104983</v>
      </c>
      <c r="G1756" s="1">
        <f t="shared" si="1968"/>
        <v>0.54543376309213754</v>
      </c>
      <c r="H1756" s="1">
        <f t="shared" si="1968"/>
        <v>0.50330636151404029</v>
      </c>
      <c r="I1756" s="1">
        <f t="shared" si="1968"/>
        <v>2.0503792399281515</v>
      </c>
      <c r="J1756" s="1">
        <f t="shared" si="1968"/>
        <v>3.6359514579086256</v>
      </c>
      <c r="K1756" s="1">
        <f t="shared" si="1968"/>
        <v>4.675342293139269</v>
      </c>
      <c r="L1756" s="1">
        <f t="shared" ref="L1756:O1756" si="1973">L17</f>
        <v>10.311689705681093</v>
      </c>
      <c r="M1756" s="1">
        <f t="shared" si="1973"/>
        <v>15.577746719220137</v>
      </c>
      <c r="N1756" s="1">
        <f t="shared" si="1973"/>
        <v>15.585700258166</v>
      </c>
      <c r="O1756" s="1">
        <f t="shared" si="1973"/>
        <v>15.596492887893234</v>
      </c>
      <c r="P1756" s="1">
        <f t="shared" si="1958"/>
        <v>15.596771279244715</v>
      </c>
      <c r="Q1756" s="1">
        <f t="shared" si="1958"/>
        <v>15.619187937074891</v>
      </c>
      <c r="S1756" s="3"/>
    </row>
    <row r="1757" spans="2:19" x14ac:dyDescent="0.5">
      <c r="B1757" t="str">
        <f t="shared" si="1918"/>
        <v>SPS1</v>
      </c>
      <c r="C1757" t="str">
        <f t="shared" si="1919"/>
        <v>CH</v>
      </c>
      <c r="D1757" t="s">
        <v>1784</v>
      </c>
      <c r="E1757" t="str">
        <f t="shared" si="1968"/>
        <v>PJ/yr.</v>
      </c>
      <c r="F1757" s="1">
        <f t="shared" si="1968"/>
        <v>18.873134262307417</v>
      </c>
      <c r="G1757" s="1">
        <f t="shared" si="1968"/>
        <v>22.216943256434529</v>
      </c>
      <c r="H1757" s="1">
        <f t="shared" si="1968"/>
        <v>26.844174396951175</v>
      </c>
      <c r="I1757" s="1">
        <f t="shared" si="1968"/>
        <v>39.091081103360459</v>
      </c>
      <c r="J1757" s="1">
        <f t="shared" si="1968"/>
        <v>58.786229067903733</v>
      </c>
      <c r="K1757" s="1">
        <f t="shared" si="1968"/>
        <v>75.563653264019507</v>
      </c>
      <c r="L1757" s="1">
        <f t="shared" ref="L1757:O1757" si="1974">L18</f>
        <v>82.060366353783635</v>
      </c>
      <c r="M1757" s="1">
        <f t="shared" si="1974"/>
        <v>93.003192857377684</v>
      </c>
      <c r="N1757" s="1">
        <f t="shared" si="1974"/>
        <v>95.73878750428409</v>
      </c>
      <c r="O1757" s="1">
        <f t="shared" si="1974"/>
        <v>98.601456610147537</v>
      </c>
      <c r="P1757" s="1">
        <f t="shared" si="1958"/>
        <v>98.244370116601857</v>
      </c>
      <c r="Q1757" s="1">
        <f t="shared" si="1958"/>
        <v>99.739617083862129</v>
      </c>
      <c r="S1757" s="3"/>
    </row>
    <row r="1758" spans="2:19" x14ac:dyDescent="0.5">
      <c r="B1758" t="str">
        <f t="shared" si="1918"/>
        <v>SPS1</v>
      </c>
      <c r="C1758" t="str">
        <f t="shared" si="1919"/>
        <v>CH</v>
      </c>
      <c r="D1758" t="s">
        <v>1785</v>
      </c>
      <c r="E1758" t="str">
        <f t="shared" si="1968"/>
        <v>PJ/yr.</v>
      </c>
      <c r="F1758" s="1">
        <f t="shared" si="1968"/>
        <v>0</v>
      </c>
      <c r="G1758" s="1">
        <f t="shared" si="1968"/>
        <v>0</v>
      </c>
      <c r="H1758" s="1">
        <f t="shared" si="1968"/>
        <v>0</v>
      </c>
      <c r="I1758" s="1">
        <f t="shared" si="1968"/>
        <v>0</v>
      </c>
      <c r="J1758" s="1">
        <f t="shared" si="1968"/>
        <v>0</v>
      </c>
      <c r="K1758" s="1">
        <f t="shared" si="1968"/>
        <v>2.4338017361466334E-3</v>
      </c>
      <c r="L1758" s="1">
        <f t="shared" ref="L1758:O1758" si="1975">L19</f>
        <v>0.4944660371144971</v>
      </c>
      <c r="M1758" s="1">
        <f t="shared" si="1975"/>
        <v>1.1960326570207576</v>
      </c>
      <c r="N1758" s="1">
        <f t="shared" si="1975"/>
        <v>0</v>
      </c>
      <c r="O1758" s="1">
        <f t="shared" si="1975"/>
        <v>0</v>
      </c>
      <c r="P1758" s="1">
        <f t="shared" si="1958"/>
        <v>0</v>
      </c>
      <c r="Q1758" s="1">
        <f t="shared" si="1958"/>
        <v>0</v>
      </c>
      <c r="S1758" s="3"/>
    </row>
    <row r="1759" spans="2:19" x14ac:dyDescent="0.5">
      <c r="B1759" s="9" t="str">
        <f t="shared" si="1918"/>
        <v>SPS1</v>
      </c>
      <c r="C1759" s="2" t="str">
        <f t="shared" si="1919"/>
        <v>CH</v>
      </c>
      <c r="D1759" s="2" t="s">
        <v>1788</v>
      </c>
      <c r="E1759" s="2" t="s">
        <v>1857</v>
      </c>
      <c r="F1759" s="3">
        <f t="shared" ref="F1759:K1759" si="1976">SUM(F1760,F1762,F1766,F1770,F1786,F1793,F1801,F1803,F1811,F1815,F1809)</f>
        <v>22.407306371986163</v>
      </c>
      <c r="G1759" s="3">
        <f t="shared" si="1976"/>
        <v>24.432516797667144</v>
      </c>
      <c r="H1759" s="3">
        <f t="shared" si="1976"/>
        <v>28.973724255703594</v>
      </c>
      <c r="I1759" s="3">
        <f t="shared" si="1976"/>
        <v>32.42515275078533</v>
      </c>
      <c r="J1759" s="3">
        <f t="shared" si="1976"/>
        <v>39.658860953405771</v>
      </c>
      <c r="K1759" s="3">
        <f t="shared" si="1976"/>
        <v>50.74301515242427</v>
      </c>
      <c r="L1759" s="3">
        <f t="shared" ref="L1759:O1759" si="1977">SUM(L1760,L1762,L1766,L1770,L1786,L1793,L1801,L1803,L1811,L1815,L1809)</f>
        <v>57.683995141853906</v>
      </c>
      <c r="M1759" s="3">
        <f t="shared" si="1977"/>
        <v>62.967427837988815</v>
      </c>
      <c r="N1759" s="3">
        <f t="shared" si="1977"/>
        <v>64.289389490100007</v>
      </c>
      <c r="O1759" s="3">
        <f t="shared" si="1977"/>
        <v>66.072978638434748</v>
      </c>
      <c r="P1759" s="3">
        <f>SUM(P1760,P1762,P1766,P1770,P1786,P1793,P1801,P1803,P1811,P1815,P1809)</f>
        <v>65.897834256721225</v>
      </c>
      <c r="Q1759" s="3">
        <f>SUM(Q1760,Q1762,Q1766,Q1770,Q1786,Q1793,Q1801,Q1803,Q1811,Q1815,Q1809)</f>
        <v>67.066550987969592</v>
      </c>
      <c r="S1759" s="3"/>
    </row>
    <row r="1760" spans="2:19" x14ac:dyDescent="0.5">
      <c r="B1760" s="5" t="str">
        <f t="shared" si="1918"/>
        <v>SPS1</v>
      </c>
      <c r="C1760" s="5" t="str">
        <f t="shared" si="1919"/>
        <v>CH</v>
      </c>
      <c r="D1760" t="s">
        <v>1790</v>
      </c>
      <c r="E1760" t="str">
        <f>E1759</f>
        <v>GWe/yr.</v>
      </c>
      <c r="F1760" s="1">
        <f>+F1761</f>
        <v>3.0935583788179137</v>
      </c>
      <c r="G1760" s="1">
        <f t="shared" ref="G1760:O1760" si="1978">+G1761</f>
        <v>3.0935575474876491</v>
      </c>
      <c r="H1760" s="1">
        <f t="shared" si="1978"/>
        <v>2.9247399203837956</v>
      </c>
      <c r="I1760" s="1">
        <f t="shared" si="1978"/>
        <v>2.7570467472271623</v>
      </c>
      <c r="J1760" s="1">
        <f t="shared" si="1978"/>
        <v>2.1733475716975681</v>
      </c>
      <c r="K1760" s="1">
        <f t="shared" si="1978"/>
        <v>1.3531508825424563</v>
      </c>
      <c r="L1760" s="1">
        <f t="shared" si="1978"/>
        <v>0.120558721922211</v>
      </c>
      <c r="M1760" s="1">
        <f t="shared" si="1978"/>
        <v>0.120558721922211</v>
      </c>
      <c r="N1760" s="1">
        <f t="shared" si="1978"/>
        <v>8.85558611937695E-2</v>
      </c>
      <c r="O1760" s="1">
        <f t="shared" si="1978"/>
        <v>0</v>
      </c>
      <c r="P1760" s="1">
        <f>+P1761</f>
        <v>0</v>
      </c>
      <c r="Q1760" s="1">
        <f>+Q1761</f>
        <v>0</v>
      </c>
      <c r="S1760" s="3"/>
    </row>
    <row r="1761" spans="2:19" x14ac:dyDescent="0.5">
      <c r="B1761" s="5" t="str">
        <f t="shared" si="1918"/>
        <v>SPS1</v>
      </c>
      <c r="C1761" s="5" t="str">
        <f t="shared" si="1919"/>
        <v>CH</v>
      </c>
      <c r="D1761" t="s">
        <v>1791</v>
      </c>
      <c r="E1761" t="str">
        <f t="shared" ref="E1761:E1822" si="1979">E1760</f>
        <v>GWe/yr.</v>
      </c>
      <c r="F1761" s="1">
        <f>'[1]Electricity and CHPs_CAP'!B$14</f>
        <v>3.0935583788179137</v>
      </c>
      <c r="G1761" s="1">
        <f>'[1]Electricity and CHPs_CAP'!C$14</f>
        <v>3.0935575474876491</v>
      </c>
      <c r="H1761" s="1">
        <f>'[1]Electricity and CHPs_CAP'!D$14</f>
        <v>2.9247399203837956</v>
      </c>
      <c r="I1761" s="1">
        <f>'[1]Electricity and CHPs_CAP'!E$14</f>
        <v>2.7570467472271623</v>
      </c>
      <c r="J1761" s="1">
        <f>'[1]Electricity and CHPs_CAP'!F$14</f>
        <v>2.1733475716975681</v>
      </c>
      <c r="K1761" s="1">
        <f>'[1]Electricity and CHPs_CAP'!G$14</f>
        <v>1.3531508825424563</v>
      </c>
      <c r="L1761" s="1">
        <f>'[1]Electricity and CHPs_CAP'!H$14</f>
        <v>0.120558721922211</v>
      </c>
      <c r="M1761" s="1">
        <f>'[1]Electricity and CHPs_CAP'!I$14</f>
        <v>0.120558721922211</v>
      </c>
      <c r="N1761" s="1">
        <f>'[1]Electricity and CHPs_CAP'!J$14</f>
        <v>8.85558611937695E-2</v>
      </c>
      <c r="O1761" s="1">
        <f>'[1]Electricity and CHPs_CAP'!K$14</f>
        <v>0</v>
      </c>
      <c r="P1761" s="1">
        <f>'[1]Electricity and CHPs_CAP'!L$14</f>
        <v>0</v>
      </c>
      <c r="Q1761" s="1">
        <f>'[1]Electricity and CHPs_CAP'!M$14</f>
        <v>0</v>
      </c>
      <c r="S1761" s="3"/>
    </row>
    <row r="1762" spans="2:19" x14ac:dyDescent="0.5">
      <c r="B1762" s="5" t="str">
        <f t="shared" si="1918"/>
        <v>SPS1</v>
      </c>
      <c r="C1762" s="5" t="str">
        <f t="shared" si="1919"/>
        <v>CH</v>
      </c>
      <c r="D1762" t="s">
        <v>1792</v>
      </c>
      <c r="E1762" t="str">
        <f t="shared" si="1979"/>
        <v>GWe/yr.</v>
      </c>
      <c r="F1762" s="1">
        <f>SUM(F1763:F1765)</f>
        <v>15.403610001059999</v>
      </c>
      <c r="G1762" s="1">
        <f t="shared" ref="G1762:K1762" si="1980">SUM(G1763:G1765)</f>
        <v>16.126522727231791</v>
      </c>
      <c r="H1762" s="1">
        <f t="shared" si="1980"/>
        <v>16.588149755680551</v>
      </c>
      <c r="I1762" s="1">
        <f t="shared" si="1980"/>
        <v>16.835286000173511</v>
      </c>
      <c r="J1762" s="1">
        <f t="shared" si="1980"/>
        <v>16.921709983638902</v>
      </c>
      <c r="K1762" s="1">
        <f t="shared" si="1980"/>
        <v>16.921760629935115</v>
      </c>
      <c r="L1762" s="1">
        <f t="shared" ref="L1762:O1762" si="1981">SUM(L1763:L1765)</f>
        <v>17.209042396961728</v>
      </c>
      <c r="M1762" s="1">
        <f t="shared" si="1981"/>
        <v>17.450727478272427</v>
      </c>
      <c r="N1762" s="1">
        <f t="shared" si="1981"/>
        <v>17.450735041070267</v>
      </c>
      <c r="O1762" s="1">
        <f t="shared" si="1981"/>
        <v>17.451104184870943</v>
      </c>
      <c r="P1762" s="1">
        <f>SUM(P1763:P1765)</f>
        <v>17.45113525420031</v>
      </c>
      <c r="Q1762" s="1">
        <f>SUM(Q1763:Q1765)</f>
        <v>17.453923050406537</v>
      </c>
      <c r="S1762" s="3"/>
    </row>
    <row r="1763" spans="2:19" x14ac:dyDescent="0.5">
      <c r="B1763" s="5" t="str">
        <f t="shared" si="1918"/>
        <v>SPS1</v>
      </c>
      <c r="C1763" s="5" t="str">
        <f t="shared" si="1919"/>
        <v>CH</v>
      </c>
      <c r="D1763" t="s">
        <v>1793</v>
      </c>
      <c r="E1763" t="str">
        <f t="shared" si="1979"/>
        <v>GWe/yr.</v>
      </c>
      <c r="F1763" s="1">
        <f>'[1]Electricity and CHPs_CAP'!B$15</f>
        <v>7.3394300010600002</v>
      </c>
      <c r="G1763" s="1">
        <f>'[1]Electricity and CHPs_CAP'!C$15</f>
        <v>7.3461249322496212</v>
      </c>
      <c r="H1763" s="1">
        <f>'[1]Electricity and CHPs_CAP'!D$15</f>
        <v>7.3660721696991436</v>
      </c>
      <c r="I1763" s="1">
        <f>'[1]Electricity and CHPs_CAP'!E$15</f>
        <v>7.4169212354742333</v>
      </c>
      <c r="J1763" s="1">
        <f>'[1]Electricity and CHPs_CAP'!F$15</f>
        <v>7.4201902625296094</v>
      </c>
      <c r="K1763" s="1">
        <f>'[1]Electricity and CHPs_CAP'!G$15</f>
        <v>7.4202338481532832</v>
      </c>
      <c r="L1763" s="1">
        <f>'[1]Electricity and CHPs_CAP'!H$15</f>
        <v>7.6729733989369588</v>
      </c>
      <c r="M1763" s="1">
        <f>'[1]Electricity and CHPs_CAP'!I$15</f>
        <v>7.7286553790495267</v>
      </c>
      <c r="N1763" s="1">
        <f>'[1]Electricity and CHPs_CAP'!J$15</f>
        <v>7.7286580876266342</v>
      </c>
      <c r="O1763" s="1">
        <f>'[1]Electricity and CHPs_CAP'!K$15</f>
        <v>7.7286648247307097</v>
      </c>
      <c r="P1763" s="1">
        <f>'[1]Electricity and CHPs_CAP'!L$15</f>
        <v>7.7286668131329028</v>
      </c>
      <c r="Q1763" s="1">
        <f>'[1]Electricity and CHPs_CAP'!M$15</f>
        <v>7.7286777034807654</v>
      </c>
      <c r="S1763" s="3"/>
    </row>
    <row r="1764" spans="2:19" x14ac:dyDescent="0.5">
      <c r="B1764" s="5" t="str">
        <f t="shared" si="1918"/>
        <v>SPS1</v>
      </c>
      <c r="C1764" s="5" t="str">
        <f t="shared" si="1919"/>
        <v>CH</v>
      </c>
      <c r="D1764" t="s">
        <v>1794</v>
      </c>
      <c r="E1764" t="str">
        <f t="shared" si="1979"/>
        <v>GWe/yr.</v>
      </c>
      <c r="F1764" s="1">
        <f>'[1]Electricity and CHPs_CAP'!B$16</f>
        <v>4.7247299999999992</v>
      </c>
      <c r="G1764" s="1">
        <f>'[1]Electricity and CHPs_CAP'!C$16</f>
        <v>4.8084446352433377</v>
      </c>
      <c r="H1764" s="1">
        <f>'[1]Electricity and CHPs_CAP'!D$16</f>
        <v>4.8617033723636247</v>
      </c>
      <c r="I1764" s="1">
        <f>'[1]Electricity and CHPs_CAP'!E$16</f>
        <v>5.057990551081498</v>
      </c>
      <c r="J1764" s="1">
        <f>'[1]Electricity and CHPs_CAP'!F$16</f>
        <v>5.1411346552256427</v>
      </c>
      <c r="K1764" s="1">
        <f>'[1]Electricity and CHPs_CAP'!G$16</f>
        <v>5.1411374848113898</v>
      </c>
      <c r="L1764" s="1">
        <f>'[1]Electricity and CHPs_CAP'!H$16</f>
        <v>5.1756154986998695</v>
      </c>
      <c r="M1764" s="1">
        <f>'[1]Electricity and CHPs_CAP'!I$16</f>
        <v>5.3612950161093282</v>
      </c>
      <c r="N1764" s="1">
        <f>'[1]Electricity and CHPs_CAP'!J$16</f>
        <v>5.3612973727581537</v>
      </c>
      <c r="O1764" s="1">
        <f>'[1]Electricity and CHPs_CAP'!K$16</f>
        <v>5.3613302419947315</v>
      </c>
      <c r="P1764" s="1">
        <f>'[1]Electricity and CHPs_CAP'!L$16</f>
        <v>5.3613462357987878</v>
      </c>
      <c r="Q1764" s="1">
        <f>'[1]Electricity and CHPs_CAP'!M$16</f>
        <v>5.3625602943609181</v>
      </c>
      <c r="S1764" s="3"/>
    </row>
    <row r="1765" spans="2:19" x14ac:dyDescent="0.5">
      <c r="B1765" s="5" t="str">
        <f t="shared" si="1918"/>
        <v>SPS1</v>
      </c>
      <c r="C1765" s="5" t="str">
        <f t="shared" si="1919"/>
        <v>CH</v>
      </c>
      <c r="D1765" t="s">
        <v>1795</v>
      </c>
      <c r="E1765" t="str">
        <f t="shared" si="1979"/>
        <v>GWe/yr.</v>
      </c>
      <c r="F1765" s="1">
        <f>'[1]Electricity and CHPs_CAP'!B$17</f>
        <v>3.3394499999999998</v>
      </c>
      <c r="G1765" s="1">
        <f>'[1]Electricity and CHPs_CAP'!C$17</f>
        <v>3.9719531597388311</v>
      </c>
      <c r="H1765" s="1">
        <f>'[1]Electricity and CHPs_CAP'!D$17</f>
        <v>4.3603742136177805</v>
      </c>
      <c r="I1765" s="1">
        <f>'[1]Electricity and CHPs_CAP'!E$17</f>
        <v>4.3603742136177805</v>
      </c>
      <c r="J1765" s="1">
        <f>'[1]Electricity and CHPs_CAP'!F$17</f>
        <v>4.3603850658836496</v>
      </c>
      <c r="K1765" s="1">
        <f>'[1]Electricity and CHPs_CAP'!G$17</f>
        <v>4.3603892969704425</v>
      </c>
      <c r="L1765" s="1">
        <f>'[1]Electricity and CHPs_CAP'!H$17</f>
        <v>4.3604534993249002</v>
      </c>
      <c r="M1765" s="1">
        <f>'[1]Electricity and CHPs_CAP'!I$17</f>
        <v>4.3607770831135699</v>
      </c>
      <c r="N1765" s="1">
        <f>'[1]Electricity and CHPs_CAP'!J$17</f>
        <v>4.3607795806854801</v>
      </c>
      <c r="O1765" s="1">
        <f>'[1]Electricity and CHPs_CAP'!K$17</f>
        <v>4.3611091181455013</v>
      </c>
      <c r="P1765" s="1">
        <f>'[1]Electricity and CHPs_CAP'!L$17</f>
        <v>4.3611222052686172</v>
      </c>
      <c r="Q1765" s="1">
        <f>'[1]Electricity and CHPs_CAP'!M$17</f>
        <v>4.3626850525648528</v>
      </c>
      <c r="S1765" s="3"/>
    </row>
    <row r="1766" spans="2:19" x14ac:dyDescent="0.5">
      <c r="B1766" s="5" t="str">
        <f>B1757</f>
        <v>SPS1</v>
      </c>
      <c r="C1766" s="5" t="str">
        <f>C1757</f>
        <v>CH</v>
      </c>
      <c r="D1766" t="s">
        <v>1796</v>
      </c>
      <c r="E1766" t="str">
        <f t="shared" si="1979"/>
        <v>GWe/yr.</v>
      </c>
      <c r="F1766" s="1">
        <f>SUM(F1767:F1769)</f>
        <v>4.0122267476045109E-2</v>
      </c>
      <c r="G1766" s="1">
        <f t="shared" ref="G1766:K1766" si="1982">SUM(G1767:G1769)</f>
        <v>4.6507179453520342E-2</v>
      </c>
      <c r="H1766" s="1">
        <f t="shared" si="1982"/>
        <v>4.4995594037387669E-2</v>
      </c>
      <c r="I1766" s="1">
        <f t="shared" si="1982"/>
        <v>7.9592087989656488E-2</v>
      </c>
      <c r="J1766" s="1">
        <f t="shared" si="1982"/>
        <v>7.7859425324353249E-2</v>
      </c>
      <c r="K1766" s="1">
        <f t="shared" si="1982"/>
        <v>6.7490941924758546E-2</v>
      </c>
      <c r="L1766" s="1">
        <f t="shared" ref="L1766:O1766" si="1983">SUM(L1767:L1769)</f>
        <v>6.1643198369614613E-2</v>
      </c>
      <c r="M1766" s="1">
        <f t="shared" si="1983"/>
        <v>1.1395941665137811E-2</v>
      </c>
      <c r="N1766" s="1">
        <f t="shared" si="1983"/>
        <v>5.0787269647919664E-3</v>
      </c>
      <c r="O1766" s="1">
        <f t="shared" si="1983"/>
        <v>3.897098406474894E-3</v>
      </c>
      <c r="P1766" s="1">
        <f>SUM(P1767:P1769)</f>
        <v>4.1296625732270458E-3</v>
      </c>
      <c r="Q1766" s="1">
        <f>SUM(Q1767:Q1769)</f>
        <v>7.730815247498142E-3</v>
      </c>
      <c r="S1766" s="3"/>
    </row>
    <row r="1767" spans="2:19" x14ac:dyDescent="0.5">
      <c r="B1767" s="5" t="str">
        <f>B1766</f>
        <v>SPS1</v>
      </c>
      <c r="C1767" s="5" t="str">
        <f>C1766</f>
        <v>CH</v>
      </c>
      <c r="D1767" t="s">
        <v>1797</v>
      </c>
      <c r="E1767" t="str">
        <f t="shared" si="1979"/>
        <v>GWe/yr.</v>
      </c>
      <c r="F1767" s="1">
        <f>'[1]Electricity and CHPs_CAP'!B$18</f>
        <v>2.6332013243106106E-2</v>
      </c>
      <c r="G1767" s="1">
        <f>'[1]Electricity and CHPs_CAP'!C$18</f>
        <v>2.3875117797321779E-2</v>
      </c>
      <c r="H1767" s="1">
        <f>'[1]Electricity and CHPs_CAP'!D$18</f>
        <v>2.270337066338509E-2</v>
      </c>
      <c r="I1767" s="1">
        <f>'[1]Electricity and CHPs_CAP'!E$18</f>
        <v>5.7995840780929765E-2</v>
      </c>
      <c r="J1767" s="1">
        <f>'[1]Electricity and CHPs_CAP'!F$18</f>
        <v>6.6683274242439861E-2</v>
      </c>
      <c r="K1767" s="1">
        <f>'[1]Electricity and CHPs_CAP'!G$18</f>
        <v>6.6758114676707336E-2</v>
      </c>
      <c r="L1767" s="1">
        <f>'[1]Electricity and CHPs_CAP'!H$18</f>
        <v>6.0997828724243093E-2</v>
      </c>
      <c r="M1767" s="1">
        <f>'[1]Electricity and CHPs_CAP'!I$18</f>
        <v>1.0723595027494197E-2</v>
      </c>
      <c r="N1767" s="1">
        <f>'[1]Electricity and CHPs_CAP'!J$18</f>
        <v>3.67903417396254E-3</v>
      </c>
      <c r="O1767" s="1">
        <f>'[1]Electricity and CHPs_CAP'!K$18</f>
        <v>1.8515525101116715E-3</v>
      </c>
      <c r="P1767" s="1">
        <f>'[1]Electricity and CHPs_CAP'!L$18</f>
        <v>1.8544101846869451E-3</v>
      </c>
      <c r="Q1767" s="1">
        <f>'[1]Electricity and CHPs_CAP'!M$18</f>
        <v>3.5534609528769415E-3</v>
      </c>
      <c r="S1767" s="3"/>
    </row>
    <row r="1768" spans="2:19" x14ac:dyDescent="0.5">
      <c r="B1768" s="5" t="str">
        <f t="shared" ref="B1768:C1769" si="1984">B1767</f>
        <v>SPS1</v>
      </c>
      <c r="C1768" s="5" t="str">
        <f t="shared" si="1984"/>
        <v>CH</v>
      </c>
      <c r="D1768" t="s">
        <v>1798</v>
      </c>
      <c r="E1768" t="str">
        <f t="shared" si="1979"/>
        <v>GWe/yr.</v>
      </c>
      <c r="F1768" s="1">
        <f>'[1]Electricity and CHPs_CAP'!B$28</f>
        <v>5.4856768585690007E-3</v>
      </c>
      <c r="G1768" s="1">
        <f>'[1]Electricity and CHPs_CAP'!C$28</f>
        <v>2.5078599463849681E-3</v>
      </c>
      <c r="H1768" s="1">
        <f>'[1]Electricity and CHPs_CAP'!D$28</f>
        <v>2.1724907660572827E-3</v>
      </c>
      <c r="I1768" s="1">
        <f>'[1]Electricity and CHPs_CAP'!E$28</f>
        <v>1.4780808803081897E-3</v>
      </c>
      <c r="J1768" s="1">
        <f>'[1]Electricity and CHPs_CAP'!F$28</f>
        <v>1.336405279089228E-3</v>
      </c>
      <c r="K1768" s="1">
        <f>'[1]Electricity and CHPs_CAP'!G$28</f>
        <v>7.3282724805121241E-4</v>
      </c>
      <c r="L1768" s="1">
        <f>'[1]Electricity and CHPs_CAP'!H$28</f>
        <v>6.4536964537151883E-4</v>
      </c>
      <c r="M1768" s="1">
        <f>'[1]Electricity and CHPs_CAP'!I$28</f>
        <v>6.723466376436139E-4</v>
      </c>
      <c r="N1768" s="1">
        <f>'[1]Electricity and CHPs_CAP'!J$28</f>
        <v>6.5050016576610585E-4</v>
      </c>
      <c r="O1768" s="1">
        <f>'[1]Electricity and CHPs_CAP'!K$28</f>
        <v>8.4659237894505531E-4</v>
      </c>
      <c r="P1768" s="1">
        <f>'[1]Electricity and CHPs_CAP'!L$28</f>
        <v>7.4857558724828832E-4</v>
      </c>
      <c r="Q1768" s="1">
        <f>'[1]Electricity and CHPs_CAP'!M$28</f>
        <v>1.5222148401451648E-3</v>
      </c>
      <c r="S1768" s="3"/>
    </row>
    <row r="1769" spans="2:19" x14ac:dyDescent="0.5">
      <c r="B1769" s="5" t="str">
        <f t="shared" si="1984"/>
        <v>SPS1</v>
      </c>
      <c r="C1769" s="5" t="str">
        <f t="shared" si="1984"/>
        <v>CH</v>
      </c>
      <c r="D1769" t="s">
        <v>1799</v>
      </c>
      <c r="E1769" t="str">
        <f t="shared" si="1979"/>
        <v>GWe/yr.</v>
      </c>
      <c r="F1769" s="1">
        <f>'[1]Electricity and CHPs_CAP'!B$41</f>
        <v>8.3045773743700008E-3</v>
      </c>
      <c r="G1769" s="1">
        <f>'[1]Electricity and CHPs_CAP'!C$41</f>
        <v>2.0124201709813591E-2</v>
      </c>
      <c r="H1769" s="1">
        <f>'[1]Electricity and CHPs_CAP'!D$41</f>
        <v>2.0119732607945296E-2</v>
      </c>
      <c r="I1769" s="1">
        <f>'[1]Electricity and CHPs_CAP'!E$41</f>
        <v>2.0118166328418539E-2</v>
      </c>
      <c r="J1769" s="1">
        <f>'[1]Electricity and CHPs_CAP'!F$41</f>
        <v>9.8397458028241618E-3</v>
      </c>
      <c r="K1769" s="1">
        <f>'[1]Electricity and CHPs_CAP'!G$41</f>
        <v>0</v>
      </c>
      <c r="L1769" s="1">
        <f>'[1]Electricity and CHPs_CAP'!H$41</f>
        <v>0</v>
      </c>
      <c r="M1769" s="1">
        <f>'[1]Electricity and CHPs_CAP'!I$41</f>
        <v>0</v>
      </c>
      <c r="N1769" s="1">
        <f>'[1]Electricity and CHPs_CAP'!J$41</f>
        <v>7.4919262506332096E-4</v>
      </c>
      <c r="O1769" s="1">
        <f>'[1]Electricity and CHPs_CAP'!K$41</f>
        <v>1.1989535174181673E-3</v>
      </c>
      <c r="P1769" s="1">
        <f>'[1]Electricity and CHPs_CAP'!L$41</f>
        <v>1.5266768012918124E-3</v>
      </c>
      <c r="Q1769" s="1">
        <f>'[1]Electricity and CHPs_CAP'!M$41</f>
        <v>2.6551394544760353E-3</v>
      </c>
      <c r="S1769" s="3"/>
    </row>
    <row r="1770" spans="2:19" x14ac:dyDescent="0.5">
      <c r="B1770" s="5" t="str">
        <f>B1769</f>
        <v>SPS1</v>
      </c>
      <c r="C1770" s="5" t="str">
        <f>C1769</f>
        <v>CH</v>
      </c>
      <c r="D1770" t="s">
        <v>1800</v>
      </c>
      <c r="E1770" t="str">
        <f t="shared" si="1979"/>
        <v>GWe/yr.</v>
      </c>
      <c r="F1770" s="1">
        <f>SUM(F1771:F1785)</f>
        <v>0.23430014570237889</v>
      </c>
      <c r="G1770" s="1">
        <f t="shared" ref="G1770:K1770" si="1985">SUM(G1771:G1785)</f>
        <v>0.17299646421237561</v>
      </c>
      <c r="H1770" s="1">
        <f t="shared" si="1985"/>
        <v>0.16585209852519311</v>
      </c>
      <c r="I1770" s="1">
        <f t="shared" si="1985"/>
        <v>0.15985182145177668</v>
      </c>
      <c r="J1770" s="1">
        <f t="shared" si="1985"/>
        <v>0.1930767808000784</v>
      </c>
      <c r="K1770" s="1">
        <f t="shared" si="1985"/>
        <v>0.17258960056342124</v>
      </c>
      <c r="L1770" s="1">
        <f t="shared" ref="L1770:O1770" si="1986">SUM(L1771:L1785)</f>
        <v>0.11838672961339525</v>
      </c>
      <c r="M1770" s="1">
        <f t="shared" si="1986"/>
        <v>0.15274709551174331</v>
      </c>
      <c r="N1770" s="1">
        <f t="shared" si="1986"/>
        <v>0.24500406758625598</v>
      </c>
      <c r="O1770" s="1">
        <f t="shared" si="1986"/>
        <v>0.32045574329703519</v>
      </c>
      <c r="P1770" s="1">
        <f>SUM(P1771:P1785)</f>
        <v>0.38609021058284737</v>
      </c>
      <c r="Q1770" s="1">
        <f>SUM(Q1771:Q1785)</f>
        <v>0.4412935844848398</v>
      </c>
      <c r="S1770" s="3"/>
    </row>
    <row r="1771" spans="2:19" x14ac:dyDescent="0.5">
      <c r="B1771" s="5" t="str">
        <f t="shared" ref="B1771:C1784" si="1987">B1770</f>
        <v>SPS1</v>
      </c>
      <c r="C1771" s="5" t="str">
        <f t="shared" si="1987"/>
        <v>CH</v>
      </c>
      <c r="D1771" t="s">
        <v>1801</v>
      </c>
      <c r="E1771" t="str">
        <f t="shared" si="1979"/>
        <v>GWe/yr.</v>
      </c>
      <c r="F1771" s="1">
        <f>'[1]Electricity and CHPs_CAP'!B$21</f>
        <v>0</v>
      </c>
      <c r="G1771" s="1">
        <f>'[1]Electricity and CHPs_CAP'!C$21</f>
        <v>0</v>
      </c>
      <c r="H1771" s="1">
        <f>'[1]Electricity and CHPs_CAP'!D$21</f>
        <v>0</v>
      </c>
      <c r="I1771" s="1">
        <f>'[1]Electricity and CHPs_CAP'!E$21</f>
        <v>0</v>
      </c>
      <c r="J1771" s="1">
        <f>'[1]Electricity and CHPs_CAP'!F$21</f>
        <v>0</v>
      </c>
      <c r="K1771" s="1">
        <f>'[1]Electricity and CHPs_CAP'!G$21</f>
        <v>1.30541989871697E-4</v>
      </c>
      <c r="L1771" s="1">
        <f>'[1]Electricity and CHPs_CAP'!H$21</f>
        <v>3.3542757893083194E-4</v>
      </c>
      <c r="M1771" s="1">
        <f>'[1]Electricity and CHPs_CAP'!I$21</f>
        <v>7.0203637603268401E-4</v>
      </c>
      <c r="N1771" s="1">
        <f>'[1]Electricity and CHPs_CAP'!J$21</f>
        <v>1.294460944582752E-3</v>
      </c>
      <c r="O1771" s="1">
        <f>'[1]Electricity and CHPs_CAP'!K$21</f>
        <v>1.388603154558981E-3</v>
      </c>
      <c r="P1771" s="1">
        <f>'[1]Electricity and CHPs_CAP'!L$21</f>
        <v>2.027598355134632E-3</v>
      </c>
      <c r="Q1771" s="1">
        <f>'[1]Electricity and CHPs_CAP'!M$21</f>
        <v>2.486463753486488E-3</v>
      </c>
      <c r="S1771" s="3"/>
    </row>
    <row r="1772" spans="2:19" x14ac:dyDescent="0.5">
      <c r="B1772" s="5" t="str">
        <f t="shared" si="1987"/>
        <v>SPS1</v>
      </c>
      <c r="C1772" s="5" t="str">
        <f t="shared" si="1987"/>
        <v>CH</v>
      </c>
      <c r="D1772" t="s">
        <v>1802</v>
      </c>
      <c r="E1772" t="str">
        <f t="shared" si="1979"/>
        <v>GWe/yr.</v>
      </c>
      <c r="F1772" s="1">
        <f>'[1]Electricity and CHPs_CAP'!B$22</f>
        <v>0</v>
      </c>
      <c r="G1772" s="1">
        <f>'[1]Electricity and CHPs_CAP'!C$22</f>
        <v>0</v>
      </c>
      <c r="H1772" s="1">
        <f>'[1]Electricity and CHPs_CAP'!D$22</f>
        <v>0</v>
      </c>
      <c r="I1772" s="1">
        <f>'[1]Electricity and CHPs_CAP'!E$22</f>
        <v>0</v>
      </c>
      <c r="J1772" s="1">
        <f>'[1]Electricity and CHPs_CAP'!F$22</f>
        <v>7.65959563649177E-4</v>
      </c>
      <c r="K1772" s="1">
        <f>'[1]Electricity and CHPs_CAP'!G$22</f>
        <v>3.184582638961919E-3</v>
      </c>
      <c r="L1772" s="1">
        <f>'[1]Electricity and CHPs_CAP'!H$22</f>
        <v>3.2292624353885205E-3</v>
      </c>
      <c r="M1772" s="1">
        <f>'[1]Electricity and CHPs_CAP'!I$22</f>
        <v>3.2668771605197438E-3</v>
      </c>
      <c r="N1772" s="1">
        <f>'[1]Electricity and CHPs_CAP'!J$22</f>
        <v>4.1481158459795858E-3</v>
      </c>
      <c r="O1772" s="1">
        <f>'[1]Electricity and CHPs_CAP'!K$22</f>
        <v>3.6031580366481901E-3</v>
      </c>
      <c r="P1772" s="1">
        <f>'[1]Electricity and CHPs_CAP'!L$22</f>
        <v>4.1804111352805881E-3</v>
      </c>
      <c r="Q1772" s="1">
        <f>'[1]Electricity and CHPs_CAP'!M$22</f>
        <v>6.8022268788355232E-3</v>
      </c>
      <c r="S1772" s="3"/>
    </row>
    <row r="1773" spans="2:19" x14ac:dyDescent="0.5">
      <c r="B1773" s="5" t="str">
        <f t="shared" si="1987"/>
        <v>SPS1</v>
      </c>
      <c r="C1773" s="5" t="str">
        <f t="shared" si="1987"/>
        <v>CH</v>
      </c>
      <c r="D1773" t="s">
        <v>1803</v>
      </c>
      <c r="E1773" t="str">
        <f t="shared" si="1979"/>
        <v>GWe/yr.</v>
      </c>
      <c r="F1773" s="1">
        <f>'[1]Electricity and CHPs_CAP'!B$23</f>
        <v>0</v>
      </c>
      <c r="G1773" s="1">
        <f>'[1]Electricity and CHPs_CAP'!C$23</f>
        <v>0</v>
      </c>
      <c r="H1773" s="1">
        <f>'[1]Electricity and CHPs_CAP'!D$23</f>
        <v>0</v>
      </c>
      <c r="I1773" s="1">
        <f>'[1]Electricity and CHPs_CAP'!E$23</f>
        <v>0</v>
      </c>
      <c r="J1773" s="1">
        <f>'[1]Electricity and CHPs_CAP'!F$23</f>
        <v>0</v>
      </c>
      <c r="K1773" s="1">
        <f>'[1]Electricity and CHPs_CAP'!G$23</f>
        <v>0</v>
      </c>
      <c r="L1773" s="1">
        <f>'[1]Electricity and CHPs_CAP'!H$23</f>
        <v>3.4306764508138898E-4</v>
      </c>
      <c r="M1773" s="1">
        <f>'[1]Electricity and CHPs_CAP'!I$23</f>
        <v>7.1205505759212319E-4</v>
      </c>
      <c r="N1773" s="1">
        <f>'[1]Electricity and CHPs_CAP'!J$23</f>
        <v>7.7962503959999443E-2</v>
      </c>
      <c r="O1773" s="1">
        <f>'[1]Electricity and CHPs_CAP'!K$23</f>
        <v>0.15036240296338207</v>
      </c>
      <c r="P1773" s="1">
        <f>'[1]Electricity and CHPs_CAP'!L$23</f>
        <v>0.1795291208667571</v>
      </c>
      <c r="Q1773" s="1">
        <f>'[1]Electricity and CHPs_CAP'!M$23</f>
        <v>0.17936668684882426</v>
      </c>
      <c r="S1773" s="3"/>
    </row>
    <row r="1774" spans="2:19" x14ac:dyDescent="0.5">
      <c r="B1774" s="5" t="str">
        <f t="shared" si="1987"/>
        <v>SPS1</v>
      </c>
      <c r="C1774" s="5" t="str">
        <f t="shared" si="1987"/>
        <v>CH</v>
      </c>
      <c r="D1774" t="s">
        <v>1804</v>
      </c>
      <c r="E1774" t="str">
        <f t="shared" si="1979"/>
        <v>GWe/yr.</v>
      </c>
      <c r="F1774" s="1">
        <f>IF('[1]Electricity and CHPs_CAP'!B$24&lt;0,0,'[1]Electricity and CHPs_CAP'!B$24)</f>
        <v>5.4429919053676695E-2</v>
      </c>
      <c r="G1774" s="1">
        <f>IF('[1]Electricity and CHPs_CAP'!C$24&lt;0,0,'[1]Electricity and CHPs_CAP'!C$24)</f>
        <v>3.3219494560626783E-4</v>
      </c>
      <c r="H1774" s="1">
        <f>IF('[1]Electricity and CHPs_CAP'!D$24&lt;0,0,'[1]Electricity and CHPs_CAP'!D$24)</f>
        <v>3.3196252643777346E-4</v>
      </c>
      <c r="I1774" s="1">
        <f>IF('[1]Electricity and CHPs_CAP'!E$24&lt;0,0,'[1]Electricity and CHPs_CAP'!E$24)</f>
        <v>0</v>
      </c>
      <c r="J1774" s="1">
        <f>IF('[1]Electricity and CHPs_CAP'!F$24&lt;0,0,'[1]Electricity and CHPs_CAP'!F$24)</f>
        <v>0</v>
      </c>
      <c r="K1774" s="1">
        <f>IF('[1]Electricity and CHPs_CAP'!G$24&lt;0,0,'[1]Electricity and CHPs_CAP'!G$24)</f>
        <v>0</v>
      </c>
      <c r="L1774" s="1">
        <f>IF('[1]Electricity and CHPs_CAP'!H$24&lt;0,0,'[1]Electricity and CHPs_CAP'!H$24)</f>
        <v>0</v>
      </c>
      <c r="M1774" s="1">
        <f>IF('[1]Electricity and CHPs_CAP'!I$24&lt;0,0,'[1]Electricity and CHPs_CAP'!I$24)</f>
        <v>0</v>
      </c>
      <c r="N1774" s="1">
        <f>IF('[1]Electricity and CHPs_CAP'!J$24&lt;0,0,'[1]Electricity and CHPs_CAP'!J$24)</f>
        <v>0</v>
      </c>
      <c r="O1774" s="1">
        <f>IF('[1]Electricity and CHPs_CAP'!K$24&lt;0,0,'[1]Electricity and CHPs_CAP'!K$24)</f>
        <v>0</v>
      </c>
      <c r="P1774" s="1">
        <f>IF('[1]Electricity and CHPs_CAP'!L$24&lt;0,0,'[1]Electricity and CHPs_CAP'!L$24)</f>
        <v>0</v>
      </c>
      <c r="Q1774" s="1">
        <f>IF('[1]Electricity and CHPs_CAP'!M$24&lt;0,0,'[1]Electricity and CHPs_CAP'!M$24)</f>
        <v>0</v>
      </c>
      <c r="S1774" s="3"/>
    </row>
    <row r="1775" spans="2:19" x14ac:dyDescent="0.5">
      <c r="B1775" s="5" t="str">
        <f t="shared" si="1987"/>
        <v>SPS1</v>
      </c>
      <c r="C1775" s="5" t="str">
        <f t="shared" si="1987"/>
        <v>CH</v>
      </c>
      <c r="D1775" t="s">
        <v>1805</v>
      </c>
      <c r="E1775" t="str">
        <f t="shared" si="1979"/>
        <v>GWe/yr.</v>
      </c>
      <c r="F1775" s="1">
        <f>'[1]Electricity and CHPs_CAP'!B$29</f>
        <v>0</v>
      </c>
      <c r="G1775" s="1">
        <f>'[1]Electricity and CHPs_CAP'!C$29</f>
        <v>0</v>
      </c>
      <c r="H1775" s="1">
        <f>'[1]Electricity and CHPs_CAP'!D$29</f>
        <v>0</v>
      </c>
      <c r="I1775" s="1">
        <f>'[1]Electricity and CHPs_CAP'!E$29</f>
        <v>0</v>
      </c>
      <c r="J1775" s="1">
        <f>'[1]Electricity and CHPs_CAP'!F$29</f>
        <v>0</v>
      </c>
      <c r="K1775" s="1">
        <f>'[1]Electricity and CHPs_CAP'!G$29</f>
        <v>0</v>
      </c>
      <c r="L1775" s="1">
        <f>'[1]Electricity and CHPs_CAP'!H$29</f>
        <v>0</v>
      </c>
      <c r="M1775" s="1">
        <f>'[1]Electricity and CHPs_CAP'!I$29</f>
        <v>0</v>
      </c>
      <c r="N1775" s="1">
        <f>'[1]Electricity and CHPs_CAP'!J$29</f>
        <v>0</v>
      </c>
      <c r="O1775" s="1">
        <f>'[1]Electricity and CHPs_CAP'!K$29</f>
        <v>0</v>
      </c>
      <c r="P1775" s="1">
        <f>'[1]Electricity and CHPs_CAP'!L$29</f>
        <v>0</v>
      </c>
      <c r="Q1775" s="1">
        <f>'[1]Electricity and CHPs_CAP'!M$29</f>
        <v>0</v>
      </c>
      <c r="S1775" s="3"/>
    </row>
    <row r="1776" spans="2:19" x14ac:dyDescent="0.5">
      <c r="B1776" s="5" t="str">
        <f t="shared" si="1987"/>
        <v>SPS1</v>
      </c>
      <c r="C1776" s="5" t="str">
        <f t="shared" si="1987"/>
        <v>CH</v>
      </c>
      <c r="D1776" t="s">
        <v>1806</v>
      </c>
      <c r="E1776" t="str">
        <f t="shared" si="1979"/>
        <v>GWe/yr.</v>
      </c>
      <c r="F1776" s="1">
        <f>'[1]Electricity and CHPs_CAP'!B$39</f>
        <v>2.8086122082622803E-2</v>
      </c>
      <c r="G1776" s="1">
        <f>'[1]Electricity and CHPs_CAP'!C$39</f>
        <v>2.0773721644841384E-2</v>
      </c>
      <c r="H1776" s="1">
        <f>'[1]Electricity and CHPs_CAP'!D$39</f>
        <v>1.3783899206956933E-2</v>
      </c>
      <c r="I1776" s="1">
        <f>'[1]Electricity and CHPs_CAP'!E$39</f>
        <v>1.0077307900467788E-2</v>
      </c>
      <c r="J1776" s="1">
        <f>'[1]Electricity and CHPs_CAP'!F$39</f>
        <v>5.1587650105551219E-2</v>
      </c>
      <c r="K1776" s="1">
        <f>'[1]Electricity and CHPs_CAP'!G$39</f>
        <v>5.1584020693588847E-2</v>
      </c>
      <c r="L1776" s="1">
        <f>'[1]Electricity and CHPs_CAP'!H$39</f>
        <v>2.6336139385200203E-2</v>
      </c>
      <c r="M1776" s="1">
        <f>'[1]Electricity and CHPs_CAP'!I$39</f>
        <v>4.9879978028414901E-2</v>
      </c>
      <c r="N1776" s="1">
        <f>'[1]Electricity and CHPs_CAP'!J$39</f>
        <v>5.6317296832638808E-2</v>
      </c>
      <c r="O1776" s="1">
        <f>'[1]Electricity and CHPs_CAP'!K$39</f>
        <v>5.1034799538890216E-2</v>
      </c>
      <c r="P1776" s="1">
        <f>'[1]Electricity and CHPs_CAP'!L$39</f>
        <v>6.5864668189867207E-2</v>
      </c>
      <c r="Q1776" s="1">
        <f>'[1]Electricity and CHPs_CAP'!M$39</f>
        <v>6.7773941193434717E-2</v>
      </c>
      <c r="S1776" s="3"/>
    </row>
    <row r="1777" spans="2:19" x14ac:dyDescent="0.5">
      <c r="B1777" s="5" t="str">
        <f t="shared" si="1987"/>
        <v>SPS1</v>
      </c>
      <c r="C1777" s="5" t="str">
        <f t="shared" si="1987"/>
        <v>CH</v>
      </c>
      <c r="D1777" t="s">
        <v>1807</v>
      </c>
      <c r="E1777" t="str">
        <f t="shared" si="1979"/>
        <v>GWe/yr.</v>
      </c>
      <c r="F1777" s="1">
        <f>'[1]Electricity and CHPs_CAP'!B$40</f>
        <v>0</v>
      </c>
      <c r="G1777" s="1">
        <f>'[1]Electricity and CHPs_CAP'!C$40</f>
        <v>0</v>
      </c>
      <c r="H1777" s="1">
        <f>'[1]Electricity and CHPs_CAP'!D$40</f>
        <v>0</v>
      </c>
      <c r="I1777" s="1">
        <f>'[1]Electricity and CHPs_CAP'!E$40</f>
        <v>0</v>
      </c>
      <c r="J1777" s="1">
        <f>'[1]Electricity and CHPs_CAP'!F$40</f>
        <v>0</v>
      </c>
      <c r="K1777" s="1">
        <f>'[1]Electricity and CHPs_CAP'!G$40</f>
        <v>9.7689313989450998E-4</v>
      </c>
      <c r="L1777" s="1">
        <f>'[1]Electricity and CHPs_CAP'!H$40</f>
        <v>1.0096120424982927E-3</v>
      </c>
      <c r="M1777" s="1">
        <f>'[1]Electricity and CHPs_CAP'!I$40</f>
        <v>9.6587939386317979E-3</v>
      </c>
      <c r="N1777" s="1">
        <f>'[1]Electricity and CHPs_CAP'!J$40</f>
        <v>1.172620747660752E-2</v>
      </c>
      <c r="O1777" s="1">
        <f>'[1]Electricity and CHPs_CAP'!K$40</f>
        <v>1.2933973213681312E-2</v>
      </c>
      <c r="P1777" s="1">
        <f>'[1]Electricity and CHPs_CAP'!L$40</f>
        <v>1.5028342879887007E-2</v>
      </c>
      <c r="Q1777" s="1">
        <f>'[1]Electricity and CHPs_CAP'!M$40</f>
        <v>1.7943907019237072E-2</v>
      </c>
      <c r="S1777" s="3"/>
    </row>
    <row r="1778" spans="2:19" x14ac:dyDescent="0.5">
      <c r="B1778" s="5" t="str">
        <f t="shared" si="1987"/>
        <v>SPS1</v>
      </c>
      <c r="C1778" s="5" t="str">
        <f t="shared" si="1987"/>
        <v>CH</v>
      </c>
      <c r="D1778" t="s">
        <v>1808</v>
      </c>
      <c r="E1778" t="str">
        <f t="shared" si="1979"/>
        <v>GWe/yr.</v>
      </c>
      <c r="F1778" s="1">
        <f>'[1]Electricity and CHPs_CAP'!B$47</f>
        <v>0</v>
      </c>
      <c r="G1778" s="1">
        <f>'[1]Electricity and CHPs_CAP'!C$47</f>
        <v>0</v>
      </c>
      <c r="H1778" s="1">
        <f>'[1]Electricity and CHPs_CAP'!D$47</f>
        <v>0</v>
      </c>
      <c r="I1778" s="1">
        <f>'[1]Electricity and CHPs_CAP'!E$47</f>
        <v>0</v>
      </c>
      <c r="J1778" s="1">
        <f>'[1]Electricity and CHPs_CAP'!F$47</f>
        <v>5.6525776573472801E-4</v>
      </c>
      <c r="K1778" s="1">
        <f>'[1]Electricity and CHPs_CAP'!G$47</f>
        <v>6.8445475613279237E-4</v>
      </c>
      <c r="L1778" s="1">
        <f>'[1]Electricity and CHPs_CAP'!H$47</f>
        <v>6.9406369630588987E-4</v>
      </c>
      <c r="M1778" s="1">
        <f>'[1]Electricity and CHPs_CAP'!I$47</f>
        <v>9.4897502492461881E-4</v>
      </c>
      <c r="N1778" s="1">
        <f>'[1]Electricity and CHPs_CAP'!J$47</f>
        <v>8.5026532579865954E-4</v>
      </c>
      <c r="O1778" s="1">
        <f>'[1]Electricity and CHPs_CAP'!K$47</f>
        <v>1.0614911662400373E-3</v>
      </c>
      <c r="P1778" s="1">
        <f>'[1]Electricity and CHPs_CAP'!L$47</f>
        <v>8.4647179840152838E-4</v>
      </c>
      <c r="Q1778" s="1">
        <f>'[1]Electricity and CHPs_CAP'!M$47</f>
        <v>9.9325299001594295E-4</v>
      </c>
      <c r="S1778" s="3"/>
    </row>
    <row r="1779" spans="2:19" x14ac:dyDescent="0.5">
      <c r="B1779" s="5" t="str">
        <f t="shared" si="1987"/>
        <v>SPS1</v>
      </c>
      <c r="C1779" s="5" t="str">
        <f t="shared" si="1987"/>
        <v>CH</v>
      </c>
      <c r="D1779" t="s">
        <v>1809</v>
      </c>
      <c r="E1779" t="str">
        <f t="shared" si="1979"/>
        <v>GWe/yr.</v>
      </c>
      <c r="F1779" s="1">
        <f>'[1]Electricity and CHPs_CAP'!B$48</f>
        <v>4.1851086247710698E-3</v>
      </c>
      <c r="G1779" s="1">
        <f>'[1]Electricity and CHPs_CAP'!C$48</f>
        <v>2.1838679585938475E-3</v>
      </c>
      <c r="H1779" s="1">
        <f>'[1]Electricity and CHPs_CAP'!D$48</f>
        <v>1.5855860546907376E-3</v>
      </c>
      <c r="I1779" s="1">
        <f>'[1]Electricity and CHPs_CAP'!E$48</f>
        <v>1.3423811193283247E-3</v>
      </c>
      <c r="J1779" s="1">
        <f>'[1]Electricity and CHPs_CAP'!F$48</f>
        <v>8.637199786877194E-4</v>
      </c>
      <c r="K1779" s="1">
        <f>'[1]Electricity and CHPs_CAP'!G$48</f>
        <v>4.3728564565938537E-4</v>
      </c>
      <c r="L1779" s="1">
        <f>'[1]Electricity and CHPs_CAP'!H$48</f>
        <v>0</v>
      </c>
      <c r="M1779" s="1">
        <f>'[1]Electricity and CHPs_CAP'!I$48</f>
        <v>0</v>
      </c>
      <c r="N1779" s="1">
        <f>'[1]Electricity and CHPs_CAP'!J$48</f>
        <v>6.3966965980981198E-4</v>
      </c>
      <c r="O1779" s="1">
        <f>'[1]Electricity and CHPs_CAP'!K$48</f>
        <v>9.6982913165486926E-4</v>
      </c>
      <c r="P1779" s="1">
        <f>'[1]Electricity and CHPs_CAP'!L$48</f>
        <v>2.6741492174679579E-3</v>
      </c>
      <c r="Q1779" s="1">
        <f>'[1]Electricity and CHPs_CAP'!M$48</f>
        <v>3.0117752715875155E-3</v>
      </c>
      <c r="S1779" s="3"/>
    </row>
    <row r="1780" spans="2:19" x14ac:dyDescent="0.5">
      <c r="B1780" s="5" t="str">
        <f t="shared" si="1987"/>
        <v>SPS1</v>
      </c>
      <c r="C1780" s="5" t="str">
        <f t="shared" si="1987"/>
        <v>CH</v>
      </c>
      <c r="D1780" t="s">
        <v>1810</v>
      </c>
      <c r="E1780" t="str">
        <f t="shared" si="1979"/>
        <v>GWe/yr.</v>
      </c>
      <c r="F1780" s="1">
        <f>'[1]Electricity and CHPs_CAP'!B$49</f>
        <v>0</v>
      </c>
      <c r="G1780" s="1">
        <f>'[1]Electricity and CHPs_CAP'!C$49</f>
        <v>0</v>
      </c>
      <c r="H1780" s="1">
        <f>'[1]Electricity and CHPs_CAP'!D$49</f>
        <v>0</v>
      </c>
      <c r="I1780" s="1">
        <f>'[1]Electricity and CHPs_CAP'!E$49</f>
        <v>0</v>
      </c>
      <c r="J1780" s="1">
        <f>'[1]Electricity and CHPs_CAP'!F$49</f>
        <v>0</v>
      </c>
      <c r="K1780" s="1">
        <f>'[1]Electricity and CHPs_CAP'!G$49</f>
        <v>0</v>
      </c>
      <c r="L1780" s="1">
        <f>'[1]Electricity and CHPs_CAP'!H$49</f>
        <v>0</v>
      </c>
      <c r="M1780" s="1">
        <f>'[1]Electricity and CHPs_CAP'!I$49</f>
        <v>0</v>
      </c>
      <c r="N1780" s="1">
        <f>'[1]Electricity and CHPs_CAP'!J$49</f>
        <v>3.8875667046381102E-4</v>
      </c>
      <c r="O1780" s="1">
        <f>'[1]Electricity and CHPs_CAP'!K$49</f>
        <v>6.8217174114427028E-4</v>
      </c>
      <c r="P1780" s="1">
        <f>'[1]Electricity and CHPs_CAP'!L$49</f>
        <v>6.9375585482470158E-4</v>
      </c>
      <c r="Q1780" s="1">
        <f>'[1]Electricity and CHPs_CAP'!M$49</f>
        <v>1.3966110996285806E-3</v>
      </c>
      <c r="S1780" s="3"/>
    </row>
    <row r="1781" spans="2:19" x14ac:dyDescent="0.5">
      <c r="B1781" s="5" t="str">
        <f t="shared" si="1987"/>
        <v>SPS1</v>
      </c>
      <c r="C1781" s="5" t="str">
        <f t="shared" si="1987"/>
        <v>CH</v>
      </c>
      <c r="D1781" t="s">
        <v>1811</v>
      </c>
      <c r="E1781" t="str">
        <f t="shared" si="1979"/>
        <v>GWe/yr.</v>
      </c>
      <c r="F1781" s="1">
        <f>'[1]Electricity and CHPs_CAP'!B$51</f>
        <v>8.8879130274033911E-3</v>
      </c>
      <c r="G1781" s="1">
        <f>'[1]Electricity and CHPs_CAP'!C$51</f>
        <v>1.1063547475964931E-2</v>
      </c>
      <c r="H1781" s="1">
        <f>'[1]Electricity and CHPs_CAP'!D$51</f>
        <v>1.1061753204455871E-2</v>
      </c>
      <c r="I1781" s="1">
        <f>'[1]Electricity and CHPs_CAP'!E$51</f>
        <v>1.1035798203690749E-2</v>
      </c>
      <c r="J1781" s="1">
        <f>'[1]Electricity and CHPs_CAP'!F$51</f>
        <v>1.0863968232218173E-2</v>
      </c>
      <c r="K1781" s="1">
        <f>'[1]Electricity and CHPs_CAP'!G$51</f>
        <v>4.9867759072741965E-3</v>
      </c>
      <c r="L1781" s="1">
        <f>'[1]Electricity and CHPs_CAP'!H$51</f>
        <v>0</v>
      </c>
      <c r="M1781" s="1">
        <f>'[1]Electricity and CHPs_CAP'!I$51</f>
        <v>0</v>
      </c>
      <c r="N1781" s="1">
        <f>'[1]Electricity and CHPs_CAP'!J$51</f>
        <v>1.4053324857209088E-3</v>
      </c>
      <c r="O1781" s="1">
        <f>'[1]Electricity and CHPs_CAP'!K$51</f>
        <v>6.8069095380601909E-3</v>
      </c>
      <c r="P1781" s="1">
        <f>'[1]Electricity and CHPs_CAP'!L$51</f>
        <v>9.5782936924099244E-3</v>
      </c>
      <c r="Q1781" s="1">
        <f>'[1]Electricity and CHPs_CAP'!M$51</f>
        <v>1.6109108177508984E-2</v>
      </c>
      <c r="S1781" s="3"/>
    </row>
    <row r="1782" spans="2:19" x14ac:dyDescent="0.5">
      <c r="B1782" s="5" t="str">
        <f t="shared" si="1987"/>
        <v>SPS1</v>
      </c>
      <c r="C1782" s="5" t="str">
        <f t="shared" si="1987"/>
        <v>CH</v>
      </c>
      <c r="D1782" t="s">
        <v>1812</v>
      </c>
      <c r="E1782" t="str">
        <f t="shared" si="1979"/>
        <v>GWe/yr.</v>
      </c>
      <c r="F1782" s="1">
        <f>'[1]Electricity and CHPs_CAP'!B$52</f>
        <v>0</v>
      </c>
      <c r="G1782" s="1">
        <f>'[1]Electricity and CHPs_CAP'!C$52</f>
        <v>0</v>
      </c>
      <c r="H1782" s="1">
        <f>'[1]Electricity and CHPs_CAP'!D$52</f>
        <v>0</v>
      </c>
      <c r="I1782" s="1">
        <f>'[1]Electricity and CHPs_CAP'!E$52</f>
        <v>0</v>
      </c>
      <c r="J1782" s="1">
        <f>'[1]Electricity and CHPs_CAP'!F$52</f>
        <v>0</v>
      </c>
      <c r="K1782" s="1">
        <f>'[1]Electricity and CHPs_CAP'!G$52</f>
        <v>0</v>
      </c>
      <c r="L1782" s="1">
        <f>'[1]Electricity and CHPs_CAP'!H$52</f>
        <v>0</v>
      </c>
      <c r="M1782" s="1">
        <f>'[1]Electricity and CHPs_CAP'!I$52</f>
        <v>0</v>
      </c>
      <c r="N1782" s="1">
        <f>'[1]Electricity and CHPs_CAP'!J$52</f>
        <v>1.135097107452069E-3</v>
      </c>
      <c r="O1782" s="1">
        <f>'[1]Electricity and CHPs_CAP'!K$52</f>
        <v>1.88675063892693E-3</v>
      </c>
      <c r="P1782" s="1">
        <f>'[1]Electricity and CHPs_CAP'!L$52</f>
        <v>2.130629775787379E-3</v>
      </c>
      <c r="Q1782" s="1">
        <f>'[1]Electricity and CHPs_CAP'!M$52</f>
        <v>4.4413315218629137E-3</v>
      </c>
      <c r="S1782" s="3"/>
    </row>
    <row r="1783" spans="2:19" x14ac:dyDescent="0.5">
      <c r="B1783" s="5" t="str">
        <f t="shared" si="1987"/>
        <v>SPS1</v>
      </c>
      <c r="C1783" s="5" t="str">
        <f t="shared" si="1987"/>
        <v>CH</v>
      </c>
      <c r="D1783" t="s">
        <v>1813</v>
      </c>
      <c r="E1783" t="str">
        <f t="shared" si="1979"/>
        <v>GWe/yr.</v>
      </c>
      <c r="F1783" s="1">
        <f>'[1]Electricity and CHPs_CAP'!B$54</f>
        <v>7.3511729642918411E-2</v>
      </c>
      <c r="G1783" s="1">
        <f>'[1]Electricity and CHPs_CAP'!C$54</f>
        <v>8.4819938321455082E-2</v>
      </c>
      <c r="H1783" s="1">
        <f>'[1]Electricity and CHPs_CAP'!D$54</f>
        <v>8.5359400538916094E-2</v>
      </c>
      <c r="I1783" s="1">
        <f>'[1]Electricity and CHPs_CAP'!E$54</f>
        <v>8.5427845423519652E-2</v>
      </c>
      <c r="J1783" s="1">
        <f>'[1]Electricity and CHPs_CAP'!F$54</f>
        <v>8.5431290337566232E-2</v>
      </c>
      <c r="K1783" s="1">
        <f>'[1]Electricity and CHPs_CAP'!G$54</f>
        <v>8.5430340042078126E-2</v>
      </c>
      <c r="L1783" s="1">
        <f>'[1]Electricity and CHPs_CAP'!H$54</f>
        <v>8.6439156829990121E-2</v>
      </c>
      <c r="M1783" s="1">
        <f>'[1]Electricity and CHPs_CAP'!I$54</f>
        <v>8.7578379925627434E-2</v>
      </c>
      <c r="N1783" s="1">
        <f>'[1]Electricity and CHPs_CAP'!J$54</f>
        <v>8.7576337655781197E-2</v>
      </c>
      <c r="O1783" s="1">
        <f>'[1]Electricity and CHPs_CAP'!K$54</f>
        <v>8.7579732474211441E-2</v>
      </c>
      <c r="P1783" s="1">
        <f>'[1]Electricity and CHPs_CAP'!L$54</f>
        <v>0.10090610145816614</v>
      </c>
      <c r="Q1783" s="1">
        <f>'[1]Electricity and CHPs_CAP'!M$54</f>
        <v>0.13600255506993278</v>
      </c>
      <c r="S1783" s="3"/>
    </row>
    <row r="1784" spans="2:19" x14ac:dyDescent="0.5">
      <c r="B1784" s="5" t="str">
        <f t="shared" si="1987"/>
        <v>SPS1</v>
      </c>
      <c r="C1784" s="5" t="str">
        <f t="shared" si="1987"/>
        <v>CH</v>
      </c>
      <c r="D1784" t="s">
        <v>1814</v>
      </c>
      <c r="E1784" t="str">
        <f t="shared" si="1979"/>
        <v>GWe/yr.</v>
      </c>
      <c r="F1784" s="1">
        <f>'[1]Electricity and CHPs_CAP'!B$55</f>
        <v>6.5199353270986513E-2</v>
      </c>
      <c r="G1784" s="1">
        <f>'[1]Electricity and CHPs_CAP'!C$55</f>
        <v>5.3823193865914103E-2</v>
      </c>
      <c r="H1784" s="1">
        <f>'[1]Electricity and CHPs_CAP'!D$55</f>
        <v>5.372949699373572E-2</v>
      </c>
      <c r="I1784" s="1">
        <f>'[1]Electricity and CHPs_CAP'!E$55</f>
        <v>5.1968488804770153E-2</v>
      </c>
      <c r="J1784" s="1">
        <f>'[1]Electricity and CHPs_CAP'!F$55</f>
        <v>4.2998934816671164E-2</v>
      </c>
      <c r="K1784" s="1">
        <f>'[1]Electricity and CHPs_CAP'!G$55</f>
        <v>2.5174705749959763E-2</v>
      </c>
      <c r="L1784" s="1">
        <f>'[1]Electricity and CHPs_CAP'!H$55</f>
        <v>0</v>
      </c>
      <c r="M1784" s="1">
        <f>'[1]Electricity and CHPs_CAP'!I$55</f>
        <v>0</v>
      </c>
      <c r="N1784" s="1">
        <f>'[1]Electricity and CHPs_CAP'!J$55</f>
        <v>9.9367003570885589E-4</v>
      </c>
      <c r="O1784" s="1">
        <f>'[1]Electricity and CHPs_CAP'!K$55</f>
        <v>1.1987976455983594E-3</v>
      </c>
      <c r="P1784" s="1">
        <f>'[1]Electricity and CHPs_CAP'!L$55</f>
        <v>1.699630937844445E-3</v>
      </c>
      <c r="Q1784" s="1">
        <f>'[1]Electricity and CHPs_CAP'!M$55</f>
        <v>3.0141025118526612E-3</v>
      </c>
      <c r="S1784" s="3"/>
    </row>
    <row r="1785" spans="2:19" x14ac:dyDescent="0.5">
      <c r="B1785" s="5" t="str">
        <f t="shared" ref="B1785:C1785" si="1988">B1784</f>
        <v>SPS1</v>
      </c>
      <c r="C1785" s="5" t="str">
        <f t="shared" si="1988"/>
        <v>CH</v>
      </c>
      <c r="D1785" t="s">
        <v>1815</v>
      </c>
      <c r="E1785" t="str">
        <f t="shared" si="1979"/>
        <v>GWe/yr.</v>
      </c>
      <c r="F1785" s="1">
        <f>'[1]Electricity and CHPs_CAP'!B$58</f>
        <v>0</v>
      </c>
      <c r="G1785" s="1">
        <f>'[1]Electricity and CHPs_CAP'!C$58</f>
        <v>0</v>
      </c>
      <c r="H1785" s="1">
        <f>'[1]Electricity and CHPs_CAP'!D$58</f>
        <v>0</v>
      </c>
      <c r="I1785" s="1">
        <f>'[1]Electricity and CHPs_CAP'!E$58</f>
        <v>0</v>
      </c>
      <c r="J1785" s="1">
        <f>'[1]Electricity and CHPs_CAP'!F$58</f>
        <v>0</v>
      </c>
      <c r="K1785" s="1">
        <f>'[1]Electricity and CHPs_CAP'!G$58</f>
        <v>0</v>
      </c>
      <c r="L1785" s="1">
        <f>'[1]Electricity and CHPs_CAP'!H$58</f>
        <v>0</v>
      </c>
      <c r="M1785" s="1">
        <f>'[1]Electricity and CHPs_CAP'!I$58</f>
        <v>0</v>
      </c>
      <c r="N1785" s="1">
        <f>'[1]Electricity and CHPs_CAP'!J$58</f>
        <v>5.6635358571253199E-4</v>
      </c>
      <c r="O1785" s="1">
        <f>'[1]Electricity and CHPs_CAP'!K$58</f>
        <v>9.4712405403829774E-4</v>
      </c>
      <c r="P1785" s="1">
        <f>'[1]Electricity and CHPs_CAP'!L$58</f>
        <v>9.310364210187755E-4</v>
      </c>
      <c r="Q1785" s="1">
        <f>'[1]Electricity and CHPs_CAP'!M$58</f>
        <v>1.951622148632298E-3</v>
      </c>
      <c r="S1785" s="3"/>
    </row>
    <row r="1786" spans="2:19" x14ac:dyDescent="0.5">
      <c r="B1786" s="5" t="str">
        <f>B1785</f>
        <v>SPS1</v>
      </c>
      <c r="C1786" s="5" t="str">
        <f>C1785</f>
        <v>CH</v>
      </c>
      <c r="D1786" t="s">
        <v>1816</v>
      </c>
      <c r="E1786" t="str">
        <f t="shared" si="1979"/>
        <v>GWe/yr.</v>
      </c>
      <c r="F1786" s="1">
        <f>SUM(F1787:F1792)</f>
        <v>0.4385786941852321</v>
      </c>
      <c r="G1786" s="1">
        <f t="shared" ref="G1786:K1786" si="1989">SUM(G1787:G1792)</f>
        <v>0.39776041477424889</v>
      </c>
      <c r="H1786" s="1">
        <f t="shared" si="1989"/>
        <v>0.39685751876247688</v>
      </c>
      <c r="I1786" s="1">
        <f t="shared" si="1989"/>
        <v>0.36003705930251167</v>
      </c>
      <c r="J1786" s="1">
        <f t="shared" si="1989"/>
        <v>0.40500827031883774</v>
      </c>
      <c r="K1786" s="1">
        <f t="shared" si="1989"/>
        <v>0.44347709166346738</v>
      </c>
      <c r="L1786" s="1">
        <f t="shared" ref="L1786:O1786" si="1990">SUM(L1787:L1792)</f>
        <v>0.54344854483075178</v>
      </c>
      <c r="M1786" s="1">
        <f t="shared" si="1990"/>
        <v>0.54323804365296713</v>
      </c>
      <c r="N1786" s="1">
        <f t="shared" si="1990"/>
        <v>0.52775798018106157</v>
      </c>
      <c r="O1786" s="1">
        <f t="shared" si="1990"/>
        <v>0.53946263045171472</v>
      </c>
      <c r="P1786" s="1">
        <f>SUM(P1787:P1792)</f>
        <v>0.52621909421819957</v>
      </c>
      <c r="Q1786" s="1">
        <f>SUM(Q1787:Q1792)</f>
        <v>0.51747580683396477</v>
      </c>
      <c r="S1786" s="3"/>
    </row>
    <row r="1787" spans="2:19" x14ac:dyDescent="0.5">
      <c r="B1787" s="5" t="str">
        <f t="shared" ref="B1787:C1792" si="1991">B1786</f>
        <v>SPS1</v>
      </c>
      <c r="C1787" s="5" t="str">
        <f t="shared" si="1991"/>
        <v>CH</v>
      </c>
      <c r="D1787" t="s">
        <v>1817</v>
      </c>
      <c r="E1787" t="str">
        <f t="shared" si="1979"/>
        <v>GWe/yr.</v>
      </c>
      <c r="F1787" s="1">
        <f>'[1]Electricity and CHPs_CAP'!B$19</f>
        <v>0.31253248112630172</v>
      </c>
      <c r="G1787" s="1">
        <f>'[1]Electricity and CHPs_CAP'!C$19</f>
        <v>0.31252291925103548</v>
      </c>
      <c r="H1787" s="1">
        <f>'[1]Electricity and CHPs_CAP'!D$19</f>
        <v>0.31252168026071087</v>
      </c>
      <c r="I1787" s="1">
        <f>'[1]Electricity and CHPs_CAP'!E$19</f>
        <v>0.27599210040708116</v>
      </c>
      <c r="J1787" s="1">
        <f>'[1]Electricity and CHPs_CAP'!F$19</f>
        <v>0.32164424945749565</v>
      </c>
      <c r="K1787" s="1">
        <f>'[1]Electricity and CHPs_CAP'!G$19</f>
        <v>0.29771607322000671</v>
      </c>
      <c r="L1787" s="1">
        <f>'[1]Electricity and CHPs_CAP'!H$19</f>
        <v>0.22637180870010939</v>
      </c>
      <c r="M1787" s="1">
        <f>'[1]Electricity and CHPs_CAP'!I$19</f>
        <v>0.2056115669945526</v>
      </c>
      <c r="N1787" s="1">
        <f>'[1]Electricity and CHPs_CAP'!J$19</f>
        <v>0.19395644288341765</v>
      </c>
      <c r="O1787" s="1">
        <f>'[1]Electricity and CHPs_CAP'!K$19</f>
        <v>0.19895379680179176</v>
      </c>
      <c r="P1787" s="1">
        <f>'[1]Electricity and CHPs_CAP'!L$19</f>
        <v>0.19737242144750577</v>
      </c>
      <c r="Q1787" s="1">
        <f>'[1]Electricity and CHPs_CAP'!M$19</f>
        <v>0.19839661221031687</v>
      </c>
      <c r="S1787" s="3"/>
    </row>
    <row r="1788" spans="2:19" x14ac:dyDescent="0.5">
      <c r="B1788" s="5" t="str">
        <f t="shared" si="1991"/>
        <v>SPS1</v>
      </c>
      <c r="C1788" s="5" t="str">
        <f t="shared" si="1991"/>
        <v>CH</v>
      </c>
      <c r="D1788" t="s">
        <v>1818</v>
      </c>
      <c r="E1788" t="str">
        <f t="shared" si="1979"/>
        <v>GWe/yr.</v>
      </c>
      <c r="F1788" s="1">
        <f>'[1]Electricity and CHPs_CAP'!B$20</f>
        <v>0</v>
      </c>
      <c r="G1788" s="1">
        <f>'[1]Electricity and CHPs_CAP'!C$20</f>
        <v>0</v>
      </c>
      <c r="H1788" s="1">
        <f>'[1]Electricity and CHPs_CAP'!D$20</f>
        <v>0</v>
      </c>
      <c r="I1788" s="1">
        <f>'[1]Electricity and CHPs_CAP'!E$20</f>
        <v>0</v>
      </c>
      <c r="J1788" s="1">
        <f>'[1]Electricity and CHPs_CAP'!F$20</f>
        <v>0</v>
      </c>
      <c r="K1788" s="1">
        <f>'[1]Electricity and CHPs_CAP'!G$20</f>
        <v>4.5854316019595498E-2</v>
      </c>
      <c r="L1788" s="1">
        <f>'[1]Electricity and CHPs_CAP'!H$20</f>
        <v>0.18684516457465175</v>
      </c>
      <c r="M1788" s="1">
        <f>'[1]Electricity and CHPs_CAP'!I$20</f>
        <v>0.18685553154315859</v>
      </c>
      <c r="N1788" s="1">
        <f>'[1]Electricity and CHPs_CAP'!J$20</f>
        <v>0.18685499864056138</v>
      </c>
      <c r="O1788" s="1">
        <f>'[1]Electricity and CHPs_CAP'!K$20</f>
        <v>0.18685706789321768</v>
      </c>
      <c r="P1788" s="1">
        <f>'[1]Electricity and CHPs_CAP'!L$20</f>
        <v>0.17968315989171282</v>
      </c>
      <c r="Q1788" s="1">
        <f>'[1]Electricity and CHPs_CAP'!M$20</f>
        <v>0.17047047133610654</v>
      </c>
      <c r="S1788" s="3"/>
    </row>
    <row r="1789" spans="2:19" x14ac:dyDescent="0.5">
      <c r="B1789" s="5" t="str">
        <f t="shared" si="1991"/>
        <v>SPS1</v>
      </c>
      <c r="C1789" s="5" t="str">
        <f t="shared" si="1991"/>
        <v>CH</v>
      </c>
      <c r="D1789" t="s">
        <v>1819</v>
      </c>
      <c r="E1789" t="str">
        <f t="shared" si="1979"/>
        <v>GWe/yr.</v>
      </c>
      <c r="F1789" s="1">
        <f>'[1]Electricity and CHPs_CAP'!B$26</f>
        <v>7.8399375373176289E-2</v>
      </c>
      <c r="G1789" s="1">
        <f>'[1]Electricity and CHPs_CAP'!C$26</f>
        <v>7.1394866044016278E-2</v>
      </c>
      <c r="H1789" s="1">
        <f>'[1]Electricity and CHPs_CAP'!D$26</f>
        <v>7.0492954886461054E-2</v>
      </c>
      <c r="I1789" s="1">
        <f>'[1]Electricity and CHPs_CAP'!E$26</f>
        <v>7.0491365436546424E-2</v>
      </c>
      <c r="J1789" s="1">
        <f>'[1]Electricity and CHPs_CAP'!F$26</f>
        <v>6.9969928659102815E-2</v>
      </c>
      <c r="K1789" s="1">
        <f>'[1]Electricity and CHPs_CAP'!G$26</f>
        <v>6.4686419102350998E-2</v>
      </c>
      <c r="L1789" s="1">
        <f>'[1]Electricity and CHPs_CAP'!H$26</f>
        <v>5.8785828916011647E-2</v>
      </c>
      <c r="M1789" s="1">
        <f>'[1]Electricity and CHPs_CAP'!I$26</f>
        <v>4.3484051740118247E-2</v>
      </c>
      <c r="N1789" s="1">
        <f>'[1]Electricity and CHPs_CAP'!J$26</f>
        <v>4.3483359893723462E-2</v>
      </c>
      <c r="O1789" s="1">
        <f>'[1]Electricity and CHPs_CAP'!K$26</f>
        <v>4.346516278615508E-2</v>
      </c>
      <c r="P1789" s="1">
        <f>'[1]Electricity and CHPs_CAP'!L$26</f>
        <v>3.6680135108989653E-2</v>
      </c>
      <c r="Q1789" s="1">
        <f>'[1]Electricity and CHPs_CAP'!M$26</f>
        <v>3.1729876382560168E-2</v>
      </c>
      <c r="S1789" s="3"/>
    </row>
    <row r="1790" spans="2:19" x14ac:dyDescent="0.5">
      <c r="B1790" s="5" t="str">
        <f t="shared" si="1991"/>
        <v>SPS1</v>
      </c>
      <c r="C1790" s="5" t="str">
        <f t="shared" si="1991"/>
        <v>CH</v>
      </c>
      <c r="D1790" t="s">
        <v>1820</v>
      </c>
      <c r="E1790" t="str">
        <f t="shared" si="1979"/>
        <v>GWe/yr.</v>
      </c>
      <c r="F1790" s="1">
        <f>'[1]Electricity and CHPs_CAP'!B$27</f>
        <v>0</v>
      </c>
      <c r="G1790" s="1">
        <f>'[1]Electricity and CHPs_CAP'!C$27</f>
        <v>0</v>
      </c>
      <c r="H1790" s="1">
        <f>'[1]Electricity and CHPs_CAP'!D$27</f>
        <v>0</v>
      </c>
      <c r="I1790" s="1">
        <f>'[1]Electricity and CHPs_CAP'!E$27</f>
        <v>0</v>
      </c>
      <c r="J1790" s="1">
        <f>'[1]Electricity and CHPs_CAP'!F$27</f>
        <v>0</v>
      </c>
      <c r="K1790" s="1">
        <f>'[1]Electricity and CHPs_CAP'!G$27</f>
        <v>1.8944193355246001E-2</v>
      </c>
      <c r="L1790" s="1">
        <f>'[1]Electricity and CHPs_CAP'!H$27</f>
        <v>4.1989479270396833E-2</v>
      </c>
      <c r="M1790" s="1">
        <f>'[1]Electricity and CHPs_CAP'!I$27</f>
        <v>4.2841582196146429E-2</v>
      </c>
      <c r="N1790" s="1">
        <f>'[1]Electricity and CHPs_CAP'!J$27</f>
        <v>4.2843433450202723E-2</v>
      </c>
      <c r="O1790" s="1">
        <f>'[1]Electricity and CHPs_CAP'!K$27</f>
        <v>5.0052468071627283E-2</v>
      </c>
      <c r="P1790" s="1">
        <f>'[1]Electricity and CHPs_CAP'!L$27</f>
        <v>5.2520417027355611E-2</v>
      </c>
      <c r="Q1790" s="1">
        <f>'[1]Electricity and CHPs_CAP'!M$27</f>
        <v>5.672845156631931E-2</v>
      </c>
      <c r="S1790" s="3"/>
    </row>
    <row r="1791" spans="2:19" x14ac:dyDescent="0.5">
      <c r="B1791" s="5" t="str">
        <f t="shared" si="1991"/>
        <v>SPS1</v>
      </c>
      <c r="C1791" s="5" t="str">
        <f t="shared" si="1991"/>
        <v>CH</v>
      </c>
      <c r="D1791" t="s">
        <v>1821</v>
      </c>
      <c r="E1791" t="str">
        <f t="shared" si="1979"/>
        <v>GWe/yr.</v>
      </c>
      <c r="F1791" s="1">
        <f>'[1]Electricity and CHPs_CAP'!B$44</f>
        <v>4.7646837685754041E-2</v>
      </c>
      <c r="G1791" s="1">
        <f>'[1]Electricity and CHPs_CAP'!C$44</f>
        <v>1.3842629479197129E-2</v>
      </c>
      <c r="H1791" s="1">
        <f>'[1]Electricity and CHPs_CAP'!D$44</f>
        <v>1.3842883615304918E-2</v>
      </c>
      <c r="I1791" s="1">
        <f>'[1]Electricity and CHPs_CAP'!E$44</f>
        <v>1.3553593458884079E-2</v>
      </c>
      <c r="J1791" s="1">
        <f>'[1]Electricity and CHPs_CAP'!F$44</f>
        <v>1.339409220223926E-2</v>
      </c>
      <c r="K1791" s="1">
        <f>'[1]Electricity and CHPs_CAP'!G$44</f>
        <v>1.2592682509745332E-2</v>
      </c>
      <c r="L1791" s="1">
        <f>'[1]Electricity and CHPs_CAP'!H$44</f>
        <v>3.6794017333842931E-4</v>
      </c>
      <c r="M1791" s="1">
        <f>'[1]Electricity and CHPs_CAP'!I$44</f>
        <v>3.3952606241448042E-4</v>
      </c>
      <c r="N1791" s="1">
        <f>'[1]Electricity and CHPs_CAP'!J$44</f>
        <v>2.7655286226568009E-4</v>
      </c>
      <c r="O1791" s="1">
        <f>'[1]Electricity and CHPs_CAP'!K$44</f>
        <v>2.734568863129597E-4</v>
      </c>
      <c r="P1791" s="1">
        <f>'[1]Electricity and CHPs_CAP'!L$44</f>
        <v>1.5224150859297005E-4</v>
      </c>
      <c r="Q1791" s="1">
        <f>'[1]Electricity and CHPs_CAP'!M$44</f>
        <v>2.0577956633250055E-4</v>
      </c>
      <c r="S1791" s="3"/>
    </row>
    <row r="1792" spans="2:19" x14ac:dyDescent="0.5">
      <c r="B1792" s="5" t="str">
        <f t="shared" si="1991"/>
        <v>SPS1</v>
      </c>
      <c r="C1792" s="5" t="str">
        <f t="shared" si="1991"/>
        <v>CH</v>
      </c>
      <c r="D1792" t="s">
        <v>1822</v>
      </c>
      <c r="E1792" t="str">
        <f t="shared" si="1979"/>
        <v>GWe/yr.</v>
      </c>
      <c r="F1792" s="1">
        <f>'[1]Electricity and CHPs_CAP'!B$45</f>
        <v>0</v>
      </c>
      <c r="G1792" s="1">
        <f>'[1]Electricity and CHPs_CAP'!C$45</f>
        <v>0</v>
      </c>
      <c r="H1792" s="1">
        <f>'[1]Electricity and CHPs_CAP'!D$45</f>
        <v>0</v>
      </c>
      <c r="I1792" s="1">
        <f>'[1]Electricity and CHPs_CAP'!E$45</f>
        <v>0</v>
      </c>
      <c r="J1792" s="1">
        <f>'[1]Electricity and CHPs_CAP'!F$45</f>
        <v>0</v>
      </c>
      <c r="K1792" s="1">
        <f>'[1]Electricity and CHPs_CAP'!G$45</f>
        <v>3.68340745652286E-3</v>
      </c>
      <c r="L1792" s="1">
        <f>'[1]Electricity and CHPs_CAP'!H$45</f>
        <v>2.9088323196243812E-2</v>
      </c>
      <c r="M1792" s="1">
        <f>'[1]Electricity and CHPs_CAP'!I$45</f>
        <v>6.4105785116576705E-2</v>
      </c>
      <c r="N1792" s="1">
        <f>'[1]Electricity and CHPs_CAP'!J$45</f>
        <v>6.0343192450890544E-2</v>
      </c>
      <c r="O1792" s="1">
        <f>'[1]Electricity and CHPs_CAP'!K$45</f>
        <v>5.9860678012609934E-2</v>
      </c>
      <c r="P1792" s="1">
        <f>'[1]Electricity and CHPs_CAP'!L$45</f>
        <v>5.9810719234042763E-2</v>
      </c>
      <c r="Q1792" s="1">
        <f>'[1]Electricity and CHPs_CAP'!M$45</f>
        <v>5.9944615772329388E-2</v>
      </c>
      <c r="S1792" s="3"/>
    </row>
    <row r="1793" spans="2:19" x14ac:dyDescent="0.5">
      <c r="B1793" s="5" t="str">
        <f>B1792</f>
        <v>SPS1</v>
      </c>
      <c r="C1793" s="5" t="str">
        <f>C1792</f>
        <v>CH</v>
      </c>
      <c r="D1793" t="s">
        <v>1823</v>
      </c>
      <c r="E1793" t="str">
        <f t="shared" si="1979"/>
        <v>GWe/yr.</v>
      </c>
      <c r="F1793" s="1">
        <f>SUM(F1794:F1800)</f>
        <v>2.0154429949214212E-2</v>
      </c>
      <c r="G1793" s="1">
        <f t="shared" ref="G1793:K1793" si="1992">SUM(G1794:G1800)</f>
        <v>1.8401292756320933E-2</v>
      </c>
      <c r="H1793" s="1">
        <f t="shared" si="1992"/>
        <v>5.4886654150838814E-2</v>
      </c>
      <c r="I1793" s="1">
        <f t="shared" si="1992"/>
        <v>5.56784911320184E-2</v>
      </c>
      <c r="J1793" s="1">
        <f t="shared" si="1992"/>
        <v>7.4460985675533956E-2</v>
      </c>
      <c r="K1793" s="1">
        <f t="shared" si="1992"/>
        <v>0.17284845688842604</v>
      </c>
      <c r="L1793" s="1">
        <f t="shared" ref="L1793:O1793" si="1993">SUM(L1794:L1800)</f>
        <v>0.23822711020178258</v>
      </c>
      <c r="M1793" s="1">
        <f t="shared" si="1993"/>
        <v>0.27653030748202656</v>
      </c>
      <c r="N1793" s="1">
        <f t="shared" si="1993"/>
        <v>0.26205306977565845</v>
      </c>
      <c r="O1793" s="1">
        <f t="shared" si="1993"/>
        <v>0.26084225344089407</v>
      </c>
      <c r="P1793" s="1">
        <f>SUM(P1794:P1800)</f>
        <v>0.25674588098529294</v>
      </c>
      <c r="Q1793" s="1">
        <f>SUM(Q1794:Q1800)</f>
        <v>0.25524993082093972</v>
      </c>
      <c r="S1793" s="3"/>
    </row>
    <row r="1794" spans="2:19" x14ac:dyDescent="0.5">
      <c r="B1794" s="5" t="str">
        <f t="shared" ref="B1794:C1804" si="1994">B1793</f>
        <v>SPS1</v>
      </c>
      <c r="C1794" s="5" t="str">
        <f t="shared" si="1994"/>
        <v>CH</v>
      </c>
      <c r="D1794" t="s">
        <v>1824</v>
      </c>
      <c r="E1794" t="str">
        <f t="shared" si="1979"/>
        <v>GWe/yr.</v>
      </c>
      <c r="F1794" s="1">
        <f>'[1]Electricity and CHPs_CAP'!B$25</f>
        <v>1.2552393657232201E-2</v>
      </c>
      <c r="G1794" s="1">
        <f>'[1]Electricity and CHPs_CAP'!C$25</f>
        <v>1.6503619409920928E-4</v>
      </c>
      <c r="H1794" s="1">
        <f>'[1]Electricity and CHPs_CAP'!D$25</f>
        <v>1.2887268034359703E-2</v>
      </c>
      <c r="I1794" s="1">
        <f>'[1]Electricity and CHPs_CAP'!E$25</f>
        <v>5.4795117628529677E-4</v>
      </c>
      <c r="J1794" s="1">
        <f>'[1]Electricity and CHPs_CAP'!F$25</f>
        <v>8.1349765253180967E-4</v>
      </c>
      <c r="K1794" s="1">
        <f>'[1]Electricity and CHPs_CAP'!G$25</f>
        <v>4.6597981140297534E-2</v>
      </c>
      <c r="L1794" s="1">
        <f>'[1]Electricity and CHPs_CAP'!H$25</f>
        <v>5.001911225877901E-2</v>
      </c>
      <c r="M1794" s="1">
        <f>'[1]Electricity and CHPs_CAP'!I$25</f>
        <v>4.9931655659742565E-2</v>
      </c>
      <c r="N1794" s="1">
        <f>'[1]Electricity and CHPs_CAP'!J$25</f>
        <v>4.369709310624724E-2</v>
      </c>
      <c r="O1794" s="1">
        <f>'[1]Electricity and CHPs_CAP'!K$25</f>
        <v>4.3079801037679298E-2</v>
      </c>
      <c r="P1794" s="1">
        <f>'[1]Electricity and CHPs_CAP'!L$25</f>
        <v>4.290045137219619E-2</v>
      </c>
      <c r="Q1794" s="1">
        <f>'[1]Electricity and CHPs_CAP'!M$25</f>
        <v>4.3367151921046128E-2</v>
      </c>
      <c r="S1794" s="3"/>
    </row>
    <row r="1795" spans="2:19" x14ac:dyDescent="0.5">
      <c r="B1795" s="5" t="str">
        <f t="shared" si="1994"/>
        <v>SPS1</v>
      </c>
      <c r="C1795" s="5" t="str">
        <f t="shared" si="1994"/>
        <v>CH</v>
      </c>
      <c r="D1795" t="s">
        <v>1825</v>
      </c>
      <c r="E1795" t="str">
        <f t="shared" si="1979"/>
        <v>GWe/yr.</v>
      </c>
      <c r="F1795" s="1">
        <f>'[1]Electricity and CHPs_CAP'!B$31</f>
        <v>0</v>
      </c>
      <c r="G1795" s="1">
        <f>'[1]Electricity and CHPs_CAP'!C$31</f>
        <v>0</v>
      </c>
      <c r="H1795" s="1">
        <f>'[1]Electricity and CHPs_CAP'!D$31</f>
        <v>0</v>
      </c>
      <c r="I1795" s="1">
        <f>'[1]Electricity and CHPs_CAP'!E$31</f>
        <v>0</v>
      </c>
      <c r="J1795" s="1">
        <f>'[1]Electricity and CHPs_CAP'!F$31</f>
        <v>0</v>
      </c>
      <c r="K1795" s="1">
        <f>'[1]Electricity and CHPs_CAP'!G$31</f>
        <v>1.5843457420302399E-4</v>
      </c>
      <c r="L1795" s="1">
        <f>'[1]Electricity and CHPs_CAP'!H$31</f>
        <v>7.6745781302023797E-4</v>
      </c>
      <c r="M1795" s="1">
        <f>'[1]Electricity and CHPs_CAP'!I$31</f>
        <v>1.4032563047606192E-3</v>
      </c>
      <c r="N1795" s="1">
        <f>'[1]Electricity and CHPs_CAP'!J$31</f>
        <v>1.871080452434502E-2</v>
      </c>
      <c r="O1795" s="1">
        <f>'[1]Electricity and CHPs_CAP'!K$31</f>
        <v>1.8561018701332484E-2</v>
      </c>
      <c r="P1795" s="1">
        <f>'[1]Electricity and CHPs_CAP'!L$31</f>
        <v>1.8497629494280673E-2</v>
      </c>
      <c r="Q1795" s="1">
        <f>'[1]Electricity and CHPs_CAP'!M$31</f>
        <v>1.8522481150341431E-2</v>
      </c>
      <c r="S1795" s="3"/>
    </row>
    <row r="1796" spans="2:19" x14ac:dyDescent="0.5">
      <c r="B1796" s="5" t="str">
        <f t="shared" si="1994"/>
        <v>SPS1</v>
      </c>
      <c r="C1796" s="5" t="str">
        <f t="shared" si="1994"/>
        <v>CH</v>
      </c>
      <c r="D1796" t="s">
        <v>1826</v>
      </c>
      <c r="E1796" t="str">
        <f t="shared" si="1979"/>
        <v>GWe/yr.</v>
      </c>
      <c r="F1796" s="1">
        <f>'[1]Electricity and CHPs_CAP'!B$42</f>
        <v>7.6020362919820101E-3</v>
      </c>
      <c r="G1796" s="1">
        <f>'[1]Electricity and CHPs_CAP'!C$42</f>
        <v>1.8236256562221723E-2</v>
      </c>
      <c r="H1796" s="1">
        <f>'[1]Electricity and CHPs_CAP'!D$42</f>
        <v>4.1999386116479111E-2</v>
      </c>
      <c r="I1796" s="1">
        <f>'[1]Electricity and CHPs_CAP'!E$42</f>
        <v>5.437664802675557E-2</v>
      </c>
      <c r="J1796" s="1">
        <f>'[1]Electricity and CHPs_CAP'!F$42</f>
        <v>7.2047053397354829E-2</v>
      </c>
      <c r="K1796" s="1">
        <f>'[1]Electricity and CHPs_CAP'!G$42</f>
        <v>5.7304672335541575E-2</v>
      </c>
      <c r="L1796" s="1">
        <f>'[1]Electricity and CHPs_CAP'!H$42</f>
        <v>2.7804811063707302E-2</v>
      </c>
      <c r="M1796" s="1">
        <f>'[1]Electricity and CHPs_CAP'!I$42</f>
        <v>1.5055027936458571E-2</v>
      </c>
      <c r="N1796" s="1">
        <f>'[1]Electricity and CHPs_CAP'!J$42</f>
        <v>5.4683548294487991E-4</v>
      </c>
      <c r="O1796" s="1">
        <f>'[1]Electricity and CHPs_CAP'!K$42</f>
        <v>2.8353052270684335E-4</v>
      </c>
      <c r="P1796" s="1">
        <f>'[1]Electricity and CHPs_CAP'!L$42</f>
        <v>3.1806616957364488E-4</v>
      </c>
      <c r="Q1796" s="1">
        <f>'[1]Electricity and CHPs_CAP'!M$42</f>
        <v>3.6203266816135234E-4</v>
      </c>
      <c r="S1796" s="3"/>
    </row>
    <row r="1797" spans="2:19" x14ac:dyDescent="0.5">
      <c r="B1797" s="5" t="str">
        <f t="shared" si="1994"/>
        <v>SPS1</v>
      </c>
      <c r="C1797" s="5" t="str">
        <f t="shared" si="1994"/>
        <v>CH</v>
      </c>
      <c r="D1797" t="s">
        <v>1827</v>
      </c>
      <c r="E1797" t="str">
        <f t="shared" si="1979"/>
        <v>GWe/yr.</v>
      </c>
      <c r="F1797" s="1">
        <f>'[1]Electricity and CHPs_CAP'!B$43</f>
        <v>0</v>
      </c>
      <c r="G1797" s="1">
        <f>'[1]Electricity and CHPs_CAP'!C$43</f>
        <v>0</v>
      </c>
      <c r="H1797" s="1">
        <f>'[1]Electricity and CHPs_CAP'!D$43</f>
        <v>0</v>
      </c>
      <c r="I1797" s="1">
        <f>'[1]Electricity and CHPs_CAP'!E$43</f>
        <v>0</v>
      </c>
      <c r="J1797" s="1">
        <f>'[1]Electricity and CHPs_CAP'!F$43</f>
        <v>0</v>
      </c>
      <c r="K1797" s="1">
        <f>'[1]Electricity and CHPs_CAP'!G$43</f>
        <v>6.1913505367343198E-2</v>
      </c>
      <c r="L1797" s="1">
        <f>'[1]Electricity and CHPs_CAP'!H$43</f>
        <v>0.148986568363522</v>
      </c>
      <c r="M1797" s="1">
        <f>'[1]Electricity and CHPs_CAP'!I$43</f>
        <v>0.19205138012556799</v>
      </c>
      <c r="N1797" s="1">
        <f>'[1]Electricity and CHPs_CAP'!J$43</f>
        <v>0.18284368149679001</v>
      </c>
      <c r="O1797" s="1">
        <f>'[1]Electricity and CHPs_CAP'!K$43</f>
        <v>0.186872754363682</v>
      </c>
      <c r="P1797" s="1">
        <f>'[1]Electricity and CHPs_CAP'!L$43</f>
        <v>0.18494558650953599</v>
      </c>
      <c r="Q1797" s="1">
        <f>'[1]Electricity and CHPs_CAP'!M$43</f>
        <v>0.18548692136952599</v>
      </c>
      <c r="S1797" s="3"/>
    </row>
    <row r="1798" spans="2:19" x14ac:dyDescent="0.5">
      <c r="B1798" s="5" t="str">
        <f t="shared" si="1994"/>
        <v>SPS1</v>
      </c>
      <c r="C1798" s="5" t="str">
        <f t="shared" si="1994"/>
        <v>CH</v>
      </c>
      <c r="D1798" t="s">
        <v>1828</v>
      </c>
      <c r="E1798" t="str">
        <f t="shared" si="1979"/>
        <v>GWe/yr.</v>
      </c>
      <c r="F1798" s="1">
        <f>'[1]Electricity and CHPs_CAP'!B$50</f>
        <v>0</v>
      </c>
      <c r="G1798" s="1">
        <f>'[1]Electricity and CHPs_CAP'!C$50</f>
        <v>0</v>
      </c>
      <c r="H1798" s="1">
        <f>'[1]Electricity and CHPs_CAP'!D$50</f>
        <v>0</v>
      </c>
      <c r="I1798" s="1">
        <f>'[1]Electricity and CHPs_CAP'!E$50</f>
        <v>2.0942622794661121E-4</v>
      </c>
      <c r="J1798" s="1">
        <f>'[1]Electricity and CHPs_CAP'!F$50</f>
        <v>4.1563779775224117E-4</v>
      </c>
      <c r="K1798" s="1">
        <f>'[1]Electricity and CHPs_CAP'!G$50</f>
        <v>1.0092566882382898E-3</v>
      </c>
      <c r="L1798" s="1">
        <f>'[1]Electricity and CHPs_CAP'!H$50</f>
        <v>1.0350317875086369E-3</v>
      </c>
      <c r="M1798" s="1">
        <f>'[1]Electricity and CHPs_CAP'!I$50</f>
        <v>1.7954889827900245E-3</v>
      </c>
      <c r="N1798" s="1">
        <f>'[1]Electricity and CHPs_CAP'!J$50</f>
        <v>1.2075087302872386E-3</v>
      </c>
      <c r="O1798" s="1">
        <f>'[1]Electricity and CHPs_CAP'!K$50</f>
        <v>9.811394915476496E-4</v>
      </c>
      <c r="P1798" s="1">
        <f>'[1]Electricity and CHPs_CAP'!L$50</f>
        <v>1.0890952068381447E-3</v>
      </c>
      <c r="Q1798" s="1">
        <f>'[1]Electricity and CHPs_CAP'!M$50</f>
        <v>1.2921073086936234E-3</v>
      </c>
      <c r="S1798" s="3"/>
    </row>
    <row r="1799" spans="2:19" x14ac:dyDescent="0.5">
      <c r="B1799" s="5" t="str">
        <f t="shared" si="1994"/>
        <v>SPS1</v>
      </c>
      <c r="C1799" s="5" t="str">
        <f t="shared" si="1994"/>
        <v>CH</v>
      </c>
      <c r="D1799" t="s">
        <v>1829</v>
      </c>
      <c r="E1799" t="str">
        <f t="shared" si="1979"/>
        <v>GWe/yr.</v>
      </c>
      <c r="F1799" s="1">
        <f>'[1]Electricity and CHPs_CAP'!B$53</f>
        <v>0</v>
      </c>
      <c r="G1799" s="1">
        <f>'[1]Electricity and CHPs_CAP'!C$53</f>
        <v>0</v>
      </c>
      <c r="H1799" s="1">
        <f>'[1]Electricity and CHPs_CAP'!D$53</f>
        <v>0</v>
      </c>
      <c r="I1799" s="1">
        <f>'[1]Electricity and CHPs_CAP'!E$53</f>
        <v>3.0106819548743899E-4</v>
      </c>
      <c r="J1799" s="1">
        <f>'[1]Electricity and CHPs_CAP'!F$53</f>
        <v>7.6525842136675789E-4</v>
      </c>
      <c r="K1799" s="1">
        <f>'[1]Electricity and CHPs_CAP'!G$53</f>
        <v>5.1146676900543676E-3</v>
      </c>
      <c r="L1799" s="1">
        <f>'[1]Electricity and CHPs_CAP'!H$53</f>
        <v>8.9607885462467639E-3</v>
      </c>
      <c r="M1799" s="1">
        <f>'[1]Electricity and CHPs_CAP'!I$53</f>
        <v>1.5229102190321099E-2</v>
      </c>
      <c r="N1799" s="1">
        <f>'[1]Electricity and CHPs_CAP'!J$53</f>
        <v>1.4306154416364196E-2</v>
      </c>
      <c r="O1799" s="1">
        <f>'[1]Electricity and CHPs_CAP'!K$53</f>
        <v>1.0396877587118032E-2</v>
      </c>
      <c r="P1799" s="1">
        <f>'[1]Electricity and CHPs_CAP'!L$53</f>
        <v>7.9949908683445408E-3</v>
      </c>
      <c r="Q1799" s="1">
        <f>'[1]Electricity and CHPs_CAP'!M$53</f>
        <v>4.986742807324627E-3</v>
      </c>
      <c r="S1799" s="3"/>
    </row>
    <row r="1800" spans="2:19" x14ac:dyDescent="0.5">
      <c r="B1800" s="5" t="str">
        <f t="shared" si="1994"/>
        <v>SPS1</v>
      </c>
      <c r="C1800" s="5" t="str">
        <f t="shared" si="1994"/>
        <v>CH</v>
      </c>
      <c r="D1800" t="s">
        <v>1830</v>
      </c>
      <c r="E1800" t="str">
        <f t="shared" si="1979"/>
        <v>GWe/yr.</v>
      </c>
      <c r="F1800" s="1">
        <f>'[1]Electricity and CHPs_CAP'!B$56</f>
        <v>0</v>
      </c>
      <c r="G1800" s="1">
        <f>'[1]Electricity and CHPs_CAP'!C$56</f>
        <v>0</v>
      </c>
      <c r="H1800" s="1">
        <f>'[1]Electricity and CHPs_CAP'!D$56</f>
        <v>0</v>
      </c>
      <c r="I1800" s="1">
        <f>'[1]Electricity and CHPs_CAP'!E$56</f>
        <v>2.4339750554348101E-4</v>
      </c>
      <c r="J1800" s="1">
        <f>'[1]Electricity and CHPs_CAP'!F$56</f>
        <v>4.1953840652831536E-4</v>
      </c>
      <c r="K1800" s="1">
        <f>'[1]Electricity and CHPs_CAP'!G$56</f>
        <v>7.4993909274805102E-4</v>
      </c>
      <c r="L1800" s="1">
        <f>'[1]Electricity and CHPs_CAP'!H$56</f>
        <v>6.5334036899863327E-4</v>
      </c>
      <c r="M1800" s="1">
        <f>'[1]Electricity and CHPs_CAP'!I$56</f>
        <v>1.0643962823857079E-3</v>
      </c>
      <c r="N1800" s="1">
        <f>'[1]Electricity and CHPs_CAP'!J$56</f>
        <v>7.4099201867989779E-4</v>
      </c>
      <c r="O1800" s="1">
        <f>'[1]Electricity and CHPs_CAP'!K$56</f>
        <v>6.6713173682777821E-4</v>
      </c>
      <c r="P1800" s="1">
        <f>'[1]Electricity and CHPs_CAP'!L$56</f>
        <v>1.0000613645237209E-3</v>
      </c>
      <c r="Q1800" s="1">
        <f>'[1]Electricity and CHPs_CAP'!M$56</f>
        <v>1.2324935958466039E-3</v>
      </c>
      <c r="S1800" s="3"/>
    </row>
    <row r="1801" spans="2:19" x14ac:dyDescent="0.5">
      <c r="B1801" s="5" t="str">
        <f t="shared" si="1994"/>
        <v>SPS1</v>
      </c>
      <c r="C1801" s="5" t="str">
        <f t="shared" si="1994"/>
        <v>CH</v>
      </c>
      <c r="D1801" t="s">
        <v>1831</v>
      </c>
      <c r="E1801" t="str">
        <f t="shared" si="1979"/>
        <v>GWe/yr.</v>
      </c>
      <c r="F1801" s="1">
        <f>F1802</f>
        <v>8.7120000000000003E-2</v>
      </c>
      <c r="G1801" s="1">
        <f t="shared" ref="G1801:O1801" si="1995">G1802</f>
        <v>9.0660039387044297E-2</v>
      </c>
      <c r="H1801" s="1">
        <f t="shared" si="1995"/>
        <v>8.3655956880973298E-2</v>
      </c>
      <c r="I1801" s="1">
        <f t="shared" si="1995"/>
        <v>0.34087182838744734</v>
      </c>
      <c r="J1801" s="1">
        <f t="shared" si="1995"/>
        <v>0.60448868781315379</v>
      </c>
      <c r="K1801" s="1">
        <f t="shared" si="1995"/>
        <v>0.77729854137989229</v>
      </c>
      <c r="L1801" s="1">
        <f t="shared" si="1995"/>
        <v>1.7143971777442999</v>
      </c>
      <c r="M1801" s="1">
        <f t="shared" si="1995"/>
        <v>2.5899305393125198</v>
      </c>
      <c r="N1801" s="1">
        <f t="shared" si="1995"/>
        <v>2.59125401963274</v>
      </c>
      <c r="O1801" s="1">
        <f t="shared" si="1995"/>
        <v>2.59304845297916</v>
      </c>
      <c r="P1801" s="1">
        <f>P1802</f>
        <v>2.59309445852245</v>
      </c>
      <c r="Q1801" s="1">
        <f>Q1802</f>
        <v>2.5968217214614202</v>
      </c>
      <c r="S1801" s="3"/>
    </row>
    <row r="1802" spans="2:19" x14ac:dyDescent="0.5">
      <c r="B1802" s="5" t="str">
        <f t="shared" si="1994"/>
        <v>SPS1</v>
      </c>
      <c r="C1802" s="5" t="str">
        <f t="shared" si="1994"/>
        <v>CH</v>
      </c>
      <c r="D1802" t="s">
        <v>1832</v>
      </c>
      <c r="E1802" t="str">
        <f t="shared" si="1979"/>
        <v>GWe/yr.</v>
      </c>
      <c r="F1802" s="1">
        <f>'[1]Electricity and CHPs_CAP'!B$33</f>
        <v>8.7120000000000003E-2</v>
      </c>
      <c r="G1802" s="1">
        <f>'[1]Electricity and CHPs_CAP'!C$33</f>
        <v>9.0660039387044297E-2</v>
      </c>
      <c r="H1802" s="1">
        <f>'[1]Electricity and CHPs_CAP'!D$33</f>
        <v>8.3655956880973298E-2</v>
      </c>
      <c r="I1802" s="1">
        <f>'[1]Electricity and CHPs_CAP'!E$33</f>
        <v>0.34087182838744734</v>
      </c>
      <c r="J1802" s="1">
        <f>'[1]Electricity and CHPs_CAP'!F$33</f>
        <v>0.60448868781315379</v>
      </c>
      <c r="K1802" s="1">
        <f>'[1]Electricity and CHPs_CAP'!G$33</f>
        <v>0.77729854137989229</v>
      </c>
      <c r="L1802" s="1">
        <f>'[1]Electricity and CHPs_CAP'!H$33</f>
        <v>1.7143971777442999</v>
      </c>
      <c r="M1802" s="1">
        <f>'[1]Electricity and CHPs_CAP'!I$33</f>
        <v>2.5899305393125198</v>
      </c>
      <c r="N1802" s="1">
        <f>'[1]Electricity and CHPs_CAP'!J$33</f>
        <v>2.59125401963274</v>
      </c>
      <c r="O1802" s="1">
        <f>'[1]Electricity and CHPs_CAP'!K$33</f>
        <v>2.59304845297916</v>
      </c>
      <c r="P1802" s="1">
        <f>'[1]Electricity and CHPs_CAP'!L$33</f>
        <v>2.59309445852245</v>
      </c>
      <c r="Q1802" s="1">
        <f>'[1]Electricity and CHPs_CAP'!M$33</f>
        <v>2.5968217214614202</v>
      </c>
      <c r="S1802" s="3"/>
    </row>
    <row r="1803" spans="2:19" x14ac:dyDescent="0.5">
      <c r="B1803" s="5" t="str">
        <f t="shared" si="1994"/>
        <v>SPS1</v>
      </c>
      <c r="C1803" s="5" t="str">
        <f t="shared" si="1994"/>
        <v>CH</v>
      </c>
      <c r="D1803" t="s">
        <v>1833</v>
      </c>
      <c r="E1803" t="str">
        <f t="shared" si="1979"/>
        <v>GWe/yr.</v>
      </c>
      <c r="F1803" s="1">
        <f>SUM(F1804:F1808)</f>
        <v>2.9746549999999998</v>
      </c>
      <c r="G1803" s="1">
        <f t="shared" ref="G1803:K1803" si="1996">SUM(G1804:G1808)</f>
        <v>4.3708831849091538</v>
      </c>
      <c r="H1803" s="1">
        <f t="shared" si="1996"/>
        <v>8.5991799432832003</v>
      </c>
      <c r="I1803" s="1">
        <f t="shared" si="1996"/>
        <v>11.606323595640365</v>
      </c>
      <c r="J1803" s="1">
        <f t="shared" si="1996"/>
        <v>18.64156174420539</v>
      </c>
      <c r="K1803" s="1">
        <f t="shared" si="1996"/>
        <v>29.426034058642305</v>
      </c>
      <c r="L1803" s="1">
        <f t="shared" ref="L1803:O1803" si="1997">SUM(L1804:L1808)</f>
        <v>35.602281574909469</v>
      </c>
      <c r="M1803" s="1">
        <f t="shared" si="1997"/>
        <v>38.803373724553417</v>
      </c>
      <c r="N1803" s="1">
        <f t="shared" si="1997"/>
        <v>40.260067296998805</v>
      </c>
      <c r="O1803" s="1">
        <f t="shared" si="1997"/>
        <v>41.686208746336781</v>
      </c>
      <c r="P1803" s="1">
        <f>SUM(P1804:P1808)</f>
        <v>41.474200089597524</v>
      </c>
      <c r="Q1803" s="1">
        <f>SUM(Q1804:Q1808)</f>
        <v>42.444985660388319</v>
      </c>
      <c r="S1803" s="3"/>
    </row>
    <row r="1804" spans="2:19" x14ac:dyDescent="0.5">
      <c r="B1804" s="5" t="str">
        <f t="shared" si="1994"/>
        <v>SPS1</v>
      </c>
      <c r="C1804" s="5" t="str">
        <f t="shared" si="1994"/>
        <v>CH</v>
      </c>
      <c r="D1804" t="s">
        <v>1834</v>
      </c>
      <c r="E1804" t="str">
        <f t="shared" si="1979"/>
        <v>GWe/yr.</v>
      </c>
      <c r="F1804" s="1">
        <f>'[1]Electricity and CHPs_CAP'!B$34</f>
        <v>0</v>
      </c>
      <c r="G1804" s="1">
        <f>'[1]Electricity and CHPs_CAP'!C$34</f>
        <v>0</v>
      </c>
      <c r="H1804" s="1">
        <f>'[1]Electricity and CHPs_CAP'!D$34</f>
        <v>3.4190482324348101E-4</v>
      </c>
      <c r="I1804" s="1">
        <f>'[1]Electricity and CHPs_CAP'!E$34</f>
        <v>4.984909011593959E-2</v>
      </c>
      <c r="J1804" s="1">
        <f>'[1]Electricity and CHPs_CAP'!F$34</f>
        <v>0.42369658724909043</v>
      </c>
      <c r="K1804" s="1">
        <f>'[1]Electricity and CHPs_CAP'!G$34</f>
        <v>2.9440769068976858</v>
      </c>
      <c r="L1804" s="1">
        <f>'[1]Electricity and CHPs_CAP'!H$34</f>
        <v>4.4095961385019802</v>
      </c>
      <c r="M1804" s="1">
        <f>'[1]Electricity and CHPs_CAP'!I$34</f>
        <v>5.5725591691194101</v>
      </c>
      <c r="N1804" s="1">
        <f>'[1]Electricity and CHPs_CAP'!J$34</f>
        <v>5.3341450831005695</v>
      </c>
      <c r="O1804" s="1">
        <f>'[1]Electricity and CHPs_CAP'!K$34</f>
        <v>4.9787107557873593</v>
      </c>
      <c r="P1804" s="1">
        <f>'[1]Electricity and CHPs_CAP'!L$34</f>
        <v>2.894244147640415</v>
      </c>
      <c r="Q1804" s="1">
        <f>'[1]Electricity and CHPs_CAP'!M$34</f>
        <v>1.8970438394336619</v>
      </c>
      <c r="S1804" s="3"/>
    </row>
    <row r="1805" spans="2:19" x14ac:dyDescent="0.5">
      <c r="B1805" s="5" t="str">
        <f t="shared" ref="B1805:C1820" si="1998">B1804</f>
        <v>SPS1</v>
      </c>
      <c r="C1805" s="5" t="str">
        <f t="shared" si="1998"/>
        <v>CH</v>
      </c>
      <c r="D1805" t="s">
        <v>1835</v>
      </c>
      <c r="E1805" t="str">
        <f t="shared" si="1979"/>
        <v>GWe/yr.</v>
      </c>
      <c r="F1805" s="1">
        <f>'[1]Electricity and CHPs_CAP'!B$35</f>
        <v>1.1186210000000001</v>
      </c>
      <c r="G1805" s="1">
        <f>'[1]Electricity and CHPs_CAP'!C$35</f>
        <v>1.6529270826924209</v>
      </c>
      <c r="H1805" s="1">
        <f>'[1]Electricity and CHPs_CAP'!D$35</f>
        <v>2.524513281639055</v>
      </c>
      <c r="I1805" s="1">
        <f>'[1]Electricity and CHPs_CAP'!E$35</f>
        <v>2.4556013231408671</v>
      </c>
      <c r="J1805" s="1">
        <f>'[1]Electricity and CHPs_CAP'!F$35</f>
        <v>4.89446545321056</v>
      </c>
      <c r="K1805" s="1">
        <f>'[1]Electricity and CHPs_CAP'!G$35</f>
        <v>5.1441498071810008</v>
      </c>
      <c r="L1805" s="1">
        <f>'[1]Electricity and CHPs_CAP'!H$35</f>
        <v>5.4065548333290003</v>
      </c>
      <c r="M1805" s="1">
        <f>'[1]Electricity and CHPs_CAP'!I$35</f>
        <v>5.6823443084421204</v>
      </c>
      <c r="N1805" s="1">
        <f>'[1]Electricity and CHPs_CAP'!J$35</f>
        <v>5.9722012134604903</v>
      </c>
      <c r="O1805" s="1">
        <f>'[1]Electricity and CHPs_CAP'!K$35</f>
        <v>6.2768437363187202</v>
      </c>
      <c r="P1805" s="1">
        <f>'[1]Electricity and CHPs_CAP'!L$35</f>
        <v>6.5970262005042501</v>
      </c>
      <c r="Q1805" s="1">
        <f>'[1]Electricity and CHPs_CAP'!M$35</f>
        <v>6.9335412599252804</v>
      </c>
      <c r="S1805" s="3"/>
    </row>
    <row r="1806" spans="2:19" x14ac:dyDescent="0.5">
      <c r="B1806" s="5" t="str">
        <f t="shared" si="1998"/>
        <v>SPS1</v>
      </c>
      <c r="C1806" s="5" t="str">
        <f t="shared" si="1998"/>
        <v>CH</v>
      </c>
      <c r="D1806" t="s">
        <v>1836</v>
      </c>
      <c r="E1806" t="str">
        <f t="shared" si="1979"/>
        <v>GWe/yr.</v>
      </c>
      <c r="F1806" s="1">
        <f>'[1]Electricity and CHPs_CAP'!B$36</f>
        <v>0.67885700000000004</v>
      </c>
      <c r="G1806" s="1">
        <f>'[1]Electricity and CHPs_CAP'!C$36</f>
        <v>1.1559043727468412</v>
      </c>
      <c r="H1806" s="1">
        <f>'[1]Electricity and CHPs_CAP'!D$36</f>
        <v>3.1640632753309892</v>
      </c>
      <c r="I1806" s="1">
        <f>'[1]Electricity and CHPs_CAP'!E$36</f>
        <v>4.6800002751033567</v>
      </c>
      <c r="J1806" s="1">
        <f>'[1]Electricity and CHPs_CAP'!F$36</f>
        <v>4.9193760962148527</v>
      </c>
      <c r="K1806" s="1">
        <f>'[1]Electricity and CHPs_CAP'!G$36</f>
        <v>5.170367230153385</v>
      </c>
      <c r="L1806" s="1">
        <f>'[1]Electricity and CHPs_CAP'!H$36</f>
        <v>8.5969274341209445</v>
      </c>
      <c r="M1806" s="1">
        <f>'[1]Electricity and CHPs_CAP'!I$36</f>
        <v>9.4824324198172292</v>
      </c>
      <c r="N1806" s="1">
        <f>'[1]Electricity and CHPs_CAP'!J$36</f>
        <v>9.9661326282099516</v>
      </c>
      <c r="O1806" s="1">
        <f>'[1]Electricity and CHPs_CAP'!K$36</f>
        <v>10.474506760580383</v>
      </c>
      <c r="P1806" s="1">
        <f>'[1]Electricity and CHPs_CAP'!L$36</f>
        <v>11.008815337666917</v>
      </c>
      <c r="Q1806" s="1">
        <f>'[1]Electricity and CHPs_CAP'!M$36</f>
        <v>11.570390279690811</v>
      </c>
      <c r="S1806" s="3"/>
    </row>
    <row r="1807" spans="2:19" x14ac:dyDescent="0.5">
      <c r="B1807" s="5" t="str">
        <f t="shared" si="1998"/>
        <v>SPS1</v>
      </c>
      <c r="C1807" s="5" t="str">
        <f t="shared" si="1998"/>
        <v>CH</v>
      </c>
      <c r="D1807" t="s">
        <v>1837</v>
      </c>
      <c r="E1807" t="str">
        <f t="shared" si="1979"/>
        <v>GWe/yr.</v>
      </c>
      <c r="F1807" s="1">
        <f>'[1]Electricity and CHPs_CAP'!B$37</f>
        <v>0.27424799999999999</v>
      </c>
      <c r="G1807" s="1">
        <f>'[1]Electricity and CHPs_CAP'!C$37</f>
        <v>0.43895040582509637</v>
      </c>
      <c r="H1807" s="1">
        <f>'[1]Electricity and CHPs_CAP'!D$37</f>
        <v>1.7349728003972942</v>
      </c>
      <c r="I1807" s="1">
        <f>'[1]Electricity and CHPs_CAP'!E$37</f>
        <v>3.3300001749179917</v>
      </c>
      <c r="J1807" s="1">
        <f>'[1]Electricity and CHPs_CAP'!F$37</f>
        <v>7.257360044353022</v>
      </c>
      <c r="K1807" s="1">
        <f>'[1]Electricity and CHPs_CAP'!G$37</f>
        <v>9.3081626751881341</v>
      </c>
      <c r="L1807" s="1">
        <f>'[1]Electricity and CHPs_CAP'!H$37</f>
        <v>9.9800272581090699</v>
      </c>
      <c r="M1807" s="1">
        <f>'[1]Electricity and CHPs_CAP'!I$37</f>
        <v>10.48911966826314</v>
      </c>
      <c r="N1807" s="1">
        <f>'[1]Electricity and CHPs_CAP'!J$37</f>
        <v>11.024170939305669</v>
      </c>
      <c r="O1807" s="1">
        <f>'[1]Electricity and CHPs_CAP'!K$37</f>
        <v>11.586515395343689</v>
      </c>
      <c r="P1807" s="1">
        <f>'[1]Electricity and CHPs_CAP'!L$37</f>
        <v>12.17754634496044</v>
      </c>
      <c r="Q1807" s="1">
        <f>'[1]Electricity and CHPs_CAP'!M$37</f>
        <v>12.79872796603237</v>
      </c>
      <c r="S1807" s="3"/>
    </row>
    <row r="1808" spans="2:19" x14ac:dyDescent="0.5">
      <c r="B1808" s="5" t="str">
        <f t="shared" si="1998"/>
        <v>SPS1</v>
      </c>
      <c r="C1808" s="5" t="str">
        <f t="shared" si="1998"/>
        <v>CH</v>
      </c>
      <c r="D1808" t="s">
        <v>1838</v>
      </c>
      <c r="E1808" t="str">
        <f t="shared" si="1979"/>
        <v>GWe/yr.</v>
      </c>
      <c r="F1808" s="1">
        <f>'[1]Electricity and CHPs_CAP'!B$38</f>
        <v>0.90292899999999998</v>
      </c>
      <c r="G1808" s="1">
        <f>'[1]Electricity and CHPs_CAP'!C$38</f>
        <v>1.1231013236447958</v>
      </c>
      <c r="H1808" s="1">
        <f>'[1]Electricity and CHPs_CAP'!D$38</f>
        <v>1.1752886810926186</v>
      </c>
      <c r="I1808" s="1">
        <f>'[1]Electricity and CHPs_CAP'!E$38</f>
        <v>1.0908727323622107</v>
      </c>
      <c r="J1808" s="1">
        <f>'[1]Electricity and CHPs_CAP'!F$38</f>
        <v>1.1466635631778619</v>
      </c>
      <c r="K1808" s="1">
        <f>'[1]Electricity and CHPs_CAP'!G$38</f>
        <v>6.8592774392221019</v>
      </c>
      <c r="L1808" s="1">
        <f>'[1]Electricity and CHPs_CAP'!H$38</f>
        <v>7.2091759108484696</v>
      </c>
      <c r="M1808" s="1">
        <f>'[1]Electricity and CHPs_CAP'!I$38</f>
        <v>7.5769181589115204</v>
      </c>
      <c r="N1808" s="1">
        <f>'[1]Electricity and CHPs_CAP'!J$38</f>
        <v>7.9634174329221201</v>
      </c>
      <c r="O1808" s="1">
        <f>'[1]Electricity and CHPs_CAP'!K$38</f>
        <v>8.3696320983066297</v>
      </c>
      <c r="P1808" s="1">
        <f>'[1]Electricity and CHPs_CAP'!L$38</f>
        <v>8.7965680588254997</v>
      </c>
      <c r="Q1808" s="1">
        <f>'[1]Electricity and CHPs_CAP'!M$38</f>
        <v>9.2452823153061896</v>
      </c>
      <c r="S1808" s="3"/>
    </row>
    <row r="1809" spans="2:19" x14ac:dyDescent="0.5">
      <c r="B1809" s="5" t="str">
        <f>B1812</f>
        <v>SPS1</v>
      </c>
      <c r="C1809" s="5" t="str">
        <f>C1812</f>
        <v>CH</v>
      </c>
      <c r="D1809" t="s">
        <v>1839</v>
      </c>
      <c r="E1809" t="str">
        <f t="shared" si="1979"/>
        <v>GWe/yr.</v>
      </c>
      <c r="F1809" s="1">
        <f>'[1]Electricity and CHPs_CAP'!B$32</f>
        <v>0</v>
      </c>
      <c r="G1809" s="1">
        <f>'[1]Electricity and CHPs_CAP'!C$32</f>
        <v>0</v>
      </c>
      <c r="H1809" s="1">
        <f>'[1]Electricity and CHPs_CAP'!D$32</f>
        <v>0</v>
      </c>
      <c r="I1809" s="1">
        <f>'[1]Electricity and CHPs_CAP'!E$32</f>
        <v>0</v>
      </c>
      <c r="J1809" s="1">
        <f>'[1]Electricity and CHPs_CAP'!F$32</f>
        <v>0</v>
      </c>
      <c r="K1809" s="1">
        <f>'[1]Electricity and CHPs_CAP'!G$32</f>
        <v>0</v>
      </c>
      <c r="L1809" s="1">
        <f>'[1]Electricity and CHPs_CAP'!H$32</f>
        <v>2.9284202478014687E-3</v>
      </c>
      <c r="M1809" s="1">
        <f>'[1]Electricity and CHPs_CAP'!I$32</f>
        <v>7.0230320589990116E-3</v>
      </c>
      <c r="N1809" s="1">
        <f>'[1]Electricity and CHPs_CAP'!J$32</f>
        <v>7.0247624141361598E-3</v>
      </c>
      <c r="O1809" s="1">
        <f>'[1]Electricity and CHPs_CAP'!K$32</f>
        <v>7.0287932219874503E-3</v>
      </c>
      <c r="P1809" s="1">
        <f>'[1]Electricity and CHPs_CAP'!L$32</f>
        <v>7.1065583394747589E-3</v>
      </c>
      <c r="Q1809" s="1">
        <f>'[1]Electricity and CHPs_CAP'!M$32</f>
        <v>7.4105053634441944E-3</v>
      </c>
      <c r="S1809" s="3"/>
    </row>
    <row r="1810" spans="2:19" x14ac:dyDescent="0.5">
      <c r="B1810" s="5" t="str">
        <f t="shared" ref="B1810:C1810" si="1999">B1809</f>
        <v>SPS1</v>
      </c>
      <c r="C1810" s="5" t="str">
        <f t="shared" si="1999"/>
        <v>CH</v>
      </c>
      <c r="D1810" t="s">
        <v>1840</v>
      </c>
      <c r="E1810" t="str">
        <f t="shared" si="1979"/>
        <v>GWe/yr.</v>
      </c>
      <c r="F1810" s="1">
        <f>F1809</f>
        <v>0</v>
      </c>
      <c r="G1810" s="1">
        <f t="shared" ref="G1810:K1810" si="2000">G1809</f>
        <v>0</v>
      </c>
      <c r="H1810" s="1">
        <f t="shared" si="2000"/>
        <v>0</v>
      </c>
      <c r="I1810" s="1">
        <f t="shared" si="2000"/>
        <v>0</v>
      </c>
      <c r="J1810" s="1">
        <f t="shared" si="2000"/>
        <v>0</v>
      </c>
      <c r="K1810" s="1">
        <f t="shared" si="2000"/>
        <v>0</v>
      </c>
      <c r="L1810" s="1">
        <f t="shared" ref="L1810:O1810" si="2001">L1809</f>
        <v>2.9284202478014687E-3</v>
      </c>
      <c r="M1810" s="1">
        <f t="shared" si="2001"/>
        <v>7.0230320589990116E-3</v>
      </c>
      <c r="N1810" s="1">
        <f t="shared" si="2001"/>
        <v>7.0247624141361598E-3</v>
      </c>
      <c r="O1810" s="1">
        <f t="shared" si="2001"/>
        <v>7.0287932219874503E-3</v>
      </c>
      <c r="P1810" s="1">
        <f>P1809</f>
        <v>7.1065583394747589E-3</v>
      </c>
      <c r="Q1810" s="1">
        <f>Q1809</f>
        <v>7.4105053634441944E-3</v>
      </c>
      <c r="S1810" s="3"/>
    </row>
    <row r="1811" spans="2:19" x14ac:dyDescent="0.5">
      <c r="B1811" s="5" t="str">
        <f>B1808</f>
        <v>SPS1</v>
      </c>
      <c r="C1811" s="5" t="str">
        <f>C1808</f>
        <v>CH</v>
      </c>
      <c r="D1811" t="s">
        <v>1841</v>
      </c>
      <c r="E1811" t="str">
        <f t="shared" si="1979"/>
        <v>GWe/yr.</v>
      </c>
      <c r="F1811" s="1">
        <f t="shared" ref="F1811:K1811" si="2002">SUM(F1812:F1814)</f>
        <v>0</v>
      </c>
      <c r="G1811" s="1">
        <f t="shared" si="2002"/>
        <v>0</v>
      </c>
      <c r="H1811" s="1">
        <f t="shared" si="2002"/>
        <v>0</v>
      </c>
      <c r="I1811" s="1">
        <f t="shared" si="2002"/>
        <v>3.3239297866489602E-4</v>
      </c>
      <c r="J1811" s="1">
        <f t="shared" si="2002"/>
        <v>2.9566022301919816E-2</v>
      </c>
      <c r="K1811" s="1">
        <f t="shared" si="2002"/>
        <v>3.1922649533086225E-2</v>
      </c>
      <c r="L1811" s="1">
        <f t="shared" ref="L1811:O1811" si="2003">SUM(L1812:L1814)</f>
        <v>4.1242134158955619E-2</v>
      </c>
      <c r="M1811" s="1">
        <f t="shared" si="2003"/>
        <v>8.1643120778678635E-2</v>
      </c>
      <c r="N1811" s="1">
        <f t="shared" si="2003"/>
        <v>0.12853653562599901</v>
      </c>
      <c r="O1811" s="1">
        <f t="shared" si="2003"/>
        <v>0.16892567202468181</v>
      </c>
      <c r="P1811" s="1">
        <f>SUM(P1812:P1814)</f>
        <v>0.22419328971989566</v>
      </c>
      <c r="Q1811" s="1">
        <f>SUM(Q1812:Q1814)</f>
        <v>0.27128522482857226</v>
      </c>
      <c r="S1811" s="3"/>
    </row>
    <row r="1812" spans="2:19" x14ac:dyDescent="0.5">
      <c r="B1812" s="5" t="str">
        <f t="shared" si="1998"/>
        <v>SPS1</v>
      </c>
      <c r="C1812" s="5" t="str">
        <f t="shared" si="1998"/>
        <v>CH</v>
      </c>
      <c r="D1812" t="s">
        <v>1842</v>
      </c>
      <c r="E1812" t="str">
        <f t="shared" si="1979"/>
        <v>GWe/yr.</v>
      </c>
      <c r="F1812" s="1">
        <f>'[1]Electricity and CHPs_CAP'!B$30</f>
        <v>0</v>
      </c>
      <c r="G1812" s="1">
        <f>'[1]Electricity and CHPs_CAP'!C$30</f>
        <v>0</v>
      </c>
      <c r="H1812" s="1">
        <f>'[1]Electricity and CHPs_CAP'!D$30</f>
        <v>0</v>
      </c>
      <c r="I1812" s="1">
        <f>'[1]Electricity and CHPs_CAP'!E$30</f>
        <v>0</v>
      </c>
      <c r="J1812" s="1">
        <f>'[1]Electricity and CHPs_CAP'!F$30</f>
        <v>0</v>
      </c>
      <c r="K1812" s="1">
        <f>'[1]Electricity and CHPs_CAP'!G$30</f>
        <v>2.33217598076968E-3</v>
      </c>
      <c r="L1812" s="1">
        <f>'[1]Electricity and CHPs_CAP'!H$30</f>
        <v>2.4335759535013056E-3</v>
      </c>
      <c r="M1812" s="1">
        <f>'[1]Electricity and CHPs_CAP'!I$30</f>
        <v>3.2398691088094257E-3</v>
      </c>
      <c r="N1812" s="1">
        <f>'[1]Electricity and CHPs_CAP'!J$30</f>
        <v>4.370049464445816E-2</v>
      </c>
      <c r="O1812" s="1">
        <f>'[1]Electricity and CHPs_CAP'!K$30</f>
        <v>7.1868671668123552E-2</v>
      </c>
      <c r="P1812" s="1">
        <f>'[1]Electricity and CHPs_CAP'!L$30</f>
        <v>7.1993007435410872E-2</v>
      </c>
      <c r="Q1812" s="1">
        <f>'[1]Electricity and CHPs_CAP'!M$30</f>
        <v>8.5060204947392956E-2</v>
      </c>
      <c r="S1812" s="3"/>
    </row>
    <row r="1813" spans="2:19" x14ac:dyDescent="0.5">
      <c r="B1813" s="5" t="str">
        <f>B1809</f>
        <v>SPS1</v>
      </c>
      <c r="C1813" s="5" t="str">
        <f>C1809</f>
        <v>CH</v>
      </c>
      <c r="D1813" t="s">
        <v>1843</v>
      </c>
      <c r="E1813" t="str">
        <f t="shared" si="1979"/>
        <v>GWe/yr.</v>
      </c>
      <c r="F1813" s="1">
        <f>'[1]Electricity and CHPs_CAP'!B$46</f>
        <v>0</v>
      </c>
      <c r="G1813" s="1">
        <f>'[1]Electricity and CHPs_CAP'!C$46</f>
        <v>0</v>
      </c>
      <c r="H1813" s="1">
        <f>'[1]Electricity and CHPs_CAP'!D$46</f>
        <v>0</v>
      </c>
      <c r="I1813" s="1">
        <f>'[1]Electricity and CHPs_CAP'!E$46</f>
        <v>0</v>
      </c>
      <c r="J1813" s="1">
        <f>'[1]Electricity and CHPs_CAP'!F$46</f>
        <v>2.83817375545437E-2</v>
      </c>
      <c r="K1813" s="1">
        <f>'[1]Electricity and CHPs_CAP'!G$46</f>
        <v>2.8388066378513651E-2</v>
      </c>
      <c r="L1813" s="1">
        <f>'[1]Electricity and CHPs_CAP'!H$46</f>
        <v>3.7808613173347487E-2</v>
      </c>
      <c r="M1813" s="1">
        <f>'[1]Electricity and CHPs_CAP'!I$46</f>
        <v>7.4856035811548982E-2</v>
      </c>
      <c r="N1813" s="1">
        <f>'[1]Electricity and CHPs_CAP'!J$46</f>
        <v>8.08169492151493E-2</v>
      </c>
      <c r="O1813" s="1">
        <f>'[1]Electricity and CHPs_CAP'!K$46</f>
        <v>9.25403545911338E-2</v>
      </c>
      <c r="P1813" s="1">
        <f>'[1]Electricity and CHPs_CAP'!L$46</f>
        <v>0.13870449681828975</v>
      </c>
      <c r="Q1813" s="1">
        <f>'[1]Electricity and CHPs_CAP'!M$46</f>
        <v>0.15643058060808898</v>
      </c>
      <c r="S1813" s="3"/>
    </row>
    <row r="1814" spans="2:19" x14ac:dyDescent="0.5">
      <c r="B1814" s="5" t="str">
        <f t="shared" si="1998"/>
        <v>SPS1</v>
      </c>
      <c r="C1814" s="5" t="str">
        <f t="shared" si="1998"/>
        <v>CH</v>
      </c>
      <c r="D1814" t="s">
        <v>1844</v>
      </c>
      <c r="E1814" t="str">
        <f t="shared" si="1979"/>
        <v>GWe/yr.</v>
      </c>
      <c r="F1814" s="1">
        <f>'[1]Electricity and CHPs_CAP'!B$57</f>
        <v>0</v>
      </c>
      <c r="G1814" s="1">
        <f>'[1]Electricity and CHPs_CAP'!C$57</f>
        <v>0</v>
      </c>
      <c r="H1814" s="1">
        <f>'[1]Electricity and CHPs_CAP'!D$57</f>
        <v>0</v>
      </c>
      <c r="I1814" s="1">
        <f>'[1]Electricity and CHPs_CAP'!E$57</f>
        <v>3.3239297866489602E-4</v>
      </c>
      <c r="J1814" s="1">
        <f>'[1]Electricity and CHPs_CAP'!F$57</f>
        <v>1.1842847473761164E-3</v>
      </c>
      <c r="K1814" s="1">
        <f>'[1]Electricity and CHPs_CAP'!G$57</f>
        <v>1.2024071738028924E-3</v>
      </c>
      <c r="L1814" s="1">
        <f>'[1]Electricity and CHPs_CAP'!H$57</f>
        <v>9.9994503210682319E-4</v>
      </c>
      <c r="M1814" s="1">
        <f>'[1]Electricity and CHPs_CAP'!I$57</f>
        <v>3.5472158583202333E-3</v>
      </c>
      <c r="N1814" s="1">
        <f>'[1]Electricity and CHPs_CAP'!J$57</f>
        <v>4.0190917663915481E-3</v>
      </c>
      <c r="O1814" s="1">
        <f>'[1]Electricity and CHPs_CAP'!K$57</f>
        <v>4.5166457654244501E-3</v>
      </c>
      <c r="P1814" s="1">
        <f>'[1]Electricity and CHPs_CAP'!L$57</f>
        <v>1.3495785466195028E-2</v>
      </c>
      <c r="Q1814" s="1">
        <f>'[1]Electricity and CHPs_CAP'!M$57</f>
        <v>2.9794439273090331E-2</v>
      </c>
      <c r="S1814" s="3"/>
    </row>
    <row r="1815" spans="2:19" x14ac:dyDescent="0.5">
      <c r="B1815" s="5" t="str">
        <f t="shared" si="1998"/>
        <v>SPS1</v>
      </c>
      <c r="C1815" s="5" t="str">
        <f t="shared" si="1998"/>
        <v>CH</v>
      </c>
      <c r="D1815" t="s">
        <v>1845</v>
      </c>
      <c r="E1815" t="str">
        <f t="shared" si="1979"/>
        <v>GWe/yr.</v>
      </c>
      <c r="F1815" s="1">
        <f>SUM(F1816:F1822)</f>
        <v>0.11520745479538227</v>
      </c>
      <c r="G1815" s="1">
        <f t="shared" ref="G1815:K1815" si="2004">SUM(G1816:G1822)</f>
        <v>0.11522794745504374</v>
      </c>
      <c r="H1815" s="1">
        <f t="shared" si="2004"/>
        <v>0.11540681399917443</v>
      </c>
      <c r="I1815" s="1">
        <f t="shared" si="2004"/>
        <v>0.23013272650221789</v>
      </c>
      <c r="J1815" s="1">
        <f t="shared" si="2004"/>
        <v>0.53778148163004458</v>
      </c>
      <c r="K1815" s="1">
        <f t="shared" si="2004"/>
        <v>1.3764422993513412</v>
      </c>
      <c r="L1815" s="1">
        <f t="shared" ref="L1815:O1815" si="2005">SUM(L1816:L1822)</f>
        <v>2.0318391328938947</v>
      </c>
      <c r="M1815" s="1">
        <f t="shared" si="2005"/>
        <v>2.9302598327786944</v>
      </c>
      <c r="N1815" s="1">
        <f t="shared" si="2005"/>
        <v>2.7233221286565277</v>
      </c>
      <c r="O1815" s="1">
        <f t="shared" si="2005"/>
        <v>3.0420050634050644</v>
      </c>
      <c r="P1815" s="1">
        <f>SUM(P1816:P1822)</f>
        <v>2.9749197579820135</v>
      </c>
      <c r="Q1815" s="1">
        <f>SUM(Q1816:Q1822)</f>
        <v>3.0703746881340628</v>
      </c>
      <c r="S1815" s="3"/>
    </row>
    <row r="1816" spans="2:19" x14ac:dyDescent="0.5">
      <c r="B1816" s="5" t="str">
        <f t="shared" si="1998"/>
        <v>SPS1</v>
      </c>
      <c r="C1816" s="5" t="str">
        <f t="shared" si="1998"/>
        <v>CH</v>
      </c>
      <c r="D1816" t="s">
        <v>1846</v>
      </c>
      <c r="E1816" t="str">
        <f t="shared" si="1979"/>
        <v>GWe/yr.</v>
      </c>
      <c r="F1816" s="1">
        <f>'[1]Electricity and CHPs_CAP'!B$63</f>
        <v>0.1</v>
      </c>
      <c r="G1816" s="1">
        <f>'[1]Electricity and CHPs_CAP'!C$63</f>
        <v>9.9990784741026781E-2</v>
      </c>
      <c r="H1816" s="1">
        <f>'[1]Electricity and CHPs_CAP'!D$63</f>
        <v>9.9990927195739335E-2</v>
      </c>
      <c r="I1816" s="1">
        <f>'[1]Electricity and CHPs_CAP'!E$63</f>
        <v>9.9991614995817699E-2</v>
      </c>
      <c r="J1816" s="1">
        <f>'[1]Electricity and CHPs_CAP'!F$63</f>
        <v>9.9994019457274361E-2</v>
      </c>
      <c r="K1816" s="1">
        <f>'[1]Electricity and CHPs_CAP'!G$63</f>
        <v>9.9995338937539105E-2</v>
      </c>
      <c r="L1816" s="1">
        <f>'[1]Electricity and CHPs_CAP'!H$63</f>
        <v>9.999541219877485E-2</v>
      </c>
      <c r="M1816" s="1">
        <f>'[1]Electricity and CHPs_CAP'!I$63</f>
        <v>9.9993888193171454E-2</v>
      </c>
      <c r="N1816" s="1">
        <f>'[1]Electricity and CHPs_CAP'!J$63</f>
        <v>9.9992240129436319E-2</v>
      </c>
      <c r="O1816" s="1">
        <f>'[1]Electricity and CHPs_CAP'!K$63</f>
        <v>9.9990415111611969E-2</v>
      </c>
      <c r="P1816" s="1">
        <f>'[1]Electricity and CHPs_CAP'!L$63</f>
        <v>9.9989105977788331E-2</v>
      </c>
      <c r="Q1816" s="1">
        <f>'[1]Electricity and CHPs_CAP'!M$63</f>
        <v>9.9988760263436491E-2</v>
      </c>
      <c r="S1816" s="3"/>
    </row>
    <row r="1817" spans="2:19" x14ac:dyDescent="0.5">
      <c r="B1817" s="5" t="str">
        <f t="shared" si="1998"/>
        <v>SPS1</v>
      </c>
      <c r="C1817" s="5" t="str">
        <f t="shared" si="1998"/>
        <v>CH</v>
      </c>
      <c r="D1817" t="s">
        <v>1847</v>
      </c>
      <c r="E1817" t="str">
        <f t="shared" si="1979"/>
        <v>GWe/yr.</v>
      </c>
      <c r="F1817" s="1">
        <f>'[1]Electricity and CHPs_CAP'!B$64</f>
        <v>2.4962322716105402E-3</v>
      </c>
      <c r="G1817" s="1">
        <f>'[1]Electricity and CHPs_CAP'!C$64</f>
        <v>2.5005513133927967E-3</v>
      </c>
      <c r="H1817" s="1">
        <f>'[1]Electricity and CHPs_CAP'!D$64</f>
        <v>2.5134789187531803E-3</v>
      </c>
      <c r="I1817" s="1">
        <f>'[1]Electricity and CHPs_CAP'!E$64</f>
        <v>2.1944493208669032E-3</v>
      </c>
      <c r="J1817" s="1">
        <f>'[1]Electricity and CHPs_CAP'!F$64</f>
        <v>0.21506821560534004</v>
      </c>
      <c r="K1817" s="1">
        <f>'[1]Electricity and CHPs_CAP'!G$64</f>
        <v>0.23607968082455938</v>
      </c>
      <c r="L1817" s="1">
        <f>'[1]Electricity and CHPs_CAP'!H$64</f>
        <v>0.23623771023993045</v>
      </c>
      <c r="M1817" s="1">
        <f>'[1]Electricity and CHPs_CAP'!I$64</f>
        <v>0.23631474141431127</v>
      </c>
      <c r="N1817" s="1">
        <f>'[1]Electricity and CHPs_CAP'!J$64</f>
        <v>0.23634048238075317</v>
      </c>
      <c r="O1817" s="1">
        <f>'[1]Electricity and CHPs_CAP'!K$64</f>
        <v>0.23652080374371667</v>
      </c>
      <c r="P1817" s="1">
        <f>'[1]Electricity and CHPs_CAP'!L$64</f>
        <v>0.2368194515938423</v>
      </c>
      <c r="Q1817" s="1">
        <f>'[1]Electricity and CHPs_CAP'!M$64</f>
        <v>0.23809179245712062</v>
      </c>
      <c r="S1817" s="3"/>
    </row>
    <row r="1818" spans="2:19" x14ac:dyDescent="0.5">
      <c r="B1818" s="5" t="str">
        <f t="shared" si="1998"/>
        <v>SPS1</v>
      </c>
      <c r="C1818" s="5" t="str">
        <f t="shared" si="1998"/>
        <v>CH</v>
      </c>
      <c r="D1818" t="s">
        <v>1848</v>
      </c>
      <c r="E1818" t="str">
        <f t="shared" si="1979"/>
        <v>GWe/yr.</v>
      </c>
      <c r="F1818" s="1">
        <f>'[1]Electricity and CHPs_CAP'!B$65</f>
        <v>1.8669084425136399E-3</v>
      </c>
      <c r="G1818" s="1">
        <f>'[1]Electricity and CHPs_CAP'!C$65</f>
        <v>1.8702336810966316E-3</v>
      </c>
      <c r="H1818" s="1">
        <f>'[1]Electricity and CHPs_CAP'!D$65</f>
        <v>1.8799408088438464E-3</v>
      </c>
      <c r="I1818" s="1">
        <f>'[1]Electricity and CHPs_CAP'!E$65</f>
        <v>1.6682955464719692E-3</v>
      </c>
      <c r="J1818" s="1">
        <f>'[1]Electricity and CHPs_CAP'!F$65</f>
        <v>1.9284347386389851E-2</v>
      </c>
      <c r="K1818" s="1">
        <f>'[1]Electricity and CHPs_CAP'!G$65</f>
        <v>0.7390645118042154</v>
      </c>
      <c r="L1818" s="1">
        <f>'[1]Electricity and CHPs_CAP'!H$65</f>
        <v>1.3326729776039656</v>
      </c>
      <c r="M1818" s="1">
        <f>'[1]Electricity and CHPs_CAP'!I$65</f>
        <v>2.1927190092380209</v>
      </c>
      <c r="N1818" s="1">
        <f>'[1]Electricity and CHPs_CAP'!J$65</f>
        <v>1.9679012676889889</v>
      </c>
      <c r="O1818" s="1">
        <f>'[1]Electricity and CHPs_CAP'!K$65</f>
        <v>2.2583001588692682</v>
      </c>
      <c r="P1818" s="1">
        <f>'[1]Electricity and CHPs_CAP'!L$65</f>
        <v>2.1755419833156107</v>
      </c>
      <c r="Q1818" s="1">
        <f>'[1]Electricity and CHPs_CAP'!M$65</f>
        <v>2.2348958558632406</v>
      </c>
      <c r="S1818" s="3"/>
    </row>
    <row r="1819" spans="2:19" x14ac:dyDescent="0.5">
      <c r="B1819" s="5" t="str">
        <f t="shared" si="1998"/>
        <v>SPS1</v>
      </c>
      <c r="C1819" s="5" t="str">
        <f t="shared" si="1998"/>
        <v>CH</v>
      </c>
      <c r="D1819" t="s">
        <v>1849</v>
      </c>
      <c r="E1819" t="str">
        <f t="shared" si="1979"/>
        <v>GWe/yr.</v>
      </c>
      <c r="F1819" s="1">
        <f>'[1]Electricity and CHPs_CAP'!B$66</f>
        <v>1.6719173570898345E-3</v>
      </c>
      <c r="G1819" s="1">
        <f>'[1]Electricity and CHPs_CAP'!C$66</f>
        <v>1.675075704905687E-3</v>
      </c>
      <c r="H1819" s="1">
        <f>'[1]Electricity and CHPs_CAP'!D$66</f>
        <v>1.7019570652825171E-3</v>
      </c>
      <c r="I1819" s="1">
        <f>'[1]Electricity and CHPs_CAP'!E$66</f>
        <v>2.3505516515229204E-2</v>
      </c>
      <c r="J1819" s="1">
        <f>'[1]Electricity and CHPs_CAP'!F$66</f>
        <v>4.4049034376453092E-2</v>
      </c>
      <c r="K1819" s="1">
        <f>'[1]Electricity and CHPs_CAP'!G$66</f>
        <v>6.7984872833564025E-2</v>
      </c>
      <c r="L1819" s="1">
        <f>'[1]Electricity and CHPs_CAP'!H$66</f>
        <v>5.6449780782485443E-2</v>
      </c>
      <c r="M1819" s="1">
        <f>'[1]Electricity and CHPs_CAP'!I$66</f>
        <v>9.2572176683304475E-2</v>
      </c>
      <c r="N1819" s="1">
        <f>'[1]Electricity and CHPs_CAP'!J$66</f>
        <v>9.1492208176886747E-2</v>
      </c>
      <c r="O1819" s="1">
        <f>'[1]Electricity and CHPs_CAP'!K$66</f>
        <v>0.10785888504021791</v>
      </c>
      <c r="P1819" s="1">
        <f>'[1]Electricity and CHPs_CAP'!L$66</f>
        <v>0.11199290726493076</v>
      </c>
      <c r="Q1819" s="1">
        <f>'[1]Electricity and CHPs_CAP'!M$66</f>
        <v>0.11344084060958434</v>
      </c>
      <c r="S1819" s="3"/>
    </row>
    <row r="1820" spans="2:19" x14ac:dyDescent="0.5">
      <c r="B1820" s="5" t="str">
        <f t="shared" si="1998"/>
        <v>SPS1</v>
      </c>
      <c r="C1820" s="5" t="str">
        <f t="shared" si="1998"/>
        <v>CH</v>
      </c>
      <c r="D1820" t="s">
        <v>1855</v>
      </c>
      <c r="E1820" t="str">
        <f t="shared" si="1979"/>
        <v>GWe/yr.</v>
      </c>
      <c r="F1820" s="1">
        <f>'[1]Electricity and CHPs_CAP'!B$67</f>
        <v>3.7831772044156784E-3</v>
      </c>
      <c r="G1820" s="1">
        <f>'[1]Electricity and CHPs_CAP'!C$67</f>
        <v>3.7912027655153755E-3</v>
      </c>
      <c r="H1820" s="1">
        <f>'[1]Electricity and CHPs_CAP'!D$67</f>
        <v>3.8428872399325058E-3</v>
      </c>
      <c r="I1820" s="1">
        <f>'[1]Electricity and CHPs_CAP'!E$67</f>
        <v>3.5896627506804675E-2</v>
      </c>
      <c r="J1820" s="1">
        <f>'[1]Electricity and CHPs_CAP'!F$67</f>
        <v>5.2085235201567659E-2</v>
      </c>
      <c r="K1820" s="1">
        <f>'[1]Electricity and CHPs_CAP'!G$67</f>
        <v>6.1377541287237117E-2</v>
      </c>
      <c r="L1820" s="1">
        <f>'[1]Electricity and CHPs_CAP'!H$67</f>
        <v>9.3333959751437434E-2</v>
      </c>
      <c r="M1820" s="1">
        <f>'[1]Electricity and CHPs_CAP'!I$67</f>
        <v>0.11594895661604517</v>
      </c>
      <c r="N1820" s="1">
        <f>'[1]Electricity and CHPs_CAP'!J$67</f>
        <v>0.12010249447680943</v>
      </c>
      <c r="O1820" s="1">
        <f>'[1]Electricity and CHPs_CAP'!K$67</f>
        <v>0.1260236860112221</v>
      </c>
      <c r="P1820" s="1">
        <f>'[1]Electricity and CHPs_CAP'!L$67</f>
        <v>0.13038322623482457</v>
      </c>
      <c r="Q1820" s="1">
        <f>'[1]Electricity and CHPs_CAP'!M$67</f>
        <v>0.14264677748624888</v>
      </c>
      <c r="S1820" s="3"/>
    </row>
    <row r="1821" spans="2:19" x14ac:dyDescent="0.5">
      <c r="B1821" s="5" t="str">
        <f t="shared" ref="B1821:C1822" si="2006">B1820</f>
        <v>SPS1</v>
      </c>
      <c r="C1821" s="5" t="str">
        <f t="shared" si="2006"/>
        <v>CH</v>
      </c>
      <c r="D1821" t="s">
        <v>1850</v>
      </c>
      <c r="E1821" t="str">
        <f t="shared" si="1979"/>
        <v>GWe/yr.</v>
      </c>
      <c r="F1821" s="1">
        <f>'[1]Electricity and CHPs_CAP'!B$68</f>
        <v>3.7817074059421493E-3</v>
      </c>
      <c r="G1821" s="1">
        <f>'[1]Electricity and CHPs_CAP'!C$68</f>
        <v>3.789764549219885E-3</v>
      </c>
      <c r="H1821" s="1">
        <f>'[1]Electricity and CHPs_CAP'!D$68</f>
        <v>3.8424909585432349E-3</v>
      </c>
      <c r="I1821" s="1">
        <f>'[1]Electricity and CHPs_CAP'!E$68</f>
        <v>3.6564382882474565E-2</v>
      </c>
      <c r="J1821" s="1">
        <f>'[1]Electricity and CHPs_CAP'!F$68</f>
        <v>6.3407758476611037E-2</v>
      </c>
      <c r="K1821" s="1">
        <f>'[1]Electricity and CHPs_CAP'!G$68</f>
        <v>0.10096412709892968</v>
      </c>
      <c r="L1821" s="1">
        <f>'[1]Electricity and CHPs_CAP'!H$68</f>
        <v>0.12677911170897482</v>
      </c>
      <c r="M1821" s="1">
        <f>'[1]Electricity and CHPs_CAP'!I$68</f>
        <v>0.11740981260221292</v>
      </c>
      <c r="N1821" s="1">
        <f>'[1]Electricity and CHPs_CAP'!J$68</f>
        <v>0.12433157311623064</v>
      </c>
      <c r="O1821" s="1">
        <f>'[1]Electricity and CHPs_CAP'!K$68</f>
        <v>0.12743219085796964</v>
      </c>
      <c r="P1821" s="1">
        <f>'[1]Electricity and CHPs_CAP'!L$68</f>
        <v>0.13182142075340125</v>
      </c>
      <c r="Q1821" s="1">
        <f>'[1]Electricity and CHPs_CAP'!M$68</f>
        <v>0.14425027626245318</v>
      </c>
      <c r="S1821" s="3"/>
    </row>
    <row r="1822" spans="2:19" x14ac:dyDescent="0.5">
      <c r="B1822" s="5" t="str">
        <f t="shared" si="2006"/>
        <v>SPS1</v>
      </c>
      <c r="C1822" s="5" t="str">
        <f t="shared" si="2006"/>
        <v>CH</v>
      </c>
      <c r="D1822" t="s">
        <v>1851</v>
      </c>
      <c r="E1822" t="str">
        <f t="shared" si="1979"/>
        <v>GWe/yr.</v>
      </c>
      <c r="F1822" s="1">
        <f>'[1]Electricity and CHPs_CAP'!B$69</f>
        <v>1.6075121138104202E-3</v>
      </c>
      <c r="G1822" s="1">
        <f>'[1]Electricity and CHPs_CAP'!C$69</f>
        <v>1.6103346998865705E-3</v>
      </c>
      <c r="H1822" s="1">
        <f>'[1]Electricity and CHPs_CAP'!D$69</f>
        <v>1.6351318120798085E-3</v>
      </c>
      <c r="I1822" s="1">
        <f>'[1]Electricity and CHPs_CAP'!E$69</f>
        <v>3.0311839734552856E-2</v>
      </c>
      <c r="J1822" s="1">
        <f>'[1]Electricity and CHPs_CAP'!F$69</f>
        <v>4.3892871126408613E-2</v>
      </c>
      <c r="K1822" s="1">
        <f>'[1]Electricity and CHPs_CAP'!G$69</f>
        <v>7.0976226565296591E-2</v>
      </c>
      <c r="L1822" s="1">
        <f>'[1]Electricity and CHPs_CAP'!H$69</f>
        <v>8.6370180608326325E-2</v>
      </c>
      <c r="M1822" s="1">
        <f>'[1]Electricity and CHPs_CAP'!I$69</f>
        <v>7.5301248031627979E-2</v>
      </c>
      <c r="N1822" s="1">
        <f>'[1]Electricity and CHPs_CAP'!J$69</f>
        <v>8.3161862687422983E-2</v>
      </c>
      <c r="O1822" s="1">
        <f>'[1]Electricity and CHPs_CAP'!K$69</f>
        <v>8.587892377105788E-2</v>
      </c>
      <c r="P1822" s="1">
        <f>'[1]Electricity and CHPs_CAP'!L$69</f>
        <v>8.8371662841615461E-2</v>
      </c>
      <c r="Q1822" s="1">
        <f>'[1]Electricity and CHPs_CAP'!M$69</f>
        <v>9.7060385191978571E-2</v>
      </c>
      <c r="S1822" s="3"/>
    </row>
    <row r="1823" spans="2:19" x14ac:dyDescent="0.5">
      <c r="B1823" s="5" t="str">
        <f t="shared" ref="B1823:C1823" si="2007">B1822</f>
        <v>SPS1</v>
      </c>
      <c r="C1823" s="5" t="str">
        <f t="shared" si="2007"/>
        <v>CH</v>
      </c>
      <c r="D1823" s="2" t="s">
        <v>1860</v>
      </c>
      <c r="E1823" s="2" t="s">
        <v>1858</v>
      </c>
      <c r="F1823" s="3">
        <f>SUM(F1824,F1843)</f>
        <v>11.164104088977179</v>
      </c>
      <c r="G1823" s="3">
        <f t="shared" ref="G1823:K1823" si="2008">SUM(G1824,G1843)</f>
        <v>12.01499160418255</v>
      </c>
      <c r="H1823" s="3">
        <f t="shared" si="2008"/>
        <v>12.243459601558239</v>
      </c>
      <c r="I1823" s="3">
        <f t="shared" si="2008"/>
        <v>13.198336446671838</v>
      </c>
      <c r="J1823" s="3">
        <f t="shared" si="2008"/>
        <v>10.764432977353971</v>
      </c>
      <c r="K1823" s="3">
        <f t="shared" si="2008"/>
        <v>10.236643063620374</v>
      </c>
      <c r="L1823" s="3">
        <f t="shared" ref="L1823:O1823" si="2009">SUM(L1824,L1843)</f>
        <v>10.883692477549488</v>
      </c>
      <c r="M1823" s="3">
        <f t="shared" si="2009"/>
        <v>10.781664028550955</v>
      </c>
      <c r="N1823" s="3">
        <f t="shared" si="2009"/>
        <v>10.353492564135211</v>
      </c>
      <c r="O1823" s="3">
        <f t="shared" si="2009"/>
        <v>10.017784160400328</v>
      </c>
      <c r="P1823" s="3">
        <f>SUM(P1824,P1843)</f>
        <v>9.8533493171941888</v>
      </c>
      <c r="Q1823" s="3">
        <f>SUM(Q1824,Q1843)</f>
        <v>9.6610566774352051</v>
      </c>
      <c r="S1823" s="3"/>
    </row>
    <row r="1824" spans="2:19" x14ac:dyDescent="0.5">
      <c r="B1824" s="5" t="str">
        <f>B1822</f>
        <v>SPS1</v>
      </c>
      <c r="C1824" s="5" t="str">
        <f>C1822</f>
        <v>CH</v>
      </c>
      <c r="D1824" t="s">
        <v>1898</v>
      </c>
      <c r="E1824" t="str">
        <f>E1823</f>
        <v>GWth/yr.</v>
      </c>
      <c r="F1824" s="1">
        <f>SUM(F1825,F1828,F1830,F1833,F1835,F1837,F1839,F1841)</f>
        <v>9.3030795702919011</v>
      </c>
      <c r="G1824" s="1">
        <f t="shared" ref="G1824:K1824" si="2010">SUM(G1825,G1828,G1830,G1833,G1835,G1837,G1839,G1841)</f>
        <v>9.9961580497963176</v>
      </c>
      <c r="H1824" s="1">
        <f t="shared" si="2010"/>
        <v>10.243392307250671</v>
      </c>
      <c r="I1824" s="1">
        <f t="shared" si="2010"/>
        <v>11.081182949283129</v>
      </c>
      <c r="J1824" s="1">
        <f t="shared" si="2010"/>
        <v>8.9414876165271409</v>
      </c>
      <c r="K1824" s="1">
        <f t="shared" si="2010"/>
        <v>8.3803692940657566</v>
      </c>
      <c r="L1824" s="1">
        <f t="shared" ref="L1824:O1824" si="2011">SUM(L1825,L1828,L1830,L1833,L1835,L1837,L1839,L1841)</f>
        <v>8.5289687291062872</v>
      </c>
      <c r="M1824" s="1">
        <f t="shared" si="2011"/>
        <v>8.4342973952940561</v>
      </c>
      <c r="N1824" s="1">
        <f t="shared" si="2011"/>
        <v>8.2011132641252757</v>
      </c>
      <c r="O1824" s="1">
        <f t="shared" si="2011"/>
        <v>8.2639217072954239</v>
      </c>
      <c r="P1824" s="1">
        <f>SUM(P1825,P1828,P1830,P1833,P1835,P1837,P1839,P1841)</f>
        <v>7.9358586553291879</v>
      </c>
      <c r="Q1824" s="1">
        <f>SUM(Q1825,Q1828,Q1830,Q1833,Q1835,Q1837,Q1839,Q1841)</f>
        <v>7.7777679190744502</v>
      </c>
      <c r="S1824" s="3"/>
    </row>
    <row r="1825" spans="2:19" x14ac:dyDescent="0.5">
      <c r="B1825" s="5" t="str">
        <f>B1823</f>
        <v>SPS1</v>
      </c>
      <c r="C1825" s="5" t="str">
        <f>C1823</f>
        <v>CH</v>
      </c>
      <c r="D1825" t="s">
        <v>1861</v>
      </c>
      <c r="E1825" t="str">
        <f>E1823</f>
        <v>GWth/yr.</v>
      </c>
      <c r="F1825" s="1">
        <f>SUM(F1826:F1827)</f>
        <v>2.1116692574145901</v>
      </c>
      <c r="G1825" s="1">
        <f t="shared" ref="G1825:K1825" si="2012">SUM(G1826:G1827)</f>
        <v>2.4150999107680162</v>
      </c>
      <c r="H1825" s="1">
        <f t="shared" si="2012"/>
        <v>2.598324412290816</v>
      </c>
      <c r="I1825" s="1">
        <f t="shared" si="2012"/>
        <v>3.4250862813493241</v>
      </c>
      <c r="J1825" s="1">
        <f t="shared" si="2012"/>
        <v>4.3047740909794889</v>
      </c>
      <c r="K1825" s="1">
        <f t="shared" si="2012"/>
        <v>5.3901880117909489</v>
      </c>
      <c r="L1825" s="1">
        <f t="shared" ref="L1825:O1825" si="2013">SUM(L1826:L1827)</f>
        <v>5.6294192568014028</v>
      </c>
      <c r="M1825" s="1">
        <f t="shared" si="2013"/>
        <v>6.2033042595060275</v>
      </c>
      <c r="N1825" s="1">
        <f t="shared" si="2013"/>
        <v>6.1873120012981797</v>
      </c>
      <c r="O1825" s="1">
        <f t="shared" si="2013"/>
        <v>6.2885567858031521</v>
      </c>
      <c r="P1825" s="1">
        <f>SUM(P1826:P1827)</f>
        <v>6.1215261755883486</v>
      </c>
      <c r="Q1825" s="1">
        <f>SUM(Q1826:Q1827)</f>
        <v>6.096704856379076</v>
      </c>
      <c r="S1825" s="3"/>
    </row>
    <row r="1826" spans="2:19" x14ac:dyDescent="0.5">
      <c r="B1826" s="5" t="str">
        <f t="shared" ref="B1826:C1826" si="2014">B1825</f>
        <v>SPS1</v>
      </c>
      <c r="C1826" s="5" t="str">
        <f t="shared" si="2014"/>
        <v>CH</v>
      </c>
      <c r="D1826" t="s">
        <v>1862</v>
      </c>
      <c r="E1826" t="str">
        <f t="shared" ref="E1826:E1889" si="2015">E1825</f>
        <v>GWth/yr.</v>
      </c>
      <c r="F1826" s="1" cm="1">
        <f t="array" ref="F1826">SUMPRODUCT(([1]OUT_FinalEnergyCons!$B$4:$B$10000="var_cap")*1,(ISNUMBER(SEARCH("RH*-SHELCBR",[1]OUT_FinalEnergyCons!$A$4:$A$10000)))*1,[1]OUT_FinalEnergyCons!D$4:D$10000)</f>
        <v>0.67257700018890987</v>
      </c>
      <c r="G1826" s="1" cm="1">
        <f t="array" ref="G1826">SUMPRODUCT(([1]OUT_FinalEnergyCons!$B$4:$B$10000="var_cap")*1,(ISNUMBER(SEARCH("RH*-SHELCBR",[1]OUT_FinalEnergyCons!$A$4:$A$10000)))*1,[1]OUT_FinalEnergyCons!E$4:E$10000)</f>
        <v>0.70277135819027414</v>
      </c>
      <c r="H1826" s="1" cm="1">
        <f t="array" ref="H1826">SUMPRODUCT(([1]OUT_FinalEnergyCons!$B$4:$B$10000="var_cap")*1,(ISNUMBER(SEARCH("RH*-SHELCBR",[1]OUT_FinalEnergyCons!$A$4:$A$10000)))*1,[1]OUT_FinalEnergyCons!F$4:F$10000)</f>
        <v>0.68864063411976917</v>
      </c>
      <c r="I1826" s="1" cm="1">
        <f t="array" ref="I1826">SUMPRODUCT(([1]OUT_FinalEnergyCons!$B$4:$B$10000="var_cap")*1,(ISNUMBER(SEARCH("RH*-SHELCBR",[1]OUT_FinalEnergyCons!$A$4:$A$10000)))*1,[1]OUT_FinalEnergyCons!G$4:G$10000)</f>
        <v>0.67823836894035516</v>
      </c>
      <c r="J1826" s="1" cm="1">
        <f t="array" ref="J1826">SUMPRODUCT(([1]OUT_FinalEnergyCons!$B$4:$B$10000="var_cap")*1,(ISNUMBER(SEARCH("RH*-SHELCBR",[1]OUT_FinalEnergyCons!$A$4:$A$10000)))*1,[1]OUT_FinalEnergyCons!H$4:H$10000)</f>
        <v>0.29320389969250427</v>
      </c>
      <c r="K1826" s="1" cm="1">
        <f t="array" ref="K1826">SUMPRODUCT(([1]OUT_FinalEnergyCons!$B$4:$B$10000="var_cap")*1,(ISNUMBER(SEARCH("RH*-SHELCBR",[1]OUT_FinalEnergyCons!$A$4:$A$10000)))*1,[1]OUT_FinalEnergyCons!I$4:I$10000)</f>
        <v>0.17428268449957013</v>
      </c>
      <c r="L1826" s="1" cm="1">
        <f t="array" ref="L1826">SUMPRODUCT(([1]OUT_FinalEnergyCons!$B$4:$B$10000="var_cap")*1,(ISNUMBER(SEARCH("RH*-SHELCBR",[1]OUT_FinalEnergyCons!$A$4:$A$10000)))*1,[1]OUT_FinalEnergyCons!J$4:J$10000)</f>
        <v>0.1513052136723996</v>
      </c>
      <c r="M1826" s="1" cm="1">
        <f t="array" ref="M1826">SUMPRODUCT(([1]OUT_FinalEnergyCons!$B$4:$B$10000="var_cap")*1,(ISNUMBER(SEARCH("RH*-SHELCBR",[1]OUT_FinalEnergyCons!$A$4:$A$10000)))*1,[1]OUT_FinalEnergyCons!K$4:K$10000)</f>
        <v>0.22234159571551917</v>
      </c>
      <c r="N1826" s="1" cm="1">
        <f t="array" ref="N1826">SUMPRODUCT(([1]OUT_FinalEnergyCons!$B$4:$B$10000="var_cap")*1,(ISNUMBER(SEARCH("RH*-SHELCBR",[1]OUT_FinalEnergyCons!$A$4:$A$10000)))*1,[1]OUT_FinalEnergyCons!L$4:L$10000)</f>
        <v>0.17648571313629999</v>
      </c>
      <c r="O1826" s="1" cm="1">
        <f t="array" ref="O1826">SUMPRODUCT(([1]OUT_FinalEnergyCons!$B$4:$B$10000="var_cap")*1,(ISNUMBER(SEARCH("RH*-SHELCBR",[1]OUT_FinalEnergyCons!$A$4:$A$10000)))*1,[1]OUT_FinalEnergyCons!M$4:M$10000)</f>
        <v>0.26574090438873715</v>
      </c>
      <c r="P1826" s="1" cm="1">
        <f t="array" ref="P1826">SUMPRODUCT(([1]OUT_FinalEnergyCons!$B$4:$B$10000="var_cap")*1,(ISNUMBER(SEARCH("RH*-SHELCBR",[1]OUT_FinalEnergyCons!$A$4:$A$10000)))*1,[1]OUT_FinalEnergyCons!N$4:N$10000)</f>
        <v>9.3007383507196062E-2</v>
      </c>
      <c r="Q1826" s="1" cm="1">
        <f t="array" ref="Q1826">SUMPRODUCT(([1]OUT_FinalEnergyCons!$B$4:$B$10000="var_cap")*1,(ISNUMBER(SEARCH("RH*-SHELCBR",[1]OUT_FinalEnergyCons!$A$4:$A$10000)))*1,[1]OUT_FinalEnergyCons!O$4:O$10000)</f>
        <v>7.3055599938186458E-2</v>
      </c>
      <c r="S1826" s="3"/>
    </row>
    <row r="1827" spans="2:19" x14ac:dyDescent="0.5">
      <c r="B1827" s="5" t="str">
        <f t="shared" ref="B1827:C1827" si="2016">B1826</f>
        <v>SPS1</v>
      </c>
      <c r="C1827" s="5" t="str">
        <f t="shared" si="2016"/>
        <v>CH</v>
      </c>
      <c r="D1827" t="s">
        <v>1863</v>
      </c>
      <c r="E1827" t="str">
        <f t="shared" si="2015"/>
        <v>GWth/yr.</v>
      </c>
      <c r="F1827" s="1" cm="1">
        <f t="array" ref="F1827">SUMPRODUCT(([1]OUT_FinalEnergyCons!$B$4:$B$10000="var_cap")*1,ISNUMBER(SEARCH("RH*-SHELCHP",[1]OUT_FinalEnergyCons!$A$4:$A$10000))*1,[1]OUT_FinalEnergyCons!D$4:D$10000)</f>
        <v>1.4390922572256801</v>
      </c>
      <c r="G1827" s="1" cm="1">
        <f t="array" ref="G1827">SUMPRODUCT(([1]OUT_FinalEnergyCons!$B$4:$B$10000="var_cap")*1,ISNUMBER(SEARCH("RH*-SHELCHP",[1]OUT_FinalEnergyCons!$A$4:$A$10000))*1,[1]OUT_FinalEnergyCons!E$4:E$10000)</f>
        <v>1.7123285525777423</v>
      </c>
      <c r="H1827" s="1" cm="1">
        <f t="array" ref="H1827">SUMPRODUCT(([1]OUT_FinalEnergyCons!$B$4:$B$10000="var_cap")*1,ISNUMBER(SEARCH("RH*-SHELCHP",[1]OUT_FinalEnergyCons!$A$4:$A$10000))*1,[1]OUT_FinalEnergyCons!F$4:F$10000)</f>
        <v>1.9096837781710467</v>
      </c>
      <c r="I1827" s="1" cm="1">
        <f t="array" ref="I1827">SUMPRODUCT(([1]OUT_FinalEnergyCons!$B$4:$B$10000="var_cap")*1,ISNUMBER(SEARCH("RH*-SHELCHP",[1]OUT_FinalEnergyCons!$A$4:$A$10000))*1,[1]OUT_FinalEnergyCons!G$4:G$10000)</f>
        <v>2.7468479124089691</v>
      </c>
      <c r="J1827" s="1" cm="1">
        <f t="array" ref="J1827">SUMPRODUCT(([1]OUT_FinalEnergyCons!$B$4:$B$10000="var_cap")*1,ISNUMBER(SEARCH("RH*-SHELCHP",[1]OUT_FinalEnergyCons!$A$4:$A$10000))*1,[1]OUT_FinalEnergyCons!H$4:H$10000)</f>
        <v>4.0115701912869843</v>
      </c>
      <c r="K1827" s="1" cm="1">
        <f t="array" ref="K1827">SUMPRODUCT(([1]OUT_FinalEnergyCons!$B$4:$B$10000="var_cap")*1,ISNUMBER(SEARCH("RH*-SHELCHP",[1]OUT_FinalEnergyCons!$A$4:$A$10000))*1,[1]OUT_FinalEnergyCons!I$4:I$10000)</f>
        <v>5.2159053272913791</v>
      </c>
      <c r="L1827" s="1" cm="1">
        <f t="array" ref="L1827">SUMPRODUCT(([1]OUT_FinalEnergyCons!$B$4:$B$10000="var_cap")*1,ISNUMBER(SEARCH("RH*-SHELCHP",[1]OUT_FinalEnergyCons!$A$4:$A$10000))*1,[1]OUT_FinalEnergyCons!J$4:J$10000)</f>
        <v>5.4781140431290032</v>
      </c>
      <c r="M1827" s="1" cm="1">
        <f t="array" ref="M1827">SUMPRODUCT(([1]OUT_FinalEnergyCons!$B$4:$B$10000="var_cap")*1,ISNUMBER(SEARCH("RH*-SHELCHP",[1]OUT_FinalEnergyCons!$A$4:$A$10000))*1,[1]OUT_FinalEnergyCons!K$4:K$10000)</f>
        <v>5.9809626637905087</v>
      </c>
      <c r="N1827" s="1" cm="1">
        <f t="array" ref="N1827">SUMPRODUCT(([1]OUT_FinalEnergyCons!$B$4:$B$10000="var_cap")*1,ISNUMBER(SEARCH("RH*-SHELCHP",[1]OUT_FinalEnergyCons!$A$4:$A$10000))*1,[1]OUT_FinalEnergyCons!L$4:L$10000)</f>
        <v>6.0108262881618799</v>
      </c>
      <c r="O1827" s="1" cm="1">
        <f t="array" ref="O1827">SUMPRODUCT(([1]OUT_FinalEnergyCons!$B$4:$B$10000="var_cap")*1,ISNUMBER(SEARCH("RH*-SHELCHP",[1]OUT_FinalEnergyCons!$A$4:$A$10000))*1,[1]OUT_FinalEnergyCons!M$4:M$10000)</f>
        <v>6.0228158814144148</v>
      </c>
      <c r="P1827" s="1" cm="1">
        <f t="array" ref="P1827">SUMPRODUCT(([1]OUT_FinalEnergyCons!$B$4:$B$10000="var_cap")*1,ISNUMBER(SEARCH("RH*-SHELCHP",[1]OUT_FinalEnergyCons!$A$4:$A$10000))*1,[1]OUT_FinalEnergyCons!N$4:N$10000)</f>
        <v>6.0285187920811527</v>
      </c>
      <c r="Q1827" s="1" cm="1">
        <f t="array" ref="Q1827">SUMPRODUCT(([1]OUT_FinalEnergyCons!$B$4:$B$10000="var_cap")*1,ISNUMBER(SEARCH("RH*-SHELCHP",[1]OUT_FinalEnergyCons!$A$4:$A$10000))*1,[1]OUT_FinalEnergyCons!O$4:O$10000)</f>
        <v>6.0236492564408897</v>
      </c>
      <c r="S1827" s="3"/>
    </row>
    <row r="1828" spans="2:19" x14ac:dyDescent="0.5">
      <c r="B1828" s="5" t="str">
        <f t="shared" ref="B1828:C1828" si="2017">B1827</f>
        <v>SPS1</v>
      </c>
      <c r="C1828" s="5" t="str">
        <f t="shared" si="2017"/>
        <v>CH</v>
      </c>
      <c r="D1828" t="s">
        <v>1864</v>
      </c>
      <c r="E1828" t="str">
        <f t="shared" si="2015"/>
        <v>GWth/yr.</v>
      </c>
      <c r="F1828" s="1">
        <f>F1829</f>
        <v>3.4074053831106799</v>
      </c>
      <c r="G1828" s="1">
        <f t="shared" ref="G1828:O1828" si="2018">G1829</f>
        <v>3.4074017686541893</v>
      </c>
      <c r="H1828" s="1">
        <f t="shared" si="2018"/>
        <v>3.4073964578171712</v>
      </c>
      <c r="I1828" s="1">
        <f t="shared" si="2018"/>
        <v>3.4073765367751783</v>
      </c>
      <c r="J1828" s="1">
        <f t="shared" si="2018"/>
        <v>0.88462266954521485</v>
      </c>
      <c r="K1828" s="1">
        <f t="shared" si="2018"/>
        <v>2.6555049783988931E-3</v>
      </c>
      <c r="L1828" s="1">
        <f t="shared" si="2018"/>
        <v>2.6476022525121906E-3</v>
      </c>
      <c r="M1828" s="1">
        <f t="shared" si="2018"/>
        <v>2.5291393493682814E-3</v>
      </c>
      <c r="N1828" s="1">
        <f t="shared" si="2018"/>
        <v>1.1159214455461241E-3</v>
      </c>
      <c r="O1828" s="1">
        <f t="shared" si="2018"/>
        <v>1.1423594830917696E-3</v>
      </c>
      <c r="P1828" s="1">
        <f>P1829</f>
        <v>1.0776322440905475E-3</v>
      </c>
      <c r="Q1828" s="1">
        <f>Q1829</f>
        <v>1.1047453215998196E-3</v>
      </c>
      <c r="S1828" s="3"/>
    </row>
    <row r="1829" spans="2:19" x14ac:dyDescent="0.5">
      <c r="B1829" s="5" t="str">
        <f t="shared" ref="B1829:C1829" si="2019">B1828</f>
        <v>SPS1</v>
      </c>
      <c r="C1829" s="5" t="str">
        <f t="shared" si="2019"/>
        <v>CH</v>
      </c>
      <c r="D1829" t="s">
        <v>1865</v>
      </c>
      <c r="E1829" t="str">
        <f t="shared" si="2015"/>
        <v>GWth/yr.</v>
      </c>
      <c r="F1829" s="1" cm="1">
        <f t="array" ref="F1829">SUMPRODUCT(([1]OUT_FinalEnergyCons!$B$4:$B$10000="var_cap")*1, (ISNUMBER(SEARCH("RH*-SHLFOBR",[1]OUT_FinalEnergyCons!$A$4:$A$10000)))*1,[1]OUT_FinalEnergyCons!D$4:D$10000)</f>
        <v>3.4074053831106799</v>
      </c>
      <c r="G1829" s="1" cm="1">
        <f t="array" ref="G1829">SUMPRODUCT(([1]OUT_FinalEnergyCons!$B$4:$B$10000="var_cap")*1, (ISNUMBER(SEARCH("RH*-SHLFOBR",[1]OUT_FinalEnergyCons!$A$4:$A$10000)))*1,[1]OUT_FinalEnergyCons!E$4:E$10000)</f>
        <v>3.4074017686541893</v>
      </c>
      <c r="H1829" s="1" cm="1">
        <f t="array" ref="H1829">SUMPRODUCT(([1]OUT_FinalEnergyCons!$B$4:$B$10000="var_cap")*1, (ISNUMBER(SEARCH("RH*-SHLFOBR",[1]OUT_FinalEnergyCons!$A$4:$A$10000)))*1,[1]OUT_FinalEnergyCons!F$4:F$10000)</f>
        <v>3.4073964578171712</v>
      </c>
      <c r="I1829" s="1" cm="1">
        <f t="array" ref="I1829">SUMPRODUCT(([1]OUT_FinalEnergyCons!$B$4:$B$10000="var_cap")*1, (ISNUMBER(SEARCH("RH*-SHLFOBR",[1]OUT_FinalEnergyCons!$A$4:$A$10000)))*1,[1]OUT_FinalEnergyCons!G$4:G$10000)</f>
        <v>3.4073765367751783</v>
      </c>
      <c r="J1829" s="1" cm="1">
        <f t="array" ref="J1829">SUMPRODUCT(([1]OUT_FinalEnergyCons!$B$4:$B$10000="var_cap")*1, (ISNUMBER(SEARCH("RH*-SHLFOBR",[1]OUT_FinalEnergyCons!$A$4:$A$10000)))*1,[1]OUT_FinalEnergyCons!H$4:H$10000)</f>
        <v>0.88462266954521485</v>
      </c>
      <c r="K1829" s="1" cm="1">
        <f t="array" ref="K1829">SUMPRODUCT(([1]OUT_FinalEnergyCons!$B$4:$B$10000="var_cap")*1, (ISNUMBER(SEARCH("RH*-SHLFOBR",[1]OUT_FinalEnergyCons!$A$4:$A$10000)))*1,[1]OUT_FinalEnergyCons!I$4:I$10000)</f>
        <v>2.6555049783988931E-3</v>
      </c>
      <c r="L1829" s="1" cm="1">
        <f t="array" ref="L1829">SUMPRODUCT(([1]OUT_FinalEnergyCons!$B$4:$B$10000="var_cap")*1, (ISNUMBER(SEARCH("RH*-SHLFOBR",[1]OUT_FinalEnergyCons!$A$4:$A$10000)))*1,[1]OUT_FinalEnergyCons!J$4:J$10000)</f>
        <v>2.6476022525121906E-3</v>
      </c>
      <c r="M1829" s="1" cm="1">
        <f t="array" ref="M1829">SUMPRODUCT(([1]OUT_FinalEnergyCons!$B$4:$B$10000="var_cap")*1, (ISNUMBER(SEARCH("RH*-SHLFOBR",[1]OUT_FinalEnergyCons!$A$4:$A$10000)))*1,[1]OUT_FinalEnergyCons!K$4:K$10000)</f>
        <v>2.5291393493682814E-3</v>
      </c>
      <c r="N1829" s="1" cm="1">
        <f t="array" ref="N1829">SUMPRODUCT(([1]OUT_FinalEnergyCons!$B$4:$B$10000="var_cap")*1, (ISNUMBER(SEARCH("RH*-SHLFOBR",[1]OUT_FinalEnergyCons!$A$4:$A$10000)))*1,[1]OUT_FinalEnergyCons!L$4:L$10000)</f>
        <v>1.1159214455461241E-3</v>
      </c>
      <c r="O1829" s="1" cm="1">
        <f t="array" ref="O1829">SUMPRODUCT(([1]OUT_FinalEnergyCons!$B$4:$B$10000="var_cap")*1, (ISNUMBER(SEARCH("RH*-SHLFOBR",[1]OUT_FinalEnergyCons!$A$4:$A$10000)))*1,[1]OUT_FinalEnergyCons!M$4:M$10000)</f>
        <v>1.1423594830917696E-3</v>
      </c>
      <c r="P1829" s="1" cm="1">
        <f t="array" ref="P1829">SUMPRODUCT(([1]OUT_FinalEnergyCons!$B$4:$B$10000="var_cap")*1, (ISNUMBER(SEARCH("RH*-SHLFOBR",[1]OUT_FinalEnergyCons!$A$4:$A$10000)))*1,[1]OUT_FinalEnergyCons!N$4:N$10000)</f>
        <v>1.0776322440905475E-3</v>
      </c>
      <c r="Q1829" s="1" cm="1">
        <f t="array" ref="Q1829">SUMPRODUCT(([1]OUT_FinalEnergyCons!$B$4:$B$10000="var_cap")*1, (ISNUMBER(SEARCH("RH*-SHLFOBR",[1]OUT_FinalEnergyCons!$A$4:$A$10000)))*1,[1]OUT_FinalEnergyCons!O$4:O$10000)</f>
        <v>1.1047453215998196E-3</v>
      </c>
      <c r="S1829" s="3"/>
    </row>
    <row r="1830" spans="2:19" x14ac:dyDescent="0.5">
      <c r="B1830" s="5" t="str">
        <f t="shared" ref="B1830:C1830" si="2020">B1829</f>
        <v>SPS1</v>
      </c>
      <c r="C1830" s="5" t="str">
        <f t="shared" si="2020"/>
        <v>CH</v>
      </c>
      <c r="D1830" t="s">
        <v>1866</v>
      </c>
      <c r="E1830" t="str">
        <f t="shared" si="2015"/>
        <v>GWth/yr.</v>
      </c>
      <c r="F1830" s="1">
        <f>SUM(F1831:F1832)</f>
        <v>2.7687558013343843</v>
      </c>
      <c r="G1830" s="1">
        <f t="shared" ref="G1830:K1830" si="2021">SUM(G1831:G1832)</f>
        <v>2.9890662181605929</v>
      </c>
      <c r="H1830" s="1">
        <f t="shared" si="2021"/>
        <v>3.052438423030412</v>
      </c>
      <c r="I1830" s="1">
        <f t="shared" si="2021"/>
        <v>3.0526143107215664</v>
      </c>
      <c r="J1830" s="1">
        <f t="shared" si="2021"/>
        <v>2.8803222963893882</v>
      </c>
      <c r="K1830" s="1">
        <f t="shared" si="2021"/>
        <v>2.0650096865633949</v>
      </c>
      <c r="L1830" s="1">
        <f t="shared" ref="L1830:O1830" si="2022">SUM(L1831:L1832)</f>
        <v>1.7568322184962604</v>
      </c>
      <c r="M1830" s="1">
        <f t="shared" si="2022"/>
        <v>0.86359898651862421</v>
      </c>
      <c r="N1830" s="1">
        <f t="shared" si="2022"/>
        <v>0.80836221205627479</v>
      </c>
      <c r="O1830" s="1">
        <f t="shared" si="2022"/>
        <v>0.79938668637023946</v>
      </c>
      <c r="P1830" s="1">
        <f>SUM(P1831:P1832)</f>
        <v>0.73132788276879335</v>
      </c>
      <c r="Q1830" s="1">
        <f>SUM(Q1831:Q1832)</f>
        <v>0.65186717735204902</v>
      </c>
      <c r="S1830" s="3"/>
    </row>
    <row r="1831" spans="2:19" x14ac:dyDescent="0.5">
      <c r="B1831" s="5" t="str">
        <f t="shared" ref="B1831:C1831" si="2023">B1830</f>
        <v>SPS1</v>
      </c>
      <c r="C1831" s="5" t="str">
        <f t="shared" si="2023"/>
        <v>CH</v>
      </c>
      <c r="D1831" t="s">
        <v>1867</v>
      </c>
      <c r="E1831" t="str">
        <f t="shared" si="2015"/>
        <v>GWth/yr.</v>
      </c>
      <c r="F1831" s="1" cm="1">
        <f t="array" ref="F1831">SUMPRODUCT(([1]OUT_FinalEnergyCons!$B$4:$B$10000="var_cap")*1, (ISNUMBER(SEARCH("RH*-SHNGABR",[1]OUT_FinalEnergyCons!$A$4:$A$10000)))*1,[1]OUT_FinalEnergyCons!D$4:D$10000)</f>
        <v>2.7687540512383499</v>
      </c>
      <c r="G1831" s="1" cm="1">
        <f t="array" ref="G1831">SUMPRODUCT(([1]OUT_FinalEnergyCons!$B$4:$B$10000="var_cap")*1, (ISNUMBER(SEARCH("RH*-SHNGABR",[1]OUT_FinalEnergyCons!$A$4:$A$10000)))*1,[1]OUT_FinalEnergyCons!E$4:E$10000)</f>
        <v>2.9890419331127065</v>
      </c>
      <c r="H1831" s="1" cm="1">
        <f t="array" ref="H1831">SUMPRODUCT(([1]OUT_FinalEnergyCons!$B$4:$B$10000="var_cap")*1, (ISNUMBER(SEARCH("RH*-SHNGABR",[1]OUT_FinalEnergyCons!$A$4:$A$10000)))*1,[1]OUT_FinalEnergyCons!F$4:F$10000)</f>
        <v>3.0491380999914863</v>
      </c>
      <c r="I1831" s="1" cm="1">
        <f t="array" ref="I1831">SUMPRODUCT(([1]OUT_FinalEnergyCons!$B$4:$B$10000="var_cap")*1, (ISNUMBER(SEARCH("RH*-SHNGABR",[1]OUT_FinalEnergyCons!$A$4:$A$10000)))*1,[1]OUT_FinalEnergyCons!G$4:G$10000)</f>
        <v>3.0492120430826026</v>
      </c>
      <c r="J1831" s="1" cm="1">
        <f t="array" ref="J1831">SUMPRODUCT(([1]OUT_FinalEnergyCons!$B$4:$B$10000="var_cap")*1, (ISNUMBER(SEARCH("RH*-SHNGABR",[1]OUT_FinalEnergyCons!$A$4:$A$10000)))*1,[1]OUT_FinalEnergyCons!H$4:H$10000)</f>
        <v>2.5276210834161756</v>
      </c>
      <c r="K1831" s="1" cm="1">
        <f t="array" ref="K1831">SUMPRODUCT(([1]OUT_FinalEnergyCons!$B$4:$B$10000="var_cap")*1, (ISNUMBER(SEARCH("RH*-SHNGABR",[1]OUT_FinalEnergyCons!$A$4:$A$10000)))*1,[1]OUT_FinalEnergyCons!I$4:I$10000)</f>
        <v>1.7123929439438537</v>
      </c>
      <c r="L1831" s="1" cm="1">
        <f t="array" ref="L1831">SUMPRODUCT(([1]OUT_FinalEnergyCons!$B$4:$B$10000="var_cap")*1, (ISNUMBER(SEARCH("RH*-SHNGABR",[1]OUT_FinalEnergyCons!$A$4:$A$10000)))*1,[1]OUT_FinalEnergyCons!J$4:J$10000)</f>
        <v>1.201060109425198</v>
      </c>
      <c r="M1831" s="1" cm="1">
        <f t="array" ref="M1831">SUMPRODUCT(([1]OUT_FinalEnergyCons!$B$4:$B$10000="var_cap")*1, (ISNUMBER(SEARCH("RH*-SHNGABR",[1]OUT_FinalEnergyCons!$A$4:$A$10000)))*1,[1]OUT_FinalEnergyCons!K$4:K$10000)</f>
        <v>0.6519425608780991</v>
      </c>
      <c r="N1831" s="1" cm="1">
        <f t="array" ref="N1831">SUMPRODUCT(([1]OUT_FinalEnergyCons!$B$4:$B$10000="var_cap")*1, (ISNUMBER(SEARCH("RH*-SHNGABR",[1]OUT_FinalEnergyCons!$A$4:$A$10000)))*1,[1]OUT_FinalEnergyCons!L$4:L$10000)</f>
        <v>0.59847313985800599</v>
      </c>
      <c r="O1831" s="1" cm="1">
        <f t="array" ref="O1831">SUMPRODUCT(([1]OUT_FinalEnergyCons!$B$4:$B$10000="var_cap")*1, (ISNUMBER(SEARCH("RH*-SHNGABR",[1]OUT_FinalEnergyCons!$A$4:$A$10000)))*1,[1]OUT_FinalEnergyCons!M$4:M$10000)</f>
        <v>0.58879475936823722</v>
      </c>
      <c r="P1831" s="1" cm="1">
        <f t="array" ref="P1831">SUMPRODUCT(([1]OUT_FinalEnergyCons!$B$4:$B$10000="var_cap")*1, (ISNUMBER(SEARCH("RH*-SHNGABR",[1]OUT_FinalEnergyCons!$A$4:$A$10000)))*1,[1]OUT_FinalEnergyCons!N$4:N$10000)</f>
        <v>0.52093700857217495</v>
      </c>
      <c r="Q1831" s="1" cm="1">
        <f t="array" ref="Q1831">SUMPRODUCT(([1]OUT_FinalEnergyCons!$B$4:$B$10000="var_cap")*1, (ISNUMBER(SEARCH("RH*-SHNGABR",[1]OUT_FinalEnergyCons!$A$4:$A$10000)))*1,[1]OUT_FinalEnergyCons!O$4:O$10000)</f>
        <v>0.44059159654473135</v>
      </c>
      <c r="S1831" s="3"/>
    </row>
    <row r="1832" spans="2:19" x14ac:dyDescent="0.5">
      <c r="B1832" s="5" t="str">
        <f t="shared" ref="B1832:C1832" si="2024">B1831</f>
        <v>SPS1</v>
      </c>
      <c r="C1832" s="5" t="str">
        <f t="shared" si="2024"/>
        <v>CH</v>
      </c>
      <c r="D1832" t="s">
        <v>1868</v>
      </c>
      <c r="E1832" t="str">
        <f t="shared" si="2015"/>
        <v>GWth/yr.</v>
      </c>
      <c r="F1832" s="1" cm="1">
        <f t="array" ref="F1832">SUMPRODUCT(([1]OUT_FinalEnergyCons!$B$4:$B$10000="var_cap")*1,ISNUMBER(SEARCH("RH*-SHngahp",[1]OUT_FinalEnergyCons!$A$4:$A$10000))*1,[1]OUT_FinalEnergyCons!D$4:D$10000)</f>
        <v>1.7500960343343499E-6</v>
      </c>
      <c r="G1832" s="1" cm="1">
        <f t="array" ref="G1832">SUMPRODUCT(([1]OUT_FinalEnergyCons!$B$4:$B$10000="var_cap")*1,ISNUMBER(SEARCH("RH*-SHngahp",[1]OUT_FinalEnergyCons!$A$4:$A$10000))*1,[1]OUT_FinalEnergyCons!E$4:E$10000)</f>
        <v>2.4285047886622187E-5</v>
      </c>
      <c r="H1832" s="1" cm="1">
        <f t="array" ref="H1832">SUMPRODUCT(([1]OUT_FinalEnergyCons!$B$4:$B$10000="var_cap")*1,ISNUMBER(SEARCH("RH*-SHngahp",[1]OUT_FinalEnergyCons!$A$4:$A$10000))*1,[1]OUT_FinalEnergyCons!F$4:F$10000)</f>
        <v>3.3003230389256795E-3</v>
      </c>
      <c r="I1832" s="1" cm="1">
        <f t="array" ref="I1832">SUMPRODUCT(([1]OUT_FinalEnergyCons!$B$4:$B$10000="var_cap")*1,ISNUMBER(SEARCH("RH*-SHngahp",[1]OUT_FinalEnergyCons!$A$4:$A$10000))*1,[1]OUT_FinalEnergyCons!G$4:G$10000)</f>
        <v>3.4022676389638641E-3</v>
      </c>
      <c r="J1832" s="1" cm="1">
        <f t="array" ref="J1832">SUMPRODUCT(([1]OUT_FinalEnergyCons!$B$4:$B$10000="var_cap")*1,ISNUMBER(SEARCH("RH*-SHngahp",[1]OUT_FinalEnergyCons!$A$4:$A$10000))*1,[1]OUT_FinalEnergyCons!H$4:H$10000)</f>
        <v>0.35270121297321244</v>
      </c>
      <c r="K1832" s="1" cm="1">
        <f t="array" ref="K1832">SUMPRODUCT(([1]OUT_FinalEnergyCons!$B$4:$B$10000="var_cap")*1,ISNUMBER(SEARCH("RH*-SHngahp",[1]OUT_FinalEnergyCons!$A$4:$A$10000))*1,[1]OUT_FinalEnergyCons!I$4:I$10000)</f>
        <v>0.35261674261954118</v>
      </c>
      <c r="L1832" s="1" cm="1">
        <f t="array" ref="L1832">SUMPRODUCT(([1]OUT_FinalEnergyCons!$B$4:$B$10000="var_cap")*1,ISNUMBER(SEARCH("RH*-SHngahp",[1]OUT_FinalEnergyCons!$A$4:$A$10000))*1,[1]OUT_FinalEnergyCons!J$4:J$10000)</f>
        <v>0.55577210907106234</v>
      </c>
      <c r="M1832" s="1" cm="1">
        <f t="array" ref="M1832">SUMPRODUCT(([1]OUT_FinalEnergyCons!$B$4:$B$10000="var_cap")*1,ISNUMBER(SEARCH("RH*-SHngahp",[1]OUT_FinalEnergyCons!$A$4:$A$10000))*1,[1]OUT_FinalEnergyCons!K$4:K$10000)</f>
        <v>0.21165642564052511</v>
      </c>
      <c r="N1832" s="1" cm="1">
        <f t="array" ref="N1832">SUMPRODUCT(([1]OUT_FinalEnergyCons!$B$4:$B$10000="var_cap")*1,ISNUMBER(SEARCH("RH*-SHngahp",[1]OUT_FinalEnergyCons!$A$4:$A$10000))*1,[1]OUT_FinalEnergyCons!L$4:L$10000)</f>
        <v>0.20988907219826883</v>
      </c>
      <c r="O1832" s="1" cm="1">
        <f t="array" ref="O1832">SUMPRODUCT(([1]OUT_FinalEnergyCons!$B$4:$B$10000="var_cap")*1,ISNUMBER(SEARCH("RH*-SHngahp",[1]OUT_FinalEnergyCons!$A$4:$A$10000))*1,[1]OUT_FinalEnergyCons!M$4:M$10000)</f>
        <v>0.21059192700200224</v>
      </c>
      <c r="P1832" s="1" cm="1">
        <f t="array" ref="P1832">SUMPRODUCT(([1]OUT_FinalEnergyCons!$B$4:$B$10000="var_cap")*1,ISNUMBER(SEARCH("RH*-SHngahp",[1]OUT_FinalEnergyCons!$A$4:$A$10000))*1,[1]OUT_FinalEnergyCons!N$4:N$10000)</f>
        <v>0.21039087419661839</v>
      </c>
      <c r="Q1832" s="1" cm="1">
        <f t="array" ref="Q1832">SUMPRODUCT(([1]OUT_FinalEnergyCons!$B$4:$B$10000="var_cap")*1,ISNUMBER(SEARCH("RH*-SHngahp",[1]OUT_FinalEnergyCons!$A$4:$A$10000))*1,[1]OUT_FinalEnergyCons!O$4:O$10000)</f>
        <v>0.21127558080731773</v>
      </c>
      <c r="S1832" s="3"/>
    </row>
    <row r="1833" spans="2:19" x14ac:dyDescent="0.5">
      <c r="B1833" s="5" t="str">
        <f t="shared" ref="B1833:C1833" si="2025">B1832</f>
        <v>SPS1</v>
      </c>
      <c r="C1833" s="5" t="str">
        <f t="shared" si="2025"/>
        <v>CH</v>
      </c>
      <c r="D1833" t="s">
        <v>1869</v>
      </c>
      <c r="E1833" t="str">
        <f t="shared" si="2015"/>
        <v>GWth/yr.</v>
      </c>
      <c r="F1833" s="1">
        <f>F1834</f>
        <v>7.0000000000000001E-3</v>
      </c>
      <c r="G1833" s="1">
        <f t="shared" ref="G1833:O1833" si="2026">G1834</f>
        <v>6.9848060797207999E-3</v>
      </c>
      <c r="H1833" s="1">
        <f t="shared" si="2026"/>
        <v>7.7048921872129982E-4</v>
      </c>
      <c r="I1833" s="1">
        <f t="shared" si="2026"/>
        <v>4.1230692749451986E-4</v>
      </c>
      <c r="J1833" s="1">
        <f t="shared" si="2026"/>
        <v>1.0679621986806986E-4</v>
      </c>
      <c r="K1833" s="1">
        <f t="shared" si="2026"/>
        <v>0</v>
      </c>
      <c r="L1833" s="1">
        <f t="shared" si="2026"/>
        <v>0</v>
      </c>
      <c r="M1833" s="1">
        <f t="shared" si="2026"/>
        <v>0</v>
      </c>
      <c r="N1833" s="1">
        <f t="shared" si="2026"/>
        <v>0</v>
      </c>
      <c r="O1833" s="1">
        <f t="shared" si="2026"/>
        <v>0</v>
      </c>
      <c r="P1833" s="1">
        <f>P1834</f>
        <v>0</v>
      </c>
      <c r="Q1833" s="1">
        <f>Q1834</f>
        <v>0</v>
      </c>
      <c r="S1833" s="3"/>
    </row>
    <row r="1834" spans="2:19" x14ac:dyDescent="0.5">
      <c r="B1834" s="5" t="str">
        <f t="shared" ref="B1834:C1834" si="2027">B1833</f>
        <v>SPS1</v>
      </c>
      <c r="C1834" s="5" t="str">
        <f t="shared" si="2027"/>
        <v>CH</v>
      </c>
      <c r="D1834" t="s">
        <v>1870</v>
      </c>
      <c r="E1834" t="str">
        <f t="shared" si="2015"/>
        <v>GWth/yr.</v>
      </c>
      <c r="F1834" s="1" cm="1">
        <f t="array" ref="F1834">IF(SUMPRODUCT(([1]OUT_FinalEnergyCons!$B$4:$B$10000="var_cap")*1, (ISNUMBER(SEARCH("RH*-SHCOABR",[1]OUT_FinalEnergyCons!$A$4:$A$10000)))*1,[1]OUT_FinalEnergyCons!D$4:D$10000)&lt;0,0,SUMPRODUCT(([1]OUT_FinalEnergyCons!$B$4:$B$10000="var_cap")*1, (ISNUMBER(SEARCH("RH*-SHCOABR",[1]OUT_FinalEnergyCons!$A$4:$A$10000)))*1,[1]OUT_FinalEnergyCons!D$4:D$10000))</f>
        <v>7.0000000000000001E-3</v>
      </c>
      <c r="G1834" s="1" cm="1">
        <f t="array" ref="G1834">IF(SUMPRODUCT(([1]OUT_FinalEnergyCons!$B$4:$B$10000="var_cap")*1, (ISNUMBER(SEARCH("RH*-SHCOABR",[1]OUT_FinalEnergyCons!$A$4:$A$10000)))*1,[1]OUT_FinalEnergyCons!E$4:E$10000)&lt;0,0,SUMPRODUCT(([1]OUT_FinalEnergyCons!$B$4:$B$10000="var_cap")*1, (ISNUMBER(SEARCH("RH*-SHCOABR",[1]OUT_FinalEnergyCons!$A$4:$A$10000)))*1,[1]OUT_FinalEnergyCons!E$4:E$10000))</f>
        <v>6.9848060797207999E-3</v>
      </c>
      <c r="H1834" s="1" cm="1">
        <f t="array" ref="H1834">IF(SUMPRODUCT(([1]OUT_FinalEnergyCons!$B$4:$B$10000="var_cap")*1, (ISNUMBER(SEARCH("RH*-SHCOABR",[1]OUT_FinalEnergyCons!$A$4:$A$10000)))*1,[1]OUT_FinalEnergyCons!F$4:F$10000)&lt;0,0,SUMPRODUCT(([1]OUT_FinalEnergyCons!$B$4:$B$10000="var_cap")*1, (ISNUMBER(SEARCH("RH*-SHCOABR",[1]OUT_FinalEnergyCons!$A$4:$A$10000)))*1,[1]OUT_FinalEnergyCons!F$4:F$10000))</f>
        <v>7.7048921872129982E-4</v>
      </c>
      <c r="I1834" s="1" cm="1">
        <f t="array" ref="I1834">IF(SUMPRODUCT(([1]OUT_FinalEnergyCons!$B$4:$B$10000="var_cap")*1, (ISNUMBER(SEARCH("RH*-SHCOABR",[1]OUT_FinalEnergyCons!$A$4:$A$10000)))*1,[1]OUT_FinalEnergyCons!G$4:G$10000)&lt;0,0,SUMPRODUCT(([1]OUT_FinalEnergyCons!$B$4:$B$10000="var_cap")*1, (ISNUMBER(SEARCH("RH*-SHCOABR",[1]OUT_FinalEnergyCons!$A$4:$A$10000)))*1,[1]OUT_FinalEnergyCons!G$4:G$10000))</f>
        <v>4.1230692749451986E-4</v>
      </c>
      <c r="J1834" s="1" cm="1">
        <f t="array" ref="J1834">IF(SUMPRODUCT(([1]OUT_FinalEnergyCons!$B$4:$B$10000="var_cap")*1, (ISNUMBER(SEARCH("RH*-SHCOABR",[1]OUT_FinalEnergyCons!$A$4:$A$10000)))*1,[1]OUT_FinalEnergyCons!H$4:H$10000)&lt;0,0,SUMPRODUCT(([1]OUT_FinalEnergyCons!$B$4:$B$10000="var_cap")*1, (ISNUMBER(SEARCH("RH*-SHCOABR",[1]OUT_FinalEnergyCons!$A$4:$A$10000)))*1,[1]OUT_FinalEnergyCons!H$4:H$10000))</f>
        <v>1.0679621986806986E-4</v>
      </c>
      <c r="K1834" s="1" cm="1">
        <f t="array" ref="K1834">IF(SUMPRODUCT(([1]OUT_FinalEnergyCons!$B$4:$B$10000="var_cap")*1, (ISNUMBER(SEARCH("RH*-SHCOABR",[1]OUT_FinalEnergyCons!$A$4:$A$10000)))*1,[1]OUT_FinalEnergyCons!I$4:I$10000)&lt;0,0,SUMPRODUCT(([1]OUT_FinalEnergyCons!$B$4:$B$10000="var_cap")*1, (ISNUMBER(SEARCH("RH*-SHCOABR",[1]OUT_FinalEnergyCons!$A$4:$A$10000)))*1,[1]OUT_FinalEnergyCons!I$4:I$10000))</f>
        <v>0</v>
      </c>
      <c r="L1834" s="1" cm="1">
        <f t="array" ref="L1834">IF(SUMPRODUCT(([1]OUT_FinalEnergyCons!$B$4:$B$10000="var_cap")*1, (ISNUMBER(SEARCH("RH*-SHCOABR",[1]OUT_FinalEnergyCons!$A$4:$A$10000)))*1,[1]OUT_FinalEnergyCons!J$4:J$10000)&lt;0,0,SUMPRODUCT(([1]OUT_FinalEnergyCons!$B$4:$B$10000="var_cap")*1, (ISNUMBER(SEARCH("RH*-SHCOABR",[1]OUT_FinalEnergyCons!$A$4:$A$10000)))*1,[1]OUT_FinalEnergyCons!J$4:J$10000))</f>
        <v>0</v>
      </c>
      <c r="M1834" s="1" cm="1">
        <f t="array" ref="M1834">IF(SUMPRODUCT(([1]OUT_FinalEnergyCons!$B$4:$B$10000="var_cap")*1, (ISNUMBER(SEARCH("RH*-SHCOABR",[1]OUT_FinalEnergyCons!$A$4:$A$10000)))*1,[1]OUT_FinalEnergyCons!K$4:K$10000)&lt;0,0,SUMPRODUCT(([1]OUT_FinalEnergyCons!$B$4:$B$10000="var_cap")*1, (ISNUMBER(SEARCH("RH*-SHCOABR",[1]OUT_FinalEnergyCons!$A$4:$A$10000)))*1,[1]OUT_FinalEnergyCons!K$4:K$10000))</f>
        <v>0</v>
      </c>
      <c r="N1834" s="1" cm="1">
        <f t="array" ref="N1834">IF(SUMPRODUCT(([1]OUT_FinalEnergyCons!$B$4:$B$10000="var_cap")*1, (ISNUMBER(SEARCH("RH*-SHCOABR",[1]OUT_FinalEnergyCons!$A$4:$A$10000)))*1,[1]OUT_FinalEnergyCons!L$4:L$10000)&lt;0,0,SUMPRODUCT(([1]OUT_FinalEnergyCons!$B$4:$B$10000="var_cap")*1, (ISNUMBER(SEARCH("RH*-SHCOABR",[1]OUT_FinalEnergyCons!$A$4:$A$10000)))*1,[1]OUT_FinalEnergyCons!L$4:L$10000))</f>
        <v>0</v>
      </c>
      <c r="O1834" s="1" cm="1">
        <f t="array" ref="O1834">IF(SUMPRODUCT(([1]OUT_FinalEnergyCons!$B$4:$B$10000="var_cap")*1, (ISNUMBER(SEARCH("RH*-SHCOABR",[1]OUT_FinalEnergyCons!$A$4:$A$10000)))*1,[1]OUT_FinalEnergyCons!M$4:M$10000)&lt;0,0,SUMPRODUCT(([1]OUT_FinalEnergyCons!$B$4:$B$10000="var_cap")*1, (ISNUMBER(SEARCH("RH*-SHCOABR",[1]OUT_FinalEnergyCons!$A$4:$A$10000)))*1,[1]OUT_FinalEnergyCons!M$4:M$10000))</f>
        <v>0</v>
      </c>
      <c r="P1834" s="1" cm="1">
        <f t="array" ref="P1834">IF(SUMPRODUCT(([1]OUT_FinalEnergyCons!$B$4:$B$10000="var_cap")*1, (ISNUMBER(SEARCH("RH*-SHCOABR",[1]OUT_FinalEnergyCons!$A$4:$A$10000)))*1,[1]OUT_FinalEnergyCons!N$4:N$10000)&lt;0,0,SUMPRODUCT(([1]OUT_FinalEnergyCons!$B$4:$B$10000="var_cap")*1, (ISNUMBER(SEARCH("RH*-SHCOABR",[1]OUT_FinalEnergyCons!$A$4:$A$10000)))*1,[1]OUT_FinalEnergyCons!N$4:N$10000))</f>
        <v>0</v>
      </c>
      <c r="Q1834" s="1" cm="1">
        <f t="array" ref="Q1834">IF(SUMPRODUCT(([1]OUT_FinalEnergyCons!$B$4:$B$10000="var_cap")*1, (ISNUMBER(SEARCH("RH*-SHCOABR",[1]OUT_FinalEnergyCons!$A$4:$A$10000)))*1,[1]OUT_FinalEnergyCons!O$4:O$10000)&lt;0,0,SUMPRODUCT(([1]OUT_FinalEnergyCons!$B$4:$B$10000="var_cap")*1, (ISNUMBER(SEARCH("RH*-SHCOABR",[1]OUT_FinalEnergyCons!$A$4:$A$10000)))*1,[1]OUT_FinalEnergyCons!O$4:O$10000))</f>
        <v>0</v>
      </c>
      <c r="S1834" s="3"/>
    </row>
    <row r="1835" spans="2:19" x14ac:dyDescent="0.5">
      <c r="B1835" s="5" t="str">
        <f>B1834</f>
        <v>SPS1</v>
      </c>
      <c r="C1835" s="5" t="str">
        <f>C1834</f>
        <v>CH</v>
      </c>
      <c r="D1835" t="s">
        <v>1871</v>
      </c>
      <c r="E1835" t="str">
        <f>E1834</f>
        <v>GWth/yr.</v>
      </c>
      <c r="F1835" s="1">
        <f>F1836</f>
        <v>0.68965319967461447</v>
      </c>
      <c r="G1835" s="1">
        <f t="shared" ref="G1835:O1835" si="2028">G1836</f>
        <v>0.79921950646923323</v>
      </c>
      <c r="H1835" s="1">
        <f t="shared" si="2028"/>
        <v>0.80528354989869244</v>
      </c>
      <c r="I1835" s="1">
        <f t="shared" si="2028"/>
        <v>0.80527886334673482</v>
      </c>
      <c r="J1835" s="1">
        <f t="shared" si="2028"/>
        <v>0.47207123801302697</v>
      </c>
      <c r="K1835" s="1">
        <f t="shared" si="2028"/>
        <v>0.41507345975794929</v>
      </c>
      <c r="L1835" s="1">
        <f t="shared" si="2028"/>
        <v>0.42224252307722443</v>
      </c>
      <c r="M1835" s="1">
        <f t="shared" si="2028"/>
        <v>0.51648323891000159</v>
      </c>
      <c r="N1835" s="1">
        <f t="shared" si="2028"/>
        <v>0.36183879704029909</v>
      </c>
      <c r="O1835" s="1">
        <f t="shared" si="2028"/>
        <v>0.33462331276359608</v>
      </c>
      <c r="P1835" s="1">
        <f>P1836</f>
        <v>0.24865726686451933</v>
      </c>
      <c r="Q1835" s="1">
        <f>Q1836</f>
        <v>0.19762062279038192</v>
      </c>
      <c r="S1835" s="3"/>
    </row>
    <row r="1836" spans="2:19" x14ac:dyDescent="0.5">
      <c r="B1836" s="5" t="str">
        <f t="shared" ref="B1836:C1836" si="2029">B1835</f>
        <v>SPS1</v>
      </c>
      <c r="C1836" s="5" t="str">
        <f t="shared" si="2029"/>
        <v>CH</v>
      </c>
      <c r="D1836" t="s">
        <v>1872</v>
      </c>
      <c r="E1836" t="str">
        <f t="shared" si="2015"/>
        <v>GWth/yr.</v>
      </c>
      <c r="F1836" s="1" cm="1">
        <f t="array" ref="F1836">SUMPRODUCT(([1]OUT_FinalEnergyCons!$B$4:$B$10000="var_cap")*1, (ISNUMBER(SEARCH("RH*-SHWODBR",[1]OUT_FinalEnergyCons!$A$4:$A$10000)))*1,[1]OUT_FinalEnergyCons!D$4:D$10000)</f>
        <v>0.68965319967461447</v>
      </c>
      <c r="G1836" s="1" cm="1">
        <f t="array" ref="G1836">SUMPRODUCT(([1]OUT_FinalEnergyCons!$B$4:$B$10000="var_cap")*1, (ISNUMBER(SEARCH("RH*-SHWODBR",[1]OUT_FinalEnergyCons!$A$4:$A$10000)))*1,[1]OUT_FinalEnergyCons!E$4:E$10000)</f>
        <v>0.79921950646923323</v>
      </c>
      <c r="H1836" s="1" cm="1">
        <f t="array" ref="H1836">SUMPRODUCT(([1]OUT_FinalEnergyCons!$B$4:$B$10000="var_cap")*1, (ISNUMBER(SEARCH("RH*-SHWODBR",[1]OUT_FinalEnergyCons!$A$4:$A$10000)))*1,[1]OUT_FinalEnergyCons!F$4:F$10000)</f>
        <v>0.80528354989869244</v>
      </c>
      <c r="I1836" s="1" cm="1">
        <f t="array" ref="I1836">SUMPRODUCT(([1]OUT_FinalEnergyCons!$B$4:$B$10000="var_cap")*1, (ISNUMBER(SEARCH("RH*-SHWODBR",[1]OUT_FinalEnergyCons!$A$4:$A$10000)))*1,[1]OUT_FinalEnergyCons!G$4:G$10000)</f>
        <v>0.80527886334673482</v>
      </c>
      <c r="J1836" s="1" cm="1">
        <f t="array" ref="J1836">SUMPRODUCT(([1]OUT_FinalEnergyCons!$B$4:$B$10000="var_cap")*1, (ISNUMBER(SEARCH("RH*-SHWODBR",[1]OUT_FinalEnergyCons!$A$4:$A$10000)))*1,[1]OUT_FinalEnergyCons!H$4:H$10000)</f>
        <v>0.47207123801302697</v>
      </c>
      <c r="K1836" s="1" cm="1">
        <f t="array" ref="K1836">SUMPRODUCT(([1]OUT_FinalEnergyCons!$B$4:$B$10000="var_cap")*1, (ISNUMBER(SEARCH("RH*-SHWODBR",[1]OUT_FinalEnergyCons!$A$4:$A$10000)))*1,[1]OUT_FinalEnergyCons!I$4:I$10000)</f>
        <v>0.41507345975794929</v>
      </c>
      <c r="L1836" s="1" cm="1">
        <f t="array" ref="L1836">SUMPRODUCT(([1]OUT_FinalEnergyCons!$B$4:$B$10000="var_cap")*1, (ISNUMBER(SEARCH("RH*-SHWODBR",[1]OUT_FinalEnergyCons!$A$4:$A$10000)))*1,[1]OUT_FinalEnergyCons!J$4:J$10000)</f>
        <v>0.42224252307722443</v>
      </c>
      <c r="M1836" s="1" cm="1">
        <f t="array" ref="M1836">SUMPRODUCT(([1]OUT_FinalEnergyCons!$B$4:$B$10000="var_cap")*1, (ISNUMBER(SEARCH("RH*-SHWODBR",[1]OUT_FinalEnergyCons!$A$4:$A$10000)))*1,[1]OUT_FinalEnergyCons!K$4:K$10000)</f>
        <v>0.51648323891000159</v>
      </c>
      <c r="N1836" s="1" cm="1">
        <f t="array" ref="N1836">SUMPRODUCT(([1]OUT_FinalEnergyCons!$B$4:$B$10000="var_cap")*1, (ISNUMBER(SEARCH("RH*-SHWODBR",[1]OUT_FinalEnergyCons!$A$4:$A$10000)))*1,[1]OUT_FinalEnergyCons!L$4:L$10000)</f>
        <v>0.36183879704029909</v>
      </c>
      <c r="O1836" s="1" cm="1">
        <f t="array" ref="O1836">SUMPRODUCT(([1]OUT_FinalEnergyCons!$B$4:$B$10000="var_cap")*1, (ISNUMBER(SEARCH("RH*-SHWODBR",[1]OUT_FinalEnergyCons!$A$4:$A$10000)))*1,[1]OUT_FinalEnergyCons!M$4:M$10000)</f>
        <v>0.33462331276359608</v>
      </c>
      <c r="P1836" s="1" cm="1">
        <f t="array" ref="P1836">SUMPRODUCT(([1]OUT_FinalEnergyCons!$B$4:$B$10000="var_cap")*1, (ISNUMBER(SEARCH("RH*-SHWODBR",[1]OUT_FinalEnergyCons!$A$4:$A$10000)))*1,[1]OUT_FinalEnergyCons!N$4:N$10000)</f>
        <v>0.24865726686451933</v>
      </c>
      <c r="Q1836" s="1" cm="1">
        <f t="array" ref="Q1836">SUMPRODUCT(([1]OUT_FinalEnergyCons!$B$4:$B$10000="var_cap")*1, (ISNUMBER(SEARCH("RH*-SHWODBR",[1]OUT_FinalEnergyCons!$A$4:$A$10000)))*1,[1]OUT_FinalEnergyCons!O$4:O$10000)</f>
        <v>0.19762062279038192</v>
      </c>
      <c r="S1836" s="3"/>
    </row>
    <row r="1837" spans="2:19" x14ac:dyDescent="0.5">
      <c r="B1837" s="5" t="str">
        <f t="shared" ref="B1837:C1837" si="2030">B1836</f>
        <v>SPS1</v>
      </c>
      <c r="C1837" s="5" t="str">
        <f t="shared" si="2030"/>
        <v>CH</v>
      </c>
      <c r="D1837" t="s">
        <v>1873</v>
      </c>
      <c r="E1837" t="str">
        <f t="shared" si="2015"/>
        <v>GWth/yr.</v>
      </c>
      <c r="F1837" s="1">
        <f>F1838</f>
        <v>0.20439018047756607</v>
      </c>
      <c r="G1837" s="1">
        <f t="shared" ref="G1837:O1837" si="2031">G1838</f>
        <v>0.24090887565725672</v>
      </c>
      <c r="H1837" s="1">
        <f t="shared" si="2031"/>
        <v>0.24104822782732338</v>
      </c>
      <c r="I1837" s="1">
        <f t="shared" si="2031"/>
        <v>0.25189410050143879</v>
      </c>
      <c r="J1837" s="1">
        <f t="shared" si="2031"/>
        <v>0.2609383590937267</v>
      </c>
      <c r="K1837" s="1">
        <f t="shared" si="2031"/>
        <v>0.26816776346712518</v>
      </c>
      <c r="L1837" s="1">
        <f t="shared" si="2031"/>
        <v>0.27421031607169533</v>
      </c>
      <c r="M1837" s="1">
        <f t="shared" si="2031"/>
        <v>0.28128619423639556</v>
      </c>
      <c r="N1837" s="1">
        <f t="shared" si="2031"/>
        <v>0.28434069440482168</v>
      </c>
      <c r="O1837" s="1">
        <f t="shared" si="2031"/>
        <v>0.28892624900243385</v>
      </c>
      <c r="P1837" s="1">
        <f>P1838</f>
        <v>0.28892224305278835</v>
      </c>
      <c r="Q1837" s="1">
        <f>Q1838</f>
        <v>0.29151195574086647</v>
      </c>
      <c r="S1837" s="3"/>
    </row>
    <row r="1838" spans="2:19" x14ac:dyDescent="0.5">
      <c r="B1838" s="5" t="str">
        <f t="shared" ref="B1838:C1838" si="2032">B1837</f>
        <v>SPS1</v>
      </c>
      <c r="C1838" s="5" t="str">
        <f t="shared" si="2032"/>
        <v>CH</v>
      </c>
      <c r="D1838" t="s">
        <v>1874</v>
      </c>
      <c r="E1838" t="str">
        <f t="shared" si="2015"/>
        <v>GWth/yr.</v>
      </c>
      <c r="F1838" s="1" cm="1">
        <f t="array" ref="F1838">SUMPRODUCT(([1]OUT_FinalEnergyCons!$B$4:$B$10000="var_cap")*1, (ISNUMBER(SEARCH("RH*-SHPLTBR",[1]OUT_FinalEnergyCons!$A$4:$A$10000)))*1,[1]OUT_FinalEnergyCons!D$4:D$10000)</f>
        <v>0.20439018047756607</v>
      </c>
      <c r="G1838" s="1" cm="1">
        <f t="array" ref="G1838">SUMPRODUCT(([1]OUT_FinalEnergyCons!$B$4:$B$10000="var_cap")*1, (ISNUMBER(SEARCH("RH*-SHPLTBR",[1]OUT_FinalEnergyCons!$A$4:$A$10000)))*1,[1]OUT_FinalEnergyCons!E$4:E$10000)</f>
        <v>0.24090887565725672</v>
      </c>
      <c r="H1838" s="1" cm="1">
        <f t="array" ref="H1838">SUMPRODUCT(([1]OUT_FinalEnergyCons!$B$4:$B$10000="var_cap")*1, (ISNUMBER(SEARCH("RH*-SHPLTBR",[1]OUT_FinalEnergyCons!$A$4:$A$10000)))*1,[1]OUT_FinalEnergyCons!F$4:F$10000)</f>
        <v>0.24104822782732338</v>
      </c>
      <c r="I1838" s="1" cm="1">
        <f t="array" ref="I1838">SUMPRODUCT(([1]OUT_FinalEnergyCons!$B$4:$B$10000="var_cap")*1, (ISNUMBER(SEARCH("RH*-SHPLTBR",[1]OUT_FinalEnergyCons!$A$4:$A$10000)))*1,[1]OUT_FinalEnergyCons!G$4:G$10000)</f>
        <v>0.25189410050143879</v>
      </c>
      <c r="J1838" s="1" cm="1">
        <f t="array" ref="J1838">SUMPRODUCT(([1]OUT_FinalEnergyCons!$B$4:$B$10000="var_cap")*1, (ISNUMBER(SEARCH("RH*-SHPLTBR",[1]OUT_FinalEnergyCons!$A$4:$A$10000)))*1,[1]OUT_FinalEnergyCons!H$4:H$10000)</f>
        <v>0.2609383590937267</v>
      </c>
      <c r="K1838" s="1" cm="1">
        <f t="array" ref="K1838">SUMPRODUCT(([1]OUT_FinalEnergyCons!$B$4:$B$10000="var_cap")*1, (ISNUMBER(SEARCH("RH*-SHPLTBR",[1]OUT_FinalEnergyCons!$A$4:$A$10000)))*1,[1]OUT_FinalEnergyCons!I$4:I$10000)</f>
        <v>0.26816776346712518</v>
      </c>
      <c r="L1838" s="1" cm="1">
        <f t="array" ref="L1838">SUMPRODUCT(([1]OUT_FinalEnergyCons!$B$4:$B$10000="var_cap")*1, (ISNUMBER(SEARCH("RH*-SHPLTBR",[1]OUT_FinalEnergyCons!$A$4:$A$10000)))*1,[1]OUT_FinalEnergyCons!J$4:J$10000)</f>
        <v>0.27421031607169533</v>
      </c>
      <c r="M1838" s="1" cm="1">
        <f t="array" ref="M1838">SUMPRODUCT(([1]OUT_FinalEnergyCons!$B$4:$B$10000="var_cap")*1, (ISNUMBER(SEARCH("RH*-SHPLTBR",[1]OUT_FinalEnergyCons!$A$4:$A$10000)))*1,[1]OUT_FinalEnergyCons!K$4:K$10000)</f>
        <v>0.28128619423639556</v>
      </c>
      <c r="N1838" s="1" cm="1">
        <f t="array" ref="N1838">SUMPRODUCT(([1]OUT_FinalEnergyCons!$B$4:$B$10000="var_cap")*1, (ISNUMBER(SEARCH("RH*-SHPLTBR",[1]OUT_FinalEnergyCons!$A$4:$A$10000)))*1,[1]OUT_FinalEnergyCons!L$4:L$10000)</f>
        <v>0.28434069440482168</v>
      </c>
      <c r="O1838" s="1" cm="1">
        <f t="array" ref="O1838">SUMPRODUCT(([1]OUT_FinalEnergyCons!$B$4:$B$10000="var_cap")*1, (ISNUMBER(SEARCH("RH*-SHPLTBR",[1]OUT_FinalEnergyCons!$A$4:$A$10000)))*1,[1]OUT_FinalEnergyCons!M$4:M$10000)</f>
        <v>0.28892624900243385</v>
      </c>
      <c r="P1838" s="1" cm="1">
        <f t="array" ref="P1838">SUMPRODUCT(([1]OUT_FinalEnergyCons!$B$4:$B$10000="var_cap")*1, (ISNUMBER(SEARCH("RH*-SHPLTBR",[1]OUT_FinalEnergyCons!$A$4:$A$10000)))*1,[1]OUT_FinalEnergyCons!N$4:N$10000)</f>
        <v>0.28892224305278835</v>
      </c>
      <c r="Q1838" s="1" cm="1">
        <f t="array" ref="Q1838">SUMPRODUCT(([1]OUT_FinalEnergyCons!$B$4:$B$10000="var_cap")*1, (ISNUMBER(SEARCH("RH*-SHPLTBR",[1]OUT_FinalEnergyCons!$A$4:$A$10000)))*1,[1]OUT_FinalEnergyCons!O$4:O$10000)</f>
        <v>0.29151195574086647</v>
      </c>
      <c r="S1838" s="3"/>
    </row>
    <row r="1839" spans="2:19" x14ac:dyDescent="0.5">
      <c r="B1839" s="5" t="str">
        <f t="shared" ref="B1839:C1839" si="2033">B1838</f>
        <v>SPS1</v>
      </c>
      <c r="C1839" s="5" t="str">
        <f t="shared" si="2033"/>
        <v>CH</v>
      </c>
      <c r="D1839" t="s">
        <v>1875</v>
      </c>
      <c r="E1839" t="str">
        <f t="shared" si="2015"/>
        <v>GWth/yr.</v>
      </c>
      <c r="F1839" s="1">
        <f>F1840</f>
        <v>0.11420574828006683</v>
      </c>
      <c r="G1839" s="1">
        <f t="shared" ref="G1839:O1839" si="2034">G1840</f>
        <v>0.13747696400730916</v>
      </c>
      <c r="H1839" s="1">
        <f t="shared" si="2034"/>
        <v>0.13813074716753465</v>
      </c>
      <c r="I1839" s="1">
        <f t="shared" si="2034"/>
        <v>0.13852054966139404</v>
      </c>
      <c r="J1839" s="1">
        <f t="shared" si="2034"/>
        <v>0.13865216628642624</v>
      </c>
      <c r="K1839" s="1">
        <f t="shared" si="2034"/>
        <v>0.23927486750793969</v>
      </c>
      <c r="L1839" s="1">
        <f t="shared" si="2034"/>
        <v>0.44361681240719314</v>
      </c>
      <c r="M1839" s="1">
        <f t="shared" si="2034"/>
        <v>0.56709557677363953</v>
      </c>
      <c r="N1839" s="1">
        <f t="shared" si="2034"/>
        <v>0.55814363788015342</v>
      </c>
      <c r="O1839" s="1">
        <f t="shared" si="2034"/>
        <v>0.5512863138729116</v>
      </c>
      <c r="P1839" s="1">
        <f>P1840</f>
        <v>0.54434745481064817</v>
      </c>
      <c r="Q1839" s="1">
        <f>Q1840</f>
        <v>0.53895856149047749</v>
      </c>
      <c r="S1839" s="3"/>
    </row>
    <row r="1840" spans="2:19" x14ac:dyDescent="0.5">
      <c r="B1840" s="5" t="str">
        <f t="shared" ref="B1840:C1840" si="2035">B1839</f>
        <v>SPS1</v>
      </c>
      <c r="C1840" s="5" t="str">
        <f t="shared" si="2035"/>
        <v>CH</v>
      </c>
      <c r="D1840" t="s">
        <v>1876</v>
      </c>
      <c r="E1840" t="str">
        <f t="shared" si="2015"/>
        <v>GWth/yr.</v>
      </c>
      <c r="F1840" s="1" cm="1">
        <f t="array" ref="F1840">SUMPRODUCT(([1]OUT_FinalEnergyCons!$B$4:$B$10000="var_cap")*1, (ISNUMBER(SEARCH("RH*-SHSOLBR",[1]OUT_FinalEnergyCons!$A$4:$A$10000)))*1,[1]OUT_FinalEnergyCons!D$4:D$10000)</f>
        <v>0.11420574828006683</v>
      </c>
      <c r="G1840" s="1" cm="1">
        <f t="array" ref="G1840">SUMPRODUCT(([1]OUT_FinalEnergyCons!$B$4:$B$10000="var_cap")*1, (ISNUMBER(SEARCH("RH*-SHSOLBR",[1]OUT_FinalEnergyCons!$A$4:$A$10000)))*1,[1]OUT_FinalEnergyCons!E$4:E$10000)</f>
        <v>0.13747696400730916</v>
      </c>
      <c r="H1840" s="1" cm="1">
        <f t="array" ref="H1840">SUMPRODUCT(([1]OUT_FinalEnergyCons!$B$4:$B$10000="var_cap")*1, (ISNUMBER(SEARCH("RH*-SHSOLBR",[1]OUT_FinalEnergyCons!$A$4:$A$10000)))*1,[1]OUT_FinalEnergyCons!F$4:F$10000)</f>
        <v>0.13813074716753465</v>
      </c>
      <c r="I1840" s="1" cm="1">
        <f t="array" ref="I1840">SUMPRODUCT(([1]OUT_FinalEnergyCons!$B$4:$B$10000="var_cap")*1, (ISNUMBER(SEARCH("RH*-SHSOLBR",[1]OUT_FinalEnergyCons!$A$4:$A$10000)))*1,[1]OUT_FinalEnergyCons!G$4:G$10000)</f>
        <v>0.13852054966139404</v>
      </c>
      <c r="J1840" s="1" cm="1">
        <f t="array" ref="J1840">SUMPRODUCT(([1]OUT_FinalEnergyCons!$B$4:$B$10000="var_cap")*1, (ISNUMBER(SEARCH("RH*-SHSOLBR",[1]OUT_FinalEnergyCons!$A$4:$A$10000)))*1,[1]OUT_FinalEnergyCons!H$4:H$10000)</f>
        <v>0.13865216628642624</v>
      </c>
      <c r="K1840" s="1" cm="1">
        <f t="array" ref="K1840">SUMPRODUCT(([1]OUT_FinalEnergyCons!$B$4:$B$10000="var_cap")*1, (ISNUMBER(SEARCH("RH*-SHSOLBR",[1]OUT_FinalEnergyCons!$A$4:$A$10000)))*1,[1]OUT_FinalEnergyCons!I$4:I$10000)</f>
        <v>0.23927486750793969</v>
      </c>
      <c r="L1840" s="1" cm="1">
        <f t="array" ref="L1840">SUMPRODUCT(([1]OUT_FinalEnergyCons!$B$4:$B$10000="var_cap")*1, (ISNUMBER(SEARCH("RH*-SHSOLBR",[1]OUT_FinalEnergyCons!$A$4:$A$10000)))*1,[1]OUT_FinalEnergyCons!J$4:J$10000)</f>
        <v>0.44361681240719314</v>
      </c>
      <c r="M1840" s="1" cm="1">
        <f t="array" ref="M1840">SUMPRODUCT(([1]OUT_FinalEnergyCons!$B$4:$B$10000="var_cap")*1, (ISNUMBER(SEARCH("RH*-SHSOLBR",[1]OUT_FinalEnergyCons!$A$4:$A$10000)))*1,[1]OUT_FinalEnergyCons!K$4:K$10000)</f>
        <v>0.56709557677363953</v>
      </c>
      <c r="N1840" s="1" cm="1">
        <f t="array" ref="N1840">SUMPRODUCT(([1]OUT_FinalEnergyCons!$B$4:$B$10000="var_cap")*1, (ISNUMBER(SEARCH("RH*-SHSOLBR",[1]OUT_FinalEnergyCons!$A$4:$A$10000)))*1,[1]OUT_FinalEnergyCons!L$4:L$10000)</f>
        <v>0.55814363788015342</v>
      </c>
      <c r="O1840" s="1" cm="1">
        <f t="array" ref="O1840">SUMPRODUCT(([1]OUT_FinalEnergyCons!$B$4:$B$10000="var_cap")*1, (ISNUMBER(SEARCH("RH*-SHSOLBR",[1]OUT_FinalEnergyCons!$A$4:$A$10000)))*1,[1]OUT_FinalEnergyCons!M$4:M$10000)</f>
        <v>0.5512863138729116</v>
      </c>
      <c r="P1840" s="1" cm="1">
        <f t="array" ref="P1840">SUMPRODUCT(([1]OUT_FinalEnergyCons!$B$4:$B$10000="var_cap")*1, (ISNUMBER(SEARCH("RH*-SHSOLBR",[1]OUT_FinalEnergyCons!$A$4:$A$10000)))*1,[1]OUT_FinalEnergyCons!N$4:N$10000)</f>
        <v>0.54434745481064817</v>
      </c>
      <c r="Q1840" s="1" cm="1">
        <f t="array" ref="Q1840">SUMPRODUCT(([1]OUT_FinalEnergyCons!$B$4:$B$10000="var_cap")*1, (ISNUMBER(SEARCH("RH*-SHSOLBR",[1]OUT_FinalEnergyCons!$A$4:$A$10000)))*1,[1]OUT_FinalEnergyCons!O$4:O$10000)</f>
        <v>0.53895856149047749</v>
      </c>
      <c r="S1840" s="3"/>
    </row>
    <row r="1841" spans="2:19" x14ac:dyDescent="0.5">
      <c r="B1841" s="5" t="str">
        <f t="shared" ref="B1841:C1841" si="2036">B1840</f>
        <v>SPS1</v>
      </c>
      <c r="C1841" s="5" t="str">
        <f t="shared" si="2036"/>
        <v>CH</v>
      </c>
      <c r="D1841" t="s">
        <v>1877</v>
      </c>
      <c r="E1841" t="str">
        <f t="shared" si="2015"/>
        <v>GWth/yr.</v>
      </c>
      <c r="F1841" s="1">
        <f>F1842</f>
        <v>0</v>
      </c>
      <c r="G1841" s="1">
        <f t="shared" ref="G1841:O1841" si="2037">G1842</f>
        <v>0</v>
      </c>
      <c r="H1841" s="1">
        <f t="shared" si="2037"/>
        <v>0</v>
      </c>
      <c r="I1841" s="1">
        <f t="shared" si="2037"/>
        <v>0</v>
      </c>
      <c r="J1841" s="1">
        <f t="shared" si="2037"/>
        <v>0</v>
      </c>
      <c r="K1841" s="1">
        <f t="shared" si="2037"/>
        <v>0</v>
      </c>
      <c r="L1841" s="1">
        <f t="shared" si="2037"/>
        <v>0</v>
      </c>
      <c r="M1841" s="1">
        <f t="shared" si="2037"/>
        <v>0</v>
      </c>
      <c r="N1841" s="1">
        <f t="shared" si="2037"/>
        <v>0</v>
      </c>
      <c r="O1841" s="1">
        <f t="shared" si="2037"/>
        <v>0</v>
      </c>
      <c r="P1841" s="1">
        <f>P1842</f>
        <v>0</v>
      </c>
      <c r="Q1841" s="1">
        <f>Q1842</f>
        <v>0</v>
      </c>
      <c r="S1841" s="3"/>
    </row>
    <row r="1842" spans="2:19" x14ac:dyDescent="0.5">
      <c r="B1842" s="5" t="str">
        <f t="shared" ref="B1842:C1842" si="2038">B1841</f>
        <v>SPS1</v>
      </c>
      <c r="C1842" s="5" t="str">
        <f t="shared" si="2038"/>
        <v>CH</v>
      </c>
      <c r="D1842" t="s">
        <v>1878</v>
      </c>
      <c r="E1842" t="str">
        <f t="shared" si="2015"/>
        <v>GWth/yr.</v>
      </c>
      <c r="F1842" s="1" cm="1">
        <f t="array" ref="F1842">SUMPRODUCT(([1]OUT_FinalEnergyCons!$B$4:$B$10000="var_cap")*1, (ISNUMBER(SEARCH("RH*-SHH2BR",[1]OUT_FinalEnergyCons!$A$4:$A$10000)))*1,[1]OUT_FinalEnergyCons!D$4:D$10000)</f>
        <v>0</v>
      </c>
      <c r="G1842" s="1" cm="1">
        <f t="array" ref="G1842">SUMPRODUCT(([1]OUT_FinalEnergyCons!$B$4:$B$10000="var_cap")*1, (ISNUMBER(SEARCH("RH*-SHH2BR",[1]OUT_FinalEnergyCons!$A$4:$A$10000)))*1,[1]OUT_FinalEnergyCons!E$4:E$10000)</f>
        <v>0</v>
      </c>
      <c r="H1842" s="1" cm="1">
        <f t="array" ref="H1842">SUMPRODUCT(([1]OUT_FinalEnergyCons!$B$4:$B$10000="var_cap")*1, (ISNUMBER(SEARCH("RH*-SHH2BR",[1]OUT_FinalEnergyCons!$A$4:$A$10000)))*1,[1]OUT_FinalEnergyCons!F$4:F$10000)</f>
        <v>0</v>
      </c>
      <c r="I1842" s="1" cm="1">
        <f t="array" ref="I1842">SUMPRODUCT(([1]OUT_FinalEnergyCons!$B$4:$B$10000="var_cap")*1, (ISNUMBER(SEARCH("RH*-SHH2BR",[1]OUT_FinalEnergyCons!$A$4:$A$10000)))*1,[1]OUT_FinalEnergyCons!G$4:G$10000)</f>
        <v>0</v>
      </c>
      <c r="J1842" s="1" cm="1">
        <f t="array" ref="J1842">SUMPRODUCT(([1]OUT_FinalEnergyCons!$B$4:$B$10000="var_cap")*1, (ISNUMBER(SEARCH("RH*-SHH2BR",[1]OUT_FinalEnergyCons!$A$4:$A$10000)))*1,[1]OUT_FinalEnergyCons!H$4:H$10000)</f>
        <v>0</v>
      </c>
      <c r="K1842" s="1" cm="1">
        <f t="array" ref="K1842">SUMPRODUCT(([1]OUT_FinalEnergyCons!$B$4:$B$10000="var_cap")*1, (ISNUMBER(SEARCH("RH*-SHH2BR",[1]OUT_FinalEnergyCons!$A$4:$A$10000)))*1,[1]OUT_FinalEnergyCons!I$4:I$10000)</f>
        <v>0</v>
      </c>
      <c r="L1842" s="1" cm="1">
        <f t="array" ref="L1842">SUMPRODUCT(([1]OUT_FinalEnergyCons!$B$4:$B$10000="var_cap")*1, (ISNUMBER(SEARCH("RH*-SHH2BR",[1]OUT_FinalEnergyCons!$A$4:$A$10000)))*1,[1]OUT_FinalEnergyCons!J$4:J$10000)</f>
        <v>0</v>
      </c>
      <c r="M1842" s="1" cm="1">
        <f t="array" ref="M1842">SUMPRODUCT(([1]OUT_FinalEnergyCons!$B$4:$B$10000="var_cap")*1, (ISNUMBER(SEARCH("RH*-SHH2BR",[1]OUT_FinalEnergyCons!$A$4:$A$10000)))*1,[1]OUT_FinalEnergyCons!K$4:K$10000)</f>
        <v>0</v>
      </c>
      <c r="N1842" s="1" cm="1">
        <f t="array" ref="N1842">SUMPRODUCT(([1]OUT_FinalEnergyCons!$B$4:$B$10000="var_cap")*1, (ISNUMBER(SEARCH("RH*-SHH2BR",[1]OUT_FinalEnergyCons!$A$4:$A$10000)))*1,[1]OUT_FinalEnergyCons!L$4:L$10000)</f>
        <v>0</v>
      </c>
      <c r="O1842" s="1" cm="1">
        <f t="array" ref="O1842">SUMPRODUCT(([1]OUT_FinalEnergyCons!$B$4:$B$10000="var_cap")*1, (ISNUMBER(SEARCH("RH*-SHH2BR",[1]OUT_FinalEnergyCons!$A$4:$A$10000)))*1,[1]OUT_FinalEnergyCons!M$4:M$10000)</f>
        <v>0</v>
      </c>
      <c r="P1842" s="1" cm="1">
        <f t="array" ref="P1842">SUMPRODUCT(([1]OUT_FinalEnergyCons!$B$4:$B$10000="var_cap")*1, (ISNUMBER(SEARCH("RH*-SHH2BR",[1]OUT_FinalEnergyCons!$A$4:$A$10000)))*1,[1]OUT_FinalEnergyCons!N$4:N$10000)</f>
        <v>0</v>
      </c>
      <c r="Q1842" s="1" cm="1">
        <f t="array" ref="Q1842">SUMPRODUCT(([1]OUT_FinalEnergyCons!$B$4:$B$10000="var_cap")*1, (ISNUMBER(SEARCH("RH*-SHH2BR",[1]OUT_FinalEnergyCons!$A$4:$A$10000)))*1,[1]OUT_FinalEnergyCons!O$4:O$10000)</f>
        <v>0</v>
      </c>
      <c r="S1842" s="3"/>
    </row>
    <row r="1843" spans="2:19" x14ac:dyDescent="0.5">
      <c r="B1843" s="5" t="str">
        <f t="shared" ref="B1843:C1843" si="2039">B1842</f>
        <v>SPS1</v>
      </c>
      <c r="C1843" s="5" t="str">
        <f t="shared" si="2039"/>
        <v>CH</v>
      </c>
      <c r="D1843" t="s">
        <v>1879</v>
      </c>
      <c r="E1843" t="str">
        <f t="shared" si="2015"/>
        <v>GWth/yr.</v>
      </c>
      <c r="F1843" s="1">
        <f>SUM(F1844,F1847,F1849,F1852,F1854,F1856,F1858,F1860)</f>
        <v>1.8610245186852783</v>
      </c>
      <c r="G1843" s="1">
        <f t="shared" ref="G1843" si="2040">SUM(G1844,G1847,G1849,G1852,G1854,G1856,G1858,G1860)</f>
        <v>2.0188335543862315</v>
      </c>
      <c r="H1843" s="1">
        <f t="shared" ref="H1843" si="2041">SUM(H1844,H1847,H1849,H1852,H1854,H1856,H1858,H1860)</f>
        <v>2.0000672943075681</v>
      </c>
      <c r="I1843" s="1">
        <f t="shared" ref="I1843" si="2042">SUM(I1844,I1847,I1849,I1852,I1854,I1856,I1858,I1860)</f>
        <v>2.1171534973887098</v>
      </c>
      <c r="J1843" s="1">
        <f t="shared" ref="J1843" si="2043">SUM(J1844,J1847,J1849,J1852,J1854,J1856,J1858,J1860)</f>
        <v>1.8229453608268305</v>
      </c>
      <c r="K1843" s="1">
        <f t="shared" ref="K1843" si="2044">SUM(K1844,K1847,K1849,K1852,K1854,K1856,K1858,K1860)</f>
        <v>1.8562737695546165</v>
      </c>
      <c r="L1843" s="1">
        <f t="shared" ref="L1843:O1843" si="2045">SUM(L1844,L1847,L1849,L1852,L1854,L1856,L1858,L1860)</f>
        <v>2.3547237484431998</v>
      </c>
      <c r="M1843" s="1">
        <f t="shared" si="2045"/>
        <v>2.3473666332568981</v>
      </c>
      <c r="N1843" s="1">
        <f t="shared" si="2045"/>
        <v>2.1523793000099345</v>
      </c>
      <c r="O1843" s="1">
        <f t="shared" si="2045"/>
        <v>1.7538624531049045</v>
      </c>
      <c r="P1843" s="1">
        <f>SUM(P1844,P1847,P1849,P1852,P1854,P1856,P1858,P1860)</f>
        <v>1.9174906618650005</v>
      </c>
      <c r="Q1843" s="1">
        <f>SUM(Q1844,Q1847,Q1849,Q1852,Q1854,Q1856,Q1858,Q1860)</f>
        <v>1.8832887583607549</v>
      </c>
      <c r="S1843" s="3"/>
    </row>
    <row r="1844" spans="2:19" x14ac:dyDescent="0.5">
      <c r="B1844" s="5" t="str">
        <f t="shared" ref="B1844:C1844" si="2046">B1843</f>
        <v>SPS1</v>
      </c>
      <c r="C1844" s="5" t="str">
        <f t="shared" si="2046"/>
        <v>CH</v>
      </c>
      <c r="D1844" t="s">
        <v>1880</v>
      </c>
      <c r="E1844" t="str">
        <f t="shared" si="2015"/>
        <v>GWth/yr.</v>
      </c>
      <c r="F1844" s="1">
        <f>SUM(F1845:F1846)</f>
        <v>0.65096641016313384</v>
      </c>
      <c r="G1844" s="1">
        <f t="shared" ref="G1844" si="2047">SUM(G1845:G1846)</f>
        <v>0.71905329038403121</v>
      </c>
      <c r="H1844" s="1">
        <f t="shared" ref="H1844" si="2048">SUM(H1845:H1846)</f>
        <v>0.82020818110108562</v>
      </c>
      <c r="I1844" s="1">
        <f t="shared" ref="I1844" si="2049">SUM(I1845:I1846)</f>
        <v>1.0305432641692047</v>
      </c>
      <c r="J1844" s="1">
        <f t="shared" ref="J1844" si="2050">SUM(J1845:J1846)</f>
        <v>1.0861244520400124</v>
      </c>
      <c r="K1844" s="1">
        <f t="shared" ref="K1844" si="2051">SUM(K1845:K1846)</f>
        <v>1.2859708497574056</v>
      </c>
      <c r="L1844" s="1">
        <f t="shared" ref="L1844:O1844" si="2052">SUM(L1845:L1846)</f>
        <v>1.230659749149162</v>
      </c>
      <c r="M1844" s="1">
        <f t="shared" si="2052"/>
        <v>1.2987154989148413</v>
      </c>
      <c r="N1844" s="1">
        <f t="shared" si="2052"/>
        <v>1.3847017004408173</v>
      </c>
      <c r="O1844" s="1">
        <f t="shared" si="2052"/>
        <v>1.5119200336752521</v>
      </c>
      <c r="P1844" s="1">
        <f>SUM(P1845:P1846)</f>
        <v>1.3478666830038306</v>
      </c>
      <c r="Q1844" s="1">
        <f>SUM(Q1845:Q1846)</f>
        <v>1.3450349507707937</v>
      </c>
      <c r="S1844" s="3"/>
    </row>
    <row r="1845" spans="2:19" x14ac:dyDescent="0.5">
      <c r="B1845" s="5" t="str">
        <f t="shared" ref="B1845:C1845" si="2053">B1844</f>
        <v>SPS1</v>
      </c>
      <c r="C1845" s="5" t="str">
        <f t="shared" si="2053"/>
        <v>CH</v>
      </c>
      <c r="D1845" t="s">
        <v>1881</v>
      </c>
      <c r="E1845" t="str">
        <f t="shared" si="2015"/>
        <v>GWth/yr.</v>
      </c>
      <c r="F1845" s="1" cm="1">
        <f t="array" ref="F1845">SUMPRODUCT(([1]OUT_FinalEnergyCons!$B$4:$B$10000="var_cap")*1,(ISNUMBER(SEARCH("RH*-WHELCBR",[1]OUT_FinalEnergyCons!$A$4:$A$10000)))*1,[1]OUT_FinalEnergyCons!D$4:D$10000)</f>
        <v>0.43760958308685782</v>
      </c>
      <c r="G1845" s="1" cm="1">
        <f t="array" ref="G1845">SUMPRODUCT(([1]OUT_FinalEnergyCons!$B$4:$B$10000="var_cap")*1,(ISNUMBER(SEARCH("RH*-WHELCBR",[1]OUT_FinalEnergyCons!$A$4:$A$10000)))*1,[1]OUT_FinalEnergyCons!E$4:E$10000)</f>
        <v>0.47289684588518754</v>
      </c>
      <c r="H1845" s="1" cm="1">
        <f t="array" ref="H1845">SUMPRODUCT(([1]OUT_FinalEnergyCons!$B$4:$B$10000="var_cap")*1,(ISNUMBER(SEARCH("RH*-WHELCBR",[1]OUT_FinalEnergyCons!$A$4:$A$10000)))*1,[1]OUT_FinalEnergyCons!F$4:F$10000)</f>
        <v>0.47289797086109608</v>
      </c>
      <c r="I1845" s="1" cm="1">
        <f t="array" ref="I1845">SUMPRODUCT(([1]OUT_FinalEnergyCons!$B$4:$B$10000="var_cap")*1,(ISNUMBER(SEARCH("RH*-WHELCBR",[1]OUT_FinalEnergyCons!$A$4:$A$10000)))*1,[1]OUT_FinalEnergyCons!G$4:G$10000)</f>
        <v>0.47290542904396926</v>
      </c>
      <c r="J1845" s="1" cm="1">
        <f t="array" ref="J1845">SUMPRODUCT(([1]OUT_FinalEnergyCons!$B$4:$B$10000="var_cap")*1,(ISNUMBER(SEARCH("RH*-WHELCBR",[1]OUT_FinalEnergyCons!$A$4:$A$10000)))*1,[1]OUT_FinalEnergyCons!H$4:H$10000)</f>
        <v>0.1985213334285334</v>
      </c>
      <c r="K1845" s="1" cm="1">
        <f t="array" ref="K1845">SUMPRODUCT(([1]OUT_FinalEnergyCons!$B$4:$B$10000="var_cap")*1,(ISNUMBER(SEARCH("RH*-WHELCBR",[1]OUT_FinalEnergyCons!$A$4:$A$10000)))*1,[1]OUT_FinalEnergyCons!I$4:I$10000)</f>
        <v>0.10191996918178688</v>
      </c>
      <c r="L1845" s="1" cm="1">
        <f t="array" ref="L1845">SUMPRODUCT(([1]OUT_FinalEnergyCons!$B$4:$B$10000="var_cap")*1,(ISNUMBER(SEARCH("RH*-WHELCBR",[1]OUT_FinalEnergyCons!$A$4:$A$10000)))*1,[1]OUT_FinalEnergyCons!J$4:J$10000)</f>
        <v>0.10183716813502797</v>
      </c>
      <c r="M1845" s="1" cm="1">
        <f t="array" ref="M1845">SUMPRODUCT(([1]OUT_FinalEnergyCons!$B$4:$B$10000="var_cap")*1,(ISNUMBER(SEARCH("RH*-WHELCBR",[1]OUT_FinalEnergyCons!$A$4:$A$10000)))*1,[1]OUT_FinalEnergyCons!K$4:K$10000)</f>
        <v>0.16453977402274553</v>
      </c>
      <c r="N1845" s="1" cm="1">
        <f t="array" ref="N1845">SUMPRODUCT(([1]OUT_FinalEnergyCons!$B$4:$B$10000="var_cap")*1,(ISNUMBER(SEARCH("RH*-WHELCBR",[1]OUT_FinalEnergyCons!$A$4:$A$10000)))*1,[1]OUT_FinalEnergyCons!L$4:L$10000)</f>
        <v>0.13507331499052408</v>
      </c>
      <c r="O1845" s="1" cm="1">
        <f t="array" ref="O1845">SUMPRODUCT(([1]OUT_FinalEnergyCons!$B$4:$B$10000="var_cap")*1,(ISNUMBER(SEARCH("RH*-WHELCBR",[1]OUT_FinalEnergyCons!$A$4:$A$10000)))*1,[1]OUT_FinalEnergyCons!M$4:M$10000)</f>
        <v>0.12996949950402079</v>
      </c>
      <c r="P1845" s="1" cm="1">
        <f t="array" ref="P1845">SUMPRODUCT(([1]OUT_FinalEnergyCons!$B$4:$B$10000="var_cap")*1,(ISNUMBER(SEARCH("RH*-WHELCBR",[1]OUT_FinalEnergyCons!$A$4:$A$10000)))*1,[1]OUT_FinalEnergyCons!N$4:N$10000)</f>
        <v>6.377862633668277E-2</v>
      </c>
      <c r="Q1845" s="1" cm="1">
        <f t="array" ref="Q1845">SUMPRODUCT(([1]OUT_FinalEnergyCons!$B$4:$B$10000="var_cap")*1,(ISNUMBER(SEARCH("RH*-WHELCBR",[1]OUT_FinalEnergyCons!$A$4:$A$10000)))*1,[1]OUT_FinalEnergyCons!O$4:O$10000)</f>
        <v>4.3221547288610662E-2</v>
      </c>
      <c r="S1845" s="3"/>
    </row>
    <row r="1846" spans="2:19" x14ac:dyDescent="0.5">
      <c r="B1846" s="5" t="str">
        <f t="shared" ref="B1846:C1846" si="2054">B1845</f>
        <v>SPS1</v>
      </c>
      <c r="C1846" s="5" t="str">
        <f t="shared" si="2054"/>
        <v>CH</v>
      </c>
      <c r="D1846" t="s">
        <v>1882</v>
      </c>
      <c r="E1846" t="str">
        <f t="shared" si="2015"/>
        <v>GWth/yr.</v>
      </c>
      <c r="F1846" s="1" cm="1">
        <f t="array" ref="F1846">SUMPRODUCT(([1]OUT_FinalEnergyCons!$B$4:$B$10000="var_cap")*1,ISNUMBER(SEARCH("RH*-WHELCHP",[1]OUT_FinalEnergyCons!$A$4:$A$10000))*1,[1]OUT_FinalEnergyCons!D$4:D$10000)</f>
        <v>0.21335682707627596</v>
      </c>
      <c r="G1846" s="1" cm="1">
        <f t="array" ref="G1846">SUMPRODUCT(([1]OUT_FinalEnergyCons!$B$4:$B$10000="var_cap")*1,ISNUMBER(SEARCH("RH*-WHELCHP",[1]OUT_FinalEnergyCons!$A$4:$A$10000))*1,[1]OUT_FinalEnergyCons!E$4:E$10000)</f>
        <v>0.24615644449884372</v>
      </c>
      <c r="H1846" s="1" cm="1">
        <f t="array" ref="H1846">SUMPRODUCT(([1]OUT_FinalEnergyCons!$B$4:$B$10000="var_cap")*1,ISNUMBER(SEARCH("RH*-WHELCHP",[1]OUT_FinalEnergyCons!$A$4:$A$10000))*1,[1]OUT_FinalEnergyCons!F$4:F$10000)</f>
        <v>0.34731021023998954</v>
      </c>
      <c r="I1846" s="1" cm="1">
        <f t="array" ref="I1846">SUMPRODUCT(([1]OUT_FinalEnergyCons!$B$4:$B$10000="var_cap")*1,ISNUMBER(SEARCH("RH*-WHELCHP",[1]OUT_FinalEnergyCons!$A$4:$A$10000))*1,[1]OUT_FinalEnergyCons!G$4:G$10000)</f>
        <v>0.55763783512523546</v>
      </c>
      <c r="J1846" s="1" cm="1">
        <f t="array" ref="J1846">SUMPRODUCT(([1]OUT_FinalEnergyCons!$B$4:$B$10000="var_cap")*1,ISNUMBER(SEARCH("RH*-WHELCHP",[1]OUT_FinalEnergyCons!$A$4:$A$10000))*1,[1]OUT_FinalEnergyCons!H$4:H$10000)</f>
        <v>0.88760311861147911</v>
      </c>
      <c r="K1846" s="1" cm="1">
        <f t="array" ref="K1846">SUMPRODUCT(([1]OUT_FinalEnergyCons!$B$4:$B$10000="var_cap")*1,ISNUMBER(SEARCH("RH*-WHELCHP",[1]OUT_FinalEnergyCons!$A$4:$A$10000))*1,[1]OUT_FinalEnergyCons!I$4:I$10000)</f>
        <v>1.1840508805756187</v>
      </c>
      <c r="L1846" s="1" cm="1">
        <f t="array" ref="L1846">SUMPRODUCT(([1]OUT_FinalEnergyCons!$B$4:$B$10000="var_cap")*1,ISNUMBER(SEARCH("RH*-WHELCHP",[1]OUT_FinalEnergyCons!$A$4:$A$10000))*1,[1]OUT_FinalEnergyCons!J$4:J$10000)</f>
        <v>1.1288225810141341</v>
      </c>
      <c r="M1846" s="1" cm="1">
        <f t="array" ref="M1846">SUMPRODUCT(([1]OUT_FinalEnergyCons!$B$4:$B$10000="var_cap")*1,ISNUMBER(SEARCH("RH*-WHELCHP",[1]OUT_FinalEnergyCons!$A$4:$A$10000))*1,[1]OUT_FinalEnergyCons!K$4:K$10000)</f>
        <v>1.1341757248920958</v>
      </c>
      <c r="N1846" s="1" cm="1">
        <f t="array" ref="N1846">SUMPRODUCT(([1]OUT_FinalEnergyCons!$B$4:$B$10000="var_cap")*1,ISNUMBER(SEARCH("RH*-WHELCHP",[1]OUT_FinalEnergyCons!$A$4:$A$10000))*1,[1]OUT_FinalEnergyCons!L$4:L$10000)</f>
        <v>1.2496283854502932</v>
      </c>
      <c r="O1846" s="1" cm="1">
        <f t="array" ref="O1846">SUMPRODUCT(([1]OUT_FinalEnergyCons!$B$4:$B$10000="var_cap")*1,ISNUMBER(SEARCH("RH*-WHELCHP",[1]OUT_FinalEnergyCons!$A$4:$A$10000))*1,[1]OUT_FinalEnergyCons!M$4:M$10000)</f>
        <v>1.3819505341712313</v>
      </c>
      <c r="P1846" s="1" cm="1">
        <f t="array" ref="P1846">SUMPRODUCT(([1]OUT_FinalEnergyCons!$B$4:$B$10000="var_cap")*1,ISNUMBER(SEARCH("RH*-WHELCHP",[1]OUT_FinalEnergyCons!$A$4:$A$10000))*1,[1]OUT_FinalEnergyCons!N$4:N$10000)</f>
        <v>1.2840880566671478</v>
      </c>
      <c r="Q1846" s="1" cm="1">
        <f t="array" ref="Q1846">SUMPRODUCT(([1]OUT_FinalEnergyCons!$B$4:$B$10000="var_cap")*1,ISNUMBER(SEARCH("RH*-WHELCHP",[1]OUT_FinalEnergyCons!$A$4:$A$10000))*1,[1]OUT_FinalEnergyCons!O$4:O$10000)</f>
        <v>1.3018134034821831</v>
      </c>
      <c r="S1846" s="3"/>
    </row>
    <row r="1847" spans="2:19" x14ac:dyDescent="0.5">
      <c r="B1847" s="5" t="str">
        <f t="shared" ref="B1847:C1847" si="2055">B1846</f>
        <v>SPS1</v>
      </c>
      <c r="C1847" s="5" t="str">
        <f t="shared" si="2055"/>
        <v>CH</v>
      </c>
      <c r="D1847" t="s">
        <v>1883</v>
      </c>
      <c r="E1847" t="str">
        <f t="shared" si="2015"/>
        <v>GWth/yr.</v>
      </c>
      <c r="F1847" s="1">
        <f>F1848</f>
        <v>0.47738433216181703</v>
      </c>
      <c r="G1847" s="1">
        <f t="shared" ref="G1847" si="2056">G1848</f>
        <v>0.47737526286017573</v>
      </c>
      <c r="H1847" s="1">
        <f t="shared" ref="H1847" si="2057">H1848</f>
        <v>0.14805218913412771</v>
      </c>
      <c r="I1847" s="1">
        <f t="shared" ref="I1847" si="2058">I1848</f>
        <v>4.9902412416405917E-2</v>
      </c>
      <c r="J1847" s="1">
        <f t="shared" ref="J1847" si="2059">J1848</f>
        <v>1.2978861134527966E-2</v>
      </c>
      <c r="K1847" s="1">
        <f t="shared" ref="K1847:O1847" si="2060">K1848</f>
        <v>1.653497874165094E-4</v>
      </c>
      <c r="L1847" s="1">
        <f t="shared" si="2060"/>
        <v>1.6098280158398183E-4</v>
      </c>
      <c r="M1847" s="1">
        <f t="shared" si="2060"/>
        <v>1.1475740548721069E-4</v>
      </c>
      <c r="N1847" s="1">
        <f t="shared" si="2060"/>
        <v>1.0545665598470528E-4</v>
      </c>
      <c r="O1847" s="1">
        <f t="shared" si="2060"/>
        <v>1.3846072415103726E-4</v>
      </c>
      <c r="P1847" s="1">
        <f>P1848</f>
        <v>1.7403197596056744E-4</v>
      </c>
      <c r="Q1847" s="1">
        <f>Q1848</f>
        <v>1.819132487326317E-4</v>
      </c>
      <c r="S1847" s="3"/>
    </row>
    <row r="1848" spans="2:19" x14ac:dyDescent="0.5">
      <c r="B1848" s="5" t="str">
        <f t="shared" ref="B1848:C1848" si="2061">B1847</f>
        <v>SPS1</v>
      </c>
      <c r="C1848" s="5" t="str">
        <f t="shared" si="2061"/>
        <v>CH</v>
      </c>
      <c r="D1848" t="s">
        <v>1884</v>
      </c>
      <c r="E1848" t="str">
        <f t="shared" si="2015"/>
        <v>GWth/yr.</v>
      </c>
      <c r="F1848" s="1" cm="1">
        <f t="array" ref="F1848">SUMPRODUCT(([1]OUT_FinalEnergyCons!$B$4:$B$10000="var_cap")*1, (ISNUMBER(SEARCH("RH*-WHLFOBR",[1]OUT_FinalEnergyCons!$A$4:$A$10000)))*1,[1]OUT_FinalEnergyCons!D$4:D$10000)</f>
        <v>0.47738433216181703</v>
      </c>
      <c r="G1848" s="1" cm="1">
        <f t="array" ref="G1848">SUMPRODUCT(([1]OUT_FinalEnergyCons!$B$4:$B$10000="var_cap")*1, (ISNUMBER(SEARCH("RH*-WHLFOBR",[1]OUT_FinalEnergyCons!$A$4:$A$10000)))*1,[1]OUT_FinalEnergyCons!E$4:E$10000)</f>
        <v>0.47737526286017573</v>
      </c>
      <c r="H1848" s="1" cm="1">
        <f t="array" ref="H1848">SUMPRODUCT(([1]OUT_FinalEnergyCons!$B$4:$B$10000="var_cap")*1, (ISNUMBER(SEARCH("RH*-WHLFOBR",[1]OUT_FinalEnergyCons!$A$4:$A$10000)))*1,[1]OUT_FinalEnergyCons!F$4:F$10000)</f>
        <v>0.14805218913412771</v>
      </c>
      <c r="I1848" s="1" cm="1">
        <f t="array" ref="I1848">SUMPRODUCT(([1]OUT_FinalEnergyCons!$B$4:$B$10000="var_cap")*1, (ISNUMBER(SEARCH("RH*-WHLFOBR",[1]OUT_FinalEnergyCons!$A$4:$A$10000)))*1,[1]OUT_FinalEnergyCons!G$4:G$10000)</f>
        <v>4.9902412416405917E-2</v>
      </c>
      <c r="J1848" s="1" cm="1">
        <f t="array" ref="J1848">SUMPRODUCT(([1]OUT_FinalEnergyCons!$B$4:$B$10000="var_cap")*1, (ISNUMBER(SEARCH("RH*-WHLFOBR",[1]OUT_FinalEnergyCons!$A$4:$A$10000)))*1,[1]OUT_FinalEnergyCons!H$4:H$10000)</f>
        <v>1.2978861134527966E-2</v>
      </c>
      <c r="K1848" s="1" cm="1">
        <f t="array" ref="K1848">SUMPRODUCT(([1]OUT_FinalEnergyCons!$B$4:$B$10000="var_cap")*1, (ISNUMBER(SEARCH("RH*-WHLFOBR",[1]OUT_FinalEnergyCons!$A$4:$A$10000)))*1,[1]OUT_FinalEnergyCons!I$4:I$10000)</f>
        <v>1.653497874165094E-4</v>
      </c>
      <c r="L1848" s="1" cm="1">
        <f t="array" ref="L1848">SUMPRODUCT(([1]OUT_FinalEnergyCons!$B$4:$B$10000="var_cap")*1, (ISNUMBER(SEARCH("RH*-WHLFOBR",[1]OUT_FinalEnergyCons!$A$4:$A$10000)))*1,[1]OUT_FinalEnergyCons!J$4:J$10000)</f>
        <v>1.6098280158398183E-4</v>
      </c>
      <c r="M1848" s="1" cm="1">
        <f t="array" ref="M1848">SUMPRODUCT(([1]OUT_FinalEnergyCons!$B$4:$B$10000="var_cap")*1, (ISNUMBER(SEARCH("RH*-WHLFOBR",[1]OUT_FinalEnergyCons!$A$4:$A$10000)))*1,[1]OUT_FinalEnergyCons!K$4:K$10000)</f>
        <v>1.1475740548721069E-4</v>
      </c>
      <c r="N1848" s="1" cm="1">
        <f t="array" ref="N1848">SUMPRODUCT(([1]OUT_FinalEnergyCons!$B$4:$B$10000="var_cap")*1, (ISNUMBER(SEARCH("RH*-WHLFOBR",[1]OUT_FinalEnergyCons!$A$4:$A$10000)))*1,[1]OUT_FinalEnergyCons!L$4:L$10000)</f>
        <v>1.0545665598470528E-4</v>
      </c>
      <c r="O1848" s="1" cm="1">
        <f t="array" ref="O1848">SUMPRODUCT(([1]OUT_FinalEnergyCons!$B$4:$B$10000="var_cap")*1, (ISNUMBER(SEARCH("RH*-WHLFOBR",[1]OUT_FinalEnergyCons!$A$4:$A$10000)))*1,[1]OUT_FinalEnergyCons!M$4:M$10000)</f>
        <v>1.3846072415103726E-4</v>
      </c>
      <c r="P1848" s="1" cm="1">
        <f t="array" ref="P1848">SUMPRODUCT(([1]OUT_FinalEnergyCons!$B$4:$B$10000="var_cap")*1, (ISNUMBER(SEARCH("RH*-WHLFOBR",[1]OUT_FinalEnergyCons!$A$4:$A$10000)))*1,[1]OUT_FinalEnergyCons!N$4:N$10000)</f>
        <v>1.7403197596056744E-4</v>
      </c>
      <c r="Q1848" s="1" cm="1">
        <f t="array" ref="Q1848">SUMPRODUCT(([1]OUT_FinalEnergyCons!$B$4:$B$10000="var_cap")*1, (ISNUMBER(SEARCH("RH*-WHLFOBR",[1]OUT_FinalEnergyCons!$A$4:$A$10000)))*1,[1]OUT_FinalEnergyCons!O$4:O$10000)</f>
        <v>1.819132487326317E-4</v>
      </c>
      <c r="S1848" s="3"/>
    </row>
    <row r="1849" spans="2:19" x14ac:dyDescent="0.5">
      <c r="B1849" s="5" t="str">
        <f t="shared" ref="B1849:C1849" si="2062">B1848</f>
        <v>SPS1</v>
      </c>
      <c r="C1849" s="5" t="str">
        <f t="shared" si="2062"/>
        <v>CH</v>
      </c>
      <c r="D1849" t="s">
        <v>1885</v>
      </c>
      <c r="E1849" t="str">
        <f t="shared" si="2015"/>
        <v>GWth/yr.</v>
      </c>
      <c r="F1849" s="1">
        <f>SUM(F1850:F1851)</f>
        <v>0.43610075806793741</v>
      </c>
      <c r="G1849" s="1">
        <f t="shared" ref="G1849" si="2063">SUM(G1850:G1851)</f>
        <v>0.43611350369756685</v>
      </c>
      <c r="H1849" s="1">
        <f t="shared" ref="H1849" si="2064">SUM(H1850:H1851)</f>
        <v>0.64557717572629236</v>
      </c>
      <c r="I1849" s="1">
        <f t="shared" ref="I1849" si="2065">SUM(I1850:I1851)</f>
        <v>0.65043786550993921</v>
      </c>
      <c r="J1849" s="1">
        <f t="shared" ref="J1849" si="2066">SUM(J1850:J1851)</f>
        <v>0.53226134018224391</v>
      </c>
      <c r="K1849" s="1">
        <f t="shared" ref="K1849" si="2067">SUM(K1850:K1851)</f>
        <v>0.26170378394608523</v>
      </c>
      <c r="L1849" s="1">
        <f t="shared" ref="L1849:O1849" si="2068">SUM(L1850:L1851)</f>
        <v>0.26251249096866069</v>
      </c>
      <c r="M1849" s="1">
        <f t="shared" si="2068"/>
        <v>0.11719837410323818</v>
      </c>
      <c r="N1849" s="1">
        <f t="shared" si="2068"/>
        <v>0.10741089270308357</v>
      </c>
      <c r="O1849" s="1">
        <f t="shared" si="2068"/>
        <v>9.7023623009080809E-2</v>
      </c>
      <c r="P1849" s="1">
        <f>SUM(P1850:P1851)</f>
        <v>0.10141178442506603</v>
      </c>
      <c r="Q1849" s="1">
        <f>SUM(Q1850:Q1851)</f>
        <v>9.3365084646562069E-2</v>
      </c>
      <c r="S1849" s="3"/>
    </row>
    <row r="1850" spans="2:19" x14ac:dyDescent="0.5">
      <c r="B1850" s="5" t="str">
        <f t="shared" ref="B1850:C1850" si="2069">B1849</f>
        <v>SPS1</v>
      </c>
      <c r="C1850" s="5" t="str">
        <f t="shared" si="2069"/>
        <v>CH</v>
      </c>
      <c r="D1850" t="s">
        <v>1886</v>
      </c>
      <c r="E1850" t="str">
        <f t="shared" si="2015"/>
        <v>GWth/yr.</v>
      </c>
      <c r="F1850" s="1" cm="1">
        <f t="array" ref="F1850">SUMPRODUCT(([1]OUT_FinalEnergyCons!$B$4:$B$10000="var_cap")*1, (ISNUMBER(SEARCH("RH*-WHNGABR",[1]OUT_FinalEnergyCons!$A$4:$A$10000)))*1,[1]OUT_FinalEnergyCons!D$4:D$10000)</f>
        <v>0.43610075802020798</v>
      </c>
      <c r="G1850" s="1" cm="1">
        <f t="array" ref="G1850">SUMPRODUCT(([1]OUT_FinalEnergyCons!$B$4:$B$10000="var_cap")*1, (ISNUMBER(SEARCH("RH*-WHNGABR",[1]OUT_FinalEnergyCons!$A$4:$A$10000)))*1,[1]OUT_FinalEnergyCons!E$4:E$10000)</f>
        <v>0.43610504621558499</v>
      </c>
      <c r="H1850" s="1" cm="1">
        <f t="array" ref="H1850">SUMPRODUCT(([1]OUT_FinalEnergyCons!$B$4:$B$10000="var_cap")*1, (ISNUMBER(SEARCH("RH*-WHNGABR",[1]OUT_FinalEnergyCons!$A$4:$A$10000)))*1,[1]OUT_FinalEnergyCons!F$4:F$10000)</f>
        <v>0.64489343824676737</v>
      </c>
      <c r="I1850" s="1" cm="1">
        <f t="array" ref="I1850">SUMPRODUCT(([1]OUT_FinalEnergyCons!$B$4:$B$10000="var_cap")*1, (ISNUMBER(SEARCH("RH*-WHNGABR",[1]OUT_FinalEnergyCons!$A$4:$A$10000)))*1,[1]OUT_FinalEnergyCons!G$4:G$10000)</f>
        <v>0.64974519208678438</v>
      </c>
      <c r="J1850" s="1" cm="1">
        <f t="array" ref="J1850">SUMPRODUCT(([1]OUT_FinalEnergyCons!$B$4:$B$10000="var_cap")*1, (ISNUMBER(SEARCH("RH*-WHNGABR",[1]OUT_FinalEnergyCons!$A$4:$A$10000)))*1,[1]OUT_FinalEnergyCons!H$4:H$10000)</f>
        <v>0.47141536110799975</v>
      </c>
      <c r="K1850" s="1" cm="1">
        <f t="array" ref="K1850">SUMPRODUCT(([1]OUT_FinalEnergyCons!$B$4:$B$10000="var_cap")*1, (ISNUMBER(SEARCH("RH*-WHNGABR",[1]OUT_FinalEnergyCons!$A$4:$A$10000)))*1,[1]OUT_FinalEnergyCons!I$4:I$10000)</f>
        <v>0.20137422458855217</v>
      </c>
      <c r="L1850" s="1" cm="1">
        <f t="array" ref="L1850">SUMPRODUCT(([1]OUT_FinalEnergyCons!$B$4:$B$10000="var_cap")*1, (ISNUMBER(SEARCH("RH*-WHNGABR",[1]OUT_FinalEnergyCons!$A$4:$A$10000)))*1,[1]OUT_FinalEnergyCons!J$4:J$10000)</f>
        <v>0.16281253812329288</v>
      </c>
      <c r="M1850" s="1" cm="1">
        <f t="array" ref="M1850">SUMPRODUCT(([1]OUT_FinalEnergyCons!$B$4:$B$10000="var_cap")*1, (ISNUMBER(SEARCH("RH*-WHNGABR",[1]OUT_FinalEnergyCons!$A$4:$A$10000)))*1,[1]OUT_FinalEnergyCons!K$4:K$10000)</f>
        <v>7.5580453546409146E-2</v>
      </c>
      <c r="N1850" s="1" cm="1">
        <f t="array" ref="N1850">SUMPRODUCT(([1]OUT_FinalEnergyCons!$B$4:$B$10000="var_cap")*1, (ISNUMBER(SEARCH("RH*-WHNGABR",[1]OUT_FinalEnergyCons!$A$4:$A$10000)))*1,[1]OUT_FinalEnergyCons!L$4:L$10000)</f>
        <v>6.6803218489506308E-2</v>
      </c>
      <c r="O1850" s="1" cm="1">
        <f t="array" ref="O1850">SUMPRODUCT(([1]OUT_FinalEnergyCons!$B$4:$B$10000="var_cap")*1, (ISNUMBER(SEARCH("RH*-WHNGABR",[1]OUT_FinalEnergyCons!$A$4:$A$10000)))*1,[1]OUT_FinalEnergyCons!M$4:M$10000)</f>
        <v>5.7442428844759842E-2</v>
      </c>
      <c r="P1850" s="1" cm="1">
        <f t="array" ref="P1850">SUMPRODUCT(([1]OUT_FinalEnergyCons!$B$4:$B$10000="var_cap")*1, (ISNUMBER(SEARCH("RH*-WHNGABR",[1]OUT_FinalEnergyCons!$A$4:$A$10000)))*1,[1]OUT_FinalEnergyCons!N$4:N$10000)</f>
        <v>6.0691097316423186E-2</v>
      </c>
      <c r="Q1850" s="1" cm="1">
        <f t="array" ref="Q1850">SUMPRODUCT(([1]OUT_FinalEnergyCons!$B$4:$B$10000="var_cap")*1, (ISNUMBER(SEARCH("RH*-WHNGABR",[1]OUT_FinalEnergyCons!$A$4:$A$10000)))*1,[1]OUT_FinalEnergyCons!O$4:O$10000)</f>
        <v>5.2493617642601652E-2</v>
      </c>
      <c r="S1850" s="3"/>
    </row>
    <row r="1851" spans="2:19" x14ac:dyDescent="0.5">
      <c r="B1851" s="5" t="str">
        <f t="shared" ref="B1851:C1851" si="2070">B1850</f>
        <v>SPS1</v>
      </c>
      <c r="C1851" s="5" t="str">
        <f t="shared" si="2070"/>
        <v>CH</v>
      </c>
      <c r="D1851" t="s">
        <v>1887</v>
      </c>
      <c r="E1851" t="str">
        <f t="shared" si="2015"/>
        <v>GWth/yr.</v>
      </c>
      <c r="F1851" s="1" cm="1">
        <f t="array" ref="F1851">SUMPRODUCT(([1]OUT_FinalEnergyCons!$B$4:$B$10000="var_cap")*1,ISNUMBER(SEARCH("RH*-WHngahp",[1]OUT_FinalEnergyCons!$A$4:$A$10000))*1,[1]OUT_FinalEnergyCons!D$4:D$10000)</f>
        <v>4.7729432218241499E-11</v>
      </c>
      <c r="G1851" s="1" cm="1">
        <f t="array" ref="G1851">SUMPRODUCT(([1]OUT_FinalEnergyCons!$B$4:$B$10000="var_cap")*1,ISNUMBER(SEARCH("RH*-WHngahp",[1]OUT_FinalEnergyCons!$A$4:$A$10000))*1,[1]OUT_FinalEnergyCons!E$4:E$10000)</f>
        <v>8.4574819818588809E-6</v>
      </c>
      <c r="H1851" s="1" cm="1">
        <f t="array" ref="H1851">SUMPRODUCT(([1]OUT_FinalEnergyCons!$B$4:$B$10000="var_cap")*1,ISNUMBER(SEARCH("RH*-WHngahp",[1]OUT_FinalEnergyCons!$A$4:$A$10000))*1,[1]OUT_FinalEnergyCons!F$4:F$10000)</f>
        <v>6.8373747952501498E-4</v>
      </c>
      <c r="I1851" s="1" cm="1">
        <f t="array" ref="I1851">SUMPRODUCT(([1]OUT_FinalEnergyCons!$B$4:$B$10000="var_cap")*1,ISNUMBER(SEARCH("RH*-WHngahp",[1]OUT_FinalEnergyCons!$A$4:$A$10000))*1,[1]OUT_FinalEnergyCons!G$4:G$10000)</f>
        <v>6.9267342315478052E-4</v>
      </c>
      <c r="J1851" s="1" cm="1">
        <f t="array" ref="J1851">SUMPRODUCT(([1]OUT_FinalEnergyCons!$B$4:$B$10000="var_cap")*1,ISNUMBER(SEARCH("RH*-WHngahp",[1]OUT_FinalEnergyCons!$A$4:$A$10000))*1,[1]OUT_FinalEnergyCons!H$4:H$10000)</f>
        <v>6.0845979074244189E-2</v>
      </c>
      <c r="K1851" s="1" cm="1">
        <f t="array" ref="K1851">SUMPRODUCT(([1]OUT_FinalEnergyCons!$B$4:$B$10000="var_cap")*1,ISNUMBER(SEARCH("RH*-WHngahp",[1]OUT_FinalEnergyCons!$A$4:$A$10000))*1,[1]OUT_FinalEnergyCons!I$4:I$10000)</f>
        <v>6.032955935753305E-2</v>
      </c>
      <c r="L1851" s="1" cm="1">
        <f t="array" ref="L1851">SUMPRODUCT(([1]OUT_FinalEnergyCons!$B$4:$B$10000="var_cap")*1,ISNUMBER(SEARCH("RH*-WHngahp",[1]OUT_FinalEnergyCons!$A$4:$A$10000))*1,[1]OUT_FinalEnergyCons!J$4:J$10000)</f>
        <v>9.9699952845367784E-2</v>
      </c>
      <c r="M1851" s="1" cm="1">
        <f t="array" ref="M1851">SUMPRODUCT(([1]OUT_FinalEnergyCons!$B$4:$B$10000="var_cap")*1,ISNUMBER(SEARCH("RH*-WHngahp",[1]OUT_FinalEnergyCons!$A$4:$A$10000))*1,[1]OUT_FinalEnergyCons!K$4:K$10000)</f>
        <v>4.161792055682903E-2</v>
      </c>
      <c r="N1851" s="1" cm="1">
        <f t="array" ref="N1851">SUMPRODUCT(([1]OUT_FinalEnergyCons!$B$4:$B$10000="var_cap")*1,ISNUMBER(SEARCH("RH*-WHngahp",[1]OUT_FinalEnergyCons!$A$4:$A$10000))*1,[1]OUT_FinalEnergyCons!L$4:L$10000)</f>
        <v>4.0607674213577263E-2</v>
      </c>
      <c r="O1851" s="1" cm="1">
        <f t="array" ref="O1851">SUMPRODUCT(([1]OUT_FinalEnergyCons!$B$4:$B$10000="var_cap")*1,ISNUMBER(SEARCH("RH*-WHngahp",[1]OUT_FinalEnergyCons!$A$4:$A$10000))*1,[1]OUT_FinalEnergyCons!M$4:M$10000)</f>
        <v>3.9581194164320967E-2</v>
      </c>
      <c r="P1851" s="1" cm="1">
        <f t="array" ref="P1851">SUMPRODUCT(([1]OUT_FinalEnergyCons!$B$4:$B$10000="var_cap")*1,ISNUMBER(SEARCH("RH*-WHngahp",[1]OUT_FinalEnergyCons!$A$4:$A$10000))*1,[1]OUT_FinalEnergyCons!N$4:N$10000)</f>
        <v>4.0720687108642843E-2</v>
      </c>
      <c r="Q1851" s="1" cm="1">
        <f t="array" ref="Q1851">SUMPRODUCT(([1]OUT_FinalEnergyCons!$B$4:$B$10000="var_cap")*1,ISNUMBER(SEARCH("RH*-WHngahp",[1]OUT_FinalEnergyCons!$A$4:$A$10000))*1,[1]OUT_FinalEnergyCons!O$4:O$10000)</f>
        <v>4.087146700396041E-2</v>
      </c>
      <c r="S1851" s="3"/>
    </row>
    <row r="1852" spans="2:19" x14ac:dyDescent="0.5">
      <c r="B1852" s="5" t="str">
        <f t="shared" ref="B1852:C1852" si="2071">B1851</f>
        <v>SPS1</v>
      </c>
      <c r="C1852" s="5" t="str">
        <f t="shared" si="2071"/>
        <v>CH</v>
      </c>
      <c r="D1852" t="s">
        <v>1888</v>
      </c>
      <c r="E1852" t="str">
        <f t="shared" si="2015"/>
        <v>GWth/yr.</v>
      </c>
      <c r="F1852" s="1">
        <f>F1853</f>
        <v>0</v>
      </c>
      <c r="G1852" s="1">
        <f t="shared" ref="G1852" si="2072">G1853</f>
        <v>0</v>
      </c>
      <c r="H1852" s="1">
        <f t="shared" ref="H1852" si="2073">H1853</f>
        <v>0</v>
      </c>
      <c r="I1852" s="1">
        <f t="shared" ref="I1852" si="2074">I1853</f>
        <v>0</v>
      </c>
      <c r="J1852" s="1">
        <f t="shared" ref="J1852" si="2075">J1853</f>
        <v>0</v>
      </c>
      <c r="K1852" s="1">
        <f t="shared" ref="K1852:O1852" si="2076">K1853</f>
        <v>0</v>
      </c>
      <c r="L1852" s="1">
        <f t="shared" si="2076"/>
        <v>0</v>
      </c>
      <c r="M1852" s="1">
        <f t="shared" si="2076"/>
        <v>0</v>
      </c>
      <c r="N1852" s="1">
        <f t="shared" si="2076"/>
        <v>0</v>
      </c>
      <c r="O1852" s="1">
        <f t="shared" si="2076"/>
        <v>0</v>
      </c>
      <c r="P1852" s="1">
        <f>P1853</f>
        <v>0</v>
      </c>
      <c r="Q1852" s="1">
        <f>Q1853</f>
        <v>0</v>
      </c>
      <c r="S1852" s="3"/>
    </row>
    <row r="1853" spans="2:19" x14ac:dyDescent="0.5">
      <c r="B1853" s="5" t="str">
        <f t="shared" ref="B1853:C1853" si="2077">B1852</f>
        <v>SPS1</v>
      </c>
      <c r="C1853" s="5" t="str">
        <f t="shared" si="2077"/>
        <v>CH</v>
      </c>
      <c r="D1853" t="s">
        <v>1889</v>
      </c>
      <c r="E1853" t="str">
        <f t="shared" si="2015"/>
        <v>GWth/yr.</v>
      </c>
      <c r="F1853" s="1" cm="1">
        <f t="array" ref="F1853">SUMPRODUCT(([1]OUT_FinalEnergyCons!$B$4:$B$10000="var_cap")*1, (ISNUMBER(SEARCH("RH*-WHCOABR",[1]OUT_FinalEnergyCons!$A$4:$A$10000)))*1,[1]OUT_FinalEnergyCons!D$4:D$10000)</f>
        <v>0</v>
      </c>
      <c r="G1853" s="1" cm="1">
        <f t="array" ref="G1853">SUMPRODUCT(([1]OUT_FinalEnergyCons!$B$4:$B$10000="var_cap")*1, (ISNUMBER(SEARCH("RH*-WHCOABR",[1]OUT_FinalEnergyCons!$A$4:$A$10000)))*1,[1]OUT_FinalEnergyCons!E$4:E$10000)</f>
        <v>0</v>
      </c>
      <c r="H1853" s="1" cm="1">
        <f t="array" ref="H1853">SUMPRODUCT(([1]OUT_FinalEnergyCons!$B$4:$B$10000="var_cap")*1, (ISNUMBER(SEARCH("RH*-WHCOABR",[1]OUT_FinalEnergyCons!$A$4:$A$10000)))*1,[1]OUT_FinalEnergyCons!F$4:F$10000)</f>
        <v>0</v>
      </c>
      <c r="I1853" s="1" cm="1">
        <f t="array" ref="I1853">SUMPRODUCT(([1]OUT_FinalEnergyCons!$B$4:$B$10000="var_cap")*1, (ISNUMBER(SEARCH("RH*-WHCOABR",[1]OUT_FinalEnergyCons!$A$4:$A$10000)))*1,[1]OUT_FinalEnergyCons!G$4:G$10000)</f>
        <v>0</v>
      </c>
      <c r="J1853" s="1" cm="1">
        <f t="array" ref="J1853">SUMPRODUCT(([1]OUT_FinalEnergyCons!$B$4:$B$10000="var_cap")*1, (ISNUMBER(SEARCH("RH*-WHCOABR",[1]OUT_FinalEnergyCons!$A$4:$A$10000)))*1,[1]OUT_FinalEnergyCons!H$4:H$10000)</f>
        <v>0</v>
      </c>
      <c r="K1853" s="1" cm="1">
        <f t="array" ref="K1853">SUMPRODUCT(([1]OUT_FinalEnergyCons!$B$4:$B$10000="var_cap")*1, (ISNUMBER(SEARCH("RH*-WHCOABR",[1]OUT_FinalEnergyCons!$A$4:$A$10000)))*1,[1]OUT_FinalEnergyCons!I$4:I$10000)</f>
        <v>0</v>
      </c>
      <c r="L1853" s="1" cm="1">
        <f t="array" ref="L1853">SUMPRODUCT(([1]OUT_FinalEnergyCons!$B$4:$B$10000="var_cap")*1, (ISNUMBER(SEARCH("RH*-WHCOABR",[1]OUT_FinalEnergyCons!$A$4:$A$10000)))*1,[1]OUT_FinalEnergyCons!J$4:J$10000)</f>
        <v>0</v>
      </c>
      <c r="M1853" s="1" cm="1">
        <f t="array" ref="M1853">SUMPRODUCT(([1]OUT_FinalEnergyCons!$B$4:$B$10000="var_cap")*1, (ISNUMBER(SEARCH("RH*-WHCOABR",[1]OUT_FinalEnergyCons!$A$4:$A$10000)))*1,[1]OUT_FinalEnergyCons!K$4:K$10000)</f>
        <v>0</v>
      </c>
      <c r="N1853" s="1" cm="1">
        <f t="array" ref="N1853">SUMPRODUCT(([1]OUT_FinalEnergyCons!$B$4:$B$10000="var_cap")*1, (ISNUMBER(SEARCH("RH*-WHCOABR",[1]OUT_FinalEnergyCons!$A$4:$A$10000)))*1,[1]OUT_FinalEnergyCons!L$4:L$10000)</f>
        <v>0</v>
      </c>
      <c r="O1853" s="1" cm="1">
        <f t="array" ref="O1853">SUMPRODUCT(([1]OUT_FinalEnergyCons!$B$4:$B$10000="var_cap")*1, (ISNUMBER(SEARCH("RH*-WHCOABR",[1]OUT_FinalEnergyCons!$A$4:$A$10000)))*1,[1]OUT_FinalEnergyCons!M$4:M$10000)</f>
        <v>0</v>
      </c>
      <c r="P1853" s="1" cm="1">
        <f t="array" ref="P1853">SUMPRODUCT(([1]OUT_FinalEnergyCons!$B$4:$B$10000="var_cap")*1, (ISNUMBER(SEARCH("RH*-WHCOABR",[1]OUT_FinalEnergyCons!$A$4:$A$10000)))*1,[1]OUT_FinalEnergyCons!N$4:N$10000)</f>
        <v>0</v>
      </c>
      <c r="Q1853" s="1" cm="1">
        <f t="array" ref="Q1853">SUMPRODUCT(([1]OUT_FinalEnergyCons!$B$4:$B$10000="var_cap")*1, (ISNUMBER(SEARCH("RH*-WHCOABR",[1]OUT_FinalEnergyCons!$A$4:$A$10000)))*1,[1]OUT_FinalEnergyCons!O$4:O$10000)</f>
        <v>0</v>
      </c>
      <c r="S1853" s="3"/>
    </row>
    <row r="1854" spans="2:19" x14ac:dyDescent="0.5">
      <c r="B1854" s="5" t="str">
        <f t="shared" ref="B1854:C1854" si="2078">B1853</f>
        <v>SPS1</v>
      </c>
      <c r="C1854" s="5" t="str">
        <f t="shared" si="2078"/>
        <v>CH</v>
      </c>
      <c r="D1854" t="s">
        <v>1890</v>
      </c>
      <c r="E1854" t="str">
        <f t="shared" si="2015"/>
        <v>GWth/yr.</v>
      </c>
      <c r="F1854" s="1">
        <f>F1855</f>
        <v>3.5322010722483803E-2</v>
      </c>
      <c r="G1854" s="1">
        <f t="shared" ref="G1854" si="2079">G1855</f>
        <v>4.0452745486025982E-2</v>
      </c>
      <c r="H1854" s="1">
        <f t="shared" ref="H1854" si="2080">H1855</f>
        <v>4.0392801856043041E-2</v>
      </c>
      <c r="I1854" s="1">
        <f t="shared" ref="I1854" si="2081">I1855</f>
        <v>4.0351573994570115E-2</v>
      </c>
      <c r="J1854" s="1">
        <f t="shared" ref="J1854" si="2082">J1855</f>
        <v>1.7188351711601258E-2</v>
      </c>
      <c r="K1854" s="1">
        <f t="shared" ref="K1854:O1854" si="2083">K1855</f>
        <v>1.5218525688081699E-2</v>
      </c>
      <c r="L1854" s="1">
        <f t="shared" si="2083"/>
        <v>1.5229424469177587E-2</v>
      </c>
      <c r="M1854" s="1">
        <f t="shared" si="2083"/>
        <v>1.9729355123432112E-2</v>
      </c>
      <c r="N1854" s="1">
        <f t="shared" si="2083"/>
        <v>1.2806720668364925E-2</v>
      </c>
      <c r="O1854" s="1">
        <f t="shared" si="2083"/>
        <v>1.1665434448950553E-2</v>
      </c>
      <c r="P1854" s="1">
        <f>P1855</f>
        <v>8.9850501712773843E-3</v>
      </c>
      <c r="Q1854" s="1">
        <f>Q1855</f>
        <v>6.9821104240398368E-3</v>
      </c>
      <c r="S1854" s="3"/>
    </row>
    <row r="1855" spans="2:19" x14ac:dyDescent="0.5">
      <c r="B1855" s="5" t="str">
        <f t="shared" ref="B1855:C1855" si="2084">B1854</f>
        <v>SPS1</v>
      </c>
      <c r="C1855" s="5" t="str">
        <f t="shared" si="2084"/>
        <v>CH</v>
      </c>
      <c r="D1855" t="s">
        <v>1891</v>
      </c>
      <c r="E1855" t="str">
        <f t="shared" si="2015"/>
        <v>GWth/yr.</v>
      </c>
      <c r="F1855" s="1" cm="1">
        <f t="array" ref="F1855">SUMPRODUCT(([1]OUT_FinalEnergyCons!$B$4:$B$10000="var_cap")*1, (ISNUMBER(SEARCH("RH*-WHWODBR",[1]OUT_FinalEnergyCons!$A$4:$A$10000)))*1,[1]OUT_FinalEnergyCons!D$4:D$10000)</f>
        <v>3.5322010722483803E-2</v>
      </c>
      <c r="G1855" s="1" cm="1">
        <f t="array" ref="G1855">SUMPRODUCT(([1]OUT_FinalEnergyCons!$B$4:$B$10000="var_cap")*1, (ISNUMBER(SEARCH("RH*-WHWODBR",[1]OUT_FinalEnergyCons!$A$4:$A$10000)))*1,[1]OUT_FinalEnergyCons!E$4:E$10000)</f>
        <v>4.0452745486025982E-2</v>
      </c>
      <c r="H1855" s="1" cm="1">
        <f t="array" ref="H1855">SUMPRODUCT(([1]OUT_FinalEnergyCons!$B$4:$B$10000="var_cap")*1, (ISNUMBER(SEARCH("RH*-WHWODBR",[1]OUT_FinalEnergyCons!$A$4:$A$10000)))*1,[1]OUT_FinalEnergyCons!F$4:F$10000)</f>
        <v>4.0392801856043041E-2</v>
      </c>
      <c r="I1855" s="1" cm="1">
        <f t="array" ref="I1855">SUMPRODUCT(([1]OUT_FinalEnergyCons!$B$4:$B$10000="var_cap")*1, (ISNUMBER(SEARCH("RH*-WHWODBR",[1]OUT_FinalEnergyCons!$A$4:$A$10000)))*1,[1]OUT_FinalEnergyCons!G$4:G$10000)</f>
        <v>4.0351573994570115E-2</v>
      </c>
      <c r="J1855" s="1" cm="1">
        <f t="array" ref="J1855">SUMPRODUCT(([1]OUT_FinalEnergyCons!$B$4:$B$10000="var_cap")*1, (ISNUMBER(SEARCH("RH*-WHWODBR",[1]OUT_FinalEnergyCons!$A$4:$A$10000)))*1,[1]OUT_FinalEnergyCons!H$4:H$10000)</f>
        <v>1.7188351711601258E-2</v>
      </c>
      <c r="K1855" s="1" cm="1">
        <f t="array" ref="K1855">SUMPRODUCT(([1]OUT_FinalEnergyCons!$B$4:$B$10000="var_cap")*1, (ISNUMBER(SEARCH("RH*-WHWODBR",[1]OUT_FinalEnergyCons!$A$4:$A$10000)))*1,[1]OUT_FinalEnergyCons!I$4:I$10000)</f>
        <v>1.5218525688081699E-2</v>
      </c>
      <c r="L1855" s="1" cm="1">
        <f t="array" ref="L1855">SUMPRODUCT(([1]OUT_FinalEnergyCons!$B$4:$B$10000="var_cap")*1, (ISNUMBER(SEARCH("RH*-WHWODBR",[1]OUT_FinalEnergyCons!$A$4:$A$10000)))*1,[1]OUT_FinalEnergyCons!J$4:J$10000)</f>
        <v>1.5229424469177587E-2</v>
      </c>
      <c r="M1855" s="1" cm="1">
        <f t="array" ref="M1855">SUMPRODUCT(([1]OUT_FinalEnergyCons!$B$4:$B$10000="var_cap")*1, (ISNUMBER(SEARCH("RH*-WHWODBR",[1]OUT_FinalEnergyCons!$A$4:$A$10000)))*1,[1]OUT_FinalEnergyCons!K$4:K$10000)</f>
        <v>1.9729355123432112E-2</v>
      </c>
      <c r="N1855" s="1" cm="1">
        <f t="array" ref="N1855">SUMPRODUCT(([1]OUT_FinalEnergyCons!$B$4:$B$10000="var_cap")*1, (ISNUMBER(SEARCH("RH*-WHWODBR",[1]OUT_FinalEnergyCons!$A$4:$A$10000)))*1,[1]OUT_FinalEnergyCons!L$4:L$10000)</f>
        <v>1.2806720668364925E-2</v>
      </c>
      <c r="O1855" s="1" cm="1">
        <f t="array" ref="O1855">SUMPRODUCT(([1]OUT_FinalEnergyCons!$B$4:$B$10000="var_cap")*1, (ISNUMBER(SEARCH("RH*-WHWODBR",[1]OUT_FinalEnergyCons!$A$4:$A$10000)))*1,[1]OUT_FinalEnergyCons!M$4:M$10000)</f>
        <v>1.1665434448950553E-2</v>
      </c>
      <c r="P1855" s="1" cm="1">
        <f t="array" ref="P1855">SUMPRODUCT(([1]OUT_FinalEnergyCons!$B$4:$B$10000="var_cap")*1, (ISNUMBER(SEARCH("RH*-WHWODBR",[1]OUT_FinalEnergyCons!$A$4:$A$10000)))*1,[1]OUT_FinalEnergyCons!N$4:N$10000)</f>
        <v>8.9850501712773843E-3</v>
      </c>
      <c r="Q1855" s="1" cm="1">
        <f t="array" ref="Q1855">SUMPRODUCT(([1]OUT_FinalEnergyCons!$B$4:$B$10000="var_cap")*1, (ISNUMBER(SEARCH("RH*-WHWODBR",[1]OUT_FinalEnergyCons!$A$4:$A$10000)))*1,[1]OUT_FinalEnergyCons!O$4:O$10000)</f>
        <v>6.9821104240398368E-3</v>
      </c>
      <c r="S1855" s="3"/>
    </row>
    <row r="1856" spans="2:19" x14ac:dyDescent="0.5">
      <c r="B1856" s="5" t="str">
        <f t="shared" ref="B1856:C1856" si="2085">B1855</f>
        <v>SPS1</v>
      </c>
      <c r="C1856" s="5" t="str">
        <f t="shared" si="2085"/>
        <v>CH</v>
      </c>
      <c r="D1856" t="s">
        <v>1892</v>
      </c>
      <c r="E1856" t="str">
        <f t="shared" si="2015"/>
        <v>GWth/yr.</v>
      </c>
      <c r="F1856" s="1">
        <f>F1857</f>
        <v>1.12410901121583E-2</v>
      </c>
      <c r="G1856" s="1">
        <f t="shared" ref="G1856" si="2086">G1857</f>
        <v>1.320627275077744E-2</v>
      </c>
      <c r="H1856" s="1">
        <f t="shared" ref="H1856" si="2087">H1857</f>
        <v>1.3193811453700806E-2</v>
      </c>
      <c r="I1856" s="1">
        <f t="shared" ref="I1856" si="2088">I1857</f>
        <v>1.3190838522727752E-2</v>
      </c>
      <c r="J1856" s="1">
        <f t="shared" ref="J1856" si="2089">J1857</f>
        <v>9.5808410737876493E-3</v>
      </c>
      <c r="K1856" s="1">
        <f t="shared" ref="K1856:O1856" si="2090">K1857</f>
        <v>9.8257593578966115E-3</v>
      </c>
      <c r="L1856" s="1">
        <f t="shared" si="2090"/>
        <v>1.0050142492720699E-2</v>
      </c>
      <c r="M1856" s="1">
        <f t="shared" si="2090"/>
        <v>1.037253078245242E-2</v>
      </c>
      <c r="N1856" s="1">
        <f t="shared" si="2090"/>
        <v>1.0398401633622311E-2</v>
      </c>
      <c r="O1856" s="1">
        <f t="shared" si="2090"/>
        <v>1.0386838102608086E-2</v>
      </c>
      <c r="P1856" s="1">
        <f>P1857</f>
        <v>1.0595540803304009E-2</v>
      </c>
      <c r="Q1856" s="1">
        <f>Q1857</f>
        <v>1.0973886546263757E-2</v>
      </c>
      <c r="S1856" s="3"/>
    </row>
    <row r="1857" spans="2:19" x14ac:dyDescent="0.5">
      <c r="B1857" s="5" t="str">
        <f t="shared" ref="B1857:C1857" si="2091">B1856</f>
        <v>SPS1</v>
      </c>
      <c r="C1857" s="5" t="str">
        <f t="shared" si="2091"/>
        <v>CH</v>
      </c>
      <c r="D1857" t="s">
        <v>1893</v>
      </c>
      <c r="E1857" t="str">
        <f t="shared" si="2015"/>
        <v>GWth/yr.</v>
      </c>
      <c r="F1857" s="1" cm="1">
        <f t="array" ref="F1857">SUMPRODUCT(([1]OUT_FinalEnergyCons!$B$4:$B$10000="var_cap")*1, (ISNUMBER(SEARCH("RH*-WHPLTBR",[1]OUT_FinalEnergyCons!$A$4:$A$10000)))*1,[1]OUT_FinalEnergyCons!D$4:D$10000)</f>
        <v>1.12410901121583E-2</v>
      </c>
      <c r="G1857" s="1" cm="1">
        <f t="array" ref="G1857">SUMPRODUCT(([1]OUT_FinalEnergyCons!$B$4:$B$10000="var_cap")*1, (ISNUMBER(SEARCH("RH*-WHPLTBR",[1]OUT_FinalEnergyCons!$A$4:$A$10000)))*1,[1]OUT_FinalEnergyCons!E$4:E$10000)</f>
        <v>1.320627275077744E-2</v>
      </c>
      <c r="H1857" s="1" cm="1">
        <f t="array" ref="H1857">SUMPRODUCT(([1]OUT_FinalEnergyCons!$B$4:$B$10000="var_cap")*1, (ISNUMBER(SEARCH("RH*-WHPLTBR",[1]OUT_FinalEnergyCons!$A$4:$A$10000)))*1,[1]OUT_FinalEnergyCons!F$4:F$10000)</f>
        <v>1.3193811453700806E-2</v>
      </c>
      <c r="I1857" s="1" cm="1">
        <f t="array" ref="I1857">SUMPRODUCT(([1]OUT_FinalEnergyCons!$B$4:$B$10000="var_cap")*1, (ISNUMBER(SEARCH("RH*-WHPLTBR",[1]OUT_FinalEnergyCons!$A$4:$A$10000)))*1,[1]OUT_FinalEnergyCons!G$4:G$10000)</f>
        <v>1.3190838522727752E-2</v>
      </c>
      <c r="J1857" s="1" cm="1">
        <f t="array" ref="J1857">SUMPRODUCT(([1]OUT_FinalEnergyCons!$B$4:$B$10000="var_cap")*1, (ISNUMBER(SEARCH("RH*-WHPLTBR",[1]OUT_FinalEnergyCons!$A$4:$A$10000)))*1,[1]OUT_FinalEnergyCons!H$4:H$10000)</f>
        <v>9.5808410737876493E-3</v>
      </c>
      <c r="K1857" s="1" cm="1">
        <f t="array" ref="K1857">SUMPRODUCT(([1]OUT_FinalEnergyCons!$B$4:$B$10000="var_cap")*1, (ISNUMBER(SEARCH("RH*-WHPLTBR",[1]OUT_FinalEnergyCons!$A$4:$A$10000)))*1,[1]OUT_FinalEnergyCons!I$4:I$10000)</f>
        <v>9.8257593578966115E-3</v>
      </c>
      <c r="L1857" s="1" cm="1">
        <f t="array" ref="L1857">SUMPRODUCT(([1]OUT_FinalEnergyCons!$B$4:$B$10000="var_cap")*1, (ISNUMBER(SEARCH("RH*-WHPLTBR",[1]OUT_FinalEnergyCons!$A$4:$A$10000)))*1,[1]OUT_FinalEnergyCons!J$4:J$10000)</f>
        <v>1.0050142492720699E-2</v>
      </c>
      <c r="M1857" s="1" cm="1">
        <f t="array" ref="M1857">SUMPRODUCT(([1]OUT_FinalEnergyCons!$B$4:$B$10000="var_cap")*1, (ISNUMBER(SEARCH("RH*-WHPLTBR",[1]OUT_FinalEnergyCons!$A$4:$A$10000)))*1,[1]OUT_FinalEnergyCons!K$4:K$10000)</f>
        <v>1.037253078245242E-2</v>
      </c>
      <c r="N1857" s="1" cm="1">
        <f t="array" ref="N1857">SUMPRODUCT(([1]OUT_FinalEnergyCons!$B$4:$B$10000="var_cap")*1, (ISNUMBER(SEARCH("RH*-WHPLTBR",[1]OUT_FinalEnergyCons!$A$4:$A$10000)))*1,[1]OUT_FinalEnergyCons!L$4:L$10000)</f>
        <v>1.0398401633622311E-2</v>
      </c>
      <c r="O1857" s="1" cm="1">
        <f t="array" ref="O1857">SUMPRODUCT(([1]OUT_FinalEnergyCons!$B$4:$B$10000="var_cap")*1, (ISNUMBER(SEARCH("RH*-WHPLTBR",[1]OUT_FinalEnergyCons!$A$4:$A$10000)))*1,[1]OUT_FinalEnergyCons!M$4:M$10000)</f>
        <v>1.0386838102608086E-2</v>
      </c>
      <c r="P1857" s="1" cm="1">
        <f t="array" ref="P1857">SUMPRODUCT(([1]OUT_FinalEnergyCons!$B$4:$B$10000="var_cap")*1, (ISNUMBER(SEARCH("RH*-WHPLTBR",[1]OUT_FinalEnergyCons!$A$4:$A$10000)))*1,[1]OUT_FinalEnergyCons!N$4:N$10000)</f>
        <v>1.0595540803304009E-2</v>
      </c>
      <c r="Q1857" s="1" cm="1">
        <f t="array" ref="Q1857">SUMPRODUCT(([1]OUT_FinalEnergyCons!$B$4:$B$10000="var_cap")*1, (ISNUMBER(SEARCH("RH*-WHPLTBR",[1]OUT_FinalEnergyCons!$A$4:$A$10000)))*1,[1]OUT_FinalEnergyCons!O$4:O$10000)</f>
        <v>1.0973886546263757E-2</v>
      </c>
      <c r="S1857" s="3"/>
    </row>
    <row r="1858" spans="2:19" x14ac:dyDescent="0.5">
      <c r="B1858" s="5" t="str">
        <f t="shared" ref="B1858:C1858" si="2092">B1857</f>
        <v>SPS1</v>
      </c>
      <c r="C1858" s="5" t="str">
        <f t="shared" si="2092"/>
        <v>CH</v>
      </c>
      <c r="D1858" t="s">
        <v>1894</v>
      </c>
      <c r="E1858" t="str">
        <f t="shared" si="2015"/>
        <v>GWth/yr.</v>
      </c>
      <c r="F1858" s="1">
        <f>F1859</f>
        <v>0.25000991745774798</v>
      </c>
      <c r="G1858" s="1">
        <f t="shared" ref="G1858" si="2093">G1859</f>
        <v>0.3326324792076541</v>
      </c>
      <c r="H1858" s="1">
        <f t="shared" ref="H1858" si="2094">H1859</f>
        <v>0.33264313503631848</v>
      </c>
      <c r="I1858" s="1">
        <f t="shared" ref="I1858" si="2095">I1859</f>
        <v>0.33272754277586208</v>
      </c>
      <c r="J1858" s="1">
        <f t="shared" ref="J1858" si="2096">J1859</f>
        <v>0.16481151468465749</v>
      </c>
      <c r="K1858" s="1">
        <f t="shared" ref="K1858:O1858" si="2097">K1859</f>
        <v>0.28338950101773103</v>
      </c>
      <c r="L1858" s="1">
        <f t="shared" si="2097"/>
        <v>0.83611095856189499</v>
      </c>
      <c r="M1858" s="1">
        <f t="shared" si="2097"/>
        <v>0.90123611692744698</v>
      </c>
      <c r="N1858" s="1">
        <f t="shared" si="2097"/>
        <v>0.636956127908062</v>
      </c>
      <c r="O1858" s="1">
        <f t="shared" si="2097"/>
        <v>0.122728063144862</v>
      </c>
      <c r="P1858" s="1">
        <f>P1859</f>
        <v>0.44845757148556198</v>
      </c>
      <c r="Q1858" s="1">
        <f>Q1859</f>
        <v>0.42675081272436299</v>
      </c>
      <c r="S1858" s="3"/>
    </row>
    <row r="1859" spans="2:19" x14ac:dyDescent="0.5">
      <c r="B1859" s="5" t="str">
        <f t="shared" ref="B1859:C1859" si="2098">B1858</f>
        <v>SPS1</v>
      </c>
      <c r="C1859" s="5" t="str">
        <f t="shared" si="2098"/>
        <v>CH</v>
      </c>
      <c r="D1859" t="s">
        <v>1895</v>
      </c>
      <c r="E1859" t="str">
        <f t="shared" si="2015"/>
        <v>GWth/yr.</v>
      </c>
      <c r="F1859" s="1" cm="1">
        <f t="array" ref="F1859">SUMPRODUCT(([1]OUT_FinalEnergyCons!$B$4:$B$10000="var_cap")*1, (ISNUMBER(SEARCH("RH*-WHSOLBR",[1]OUT_FinalEnergyCons!$A$4:$A$10000)))*1,[1]OUT_FinalEnergyCons!D$4:D$10000)</f>
        <v>0.25000991745774798</v>
      </c>
      <c r="G1859" s="1" cm="1">
        <f t="array" ref="G1859">SUMPRODUCT(([1]OUT_FinalEnergyCons!$B$4:$B$10000="var_cap")*1, (ISNUMBER(SEARCH("RH*-WHSOLBR",[1]OUT_FinalEnergyCons!$A$4:$A$10000)))*1,[1]OUT_FinalEnergyCons!E$4:E$10000)</f>
        <v>0.3326324792076541</v>
      </c>
      <c r="H1859" s="1" cm="1">
        <f t="array" ref="H1859">SUMPRODUCT(([1]OUT_FinalEnergyCons!$B$4:$B$10000="var_cap")*1, (ISNUMBER(SEARCH("RH*-WHSOLBR",[1]OUT_FinalEnergyCons!$A$4:$A$10000)))*1,[1]OUT_FinalEnergyCons!F$4:F$10000)</f>
        <v>0.33264313503631848</v>
      </c>
      <c r="I1859" s="1" cm="1">
        <f t="array" ref="I1859">SUMPRODUCT(([1]OUT_FinalEnergyCons!$B$4:$B$10000="var_cap")*1, (ISNUMBER(SEARCH("RH*-WHSOLBR",[1]OUT_FinalEnergyCons!$A$4:$A$10000)))*1,[1]OUT_FinalEnergyCons!G$4:G$10000)</f>
        <v>0.33272754277586208</v>
      </c>
      <c r="J1859" s="1" cm="1">
        <f t="array" ref="J1859">SUMPRODUCT(([1]OUT_FinalEnergyCons!$B$4:$B$10000="var_cap")*1, (ISNUMBER(SEARCH("RH*-WHSOLBR",[1]OUT_FinalEnergyCons!$A$4:$A$10000)))*1,[1]OUT_FinalEnergyCons!H$4:H$10000)</f>
        <v>0.16481151468465749</v>
      </c>
      <c r="K1859" s="1" cm="1">
        <f t="array" ref="K1859">SUMPRODUCT(([1]OUT_FinalEnergyCons!$B$4:$B$10000="var_cap")*1, (ISNUMBER(SEARCH("RH*-WHSOLBR",[1]OUT_FinalEnergyCons!$A$4:$A$10000)))*1,[1]OUT_FinalEnergyCons!I$4:I$10000)</f>
        <v>0.28338950101773103</v>
      </c>
      <c r="L1859" s="1" cm="1">
        <f t="array" ref="L1859">SUMPRODUCT(([1]OUT_FinalEnergyCons!$B$4:$B$10000="var_cap")*1, (ISNUMBER(SEARCH("RH*-WHSOLBR",[1]OUT_FinalEnergyCons!$A$4:$A$10000)))*1,[1]OUT_FinalEnergyCons!J$4:J$10000)</f>
        <v>0.83611095856189499</v>
      </c>
      <c r="M1859" s="1" cm="1">
        <f t="array" ref="M1859">SUMPRODUCT(([1]OUT_FinalEnergyCons!$B$4:$B$10000="var_cap")*1, (ISNUMBER(SEARCH("RH*-WHSOLBR",[1]OUT_FinalEnergyCons!$A$4:$A$10000)))*1,[1]OUT_FinalEnergyCons!K$4:K$10000)</f>
        <v>0.90123611692744698</v>
      </c>
      <c r="N1859" s="1" cm="1">
        <f t="array" ref="N1859">SUMPRODUCT(([1]OUT_FinalEnergyCons!$B$4:$B$10000="var_cap")*1, (ISNUMBER(SEARCH("RH*-WHSOLBR",[1]OUT_FinalEnergyCons!$A$4:$A$10000)))*1,[1]OUT_FinalEnergyCons!L$4:L$10000)</f>
        <v>0.636956127908062</v>
      </c>
      <c r="O1859" s="1" cm="1">
        <f t="array" ref="O1859">SUMPRODUCT(([1]OUT_FinalEnergyCons!$B$4:$B$10000="var_cap")*1, (ISNUMBER(SEARCH("RH*-WHSOLBR",[1]OUT_FinalEnergyCons!$A$4:$A$10000)))*1,[1]OUT_FinalEnergyCons!M$4:M$10000)</f>
        <v>0.122728063144862</v>
      </c>
      <c r="P1859" s="1" cm="1">
        <f t="array" ref="P1859">SUMPRODUCT(([1]OUT_FinalEnergyCons!$B$4:$B$10000="var_cap")*1, (ISNUMBER(SEARCH("RH*-WHSOLBR",[1]OUT_FinalEnergyCons!$A$4:$A$10000)))*1,[1]OUT_FinalEnergyCons!N$4:N$10000)</f>
        <v>0.44845757148556198</v>
      </c>
      <c r="Q1859" s="1" cm="1">
        <f t="array" ref="Q1859">SUMPRODUCT(([1]OUT_FinalEnergyCons!$B$4:$B$10000="var_cap")*1, (ISNUMBER(SEARCH("RH*-WHSOLBR",[1]OUT_FinalEnergyCons!$A$4:$A$10000)))*1,[1]OUT_FinalEnergyCons!O$4:O$10000)</f>
        <v>0.42675081272436299</v>
      </c>
      <c r="S1859" s="3"/>
    </row>
    <row r="1860" spans="2:19" x14ac:dyDescent="0.5">
      <c r="B1860" s="5" t="str">
        <f t="shared" ref="B1860:C1860" si="2099">B1859</f>
        <v>SPS1</v>
      </c>
      <c r="C1860" s="5" t="str">
        <f t="shared" si="2099"/>
        <v>CH</v>
      </c>
      <c r="D1860" t="s">
        <v>1896</v>
      </c>
      <c r="E1860" t="str">
        <f t="shared" si="2015"/>
        <v>GWth/yr.</v>
      </c>
      <c r="F1860" s="1">
        <f>F1861</f>
        <v>0</v>
      </c>
      <c r="G1860" s="1">
        <f t="shared" ref="G1860" si="2100">G1861</f>
        <v>0</v>
      </c>
      <c r="H1860" s="1">
        <f t="shared" ref="H1860" si="2101">H1861</f>
        <v>0</v>
      </c>
      <c r="I1860" s="1">
        <f t="shared" ref="I1860" si="2102">I1861</f>
        <v>0</v>
      </c>
      <c r="J1860" s="1">
        <f t="shared" ref="J1860" si="2103">J1861</f>
        <v>0</v>
      </c>
      <c r="K1860" s="1">
        <f t="shared" ref="K1860:O1860" si="2104">K1861</f>
        <v>0</v>
      </c>
      <c r="L1860" s="1">
        <f t="shared" si="2104"/>
        <v>0</v>
      </c>
      <c r="M1860" s="1">
        <f t="shared" si="2104"/>
        <v>0</v>
      </c>
      <c r="N1860" s="1">
        <f t="shared" si="2104"/>
        <v>0</v>
      </c>
      <c r="O1860" s="1">
        <f t="shared" si="2104"/>
        <v>0</v>
      </c>
      <c r="P1860" s="1">
        <f>P1861</f>
        <v>0</v>
      </c>
      <c r="Q1860" s="1">
        <f>Q1861</f>
        <v>0</v>
      </c>
      <c r="S1860" s="3"/>
    </row>
    <row r="1861" spans="2:19" x14ac:dyDescent="0.5">
      <c r="B1861" s="5" t="str">
        <f t="shared" ref="B1861:C1865" si="2105">B1860</f>
        <v>SPS1</v>
      </c>
      <c r="C1861" s="5" t="str">
        <f t="shared" si="2105"/>
        <v>CH</v>
      </c>
      <c r="D1861" t="s">
        <v>1897</v>
      </c>
      <c r="E1861" t="str">
        <f t="shared" si="2015"/>
        <v>GWth/yr.</v>
      </c>
      <c r="F1861" s="1" cm="1">
        <f t="array" ref="F1861">SUMPRODUCT(([1]OUT_FinalEnergyCons!$B$4:$B$10000="var_cap")*1, (ISNUMBER(SEARCH("RH*-WHH2BR",[1]OUT_FinalEnergyCons!$A$4:$A$10000)))*1,[1]OUT_FinalEnergyCons!D$4:D$10000)</f>
        <v>0</v>
      </c>
      <c r="G1861" s="1" cm="1">
        <f t="array" ref="G1861">SUMPRODUCT(([1]OUT_FinalEnergyCons!$B$4:$B$10000="var_cap")*1, (ISNUMBER(SEARCH("RH*-WHH2BR",[1]OUT_FinalEnergyCons!$A$4:$A$10000)))*1,[1]OUT_FinalEnergyCons!E$4:E$10000)</f>
        <v>0</v>
      </c>
      <c r="H1861" s="1" cm="1">
        <f t="array" ref="H1861">SUMPRODUCT(([1]OUT_FinalEnergyCons!$B$4:$B$10000="var_cap")*1, (ISNUMBER(SEARCH("RH*-WHH2BR",[1]OUT_FinalEnergyCons!$A$4:$A$10000)))*1,[1]OUT_FinalEnergyCons!F$4:F$10000)</f>
        <v>0</v>
      </c>
      <c r="I1861" s="1" cm="1">
        <f t="array" ref="I1861">SUMPRODUCT(([1]OUT_FinalEnergyCons!$B$4:$B$10000="var_cap")*1, (ISNUMBER(SEARCH("RH*-WHH2BR",[1]OUT_FinalEnergyCons!$A$4:$A$10000)))*1,[1]OUT_FinalEnergyCons!G$4:G$10000)</f>
        <v>0</v>
      </c>
      <c r="J1861" s="1" cm="1">
        <f t="array" ref="J1861">SUMPRODUCT(([1]OUT_FinalEnergyCons!$B$4:$B$10000="var_cap")*1, (ISNUMBER(SEARCH("RH*-WHH2BR",[1]OUT_FinalEnergyCons!$A$4:$A$10000)))*1,[1]OUT_FinalEnergyCons!H$4:H$10000)</f>
        <v>0</v>
      </c>
      <c r="K1861" s="1" cm="1">
        <f t="array" ref="K1861">SUMPRODUCT(([1]OUT_FinalEnergyCons!$B$4:$B$10000="var_cap")*1, (ISNUMBER(SEARCH("RH*-WHH2BR",[1]OUT_FinalEnergyCons!$A$4:$A$10000)))*1,[1]OUT_FinalEnergyCons!I$4:I$10000)</f>
        <v>0</v>
      </c>
      <c r="L1861" s="1" cm="1">
        <f t="array" ref="L1861">SUMPRODUCT(([1]OUT_FinalEnergyCons!$B$4:$B$10000="var_cap")*1, (ISNUMBER(SEARCH("RH*-WHH2BR",[1]OUT_FinalEnergyCons!$A$4:$A$10000)))*1,[1]OUT_FinalEnergyCons!J$4:J$10000)</f>
        <v>0</v>
      </c>
      <c r="M1861" s="1" cm="1">
        <f t="array" ref="M1861">SUMPRODUCT(([1]OUT_FinalEnergyCons!$B$4:$B$10000="var_cap")*1, (ISNUMBER(SEARCH("RH*-WHH2BR",[1]OUT_FinalEnergyCons!$A$4:$A$10000)))*1,[1]OUT_FinalEnergyCons!K$4:K$10000)</f>
        <v>0</v>
      </c>
      <c r="N1861" s="1" cm="1">
        <f t="array" ref="N1861">SUMPRODUCT(([1]OUT_FinalEnergyCons!$B$4:$B$10000="var_cap")*1, (ISNUMBER(SEARCH("RH*-WHH2BR",[1]OUT_FinalEnergyCons!$A$4:$A$10000)))*1,[1]OUT_FinalEnergyCons!L$4:L$10000)</f>
        <v>0</v>
      </c>
      <c r="O1861" s="1" cm="1">
        <f t="array" ref="O1861">SUMPRODUCT(([1]OUT_FinalEnergyCons!$B$4:$B$10000="var_cap")*1, (ISNUMBER(SEARCH("RH*-WHH2BR",[1]OUT_FinalEnergyCons!$A$4:$A$10000)))*1,[1]OUT_FinalEnergyCons!M$4:M$10000)</f>
        <v>0</v>
      </c>
      <c r="P1861" s="1" cm="1">
        <f t="array" ref="P1861">SUMPRODUCT(([1]OUT_FinalEnergyCons!$B$4:$B$10000="var_cap")*1, (ISNUMBER(SEARCH("RH*-WHH2BR",[1]OUT_FinalEnergyCons!$A$4:$A$10000)))*1,[1]OUT_FinalEnergyCons!N$4:N$10000)</f>
        <v>0</v>
      </c>
      <c r="Q1861" s="1" cm="1">
        <f t="array" ref="Q1861">SUMPRODUCT(([1]OUT_FinalEnergyCons!$B$4:$B$10000="var_cap")*1, (ISNUMBER(SEARCH("RH*-WHH2BR",[1]OUT_FinalEnergyCons!$A$4:$A$10000)))*1,[1]OUT_FinalEnergyCons!O$4:O$10000)</f>
        <v>0</v>
      </c>
      <c r="S1861" s="3"/>
    </row>
    <row r="1862" spans="2:19" x14ac:dyDescent="0.5">
      <c r="B1862" s="9" t="str">
        <f t="shared" si="2105"/>
        <v>SPS1</v>
      </c>
      <c r="C1862" s="9" t="str">
        <f t="shared" si="2105"/>
        <v>CH</v>
      </c>
      <c r="D1862" s="2" t="s">
        <v>1899</v>
      </c>
      <c r="E1862" s="9" t="str">
        <f t="shared" si="2015"/>
        <v>GWth/yr.</v>
      </c>
      <c r="F1862" s="17">
        <f>SUM(F1863,F1866,F1869,F1873,F1875,F1877,F1879,F1881,F1883)</f>
        <v>3.6034078941036132</v>
      </c>
      <c r="G1862" s="17">
        <f t="shared" ref="G1862:K1862" si="2106">SUM(G1863,G1866,G1869,G1873,G1875,G1877,G1879,G1881,G1883)</f>
        <v>3.714847171086074</v>
      </c>
      <c r="H1862" s="17">
        <f t="shared" si="2106"/>
        <v>3.6193870586278618</v>
      </c>
      <c r="I1862" s="17">
        <f t="shared" si="2106"/>
        <v>4.3663131958866721</v>
      </c>
      <c r="J1862" s="17">
        <f t="shared" si="2106"/>
        <v>3.8010481958368141</v>
      </c>
      <c r="K1862" s="17">
        <f t="shared" si="2106"/>
        <v>3.5358054281993958</v>
      </c>
      <c r="L1862" s="17">
        <f t="shared" ref="L1862:O1862" si="2107">SUM(L1863,L1866,L1869,L1873,L1875,L1877,L1879,L1881,L1883)</f>
        <v>3.2754489324752445</v>
      </c>
      <c r="M1862" s="17">
        <f t="shared" si="2107"/>
        <v>2.9537072771776112</v>
      </c>
      <c r="N1862" s="17">
        <f t="shared" si="2107"/>
        <v>3.0518070775147255</v>
      </c>
      <c r="O1862" s="17">
        <f t="shared" si="2107"/>
        <v>3.2013948755384716</v>
      </c>
      <c r="P1862" s="17">
        <f>SUM(P1863,P1866,P1869,P1873,P1875,P1877,P1879,P1881,P1883)</f>
        <v>3.0611631128211343</v>
      </c>
      <c r="Q1862" s="17">
        <f>SUM(Q1863,Q1866,Q1869,Q1873,Q1875,Q1877,Q1879,Q1881,Q1883)</f>
        <v>3.0477451092647025</v>
      </c>
      <c r="S1862" s="3"/>
    </row>
    <row r="1863" spans="2:19" x14ac:dyDescent="0.5">
      <c r="B1863" s="5" t="str">
        <f>B1862</f>
        <v>SPS1</v>
      </c>
      <c r="C1863" s="5" t="str">
        <f t="shared" si="2105"/>
        <v>CH</v>
      </c>
      <c r="D1863" t="s">
        <v>2093</v>
      </c>
      <c r="E1863" t="str">
        <f t="shared" si="2015"/>
        <v>GWth/yr.</v>
      </c>
      <c r="F1863" s="18">
        <f>SUM(F1864:F1865)</f>
        <v>0.61671309762324311</v>
      </c>
      <c r="G1863" s="18">
        <f t="shared" ref="G1863:K1863" si="2108">SUM(G1864:G1865)</f>
        <v>0.80510247092552123</v>
      </c>
      <c r="H1863" s="18">
        <f t="shared" si="2108"/>
        <v>0.95522071001323949</v>
      </c>
      <c r="I1863" s="18">
        <f t="shared" si="2108"/>
        <v>1.7039891704024841</v>
      </c>
      <c r="J1863" s="18">
        <f t="shared" si="2108"/>
        <v>1.7836046027795034</v>
      </c>
      <c r="K1863" s="18">
        <f t="shared" si="2108"/>
        <v>1.8460367914812843</v>
      </c>
      <c r="L1863" s="18">
        <f t="shared" ref="L1863:O1863" si="2109">SUM(L1864:L1865)</f>
        <v>1.7711616847192504</v>
      </c>
      <c r="M1863" s="18">
        <f t="shared" si="2109"/>
        <v>1.8430278746096018</v>
      </c>
      <c r="N1863" s="18">
        <f t="shared" si="2109"/>
        <v>1.9240143254438569</v>
      </c>
      <c r="O1863" s="18">
        <f t="shared" si="2109"/>
        <v>1.8781792246507027</v>
      </c>
      <c r="P1863" s="18">
        <f>SUM(P1864:P1865)</f>
        <v>1.9140369273267557</v>
      </c>
      <c r="Q1863" s="18">
        <f>SUM(Q1864:Q1865)</f>
        <v>1.9030142128832499</v>
      </c>
      <c r="S1863" s="3"/>
    </row>
    <row r="1864" spans="2:19" x14ac:dyDescent="0.5">
      <c r="B1864" s="5" t="str">
        <f t="shared" ref="B1864:B1865" si="2110">B1863</f>
        <v>SPS1</v>
      </c>
      <c r="C1864" s="5" t="str">
        <f t="shared" si="2105"/>
        <v>CH</v>
      </c>
      <c r="D1864" t="s">
        <v>2094</v>
      </c>
      <c r="E1864" t="str">
        <f t="shared" si="2015"/>
        <v>GWth/yr.</v>
      </c>
      <c r="F1864" s="1" cm="1">
        <f t="array" ref="F1864">SUMPRODUCT(([1]OUT_FinalEnergyCons!$B$4:$B$10000="Var_cap")*1,  (ISNUMBER(SEARCH("ITOT-SWHELCBR",[1]OUT_FinalEnergyCons!$A$4:$A$10000)))*1,[1]OUT_FinalEnergyCons!D$4:D$10000)</f>
        <v>0.55644997413134401</v>
      </c>
      <c r="G1864" s="1" cm="1">
        <f t="array" ref="G1864">SUMPRODUCT(([1]OUT_FinalEnergyCons!$B$4:$B$10000="Var_cap")*1,  (ISNUMBER(SEARCH("ITOT-SWHELCBR",[1]OUT_FinalEnergyCons!$A$4:$A$10000)))*1,[1]OUT_FinalEnergyCons!E$4:E$10000)</f>
        <v>0.72837691065431232</v>
      </c>
      <c r="H1864" s="1" cm="1">
        <f t="array" ref="H1864">SUMPRODUCT(([1]OUT_FinalEnergyCons!$B$4:$B$10000="Var_cap")*1,  (ISNUMBER(SEARCH("ITOT-SWHELCBR",[1]OUT_FinalEnergyCons!$A$4:$A$10000)))*1,[1]OUT_FinalEnergyCons!F$4:F$10000)</f>
        <v>0.76035355657205239</v>
      </c>
      <c r="I1864" s="1" cm="1">
        <f t="array" ref="I1864">SUMPRODUCT(([1]OUT_FinalEnergyCons!$B$4:$B$10000="Var_cap")*1,  (ISNUMBER(SEARCH("ITOT-SWHELCBR",[1]OUT_FinalEnergyCons!$A$4:$A$10000)))*1,[1]OUT_FinalEnergyCons!G$4:G$10000)</f>
        <v>1.3768465085505832</v>
      </c>
      <c r="J1864" s="1" cm="1">
        <f t="array" ref="J1864">SUMPRODUCT(([1]OUT_FinalEnergyCons!$B$4:$B$10000="Var_cap")*1,  (ISNUMBER(SEARCH("ITOT-SWHELCBR",[1]OUT_FinalEnergyCons!$A$4:$A$10000)))*1,[1]OUT_FinalEnergyCons!H$4:H$10000)</f>
        <v>1.3777237766090196</v>
      </c>
      <c r="K1864" s="1" cm="1">
        <f t="array" ref="K1864">SUMPRODUCT(([1]OUT_FinalEnergyCons!$B$4:$B$10000="Var_cap")*1,  (ISNUMBER(SEARCH("ITOT-SWHELCBR",[1]OUT_FinalEnergyCons!$A$4:$A$10000)))*1,[1]OUT_FinalEnergyCons!I$4:I$10000)</f>
        <v>1.3327219173241525</v>
      </c>
      <c r="L1864" s="1" cm="1">
        <f t="array" ref="L1864">SUMPRODUCT(([1]OUT_FinalEnergyCons!$B$4:$B$10000="Var_cap")*1,  (ISNUMBER(SEARCH("ITOT-SWHELCBR",[1]OUT_FinalEnergyCons!$A$4:$A$10000)))*1,[1]OUT_FinalEnergyCons!J$4:J$10000)</f>
        <v>1.1470658228750694</v>
      </c>
      <c r="M1864" s="1" cm="1">
        <f t="array" ref="M1864">SUMPRODUCT(([1]OUT_FinalEnergyCons!$B$4:$B$10000="Var_cap")*1,  (ISNUMBER(SEARCH("ITOT-SWHELCBR",[1]OUT_FinalEnergyCons!$A$4:$A$10000)))*1,[1]OUT_FinalEnergyCons!K$4:K$10000)</f>
        <v>1.1157988291397813</v>
      </c>
      <c r="N1864" s="1" cm="1">
        <f t="array" ref="N1864">SUMPRODUCT(([1]OUT_FinalEnergyCons!$B$4:$B$10000="Var_cap")*1,  (ISNUMBER(SEARCH("ITOT-SWHELCBR",[1]OUT_FinalEnergyCons!$A$4:$A$10000)))*1,[1]OUT_FinalEnergyCons!L$4:L$10000)</f>
        <v>1.1986549543517238</v>
      </c>
      <c r="O1864" s="1" cm="1">
        <f t="array" ref="O1864">SUMPRODUCT(([1]OUT_FinalEnergyCons!$B$4:$B$10000="Var_cap")*1,  (ISNUMBER(SEARCH("ITOT-SWHELCBR",[1]OUT_FinalEnergyCons!$A$4:$A$10000)))*1,[1]OUT_FinalEnergyCons!M$4:M$10000)</f>
        <v>1.157794960417549</v>
      </c>
      <c r="P1864" s="1" cm="1">
        <f t="array" ref="P1864">SUMPRODUCT(([1]OUT_FinalEnergyCons!$B$4:$B$10000="Var_cap")*1,  (ISNUMBER(SEARCH("ITOT-SWHELCBR",[1]OUT_FinalEnergyCons!$A$4:$A$10000)))*1,[1]OUT_FinalEnergyCons!N$4:N$10000)</f>
        <v>1.1971827072521595</v>
      </c>
      <c r="Q1864" s="1" cm="1">
        <f t="array" ref="Q1864">SUMPRODUCT(([1]OUT_FinalEnergyCons!$B$4:$B$10000="Var_cap")*1,  (ISNUMBER(SEARCH("ITOT-SWHELCBR",[1]OUT_FinalEnergyCons!$A$4:$A$10000)))*1,[1]OUT_FinalEnergyCons!O$4:O$10000)</f>
        <v>1.1881761435504417</v>
      </c>
      <c r="S1864" s="3"/>
    </row>
    <row r="1865" spans="2:19" x14ac:dyDescent="0.5">
      <c r="B1865" s="5" t="str">
        <f t="shared" si="2110"/>
        <v>SPS1</v>
      </c>
      <c r="C1865" s="5" t="str">
        <f t="shared" si="2105"/>
        <v>CH</v>
      </c>
      <c r="D1865" t="s">
        <v>2095</v>
      </c>
      <c r="E1865" t="str">
        <f t="shared" si="2015"/>
        <v>GWth/yr.</v>
      </c>
      <c r="F1865" s="1" cm="1">
        <f t="array" ref="F1865">SUMPRODUCT(([1]OUT_FinalEnergyCons!$B$4:$B$10000="Var_cap")*1,  (ISNUMBER(SEARCH("ITOT-SWHELCHP",[1]OUT_FinalEnergyCons!$A$4:$A$10000)))*1,[1]OUT_FinalEnergyCons!D$4:D$10000)</f>
        <v>6.02631234918991E-2</v>
      </c>
      <c r="G1865" s="1" cm="1">
        <f t="array" ref="G1865">SUMPRODUCT(([1]OUT_FinalEnergyCons!$B$4:$B$10000="Var_cap")*1,  (ISNUMBER(SEARCH("ITOT-SWHELCHP",[1]OUT_FinalEnergyCons!$A$4:$A$10000)))*1,[1]OUT_FinalEnergyCons!E$4:E$10000)</f>
        <v>7.6725560271208956E-2</v>
      </c>
      <c r="H1865" s="1" cm="1">
        <f t="array" ref="H1865">SUMPRODUCT(([1]OUT_FinalEnergyCons!$B$4:$B$10000="Var_cap")*1,  (ISNUMBER(SEARCH("ITOT-SWHELCHP",[1]OUT_FinalEnergyCons!$A$4:$A$10000)))*1,[1]OUT_FinalEnergyCons!F$4:F$10000)</f>
        <v>0.19486715344118713</v>
      </c>
      <c r="I1865" s="1" cm="1">
        <f t="array" ref="I1865">SUMPRODUCT(([1]OUT_FinalEnergyCons!$B$4:$B$10000="Var_cap")*1,  (ISNUMBER(SEARCH("ITOT-SWHELCHP",[1]OUT_FinalEnergyCons!$A$4:$A$10000)))*1,[1]OUT_FinalEnergyCons!G$4:G$10000)</f>
        <v>0.32714266185190077</v>
      </c>
      <c r="J1865" s="1" cm="1">
        <f t="array" ref="J1865">SUMPRODUCT(([1]OUT_FinalEnergyCons!$B$4:$B$10000="Var_cap")*1,  (ISNUMBER(SEARCH("ITOT-SWHELCHP",[1]OUT_FinalEnergyCons!$A$4:$A$10000)))*1,[1]OUT_FinalEnergyCons!H$4:H$10000)</f>
        <v>0.40588082617048382</v>
      </c>
      <c r="K1865" s="1" cm="1">
        <f t="array" ref="K1865">SUMPRODUCT(([1]OUT_FinalEnergyCons!$B$4:$B$10000="Var_cap")*1,  (ISNUMBER(SEARCH("ITOT-SWHELCHP",[1]OUT_FinalEnergyCons!$A$4:$A$10000)))*1,[1]OUT_FinalEnergyCons!I$4:I$10000)</f>
        <v>0.51331487415713195</v>
      </c>
      <c r="L1865" s="1" cm="1">
        <f t="array" ref="L1865">SUMPRODUCT(([1]OUT_FinalEnergyCons!$B$4:$B$10000="Var_cap")*1,  (ISNUMBER(SEARCH("ITOT-SWHELCHP",[1]OUT_FinalEnergyCons!$A$4:$A$10000)))*1,[1]OUT_FinalEnergyCons!J$4:J$10000)</f>
        <v>0.62409586184418109</v>
      </c>
      <c r="M1865" s="1" cm="1">
        <f t="array" ref="M1865">SUMPRODUCT(([1]OUT_FinalEnergyCons!$B$4:$B$10000="Var_cap")*1,  (ISNUMBER(SEARCH("ITOT-SWHELCHP",[1]OUT_FinalEnergyCons!$A$4:$A$10000)))*1,[1]OUT_FinalEnergyCons!K$4:K$10000)</f>
        <v>0.72722904546982059</v>
      </c>
      <c r="N1865" s="1" cm="1">
        <f t="array" ref="N1865">SUMPRODUCT(([1]OUT_FinalEnergyCons!$B$4:$B$10000="Var_cap")*1,  (ISNUMBER(SEARCH("ITOT-SWHELCHP",[1]OUT_FinalEnergyCons!$A$4:$A$10000)))*1,[1]OUT_FinalEnergyCons!L$4:L$10000)</f>
        <v>0.725359371092133</v>
      </c>
      <c r="O1865" s="1" cm="1">
        <f t="array" ref="O1865">SUMPRODUCT(([1]OUT_FinalEnergyCons!$B$4:$B$10000="Var_cap")*1,  (ISNUMBER(SEARCH("ITOT-SWHELCHP",[1]OUT_FinalEnergyCons!$A$4:$A$10000)))*1,[1]OUT_FinalEnergyCons!M$4:M$10000)</f>
        <v>0.72038426423315371</v>
      </c>
      <c r="P1865" s="1" cm="1">
        <f t="array" ref="P1865">SUMPRODUCT(([1]OUT_FinalEnergyCons!$B$4:$B$10000="Var_cap")*1,  (ISNUMBER(SEARCH("ITOT-SWHELCHP",[1]OUT_FinalEnergyCons!$A$4:$A$10000)))*1,[1]OUT_FinalEnergyCons!N$4:N$10000)</f>
        <v>0.7168542200745962</v>
      </c>
      <c r="Q1865" s="1" cm="1">
        <f t="array" ref="Q1865">SUMPRODUCT(([1]OUT_FinalEnergyCons!$B$4:$B$10000="Var_cap")*1,  (ISNUMBER(SEARCH("ITOT-SWHELCHP",[1]OUT_FinalEnergyCons!$A$4:$A$10000)))*1,[1]OUT_FinalEnergyCons!O$4:O$10000)</f>
        <v>0.71483806933280813</v>
      </c>
      <c r="S1865" s="3"/>
    </row>
    <row r="1866" spans="2:19" x14ac:dyDescent="0.5">
      <c r="B1866" s="5" t="str">
        <f>B1865</f>
        <v>SPS1</v>
      </c>
      <c r="C1866" s="5" t="str">
        <f>C1865</f>
        <v>CH</v>
      </c>
      <c r="D1866" t="s">
        <v>2096</v>
      </c>
      <c r="E1866" t="str">
        <f t="shared" si="2015"/>
        <v>GWth/yr.</v>
      </c>
      <c r="F1866" s="18">
        <f>SUM(F1867:F1868)</f>
        <v>0.48032858815424373</v>
      </c>
      <c r="G1866" s="18">
        <f t="shared" ref="G1866:K1866" si="2111">SUM(G1867:G1868)</f>
        <v>0.49106732314644369</v>
      </c>
      <c r="H1866" s="18">
        <f t="shared" si="2111"/>
        <v>0.38751968478862775</v>
      </c>
      <c r="I1866" s="18">
        <f t="shared" si="2111"/>
        <v>0.3865668350779688</v>
      </c>
      <c r="J1866" s="18">
        <f t="shared" si="2111"/>
        <v>0.24282526163022253</v>
      </c>
      <c r="K1866" s="18">
        <f t="shared" si="2111"/>
        <v>0.15579609536212891</v>
      </c>
      <c r="L1866" s="18">
        <f t="shared" ref="L1866:O1866" si="2112">SUM(L1867:L1868)</f>
        <v>9.9343353687870548E-2</v>
      </c>
      <c r="M1866" s="18">
        <f t="shared" si="2112"/>
        <v>1.5324122797999544E-2</v>
      </c>
      <c r="N1866" s="18">
        <f t="shared" si="2112"/>
        <v>1.6499313611093913E-2</v>
      </c>
      <c r="O1866" s="18">
        <f t="shared" si="2112"/>
        <v>1.7952869529940116E-2</v>
      </c>
      <c r="P1866" s="18">
        <f>SUM(P1867:P1868)</f>
        <v>1.6293525239199032E-2</v>
      </c>
      <c r="Q1866" s="18">
        <f>SUM(Q1867:Q1868)</f>
        <v>1.5543140694801651E-2</v>
      </c>
      <c r="S1866" s="3"/>
    </row>
    <row r="1867" spans="2:19" x14ac:dyDescent="0.5">
      <c r="B1867" s="5" t="str">
        <f t="shared" ref="B1867:B1884" si="2113">B1866</f>
        <v>SPS1</v>
      </c>
      <c r="C1867" s="5" t="str">
        <f t="shared" ref="C1867:C1884" si="2114">C1866</f>
        <v>CH</v>
      </c>
      <c r="D1867" t="s">
        <v>2097</v>
      </c>
      <c r="E1867" t="str">
        <f t="shared" si="2015"/>
        <v>GWth/yr.</v>
      </c>
      <c r="F1867" s="1" cm="1">
        <f t="array" ref="F1867">SUMPRODUCT(([1]OUT_FinalEnergyCons!$B$4:$B$10000="Var_cap")*1,  (ISNUMBER(SEARCH("ITOT-SWHLFOBR",[1]OUT_FinalEnergyCons!$A$4:$A$10000)))*1,[1]OUT_FinalEnergyCons!D$4:D$10000)</f>
        <v>0.37633543963083199</v>
      </c>
      <c r="G1867" s="1" cm="1">
        <f t="array" ref="G1867">SUMPRODUCT(([1]OUT_FinalEnergyCons!$B$4:$B$10000="Var_cap")*1,  (ISNUMBER(SEARCH("ITOT-SWHLFOBR",[1]OUT_FinalEnergyCons!$A$4:$A$10000)))*1,[1]OUT_FinalEnergyCons!E$4:E$10000)</f>
        <v>0.38699684754236441</v>
      </c>
      <c r="H1867" s="1" cm="1">
        <f t="array" ref="H1867">SUMPRODUCT(([1]OUT_FinalEnergyCons!$B$4:$B$10000="Var_cap")*1,  (ISNUMBER(SEARCH("ITOT-SWHLFOBR",[1]OUT_FinalEnergyCons!$A$4:$A$10000)))*1,[1]OUT_FinalEnergyCons!F$4:F$10000)</f>
        <v>0.38699767817463104</v>
      </c>
      <c r="I1867" s="1" cm="1">
        <f t="array" ref="I1867">SUMPRODUCT(([1]OUT_FinalEnergyCons!$B$4:$B$10000="Var_cap")*1,  (ISNUMBER(SEARCH("ITOT-SWHLFOBR",[1]OUT_FinalEnergyCons!$A$4:$A$10000)))*1,[1]OUT_FinalEnergyCons!G$4:G$10000)</f>
        <v>0.38645398962648281</v>
      </c>
      <c r="J1867" s="1" cm="1">
        <f t="array" ref="J1867">SUMPRODUCT(([1]OUT_FinalEnergyCons!$B$4:$B$10000="Var_cap")*1,  (ISNUMBER(SEARCH("ITOT-SWHLFOBR",[1]OUT_FinalEnergyCons!$A$4:$A$10000)))*1,[1]OUT_FinalEnergyCons!H$4:H$10000)</f>
        <v>0.24267508381743363</v>
      </c>
      <c r="K1867" s="1" cm="1">
        <f t="array" ref="K1867">SUMPRODUCT(([1]OUT_FinalEnergyCons!$B$4:$B$10000="Var_cap")*1,  (ISNUMBER(SEARCH("ITOT-SWHLFOBR",[1]OUT_FinalEnergyCons!$A$4:$A$10000)))*1,[1]OUT_FinalEnergyCons!I$4:I$10000)</f>
        <v>0.15548240375225802</v>
      </c>
      <c r="L1867" s="1" cm="1">
        <f t="array" ref="L1867">SUMPRODUCT(([1]OUT_FinalEnergyCons!$B$4:$B$10000="Var_cap")*1,  (ISNUMBER(SEARCH("ITOT-SWHLFOBR",[1]OUT_FinalEnergyCons!$A$4:$A$10000)))*1,[1]OUT_FinalEnergyCons!J$4:J$10000)</f>
        <v>9.9201263971509718E-2</v>
      </c>
      <c r="M1867" s="1" cm="1">
        <f t="array" ref="M1867">SUMPRODUCT(([1]OUT_FinalEnergyCons!$B$4:$B$10000="Var_cap")*1,  (ISNUMBER(SEARCH("ITOT-SWHLFOBR",[1]OUT_FinalEnergyCons!$A$4:$A$10000)))*1,[1]OUT_FinalEnergyCons!K$4:K$10000)</f>
        <v>1.5324066000938599E-2</v>
      </c>
      <c r="N1867" s="1" cm="1">
        <f t="array" ref="N1867">SUMPRODUCT(([1]OUT_FinalEnergyCons!$B$4:$B$10000="Var_cap")*1,  (ISNUMBER(SEARCH("ITOT-SWHLFOBR",[1]OUT_FinalEnergyCons!$A$4:$A$10000)))*1,[1]OUT_FinalEnergyCons!L$4:L$10000)</f>
        <v>1.6499267668378476E-2</v>
      </c>
      <c r="O1867" s="1" cm="1">
        <f t="array" ref="O1867">SUMPRODUCT(([1]OUT_FinalEnergyCons!$B$4:$B$10000="Var_cap")*1,  (ISNUMBER(SEARCH("ITOT-SWHLFOBR",[1]OUT_FinalEnergyCons!$A$4:$A$10000)))*1,[1]OUT_FinalEnergyCons!M$4:M$10000)</f>
        <v>1.7952812318276178E-2</v>
      </c>
      <c r="P1867" s="1" cm="1">
        <f t="array" ref="P1867">SUMPRODUCT(([1]OUT_FinalEnergyCons!$B$4:$B$10000="Var_cap")*1,  (ISNUMBER(SEARCH("ITOT-SWHLFOBR",[1]OUT_FinalEnergyCons!$A$4:$A$10000)))*1,[1]OUT_FinalEnergyCons!N$4:N$10000)</f>
        <v>1.6293472086902714E-2</v>
      </c>
      <c r="Q1867" s="1" cm="1">
        <f t="array" ref="Q1867">SUMPRODUCT(([1]OUT_FinalEnergyCons!$B$4:$B$10000="Var_cap")*1,  (ISNUMBER(SEARCH("ITOT-SWHLFOBR",[1]OUT_FinalEnergyCons!$A$4:$A$10000)))*1,[1]OUT_FinalEnergyCons!O$4:O$10000)</f>
        <v>1.5543073656605556E-2</v>
      </c>
      <c r="S1867" s="3"/>
    </row>
    <row r="1868" spans="2:19" x14ac:dyDescent="0.5">
      <c r="B1868" s="5" t="str">
        <f t="shared" si="2113"/>
        <v>SPS1</v>
      </c>
      <c r="C1868" s="5" t="str">
        <f t="shared" si="2114"/>
        <v>CH</v>
      </c>
      <c r="D1868" t="s">
        <v>2098</v>
      </c>
      <c r="E1868" t="str">
        <f t="shared" si="2015"/>
        <v>GWth/yr.</v>
      </c>
      <c r="F1868" s="1" cm="1">
        <f t="array" ref="F1868">IF(SUMPRODUCT(([1]OUT_FinalEnergyCons!$B$4:$B$10000="Var_cap")*1,  (ISNUMBER(SEARCH("ITOT-SWHHFOBR",[1]OUT_FinalEnergyCons!$A$4:$A$10000)))*1,[1]OUT_FinalEnergyCons!D$4:D$10000)&lt;0,0,SUMPRODUCT(([1]OUT_FinalEnergyCons!$B$4:$B$10000="Var_cap")*1,  (ISNUMBER(SEARCH("ITOT-SWHHFOBR",[1]OUT_FinalEnergyCons!$A$4:$A$10000)))*1,[1]OUT_FinalEnergyCons!D$4:D$10000))</f>
        <v>0.10399314852341175</v>
      </c>
      <c r="G1868" s="1" cm="1">
        <f t="array" ref="G1868">IF(SUMPRODUCT(([1]OUT_FinalEnergyCons!$B$4:$B$10000="Var_cap")*1,  (ISNUMBER(SEARCH("ITOT-SWHHFOBR",[1]OUT_FinalEnergyCons!$A$4:$A$10000)))*1,[1]OUT_FinalEnergyCons!E$4:E$10000)&lt;0,0,SUMPRODUCT(([1]OUT_FinalEnergyCons!$B$4:$B$10000="Var_cap")*1,  (ISNUMBER(SEARCH("ITOT-SWHHFOBR",[1]OUT_FinalEnergyCons!$A$4:$A$10000)))*1,[1]OUT_FinalEnergyCons!E$4:E$10000))</f>
        <v>0.1040704756040793</v>
      </c>
      <c r="H1868" s="1" cm="1">
        <f t="array" ref="H1868">IF(SUMPRODUCT(([1]OUT_FinalEnergyCons!$B$4:$B$10000="Var_cap")*1,  (ISNUMBER(SEARCH("ITOT-SWHHFOBR",[1]OUT_FinalEnergyCons!$A$4:$A$10000)))*1,[1]OUT_FinalEnergyCons!F$4:F$10000)&lt;0,0,SUMPRODUCT(([1]OUT_FinalEnergyCons!$B$4:$B$10000="Var_cap")*1,  (ISNUMBER(SEARCH("ITOT-SWHHFOBR",[1]OUT_FinalEnergyCons!$A$4:$A$10000)))*1,[1]OUT_FinalEnergyCons!F$4:F$10000))</f>
        <v>5.2200661399667836E-4</v>
      </c>
      <c r="I1868" s="1" cm="1">
        <f t="array" ref="I1868">IF(SUMPRODUCT(([1]OUT_FinalEnergyCons!$B$4:$B$10000="Var_cap")*1,  (ISNUMBER(SEARCH("ITOT-SWHHFOBR",[1]OUT_FinalEnergyCons!$A$4:$A$10000)))*1,[1]OUT_FinalEnergyCons!G$4:G$10000)&lt;0,0,SUMPRODUCT(([1]OUT_FinalEnergyCons!$B$4:$B$10000="Var_cap")*1,  (ISNUMBER(SEARCH("ITOT-SWHHFOBR",[1]OUT_FinalEnergyCons!$A$4:$A$10000)))*1,[1]OUT_FinalEnergyCons!G$4:G$10000))</f>
        <v>1.1284545148598779E-4</v>
      </c>
      <c r="J1868" s="1" cm="1">
        <f t="array" ref="J1868">IF(SUMPRODUCT(([1]OUT_FinalEnergyCons!$B$4:$B$10000="Var_cap")*1,  (ISNUMBER(SEARCH("ITOT-SWHHFOBR",[1]OUT_FinalEnergyCons!$A$4:$A$10000)))*1,[1]OUT_FinalEnergyCons!H$4:H$10000)&lt;0,0,SUMPRODUCT(([1]OUT_FinalEnergyCons!$B$4:$B$10000="Var_cap")*1,  (ISNUMBER(SEARCH("ITOT-SWHHFOBR",[1]OUT_FinalEnergyCons!$A$4:$A$10000)))*1,[1]OUT_FinalEnergyCons!H$4:H$10000))</f>
        <v>1.5017781278888961E-4</v>
      </c>
      <c r="K1868" s="1" cm="1">
        <f t="array" ref="K1868">IF(SUMPRODUCT(([1]OUT_FinalEnergyCons!$B$4:$B$10000="Var_cap")*1,  (ISNUMBER(SEARCH("ITOT-SWHHFOBR",[1]OUT_FinalEnergyCons!$A$4:$A$10000)))*1,[1]OUT_FinalEnergyCons!I$4:I$10000)&lt;0,0,SUMPRODUCT(([1]OUT_FinalEnergyCons!$B$4:$B$10000="Var_cap")*1,  (ISNUMBER(SEARCH("ITOT-SWHHFOBR",[1]OUT_FinalEnergyCons!$A$4:$A$10000)))*1,[1]OUT_FinalEnergyCons!I$4:I$10000))</f>
        <v>3.1369160987088015E-4</v>
      </c>
      <c r="L1868" s="1" cm="1">
        <f t="array" ref="L1868">IF(SUMPRODUCT(([1]OUT_FinalEnergyCons!$B$4:$B$10000="Var_cap")*1,  (ISNUMBER(SEARCH("ITOT-SWHHFOBR",[1]OUT_FinalEnergyCons!$A$4:$A$10000)))*1,[1]OUT_FinalEnergyCons!J$4:J$10000)&lt;0,0,SUMPRODUCT(([1]OUT_FinalEnergyCons!$B$4:$B$10000="Var_cap")*1,  (ISNUMBER(SEARCH("ITOT-SWHHFOBR",[1]OUT_FinalEnergyCons!$A$4:$A$10000)))*1,[1]OUT_FinalEnergyCons!J$4:J$10000))</f>
        <v>1.4208971636083499E-4</v>
      </c>
      <c r="M1868" s="1" cm="1">
        <f t="array" ref="M1868">IF(SUMPRODUCT(([1]OUT_FinalEnergyCons!$B$4:$B$10000="Var_cap")*1,  (ISNUMBER(SEARCH("ITOT-SWHHFOBR",[1]OUT_FinalEnergyCons!$A$4:$A$10000)))*1,[1]OUT_FinalEnergyCons!K$4:K$10000)&lt;0,0,SUMPRODUCT(([1]OUT_FinalEnergyCons!$B$4:$B$10000="Var_cap")*1,  (ISNUMBER(SEARCH("ITOT-SWHHFOBR",[1]OUT_FinalEnergyCons!$A$4:$A$10000)))*1,[1]OUT_FinalEnergyCons!K$4:K$10000))</f>
        <v>5.6797060944983793E-8</v>
      </c>
      <c r="N1868" s="1" cm="1">
        <f t="array" ref="N1868">IF(SUMPRODUCT(([1]OUT_FinalEnergyCons!$B$4:$B$10000="Var_cap")*1,  (ISNUMBER(SEARCH("ITOT-SWHHFOBR",[1]OUT_FinalEnergyCons!$A$4:$A$10000)))*1,[1]OUT_FinalEnergyCons!L$4:L$10000)&lt;0,0,SUMPRODUCT(([1]OUT_FinalEnergyCons!$B$4:$B$10000="Var_cap")*1,  (ISNUMBER(SEARCH("ITOT-SWHHFOBR",[1]OUT_FinalEnergyCons!$A$4:$A$10000)))*1,[1]OUT_FinalEnergyCons!L$4:L$10000))</f>
        <v>4.5942715436601334E-8</v>
      </c>
      <c r="O1868" s="1" cm="1">
        <f t="array" ref="O1868">IF(SUMPRODUCT(([1]OUT_FinalEnergyCons!$B$4:$B$10000="Var_cap")*1,  (ISNUMBER(SEARCH("ITOT-SWHHFOBR",[1]OUT_FinalEnergyCons!$A$4:$A$10000)))*1,[1]OUT_FinalEnergyCons!M$4:M$10000)&lt;0,0,SUMPRODUCT(([1]OUT_FinalEnergyCons!$B$4:$B$10000="Var_cap")*1,  (ISNUMBER(SEARCH("ITOT-SWHHFOBR",[1]OUT_FinalEnergyCons!$A$4:$A$10000)))*1,[1]OUT_FinalEnergyCons!M$4:M$10000))</f>
        <v>5.7211663936475939E-8</v>
      </c>
      <c r="P1868" s="1" cm="1">
        <f t="array" ref="P1868">IF(SUMPRODUCT(([1]OUT_FinalEnergyCons!$B$4:$B$10000="Var_cap")*1,  (ISNUMBER(SEARCH("ITOT-SWHHFOBR",[1]OUT_FinalEnergyCons!$A$4:$A$10000)))*1,[1]OUT_FinalEnergyCons!N$4:N$10000)&lt;0,0,SUMPRODUCT(([1]OUT_FinalEnergyCons!$B$4:$B$10000="Var_cap")*1,  (ISNUMBER(SEARCH("ITOT-SWHHFOBR",[1]OUT_FinalEnergyCons!$A$4:$A$10000)))*1,[1]OUT_FinalEnergyCons!N$4:N$10000))</f>
        <v>5.3152296317841001E-8</v>
      </c>
      <c r="Q1868" s="1" cm="1">
        <f t="array" ref="Q1868">IF(SUMPRODUCT(([1]OUT_FinalEnergyCons!$B$4:$B$10000="Var_cap")*1,  (ISNUMBER(SEARCH("ITOT-SWHHFOBR",[1]OUT_FinalEnergyCons!$A$4:$A$10000)))*1,[1]OUT_FinalEnergyCons!O$4:O$10000)&lt;0,0,SUMPRODUCT(([1]OUT_FinalEnergyCons!$B$4:$B$10000="Var_cap")*1,  (ISNUMBER(SEARCH("ITOT-SWHHFOBR",[1]OUT_FinalEnergyCons!$A$4:$A$10000)))*1,[1]OUT_FinalEnergyCons!O$4:O$10000))</f>
        <v>6.7038196094882001E-8</v>
      </c>
      <c r="S1868" s="3"/>
    </row>
    <row r="1869" spans="2:19" x14ac:dyDescent="0.5">
      <c r="B1869" s="5" t="str">
        <f t="shared" si="2113"/>
        <v>SPS1</v>
      </c>
      <c r="C1869" s="5" t="str">
        <f t="shared" si="2114"/>
        <v>CH</v>
      </c>
      <c r="D1869" t="s">
        <v>2099</v>
      </c>
      <c r="E1869" t="str">
        <f t="shared" si="2015"/>
        <v>GWth/yr.</v>
      </c>
      <c r="F1869" s="18">
        <f>SUM(F1870:F1871)</f>
        <v>1.556581895256</v>
      </c>
      <c r="G1869" s="18">
        <f t="shared" ref="G1869:K1869" si="2115">SUM(G1870:G1871)</f>
        <v>1.5577899896742087</v>
      </c>
      <c r="H1869" s="18">
        <f t="shared" si="2115"/>
        <v>1.5992641183202281</v>
      </c>
      <c r="I1869" s="18">
        <f t="shared" si="2115"/>
        <v>1.5908730184031401</v>
      </c>
      <c r="J1869" s="18">
        <f t="shared" si="2115"/>
        <v>0.71742807808674414</v>
      </c>
      <c r="K1869" s="18">
        <f t="shared" si="2115"/>
        <v>0.37271659129165524</v>
      </c>
      <c r="L1869" s="18">
        <f t="shared" ref="L1869:O1869" si="2116">SUM(L1870:L1871)</f>
        <v>0.2489365206584086</v>
      </c>
      <c r="M1869" s="18">
        <f t="shared" si="2116"/>
        <v>9.0000892414822661E-2</v>
      </c>
      <c r="N1869" s="18">
        <f t="shared" si="2116"/>
        <v>5.675776141578244E-2</v>
      </c>
      <c r="O1869" s="18">
        <f t="shared" si="2116"/>
        <v>6.1909173039315368E-2</v>
      </c>
      <c r="P1869" s="18">
        <f>SUM(P1870:P1871)</f>
        <v>5.7687477582051915E-2</v>
      </c>
      <c r="Q1869" s="18">
        <f>SUM(Q1870:Q1871)</f>
        <v>5.5271728770979231E-2</v>
      </c>
      <c r="S1869" s="3"/>
    </row>
    <row r="1870" spans="2:19" x14ac:dyDescent="0.5">
      <c r="B1870" s="5" t="str">
        <f t="shared" si="2113"/>
        <v>SPS1</v>
      </c>
      <c r="C1870" s="5" t="str">
        <f t="shared" si="2114"/>
        <v>CH</v>
      </c>
      <c r="D1870" t="s">
        <v>2100</v>
      </c>
      <c r="E1870" t="str">
        <f t="shared" si="2015"/>
        <v>GWth/yr.</v>
      </c>
      <c r="F1870" s="1" cm="1">
        <f t="array" ref="F1870">SUMPRODUCT(([1]OUT_FinalEnergyCons!$B$4:$B$10000="Var_cap")*1,  (ISNUMBER(SEARCH("ITOT-SWHNGA*BR",[1]OUT_FinalEnergyCons!$A$4:$A$10000)))*1,[1]OUT_FinalEnergyCons!D$4:D$10000)</f>
        <v>1.556581895256</v>
      </c>
      <c r="G1870" s="1" cm="1">
        <f t="array" ref="G1870">SUMPRODUCT(([1]OUT_FinalEnergyCons!$B$4:$B$10000="Var_cap")*1,  (ISNUMBER(SEARCH("ITOT-SWHNGA*BR",[1]OUT_FinalEnergyCons!$A$4:$A$10000)))*1,[1]OUT_FinalEnergyCons!E$4:E$10000)</f>
        <v>1.5568262061017351</v>
      </c>
      <c r="H1870" s="1" cm="1">
        <f t="array" ref="H1870">SUMPRODUCT(([1]OUT_FinalEnergyCons!$B$4:$B$10000="Var_cap")*1,  (ISNUMBER(SEARCH("ITOT-SWHNGA*BR",[1]OUT_FinalEnergyCons!$A$4:$A$10000)))*1,[1]OUT_FinalEnergyCons!F$4:F$10000)</f>
        <v>1.597433724842362</v>
      </c>
      <c r="I1870" s="1" cm="1">
        <f t="array" ref="I1870">SUMPRODUCT(([1]OUT_FinalEnergyCons!$B$4:$B$10000="Var_cap")*1,  (ISNUMBER(SEARCH("ITOT-SWHNGA*BR",[1]OUT_FinalEnergyCons!$A$4:$A$10000)))*1,[1]OUT_FinalEnergyCons!G$4:G$10000)</f>
        <v>1.589553321154443</v>
      </c>
      <c r="J1870" s="1" cm="1">
        <f t="array" ref="J1870">SUMPRODUCT(([1]OUT_FinalEnergyCons!$B$4:$B$10000="Var_cap")*1,  (ISNUMBER(SEARCH("ITOT-SWHNGA*BR",[1]OUT_FinalEnergyCons!$A$4:$A$10000)))*1,[1]OUT_FinalEnergyCons!H$4:H$10000)</f>
        <v>0.71562495158590245</v>
      </c>
      <c r="K1870" s="1" cm="1">
        <f t="array" ref="K1870">SUMPRODUCT(([1]OUT_FinalEnergyCons!$B$4:$B$10000="Var_cap")*1,  (ISNUMBER(SEARCH("ITOT-SWHNGA*BR",[1]OUT_FinalEnergyCons!$A$4:$A$10000)))*1,[1]OUT_FinalEnergyCons!I$4:I$10000)</f>
        <v>0.37001679738702403</v>
      </c>
      <c r="L1870" s="1" cm="1">
        <f t="array" ref="L1870">SUMPRODUCT(([1]OUT_FinalEnergyCons!$B$4:$B$10000="Var_cap")*1,  (ISNUMBER(SEARCH("ITOT-SWHNGA*BR",[1]OUT_FinalEnergyCons!$A$4:$A$10000)))*1,[1]OUT_FinalEnergyCons!J$4:J$10000)</f>
        <v>0.24640167791878298</v>
      </c>
      <c r="M1870" s="1" cm="1">
        <f t="array" ref="M1870">SUMPRODUCT(([1]OUT_FinalEnergyCons!$B$4:$B$10000="Var_cap")*1,  (ISNUMBER(SEARCH("ITOT-SWHNGA*BR",[1]OUT_FinalEnergyCons!$A$4:$A$10000)))*1,[1]OUT_FinalEnergyCons!K$4:K$10000)</f>
        <v>8.5856784134757627E-2</v>
      </c>
      <c r="N1870" s="1" cm="1">
        <f t="array" ref="N1870">SUMPRODUCT(([1]OUT_FinalEnergyCons!$B$4:$B$10000="Var_cap")*1,  (ISNUMBER(SEARCH("ITOT-SWHNGA*BR",[1]OUT_FinalEnergyCons!$A$4:$A$10000)))*1,[1]OUT_FinalEnergyCons!L$4:L$10000)</f>
        <v>5.3276435862634731E-2</v>
      </c>
      <c r="O1870" s="1" cm="1">
        <f t="array" ref="O1870">SUMPRODUCT(([1]OUT_FinalEnergyCons!$B$4:$B$10000="Var_cap")*1,  (ISNUMBER(SEARCH("ITOT-SWHNGA*BR",[1]OUT_FinalEnergyCons!$A$4:$A$10000)))*1,[1]OUT_FinalEnergyCons!M$4:M$10000)</f>
        <v>5.7749338470968976E-2</v>
      </c>
      <c r="P1870" s="1" cm="1">
        <f t="array" ref="P1870">SUMPRODUCT(([1]OUT_FinalEnergyCons!$B$4:$B$10000="Var_cap")*1,  (ISNUMBER(SEARCH("ITOT-SWHNGA*BR",[1]OUT_FinalEnergyCons!$A$4:$A$10000)))*1,[1]OUT_FinalEnergyCons!N$4:N$10000)</f>
        <v>5.3692363059099246E-2</v>
      </c>
      <c r="Q1870" s="1" cm="1">
        <f t="array" ref="Q1870">SUMPRODUCT(([1]OUT_FinalEnergyCons!$B$4:$B$10000="Var_cap")*1,  (ISNUMBER(SEARCH("ITOT-SWHNGA*BR",[1]OUT_FinalEnergyCons!$A$4:$A$10000)))*1,[1]OUT_FinalEnergyCons!O$4:O$10000)</f>
        <v>5.0773050005549797E-2</v>
      </c>
      <c r="S1870" s="3"/>
    </row>
    <row r="1871" spans="2:19" x14ac:dyDescent="0.5">
      <c r="B1871" s="5" t="str">
        <f t="shared" si="2113"/>
        <v>SPS1</v>
      </c>
      <c r="C1871" s="5" t="str">
        <f t="shared" si="2114"/>
        <v>CH</v>
      </c>
      <c r="D1871" t="s">
        <v>2101</v>
      </c>
      <c r="E1871" t="str">
        <f t="shared" si="2015"/>
        <v>GWth/yr.</v>
      </c>
      <c r="F1871" s="1" cm="1">
        <f t="array" ref="F1871">SUMPRODUCT(([1]OUT_FinalEnergyCons!$B$4:$B$10000="Var_cap")*1,  (ISNUMBER(SEARCH("ITOT-SWHNGAHP",[1]OUT_FinalEnergyCons!$A$4:$A$10000)))*1,[1]OUT_FinalEnergyCons!D$4:D$10000)</f>
        <v>0</v>
      </c>
      <c r="G1871" s="1" cm="1">
        <f t="array" ref="G1871">SUMPRODUCT(([1]OUT_FinalEnergyCons!$B$4:$B$10000="Var_cap")*1,  (ISNUMBER(SEARCH("ITOT-SWHNGAHP",[1]OUT_FinalEnergyCons!$A$4:$A$10000)))*1,[1]OUT_FinalEnergyCons!E$4:E$10000)</f>
        <v>9.6378357247372604E-4</v>
      </c>
      <c r="H1871" s="1" cm="1">
        <f t="array" ref="H1871">SUMPRODUCT(([1]OUT_FinalEnergyCons!$B$4:$B$10000="Var_cap")*1,  (ISNUMBER(SEARCH("ITOT-SWHNGAHP",[1]OUT_FinalEnergyCons!$A$4:$A$10000)))*1,[1]OUT_FinalEnergyCons!F$4:F$10000)</f>
        <v>1.8303934778659641E-3</v>
      </c>
      <c r="I1871" s="1" cm="1">
        <f t="array" ref="I1871">SUMPRODUCT(([1]OUT_FinalEnergyCons!$B$4:$B$10000="Var_cap")*1,  (ISNUMBER(SEARCH("ITOT-SWHNGAHP",[1]OUT_FinalEnergyCons!$A$4:$A$10000)))*1,[1]OUT_FinalEnergyCons!G$4:G$10000)</f>
        <v>1.3196972486971808E-3</v>
      </c>
      <c r="J1871" s="1" cm="1">
        <f t="array" ref="J1871">SUMPRODUCT(([1]OUT_FinalEnergyCons!$B$4:$B$10000="Var_cap")*1,  (ISNUMBER(SEARCH("ITOT-SWHNGAHP",[1]OUT_FinalEnergyCons!$A$4:$A$10000)))*1,[1]OUT_FinalEnergyCons!H$4:H$10000)</f>
        <v>1.8031265008417092E-3</v>
      </c>
      <c r="K1871" s="1" cm="1">
        <f t="array" ref="K1871">SUMPRODUCT(([1]OUT_FinalEnergyCons!$B$4:$B$10000="Var_cap")*1,  (ISNUMBER(SEARCH("ITOT-SWHNGAHP",[1]OUT_FinalEnergyCons!$A$4:$A$10000)))*1,[1]OUT_FinalEnergyCons!I$4:I$10000)</f>
        <v>2.6997939046311862E-3</v>
      </c>
      <c r="L1871" s="1" cm="1">
        <f t="array" ref="L1871">SUMPRODUCT(([1]OUT_FinalEnergyCons!$B$4:$B$10000="Var_cap")*1,  (ISNUMBER(SEARCH("ITOT-SWHNGAHP",[1]OUT_FinalEnergyCons!$A$4:$A$10000)))*1,[1]OUT_FinalEnergyCons!J$4:J$10000)</f>
        <v>2.5348427396256336E-3</v>
      </c>
      <c r="M1871" s="1" cm="1">
        <f t="array" ref="M1871">SUMPRODUCT(([1]OUT_FinalEnergyCons!$B$4:$B$10000="Var_cap")*1,  (ISNUMBER(SEARCH("ITOT-SWHNGAHP",[1]OUT_FinalEnergyCons!$A$4:$A$10000)))*1,[1]OUT_FinalEnergyCons!K$4:K$10000)</f>
        <v>4.1441082800650385E-3</v>
      </c>
      <c r="N1871" s="1" cm="1">
        <f t="array" ref="N1871">SUMPRODUCT(([1]OUT_FinalEnergyCons!$B$4:$B$10000="Var_cap")*1,  (ISNUMBER(SEARCH("ITOT-SWHNGAHP",[1]OUT_FinalEnergyCons!$A$4:$A$10000)))*1,[1]OUT_FinalEnergyCons!L$4:L$10000)</f>
        <v>3.4813255531477068E-3</v>
      </c>
      <c r="O1871" s="1" cm="1">
        <f t="array" ref="O1871">SUMPRODUCT(([1]OUT_FinalEnergyCons!$B$4:$B$10000="Var_cap")*1,  (ISNUMBER(SEARCH("ITOT-SWHNGAHP",[1]OUT_FinalEnergyCons!$A$4:$A$10000)))*1,[1]OUT_FinalEnergyCons!M$4:M$10000)</f>
        <v>4.1598345683463937E-3</v>
      </c>
      <c r="P1871" s="1" cm="1">
        <f t="array" ref="P1871">SUMPRODUCT(([1]OUT_FinalEnergyCons!$B$4:$B$10000="Var_cap")*1,  (ISNUMBER(SEARCH("ITOT-SWHNGAHP",[1]OUT_FinalEnergyCons!$A$4:$A$10000)))*1,[1]OUT_FinalEnergyCons!N$4:N$10000)</f>
        <v>3.9951145229526683E-3</v>
      </c>
      <c r="Q1871" s="1" cm="1">
        <f t="array" ref="Q1871">SUMPRODUCT(([1]OUT_FinalEnergyCons!$B$4:$B$10000="Var_cap")*1,  (ISNUMBER(SEARCH("ITOT-SWHNGAHP",[1]OUT_FinalEnergyCons!$A$4:$A$10000)))*1,[1]OUT_FinalEnergyCons!O$4:O$10000)</f>
        <v>4.4986787654294324E-3</v>
      </c>
      <c r="S1871" s="3"/>
    </row>
    <row r="1872" spans="2:19" x14ac:dyDescent="0.5">
      <c r="B1872" s="5" t="str">
        <f t="shared" si="2113"/>
        <v>SPS1</v>
      </c>
      <c r="C1872" s="5" t="str">
        <f t="shared" si="2114"/>
        <v>CH</v>
      </c>
      <c r="D1872" t="s">
        <v>2102</v>
      </c>
      <c r="E1872" t="str">
        <f t="shared" si="2015"/>
        <v>GWth/yr.</v>
      </c>
      <c r="F1872" s="1" cm="1">
        <f t="array" ref="F1872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72" s="1" cm="1">
        <f t="array" ref="G1872">SUMPRODUCT(([1]OUT_FinalEnergyCons!$B$4:$B$10000="Var_cap")*1,  (("ITOT-SWHBIOBR"=[1]OUT_FinalEnergyCons!$A$4:$A$10000)*1+("ITOT-SWHBNGABR"=[1]OUT_FinalEnergyCons!$A$4:$A$10000))*1,[1]OUT_FinalEnergyCons!E$4:E$10000)</f>
        <v>3.1717169496238852E-2</v>
      </c>
      <c r="H1872" s="1" cm="1">
        <f t="array" ref="H1872">SUMPRODUCT(([1]OUT_FinalEnergyCons!$B$4:$B$10000="Var_cap")*1,  (("ITOT-SWHBIOBR"=[1]OUT_FinalEnergyCons!$A$4:$A$10000)*1+("ITOT-SWHBNGABR"=[1]OUT_FinalEnergyCons!$A$4:$A$10000))*1,[1]OUT_FinalEnergyCons!F$4:F$10000)</f>
        <v>5.4149816493521685E-2</v>
      </c>
      <c r="I1872" s="1" cm="1">
        <f t="array" ref="I1872">SUMPRODUCT(([1]OUT_FinalEnergyCons!$B$4:$B$10000="Var_cap")*1,  (("ITOT-SWHBIOBR"=[1]OUT_FinalEnergyCons!$A$4:$A$10000)*1+("ITOT-SWHBNGABR"=[1]OUT_FinalEnergyCons!$A$4:$A$10000))*1,[1]OUT_FinalEnergyCons!G$4:G$10000)</f>
        <v>0.17470626346577248</v>
      </c>
      <c r="J1872" s="1" cm="1">
        <f t="array" ref="J1872">SUMPRODUCT(([1]OUT_FinalEnergyCons!$B$4:$B$10000="Var_cap")*1,  (("ITOT-SWHBIOBR"=[1]OUT_FinalEnergyCons!$A$4:$A$10000)*1+("ITOT-SWHBNGABR"=[1]OUT_FinalEnergyCons!$A$4:$A$10000))*1,[1]OUT_FinalEnergyCons!H$4:H$10000)</f>
        <v>0.18847126046324253</v>
      </c>
      <c r="K1872" s="1" cm="1">
        <f t="array" ref="K1872">SUMPRODUCT(([1]OUT_FinalEnergyCons!$B$4:$B$10000="Var_cap")*1,  (("ITOT-SWHBIOBR"=[1]OUT_FinalEnergyCons!$A$4:$A$10000)*1+("ITOT-SWHBNGABR"=[1]OUT_FinalEnergyCons!$A$4:$A$10000))*1,[1]OUT_FinalEnergyCons!I$4:I$10000)</f>
        <v>0.24224842097240595</v>
      </c>
      <c r="L1872" s="1" cm="1">
        <f t="array" ref="L1872">SUMPRODUCT(([1]OUT_FinalEnergyCons!$B$4:$B$10000="Var_cap")*1,  (("ITOT-SWHBIOBR"=[1]OUT_FinalEnergyCons!$A$4:$A$10000)*1+("ITOT-SWHBNGABR"=[1]OUT_FinalEnergyCons!$A$4:$A$10000))*1,[1]OUT_FinalEnergyCons!J$4:J$10000)</f>
        <v>0.22636413306706818</v>
      </c>
      <c r="M1872" s="1" cm="1">
        <f t="array" ref="M1872">SUMPRODUCT(([1]OUT_FinalEnergyCons!$B$4:$B$10000="Var_cap")*1,  (("ITOT-SWHBIOBR"=[1]OUT_FinalEnergyCons!$A$4:$A$10000)*1+("ITOT-SWHBNGABR"=[1]OUT_FinalEnergyCons!$A$4:$A$10000))*1,[1]OUT_FinalEnergyCons!K$4:K$10000)</f>
        <v>0.2417786671213154</v>
      </c>
      <c r="N1872" s="1" cm="1">
        <f t="array" ref="N1872">SUMPRODUCT(([1]OUT_FinalEnergyCons!$B$4:$B$10000="Var_cap")*1,  (("ITOT-SWHBIOBR"=[1]OUT_FinalEnergyCons!$A$4:$A$10000)*1+("ITOT-SWHBNGABR"=[1]OUT_FinalEnergyCons!$A$4:$A$10000))*1,[1]OUT_FinalEnergyCons!L$4:L$10000)</f>
        <v>0.24602391583501002</v>
      </c>
      <c r="O1872" s="1" cm="1">
        <f t="array" ref="O1872">SUMPRODUCT(([1]OUT_FinalEnergyCons!$B$4:$B$10000="Var_cap")*1,  (("ITOT-SWHBIOBR"=[1]OUT_FinalEnergyCons!$A$4:$A$10000)*1+("ITOT-SWHBNGABR"=[1]OUT_FinalEnergyCons!$A$4:$A$10000))*1,[1]OUT_FinalEnergyCons!M$4:M$10000)</f>
        <v>0.27406427197382732</v>
      </c>
      <c r="P1872" s="1" cm="1">
        <f t="array" ref="P1872">SUMPRODUCT(([1]OUT_FinalEnergyCons!$B$4:$B$10000="Var_cap")*1,  (("ITOT-SWHBIOBR"=[1]OUT_FinalEnergyCons!$A$4:$A$10000)*1+("ITOT-SWHBNGABR"=[1]OUT_FinalEnergyCons!$A$4:$A$10000))*1,[1]OUT_FinalEnergyCons!N$4:N$10000)</f>
        <v>0.26543219393379774</v>
      </c>
      <c r="Q1872" s="1" cm="1">
        <f t="array" ref="Q1872">SUMPRODUCT(([1]OUT_FinalEnergyCons!$B$4:$B$10000="Var_cap")*1,  (("ITOT-SWHBIOBR"=[1]OUT_FinalEnergyCons!$A$4:$A$10000)*1+("ITOT-SWHBNGABR"=[1]OUT_FinalEnergyCons!$A$4:$A$10000))*1,[1]OUT_FinalEnergyCons!O$4:O$10000)</f>
        <v>0.30497011501549398</v>
      </c>
      <c r="S1872" s="3"/>
    </row>
    <row r="1873" spans="2:19" x14ac:dyDescent="0.5">
      <c r="B1873" s="5" t="str">
        <f t="shared" si="2113"/>
        <v>SPS1</v>
      </c>
      <c r="C1873" s="5" t="str">
        <f t="shared" si="2114"/>
        <v>CH</v>
      </c>
      <c r="D1873" t="s">
        <v>2103</v>
      </c>
      <c r="E1873" t="str">
        <f t="shared" si="2015"/>
        <v>GWth/yr.</v>
      </c>
      <c r="F1873" s="1">
        <f>F1874</f>
        <v>0.26172155007150499</v>
      </c>
      <c r="G1873" s="1">
        <f t="shared" ref="G1873:O1873" si="2117">G1874</f>
        <v>0.17287486670328983</v>
      </c>
      <c r="H1873" s="1">
        <f t="shared" si="2117"/>
        <v>1.0789784195546215E-3</v>
      </c>
      <c r="I1873" s="1">
        <f t="shared" si="2117"/>
        <v>8.4629131383906486E-5</v>
      </c>
      <c r="J1873" s="1">
        <f t="shared" si="2117"/>
        <v>1.0837599829359446E-4</v>
      </c>
      <c r="K1873" s="1">
        <f t="shared" si="2117"/>
        <v>2.5169158087106562E-4</v>
      </c>
      <c r="L1873" s="1">
        <f t="shared" si="2117"/>
        <v>1.2056428240474199E-4</v>
      </c>
      <c r="M1873" s="1">
        <f t="shared" si="2117"/>
        <v>9.5360171801700858E-7</v>
      </c>
      <c r="N1873" s="1">
        <f t="shared" si="2117"/>
        <v>5.1623330080558999E-6</v>
      </c>
      <c r="O1873" s="1">
        <f t="shared" si="2117"/>
        <v>7.9590752324718191E-6</v>
      </c>
      <c r="P1873" s="1">
        <f>P1874</f>
        <v>7.6498842935816117E-6</v>
      </c>
      <c r="Q1873" s="1">
        <f>Q1874</f>
        <v>9.0347260060133914E-6</v>
      </c>
      <c r="S1873" s="3"/>
    </row>
    <row r="1874" spans="2:19" x14ac:dyDescent="0.5">
      <c r="B1874" s="5" t="str">
        <f t="shared" si="2113"/>
        <v>SPS1</v>
      </c>
      <c r="C1874" s="5" t="str">
        <f t="shared" si="2114"/>
        <v>CH</v>
      </c>
      <c r="D1874" t="s">
        <v>2104</v>
      </c>
      <c r="E1874" t="str">
        <f t="shared" si="2015"/>
        <v>GWth/yr.</v>
      </c>
      <c r="F1874" s="1" cm="1">
        <f t="array" ref="F1874">SUMPRODUCT(([1]OUT_FinalEnergyCons!$B$4:$B$10000="Var_cap")*1,  (ISNUMBER(SEARCH("ITOT-SWHCOA*BR",[1]OUT_FinalEnergyCons!$A$4:$A$10000)))*1,[1]OUT_FinalEnergyCons!D$4:D$10000)</f>
        <v>0.26172155007150499</v>
      </c>
      <c r="G1874" s="1" cm="1">
        <f t="array" ref="G1874">SUMPRODUCT(([1]OUT_FinalEnergyCons!$B$4:$B$10000="Var_cap")*1,  (ISNUMBER(SEARCH("ITOT-SWHCOA*BR",[1]OUT_FinalEnergyCons!$A$4:$A$10000)))*1,[1]OUT_FinalEnergyCons!E$4:E$10000)</f>
        <v>0.17287486670328983</v>
      </c>
      <c r="H1874" s="1" cm="1">
        <f t="array" ref="H1874">SUMPRODUCT(([1]OUT_FinalEnergyCons!$B$4:$B$10000="Var_cap")*1,  (ISNUMBER(SEARCH("ITOT-SWHCOA*BR",[1]OUT_FinalEnergyCons!$A$4:$A$10000)))*1,[1]OUT_FinalEnergyCons!F$4:F$10000)</f>
        <v>1.0789784195546215E-3</v>
      </c>
      <c r="I1874" s="1" cm="1">
        <f t="array" ref="I1874">SUMPRODUCT(([1]OUT_FinalEnergyCons!$B$4:$B$10000="Var_cap")*1,  (ISNUMBER(SEARCH("ITOT-SWHCOA*BR",[1]OUT_FinalEnergyCons!$A$4:$A$10000)))*1,[1]OUT_FinalEnergyCons!G$4:G$10000)</f>
        <v>8.4629131383906486E-5</v>
      </c>
      <c r="J1874" s="1" cm="1">
        <f t="array" ref="J1874">SUMPRODUCT(([1]OUT_FinalEnergyCons!$B$4:$B$10000="Var_cap")*1,  (ISNUMBER(SEARCH("ITOT-SWHCOA*BR",[1]OUT_FinalEnergyCons!$A$4:$A$10000)))*1,[1]OUT_FinalEnergyCons!H$4:H$10000)</f>
        <v>1.0837599829359446E-4</v>
      </c>
      <c r="K1874" s="1" cm="1">
        <f t="array" ref="K1874">SUMPRODUCT(([1]OUT_FinalEnergyCons!$B$4:$B$10000="Var_cap")*1,  (ISNUMBER(SEARCH("ITOT-SWHCOA*BR",[1]OUT_FinalEnergyCons!$A$4:$A$10000)))*1,[1]OUT_FinalEnergyCons!I$4:I$10000)</f>
        <v>2.5169158087106562E-4</v>
      </c>
      <c r="L1874" s="1" cm="1">
        <f t="array" ref="L1874">SUMPRODUCT(([1]OUT_FinalEnergyCons!$B$4:$B$10000="Var_cap")*1,  (ISNUMBER(SEARCH("ITOT-SWHCOA*BR",[1]OUT_FinalEnergyCons!$A$4:$A$10000)))*1,[1]OUT_FinalEnergyCons!J$4:J$10000)</f>
        <v>1.2056428240474199E-4</v>
      </c>
      <c r="M1874" s="1" cm="1">
        <f t="array" ref="M1874">SUMPRODUCT(([1]OUT_FinalEnergyCons!$B$4:$B$10000="Var_cap")*1,  (ISNUMBER(SEARCH("ITOT-SWHCOA*BR",[1]OUT_FinalEnergyCons!$A$4:$A$10000)))*1,[1]OUT_FinalEnergyCons!K$4:K$10000)</f>
        <v>9.5360171801700858E-7</v>
      </c>
      <c r="N1874" s="1" cm="1">
        <f t="array" ref="N1874">SUMPRODUCT(([1]OUT_FinalEnergyCons!$B$4:$B$10000="Var_cap")*1,  (ISNUMBER(SEARCH("ITOT-SWHCOA*BR",[1]OUT_FinalEnergyCons!$A$4:$A$10000)))*1,[1]OUT_FinalEnergyCons!L$4:L$10000)</f>
        <v>5.1623330080558999E-6</v>
      </c>
      <c r="O1874" s="1" cm="1">
        <f t="array" ref="O1874">SUMPRODUCT(([1]OUT_FinalEnergyCons!$B$4:$B$10000="Var_cap")*1,  (ISNUMBER(SEARCH("ITOT-SWHCOA*BR",[1]OUT_FinalEnergyCons!$A$4:$A$10000)))*1,[1]OUT_FinalEnergyCons!M$4:M$10000)</f>
        <v>7.9590752324718191E-6</v>
      </c>
      <c r="P1874" s="1" cm="1">
        <f t="array" ref="P1874">SUMPRODUCT(([1]OUT_FinalEnergyCons!$B$4:$B$10000="Var_cap")*1,  (ISNUMBER(SEARCH("ITOT-SWHCOA*BR",[1]OUT_FinalEnergyCons!$A$4:$A$10000)))*1,[1]OUT_FinalEnergyCons!N$4:N$10000)</f>
        <v>7.6498842935816117E-6</v>
      </c>
      <c r="Q1874" s="1" cm="1">
        <f t="array" ref="Q1874">SUMPRODUCT(([1]OUT_FinalEnergyCons!$B$4:$B$10000="Var_cap")*1,  (ISNUMBER(SEARCH("ITOT-SWHCOA*BR",[1]OUT_FinalEnergyCons!$A$4:$A$10000)))*1,[1]OUT_FinalEnergyCons!O$4:O$10000)</f>
        <v>9.0347260060133914E-6</v>
      </c>
      <c r="S1874" s="3"/>
    </row>
    <row r="1875" spans="2:19" x14ac:dyDescent="0.5">
      <c r="B1875" s="5" t="str">
        <f t="shared" si="2113"/>
        <v>SPS1</v>
      </c>
      <c r="C1875" s="5" t="str">
        <f t="shared" si="2114"/>
        <v>CH</v>
      </c>
      <c r="D1875" t="s">
        <v>2105</v>
      </c>
      <c r="E1875" t="str">
        <f t="shared" si="2015"/>
        <v>GWth/yr.</v>
      </c>
      <c r="F1875" s="1">
        <f>F1876</f>
        <v>0.28883369534761499</v>
      </c>
      <c r="G1875" s="1">
        <f t="shared" ref="G1875:O1875" si="2118">G1876</f>
        <v>0.34338132255457748</v>
      </c>
      <c r="H1875" s="1">
        <f t="shared" si="2118"/>
        <v>0.34348639786074192</v>
      </c>
      <c r="I1875" s="1">
        <f t="shared" si="2118"/>
        <v>0.37500878349315631</v>
      </c>
      <c r="J1875" s="1">
        <f t="shared" si="2118"/>
        <v>0.38831900721350937</v>
      </c>
      <c r="K1875" s="1">
        <f t="shared" si="2118"/>
        <v>0.34948998828299743</v>
      </c>
      <c r="L1875" s="1">
        <f t="shared" si="2118"/>
        <v>0.34068229325672694</v>
      </c>
      <c r="M1875" s="1">
        <f t="shared" si="2118"/>
        <v>0.36239674154484686</v>
      </c>
      <c r="N1875" s="1">
        <f t="shared" si="2118"/>
        <v>0.3446150835025395</v>
      </c>
      <c r="O1875" s="1">
        <f t="shared" si="2118"/>
        <v>0.50054442855980241</v>
      </c>
      <c r="P1875" s="1">
        <f>P1876</f>
        <v>0.34021414457863991</v>
      </c>
      <c r="Q1875" s="1">
        <f>Q1876</f>
        <v>0.33884394417433999</v>
      </c>
      <c r="S1875" s="3"/>
    </row>
    <row r="1876" spans="2:19" x14ac:dyDescent="0.5">
      <c r="B1876" s="5" t="str">
        <f t="shared" si="2113"/>
        <v>SPS1</v>
      </c>
      <c r="C1876" s="5" t="str">
        <f t="shared" si="2114"/>
        <v>CH</v>
      </c>
      <c r="D1876" t="s">
        <v>2106</v>
      </c>
      <c r="E1876" t="str">
        <f t="shared" si="2015"/>
        <v>GWth/yr.</v>
      </c>
      <c r="F1876" s="1" cm="1">
        <f t="array" ref="F1876">SUMPRODUCT(([1]OUT_FinalEnergyCons!$B$4:$B$10000="Var_cap")*1,  (ISNUMBER(SEARCH("ITOT-SWHWOD*BR",[1]OUT_FinalEnergyCons!$A$4:$A$10000)))*1,[1]OUT_FinalEnergyCons!D$4:D$10000)</f>
        <v>0.28883369534761499</v>
      </c>
      <c r="G1876" s="1" cm="1">
        <f t="array" ref="G1876">SUMPRODUCT(([1]OUT_FinalEnergyCons!$B$4:$B$10000="Var_cap")*1,  (ISNUMBER(SEARCH("ITOT-SWHWOD*BR",[1]OUT_FinalEnergyCons!$A$4:$A$10000)))*1,[1]OUT_FinalEnergyCons!E$4:E$10000)</f>
        <v>0.34338132255457748</v>
      </c>
      <c r="H1876" s="1" cm="1">
        <f t="array" ref="H1876">SUMPRODUCT(([1]OUT_FinalEnergyCons!$B$4:$B$10000="Var_cap")*1,  (ISNUMBER(SEARCH("ITOT-SWHWOD*BR",[1]OUT_FinalEnergyCons!$A$4:$A$10000)))*1,[1]OUT_FinalEnergyCons!F$4:F$10000)</f>
        <v>0.34348639786074192</v>
      </c>
      <c r="I1876" s="1" cm="1">
        <f t="array" ref="I1876">SUMPRODUCT(([1]OUT_FinalEnergyCons!$B$4:$B$10000="Var_cap")*1,  (ISNUMBER(SEARCH("ITOT-SWHWOD*BR",[1]OUT_FinalEnergyCons!$A$4:$A$10000)))*1,[1]OUT_FinalEnergyCons!G$4:G$10000)</f>
        <v>0.37500878349315631</v>
      </c>
      <c r="J1876" s="1" cm="1">
        <f t="array" ref="J1876">SUMPRODUCT(([1]OUT_FinalEnergyCons!$B$4:$B$10000="Var_cap")*1,  (ISNUMBER(SEARCH("ITOT-SWHWOD*BR",[1]OUT_FinalEnergyCons!$A$4:$A$10000)))*1,[1]OUT_FinalEnergyCons!H$4:H$10000)</f>
        <v>0.38831900721350937</v>
      </c>
      <c r="K1876" s="1" cm="1">
        <f t="array" ref="K1876">SUMPRODUCT(([1]OUT_FinalEnergyCons!$B$4:$B$10000="Var_cap")*1,  (ISNUMBER(SEARCH("ITOT-SWHWOD*BR",[1]OUT_FinalEnergyCons!$A$4:$A$10000)))*1,[1]OUT_FinalEnergyCons!I$4:I$10000)</f>
        <v>0.34948998828299743</v>
      </c>
      <c r="L1876" s="1" cm="1">
        <f t="array" ref="L1876">SUMPRODUCT(([1]OUT_FinalEnergyCons!$B$4:$B$10000="Var_cap")*1,  (ISNUMBER(SEARCH("ITOT-SWHWOD*BR",[1]OUT_FinalEnergyCons!$A$4:$A$10000)))*1,[1]OUT_FinalEnergyCons!J$4:J$10000)</f>
        <v>0.34068229325672694</v>
      </c>
      <c r="M1876" s="1" cm="1">
        <f t="array" ref="M1876">SUMPRODUCT(([1]OUT_FinalEnergyCons!$B$4:$B$10000="Var_cap")*1,  (ISNUMBER(SEARCH("ITOT-SWHWOD*BR",[1]OUT_FinalEnergyCons!$A$4:$A$10000)))*1,[1]OUT_FinalEnergyCons!K$4:K$10000)</f>
        <v>0.36239674154484686</v>
      </c>
      <c r="N1876" s="1" cm="1">
        <f t="array" ref="N1876">SUMPRODUCT(([1]OUT_FinalEnergyCons!$B$4:$B$10000="Var_cap")*1,  (ISNUMBER(SEARCH("ITOT-SWHWOD*BR",[1]OUT_FinalEnergyCons!$A$4:$A$10000)))*1,[1]OUT_FinalEnergyCons!L$4:L$10000)</f>
        <v>0.3446150835025395</v>
      </c>
      <c r="O1876" s="1" cm="1">
        <f t="array" ref="O1876">SUMPRODUCT(([1]OUT_FinalEnergyCons!$B$4:$B$10000="Var_cap")*1,  (ISNUMBER(SEARCH("ITOT-SWHWOD*BR",[1]OUT_FinalEnergyCons!$A$4:$A$10000)))*1,[1]OUT_FinalEnergyCons!M$4:M$10000)</f>
        <v>0.50054442855980241</v>
      </c>
      <c r="P1876" s="1" cm="1">
        <f t="array" ref="P1876">SUMPRODUCT(([1]OUT_FinalEnergyCons!$B$4:$B$10000="Var_cap")*1,  (ISNUMBER(SEARCH("ITOT-SWHWOD*BR",[1]OUT_FinalEnergyCons!$A$4:$A$10000)))*1,[1]OUT_FinalEnergyCons!N$4:N$10000)</f>
        <v>0.34021414457863991</v>
      </c>
      <c r="Q1876" s="1" cm="1">
        <f t="array" ref="Q1876">SUMPRODUCT(([1]OUT_FinalEnergyCons!$B$4:$B$10000="Var_cap")*1,  (ISNUMBER(SEARCH("ITOT-SWHWOD*BR",[1]OUT_FinalEnergyCons!$A$4:$A$10000)))*1,[1]OUT_FinalEnergyCons!O$4:O$10000)</f>
        <v>0.33884394417433999</v>
      </c>
      <c r="S1876" s="3"/>
    </row>
    <row r="1877" spans="2:19" x14ac:dyDescent="0.5">
      <c r="B1877" s="5" t="str">
        <f t="shared" si="2113"/>
        <v>SPS1</v>
      </c>
      <c r="C1877" s="5" t="str">
        <f t="shared" si="2114"/>
        <v>CH</v>
      </c>
      <c r="D1877" t="s">
        <v>2107</v>
      </c>
      <c r="E1877" t="str">
        <f t="shared" si="2015"/>
        <v>GWth/yr.</v>
      </c>
      <c r="F1877" s="1">
        <f>F1878</f>
        <v>2.9860759506449799E-2</v>
      </c>
      <c r="G1877" s="1">
        <f t="shared" ref="G1877:O1877" si="2119">G1878</f>
        <v>3.8088266260161562E-2</v>
      </c>
      <c r="H1877" s="1">
        <f t="shared" si="2119"/>
        <v>3.8248112574610256E-2</v>
      </c>
      <c r="I1877" s="1">
        <f t="shared" si="2119"/>
        <v>4.1754145538173228E-2</v>
      </c>
      <c r="J1877" s="1">
        <f t="shared" si="2119"/>
        <v>4.2902593023464351E-2</v>
      </c>
      <c r="K1877" s="1">
        <f t="shared" si="2119"/>
        <v>4.1630523421027424E-2</v>
      </c>
      <c r="L1877" s="1">
        <f t="shared" si="2119"/>
        <v>4.5125032258321936E-2</v>
      </c>
      <c r="M1877" s="1">
        <f t="shared" si="2119"/>
        <v>4.1512299933720423E-2</v>
      </c>
      <c r="N1877" s="1">
        <f t="shared" si="2119"/>
        <v>4.0851395269875093E-2</v>
      </c>
      <c r="O1877" s="1">
        <f t="shared" si="2119"/>
        <v>3.8939966057784492E-2</v>
      </c>
      <c r="P1877" s="1">
        <f>P1878</f>
        <v>4.1283022487562694E-2</v>
      </c>
      <c r="Q1877" s="1">
        <f>Q1878</f>
        <v>3.535241274398674E-2</v>
      </c>
      <c r="S1877" s="3"/>
    </row>
    <row r="1878" spans="2:19" x14ac:dyDescent="0.5">
      <c r="B1878" s="5" t="str">
        <f t="shared" si="2113"/>
        <v>SPS1</v>
      </c>
      <c r="C1878" s="5" t="str">
        <f t="shared" si="2114"/>
        <v>CH</v>
      </c>
      <c r="D1878" t="s">
        <v>2108</v>
      </c>
      <c r="E1878" t="str">
        <f t="shared" si="2015"/>
        <v>GWth/yr.</v>
      </c>
      <c r="F1878" s="1" cm="1">
        <f t="array" ref="F1878">SUMPRODUCT(([1]OUT_FinalEnergyCons!$B$4:$B$10000="Var_cap")*1,  (ISNUMBER(SEARCH("ITOT-SWHPLT*BR",[1]OUT_FinalEnergyCons!$A$4:$A$10000)))*1,[1]OUT_FinalEnergyCons!D$4:D$10000)</f>
        <v>2.9860759506449799E-2</v>
      </c>
      <c r="G1878" s="1" cm="1">
        <f t="array" ref="G1878">SUMPRODUCT(([1]OUT_FinalEnergyCons!$B$4:$B$10000="Var_cap")*1,  (ISNUMBER(SEARCH("ITOT-SWHPLT*BR",[1]OUT_FinalEnergyCons!$A$4:$A$10000)))*1,[1]OUT_FinalEnergyCons!E$4:E$10000)</f>
        <v>3.8088266260161562E-2</v>
      </c>
      <c r="H1878" s="1" cm="1">
        <f t="array" ref="H1878">SUMPRODUCT(([1]OUT_FinalEnergyCons!$B$4:$B$10000="Var_cap")*1,  (ISNUMBER(SEARCH("ITOT-SWHPLT*BR",[1]OUT_FinalEnergyCons!$A$4:$A$10000)))*1,[1]OUT_FinalEnergyCons!F$4:F$10000)</f>
        <v>3.8248112574610256E-2</v>
      </c>
      <c r="I1878" s="1" cm="1">
        <f t="array" ref="I1878">SUMPRODUCT(([1]OUT_FinalEnergyCons!$B$4:$B$10000="Var_cap")*1,  (ISNUMBER(SEARCH("ITOT-SWHPLT*BR",[1]OUT_FinalEnergyCons!$A$4:$A$10000)))*1,[1]OUT_FinalEnergyCons!G$4:G$10000)</f>
        <v>4.1754145538173228E-2</v>
      </c>
      <c r="J1878" s="1" cm="1">
        <f t="array" ref="J1878">SUMPRODUCT(([1]OUT_FinalEnergyCons!$B$4:$B$10000="Var_cap")*1,  (ISNUMBER(SEARCH("ITOT-SWHPLT*BR",[1]OUT_FinalEnergyCons!$A$4:$A$10000)))*1,[1]OUT_FinalEnergyCons!H$4:H$10000)</f>
        <v>4.2902593023464351E-2</v>
      </c>
      <c r="K1878" s="1" cm="1">
        <f t="array" ref="K1878">SUMPRODUCT(([1]OUT_FinalEnergyCons!$B$4:$B$10000="Var_cap")*1,  (ISNUMBER(SEARCH("ITOT-SWHPLT*BR",[1]OUT_FinalEnergyCons!$A$4:$A$10000)))*1,[1]OUT_FinalEnergyCons!I$4:I$10000)</f>
        <v>4.1630523421027424E-2</v>
      </c>
      <c r="L1878" s="1" cm="1">
        <f t="array" ref="L1878">SUMPRODUCT(([1]OUT_FinalEnergyCons!$B$4:$B$10000="Var_cap")*1,  (ISNUMBER(SEARCH("ITOT-SWHPLT*BR",[1]OUT_FinalEnergyCons!$A$4:$A$10000)))*1,[1]OUT_FinalEnergyCons!J$4:J$10000)</f>
        <v>4.5125032258321936E-2</v>
      </c>
      <c r="M1878" s="1" cm="1">
        <f t="array" ref="M1878">SUMPRODUCT(([1]OUT_FinalEnergyCons!$B$4:$B$10000="Var_cap")*1,  (ISNUMBER(SEARCH("ITOT-SWHPLT*BR",[1]OUT_FinalEnergyCons!$A$4:$A$10000)))*1,[1]OUT_FinalEnergyCons!K$4:K$10000)</f>
        <v>4.1512299933720423E-2</v>
      </c>
      <c r="N1878" s="1" cm="1">
        <f t="array" ref="N1878">SUMPRODUCT(([1]OUT_FinalEnergyCons!$B$4:$B$10000="Var_cap")*1,  (ISNUMBER(SEARCH("ITOT-SWHPLT*BR",[1]OUT_FinalEnergyCons!$A$4:$A$10000)))*1,[1]OUT_FinalEnergyCons!L$4:L$10000)</f>
        <v>4.0851395269875093E-2</v>
      </c>
      <c r="O1878" s="1" cm="1">
        <f t="array" ref="O1878">SUMPRODUCT(([1]OUT_FinalEnergyCons!$B$4:$B$10000="Var_cap")*1,  (ISNUMBER(SEARCH("ITOT-SWHPLT*BR",[1]OUT_FinalEnergyCons!$A$4:$A$10000)))*1,[1]OUT_FinalEnergyCons!M$4:M$10000)</f>
        <v>3.8939966057784492E-2</v>
      </c>
      <c r="P1878" s="1" cm="1">
        <f t="array" ref="P1878">SUMPRODUCT(([1]OUT_FinalEnergyCons!$B$4:$B$10000="Var_cap")*1,  (ISNUMBER(SEARCH("ITOT-SWHPLT*BR",[1]OUT_FinalEnergyCons!$A$4:$A$10000)))*1,[1]OUT_FinalEnergyCons!N$4:N$10000)</f>
        <v>4.1283022487562694E-2</v>
      </c>
      <c r="Q1878" s="1" cm="1">
        <f t="array" ref="Q1878">SUMPRODUCT(([1]OUT_FinalEnergyCons!$B$4:$B$10000="Var_cap")*1,  (ISNUMBER(SEARCH("ITOT-SWHPLT*BR",[1]OUT_FinalEnergyCons!$A$4:$A$10000)))*1,[1]OUT_FinalEnergyCons!O$4:O$10000)</f>
        <v>3.535241274398674E-2</v>
      </c>
      <c r="S1878" s="3"/>
    </row>
    <row r="1879" spans="2:19" x14ac:dyDescent="0.5">
      <c r="B1879" s="5" t="str">
        <f t="shared" si="2113"/>
        <v>SPS1</v>
      </c>
      <c r="C1879" s="5" t="str">
        <f t="shared" si="2114"/>
        <v>CH</v>
      </c>
      <c r="D1879" t="s">
        <v>2109</v>
      </c>
      <c r="E1879" t="str">
        <f t="shared" si="2015"/>
        <v>GWth/yr.</v>
      </c>
      <c r="F1879" s="1">
        <f>F1880</f>
        <v>0.35954682816669398</v>
      </c>
      <c r="G1879" s="1">
        <f t="shared" ref="G1879:O1879" si="2120">G1880</f>
        <v>0.29402032493846514</v>
      </c>
      <c r="H1879" s="1">
        <f t="shared" si="2120"/>
        <v>0.28204495577821681</v>
      </c>
      <c r="I1879" s="1">
        <f t="shared" si="2120"/>
        <v>0.25551058338268168</v>
      </c>
      <c r="J1879" s="1">
        <f t="shared" si="2120"/>
        <v>0.23711338902422568</v>
      </c>
      <c r="K1879" s="1">
        <f t="shared" si="2120"/>
        <v>0.19844122485858554</v>
      </c>
      <c r="L1879" s="1">
        <f t="shared" si="2120"/>
        <v>0.19833597760377464</v>
      </c>
      <c r="M1879" s="1">
        <f t="shared" si="2120"/>
        <v>7.7475128272820257E-4</v>
      </c>
      <c r="N1879" s="1">
        <f t="shared" si="2120"/>
        <v>3.8774935255714987E-4</v>
      </c>
      <c r="O1879" s="1">
        <f t="shared" si="2120"/>
        <v>1.7965233009843901E-4</v>
      </c>
      <c r="P1879" s="1">
        <f>P1880</f>
        <v>1.18499505033111E-4</v>
      </c>
      <c r="Q1879" s="1">
        <f>Q1880</f>
        <v>6.4770061981713102E-5</v>
      </c>
      <c r="S1879" s="3"/>
    </row>
    <row r="1880" spans="2:19" x14ac:dyDescent="0.5">
      <c r="B1880" s="5" t="str">
        <f t="shared" si="2113"/>
        <v>SPS1</v>
      </c>
      <c r="C1880" s="5" t="str">
        <f t="shared" si="2114"/>
        <v>CH</v>
      </c>
      <c r="D1880" t="s">
        <v>2110</v>
      </c>
      <c r="E1880" t="str">
        <f t="shared" si="2015"/>
        <v>GWth/yr.</v>
      </c>
      <c r="F1880" s="1" cm="1">
        <f t="array" ref="F1880">SUMPRODUCT(([1]OUT_FinalEnergyCons!$B$4:$B$10000="Var_cap")*1,  (ISNUMBER(SEARCH("ITOT-SWHWST*BR",[1]OUT_FinalEnergyCons!$A$4:$A$10000)))*1,[1]OUT_FinalEnergyCons!D$4:D$10000)</f>
        <v>0.35954682816669398</v>
      </c>
      <c r="G1880" s="1" cm="1">
        <f t="array" ref="G1880">SUMPRODUCT(([1]OUT_FinalEnergyCons!$B$4:$B$10000="Var_cap")*1,  (ISNUMBER(SEARCH("ITOT-SWHWST*BR",[1]OUT_FinalEnergyCons!$A$4:$A$10000)))*1,[1]OUT_FinalEnergyCons!E$4:E$10000)</f>
        <v>0.29402032493846514</v>
      </c>
      <c r="H1880" s="1" cm="1">
        <f t="array" ref="H1880">SUMPRODUCT(([1]OUT_FinalEnergyCons!$B$4:$B$10000="Var_cap")*1,  (ISNUMBER(SEARCH("ITOT-SWHWST*BR",[1]OUT_FinalEnergyCons!$A$4:$A$10000)))*1,[1]OUT_FinalEnergyCons!F$4:F$10000)</f>
        <v>0.28204495577821681</v>
      </c>
      <c r="I1880" s="1" cm="1">
        <f t="array" ref="I1880">SUMPRODUCT(([1]OUT_FinalEnergyCons!$B$4:$B$10000="Var_cap")*1,  (ISNUMBER(SEARCH("ITOT-SWHWST*BR",[1]OUT_FinalEnergyCons!$A$4:$A$10000)))*1,[1]OUT_FinalEnergyCons!G$4:G$10000)</f>
        <v>0.25551058338268168</v>
      </c>
      <c r="J1880" s="1" cm="1">
        <f t="array" ref="J1880">SUMPRODUCT(([1]OUT_FinalEnergyCons!$B$4:$B$10000="Var_cap")*1,  (ISNUMBER(SEARCH("ITOT-SWHWST*BR",[1]OUT_FinalEnergyCons!$A$4:$A$10000)))*1,[1]OUT_FinalEnergyCons!H$4:H$10000)</f>
        <v>0.23711338902422568</v>
      </c>
      <c r="K1880" s="1" cm="1">
        <f t="array" ref="K1880">SUMPRODUCT(([1]OUT_FinalEnergyCons!$B$4:$B$10000="Var_cap")*1,  (ISNUMBER(SEARCH("ITOT-SWHWST*BR",[1]OUT_FinalEnergyCons!$A$4:$A$10000)))*1,[1]OUT_FinalEnergyCons!I$4:I$10000)</f>
        <v>0.19844122485858554</v>
      </c>
      <c r="L1880" s="1" cm="1">
        <f t="array" ref="L1880">SUMPRODUCT(([1]OUT_FinalEnergyCons!$B$4:$B$10000="Var_cap")*1,  (ISNUMBER(SEARCH("ITOT-SWHWST*BR",[1]OUT_FinalEnergyCons!$A$4:$A$10000)))*1,[1]OUT_FinalEnergyCons!J$4:J$10000)</f>
        <v>0.19833597760377464</v>
      </c>
      <c r="M1880" s="1" cm="1">
        <f t="array" ref="M1880">SUMPRODUCT(([1]OUT_FinalEnergyCons!$B$4:$B$10000="Var_cap")*1,  (ISNUMBER(SEARCH("ITOT-SWHWST*BR",[1]OUT_FinalEnergyCons!$A$4:$A$10000)))*1,[1]OUT_FinalEnergyCons!K$4:K$10000)</f>
        <v>7.7475128272820257E-4</v>
      </c>
      <c r="N1880" s="1" cm="1">
        <f t="array" ref="N1880">SUMPRODUCT(([1]OUT_FinalEnergyCons!$B$4:$B$10000="Var_cap")*1,  (ISNUMBER(SEARCH("ITOT-SWHWST*BR",[1]OUT_FinalEnergyCons!$A$4:$A$10000)))*1,[1]OUT_FinalEnergyCons!L$4:L$10000)</f>
        <v>3.8774935255714987E-4</v>
      </c>
      <c r="O1880" s="1" cm="1">
        <f t="array" ref="O1880">SUMPRODUCT(([1]OUT_FinalEnergyCons!$B$4:$B$10000="Var_cap")*1,  (ISNUMBER(SEARCH("ITOT-SWHWST*BR",[1]OUT_FinalEnergyCons!$A$4:$A$10000)))*1,[1]OUT_FinalEnergyCons!M$4:M$10000)</f>
        <v>1.7965233009843901E-4</v>
      </c>
      <c r="P1880" s="1" cm="1">
        <f t="array" ref="P1880">SUMPRODUCT(([1]OUT_FinalEnergyCons!$B$4:$B$10000="Var_cap")*1,  (ISNUMBER(SEARCH("ITOT-SWHWST*BR",[1]OUT_FinalEnergyCons!$A$4:$A$10000)))*1,[1]OUT_FinalEnergyCons!N$4:N$10000)</f>
        <v>1.18499505033111E-4</v>
      </c>
      <c r="Q1880" s="1" cm="1">
        <f t="array" ref="Q1880">SUMPRODUCT(([1]OUT_FinalEnergyCons!$B$4:$B$10000="Var_cap")*1,  (ISNUMBER(SEARCH("ITOT-SWHWST*BR",[1]OUT_FinalEnergyCons!$A$4:$A$10000)))*1,[1]OUT_FinalEnergyCons!O$4:O$10000)</f>
        <v>6.4770061981713102E-5</v>
      </c>
      <c r="S1880" s="3"/>
    </row>
    <row r="1881" spans="2:19" x14ac:dyDescent="0.5">
      <c r="B1881" s="5" t="str">
        <f t="shared" si="2113"/>
        <v>SPS1</v>
      </c>
      <c r="C1881" s="5" t="str">
        <f t="shared" si="2114"/>
        <v>CH</v>
      </c>
      <c r="D1881" t="s">
        <v>2111</v>
      </c>
      <c r="E1881" t="str">
        <f t="shared" si="2015"/>
        <v>GWth/yr.</v>
      </c>
      <c r="F1881" s="1">
        <f>F1882</f>
        <v>9.8214799778629808E-3</v>
      </c>
      <c r="G1881" s="1">
        <f t="shared" ref="G1881:O1881" si="2121">G1882</f>
        <v>1.2522606883406201E-2</v>
      </c>
      <c r="H1881" s="1">
        <f t="shared" si="2121"/>
        <v>1.2524100872642651E-2</v>
      </c>
      <c r="I1881" s="1">
        <f t="shared" si="2121"/>
        <v>1.2526030457683661E-2</v>
      </c>
      <c r="J1881" s="1">
        <f t="shared" si="2121"/>
        <v>1.2527261225670591E-2</v>
      </c>
      <c r="K1881" s="1">
        <f t="shared" si="2121"/>
        <v>1.2577758885578201E-2</v>
      </c>
      <c r="L1881" s="1">
        <f t="shared" si="2121"/>
        <v>1.2746022080238501E-2</v>
      </c>
      <c r="M1881" s="1">
        <f t="shared" si="2121"/>
        <v>1.2769056444008799E-2</v>
      </c>
      <c r="N1881" s="1">
        <f t="shared" si="2121"/>
        <v>1.27701202283826E-2</v>
      </c>
      <c r="O1881" s="1">
        <f t="shared" si="2121"/>
        <v>1.27726367876798E-2</v>
      </c>
      <c r="P1881" s="1">
        <f>P1882</f>
        <v>1.2776428154227099E-2</v>
      </c>
      <c r="Q1881" s="1">
        <f>Q1882</f>
        <v>1.27914783787714E-2</v>
      </c>
      <c r="S1881" s="3"/>
    </row>
    <row r="1882" spans="2:19" x14ac:dyDescent="0.5">
      <c r="B1882" s="5" t="str">
        <f t="shared" si="2113"/>
        <v>SPS1</v>
      </c>
      <c r="C1882" s="5" t="str">
        <f t="shared" si="2114"/>
        <v>CH</v>
      </c>
      <c r="D1882" t="s">
        <v>2112</v>
      </c>
      <c r="E1882" t="str">
        <f t="shared" si="2015"/>
        <v>GWth/yr.</v>
      </c>
      <c r="F1882" s="1" cm="1">
        <f t="array" ref="F1882">SUMPRODUCT(([1]OUT_FinalEnergyCons!$B$4:$B$10000="Var_cap")*1, (ISNUMBER(SEARCH("ITOT-SWHSOLBR",[1]OUT_FinalEnergyCons!$A$4:$A$10000)))*1,[1]OUT_FinalEnergyCons!D$4:D$10000)</f>
        <v>9.8214799778629808E-3</v>
      </c>
      <c r="G1882" s="1" cm="1">
        <f t="array" ref="G1882">SUMPRODUCT(([1]OUT_FinalEnergyCons!$B$4:$B$10000="Var_cap")*1, (ISNUMBER(SEARCH("ITOT-SWHSOLBR",[1]OUT_FinalEnergyCons!$A$4:$A$10000)))*1,[1]OUT_FinalEnergyCons!E$4:E$10000)</f>
        <v>1.2522606883406201E-2</v>
      </c>
      <c r="H1882" s="1" cm="1">
        <f t="array" ref="H1882">SUMPRODUCT(([1]OUT_FinalEnergyCons!$B$4:$B$10000="Var_cap")*1, (ISNUMBER(SEARCH("ITOT-SWHSOLBR",[1]OUT_FinalEnergyCons!$A$4:$A$10000)))*1,[1]OUT_FinalEnergyCons!F$4:F$10000)</f>
        <v>1.2524100872642651E-2</v>
      </c>
      <c r="I1882" s="1" cm="1">
        <f t="array" ref="I1882">SUMPRODUCT(([1]OUT_FinalEnergyCons!$B$4:$B$10000="Var_cap")*1, (ISNUMBER(SEARCH("ITOT-SWHSOLBR",[1]OUT_FinalEnergyCons!$A$4:$A$10000)))*1,[1]OUT_FinalEnergyCons!G$4:G$10000)</f>
        <v>1.2526030457683661E-2</v>
      </c>
      <c r="J1882" s="1" cm="1">
        <f t="array" ref="J1882">SUMPRODUCT(([1]OUT_FinalEnergyCons!$B$4:$B$10000="Var_cap")*1, (ISNUMBER(SEARCH("ITOT-SWHSOLBR",[1]OUT_FinalEnergyCons!$A$4:$A$10000)))*1,[1]OUT_FinalEnergyCons!H$4:H$10000)</f>
        <v>1.2527261225670591E-2</v>
      </c>
      <c r="K1882" s="1" cm="1">
        <f t="array" ref="K1882">SUMPRODUCT(([1]OUT_FinalEnergyCons!$B$4:$B$10000="Var_cap")*1, (ISNUMBER(SEARCH("ITOT-SWHSOLBR",[1]OUT_FinalEnergyCons!$A$4:$A$10000)))*1,[1]OUT_FinalEnergyCons!I$4:I$10000)</f>
        <v>1.2577758885578201E-2</v>
      </c>
      <c r="L1882" s="1" cm="1">
        <f t="array" ref="L1882">SUMPRODUCT(([1]OUT_FinalEnergyCons!$B$4:$B$10000="Var_cap")*1, (ISNUMBER(SEARCH("ITOT-SWHSOLBR",[1]OUT_FinalEnergyCons!$A$4:$A$10000)))*1,[1]OUT_FinalEnergyCons!J$4:J$10000)</f>
        <v>1.2746022080238501E-2</v>
      </c>
      <c r="M1882" s="1" cm="1">
        <f t="array" ref="M1882">SUMPRODUCT(([1]OUT_FinalEnergyCons!$B$4:$B$10000="Var_cap")*1, (ISNUMBER(SEARCH("ITOT-SWHSOLBR",[1]OUT_FinalEnergyCons!$A$4:$A$10000)))*1,[1]OUT_FinalEnergyCons!K$4:K$10000)</f>
        <v>1.2769056444008799E-2</v>
      </c>
      <c r="N1882" s="1" cm="1">
        <f t="array" ref="N1882">SUMPRODUCT(([1]OUT_FinalEnergyCons!$B$4:$B$10000="Var_cap")*1, (ISNUMBER(SEARCH("ITOT-SWHSOLBR",[1]OUT_FinalEnergyCons!$A$4:$A$10000)))*1,[1]OUT_FinalEnergyCons!L$4:L$10000)</f>
        <v>1.27701202283826E-2</v>
      </c>
      <c r="O1882" s="1" cm="1">
        <f t="array" ref="O1882">SUMPRODUCT(([1]OUT_FinalEnergyCons!$B$4:$B$10000="Var_cap")*1, (ISNUMBER(SEARCH("ITOT-SWHSOLBR",[1]OUT_FinalEnergyCons!$A$4:$A$10000)))*1,[1]OUT_FinalEnergyCons!M$4:M$10000)</f>
        <v>1.27726367876798E-2</v>
      </c>
      <c r="P1882" s="1" cm="1">
        <f t="array" ref="P1882">SUMPRODUCT(([1]OUT_FinalEnergyCons!$B$4:$B$10000="Var_cap")*1, (ISNUMBER(SEARCH("ITOT-SWHSOLBR",[1]OUT_FinalEnergyCons!$A$4:$A$10000)))*1,[1]OUT_FinalEnergyCons!N$4:N$10000)</f>
        <v>1.2776428154227099E-2</v>
      </c>
      <c r="Q1882" s="1" cm="1">
        <f t="array" ref="Q1882">SUMPRODUCT(([1]OUT_FinalEnergyCons!$B$4:$B$10000="Var_cap")*1, (ISNUMBER(SEARCH("ITOT-SWHSOLBR",[1]OUT_FinalEnergyCons!$A$4:$A$10000)))*1,[1]OUT_FinalEnergyCons!O$4:O$10000)</f>
        <v>1.27914783787714E-2</v>
      </c>
      <c r="S1882" s="3"/>
    </row>
    <row r="1883" spans="2:19" x14ac:dyDescent="0.5">
      <c r="B1883" s="5" t="str">
        <f t="shared" si="2113"/>
        <v>SPS1</v>
      </c>
      <c r="C1883" s="5" t="str">
        <f t="shared" si="2114"/>
        <v>CH</v>
      </c>
      <c r="D1883" t="s">
        <v>2113</v>
      </c>
      <c r="E1883" t="str">
        <f t="shared" si="2015"/>
        <v>GWth/yr.</v>
      </c>
      <c r="F1883" s="1">
        <f>F1884</f>
        <v>0</v>
      </c>
      <c r="G1883" s="1">
        <f t="shared" ref="G1883:O1883" si="2122">G1884</f>
        <v>0</v>
      </c>
      <c r="H1883" s="1">
        <f t="shared" si="2122"/>
        <v>0</v>
      </c>
      <c r="I1883" s="1">
        <f t="shared" si="2122"/>
        <v>0</v>
      </c>
      <c r="J1883" s="1">
        <f t="shared" si="2122"/>
        <v>0.37621962685518101</v>
      </c>
      <c r="K1883" s="1">
        <f t="shared" si="2122"/>
        <v>0.55886476303526789</v>
      </c>
      <c r="L1883" s="1">
        <f t="shared" si="2122"/>
        <v>0.55899748392824855</v>
      </c>
      <c r="M1883" s="1">
        <f t="shared" si="2122"/>
        <v>0.58790058454816485</v>
      </c>
      <c r="N1883" s="1">
        <f t="shared" si="2122"/>
        <v>0.65590616635762999</v>
      </c>
      <c r="O1883" s="1">
        <f t="shared" si="2122"/>
        <v>0.69090896550791558</v>
      </c>
      <c r="P1883" s="1">
        <f>P1884</f>
        <v>0.67874543806337095</v>
      </c>
      <c r="Q1883" s="1">
        <f>Q1884</f>
        <v>0.68685438683058619</v>
      </c>
      <c r="S1883" s="3"/>
    </row>
    <row r="1884" spans="2:19" x14ac:dyDescent="0.5">
      <c r="B1884" s="5" t="str">
        <f t="shared" si="2113"/>
        <v>SPS1</v>
      </c>
      <c r="C1884" s="5" t="str">
        <f t="shared" si="2114"/>
        <v>CH</v>
      </c>
      <c r="D1884" t="s">
        <v>2114</v>
      </c>
      <c r="E1884" t="str">
        <f t="shared" si="2015"/>
        <v>GWth/yr.</v>
      </c>
      <c r="F1884" s="1" cm="1">
        <f t="array" ref="F1884">SUMPRODUCT(([1]OUT_FinalEnergyCons!$B$4:$B$10000="Var_cap")*1, (ISNUMBER(SEARCH("ITOT-SWHH2BR",[1]OUT_FinalEnergyCons!$A$4:$A$10000)))*1,[1]OUT_FinalEnergyCons!D$4:D$10000)</f>
        <v>0</v>
      </c>
      <c r="G1884" s="1" cm="1">
        <f t="array" ref="G1884">SUMPRODUCT(([1]OUT_FinalEnergyCons!$B$4:$B$10000="Var_cap")*1, (ISNUMBER(SEARCH("ITOT-SWHH2BR",[1]OUT_FinalEnergyCons!$A$4:$A$10000)))*1,[1]OUT_FinalEnergyCons!E$4:E$10000)</f>
        <v>0</v>
      </c>
      <c r="H1884" s="1" cm="1">
        <f t="array" ref="H1884">SUMPRODUCT(([1]OUT_FinalEnergyCons!$B$4:$B$10000="Var_cap")*1, (ISNUMBER(SEARCH("ITOT-SWHH2BR",[1]OUT_FinalEnergyCons!$A$4:$A$10000)))*1,[1]OUT_FinalEnergyCons!F$4:F$10000)</f>
        <v>0</v>
      </c>
      <c r="I1884" s="1" cm="1">
        <f t="array" ref="I1884">SUMPRODUCT(([1]OUT_FinalEnergyCons!$B$4:$B$10000="Var_cap")*1, (ISNUMBER(SEARCH("ITOT-SWHH2BR",[1]OUT_FinalEnergyCons!$A$4:$A$10000)))*1,[1]OUT_FinalEnergyCons!G$4:G$10000)</f>
        <v>0</v>
      </c>
      <c r="J1884" s="1" cm="1">
        <f t="array" ref="J1884">SUMPRODUCT(([1]OUT_FinalEnergyCons!$B$4:$B$10000="Var_cap")*1, (ISNUMBER(SEARCH("ITOT-SWHH2BR",[1]OUT_FinalEnergyCons!$A$4:$A$10000)))*1,[1]OUT_FinalEnergyCons!H$4:H$10000)</f>
        <v>0.37621962685518101</v>
      </c>
      <c r="K1884" s="1" cm="1">
        <f t="array" ref="K1884">SUMPRODUCT(([1]OUT_FinalEnergyCons!$B$4:$B$10000="Var_cap")*1, (ISNUMBER(SEARCH("ITOT-SWHH2BR",[1]OUT_FinalEnergyCons!$A$4:$A$10000)))*1,[1]OUT_FinalEnergyCons!I$4:I$10000)</f>
        <v>0.55886476303526789</v>
      </c>
      <c r="L1884" s="1" cm="1">
        <f t="array" ref="L1884">SUMPRODUCT(([1]OUT_FinalEnergyCons!$B$4:$B$10000="Var_cap")*1, (ISNUMBER(SEARCH("ITOT-SWHH2BR",[1]OUT_FinalEnergyCons!$A$4:$A$10000)))*1,[1]OUT_FinalEnergyCons!J$4:J$10000)</f>
        <v>0.55899748392824855</v>
      </c>
      <c r="M1884" s="1" cm="1">
        <f t="array" ref="M1884">SUMPRODUCT(([1]OUT_FinalEnergyCons!$B$4:$B$10000="Var_cap")*1, (ISNUMBER(SEARCH("ITOT-SWHH2BR",[1]OUT_FinalEnergyCons!$A$4:$A$10000)))*1,[1]OUT_FinalEnergyCons!K$4:K$10000)</f>
        <v>0.58790058454816485</v>
      </c>
      <c r="N1884" s="1" cm="1">
        <f t="array" ref="N1884">SUMPRODUCT(([1]OUT_FinalEnergyCons!$B$4:$B$10000="Var_cap")*1, (ISNUMBER(SEARCH("ITOT-SWHH2BR",[1]OUT_FinalEnergyCons!$A$4:$A$10000)))*1,[1]OUT_FinalEnergyCons!L$4:L$10000)</f>
        <v>0.65590616635762999</v>
      </c>
      <c r="O1884" s="1" cm="1">
        <f t="array" ref="O1884">SUMPRODUCT(([1]OUT_FinalEnergyCons!$B$4:$B$10000="Var_cap")*1, (ISNUMBER(SEARCH("ITOT-SWHH2BR",[1]OUT_FinalEnergyCons!$A$4:$A$10000)))*1,[1]OUT_FinalEnergyCons!M$4:M$10000)</f>
        <v>0.69090896550791558</v>
      </c>
      <c r="P1884" s="1" cm="1">
        <f t="array" ref="P1884">SUMPRODUCT(([1]OUT_FinalEnergyCons!$B$4:$B$10000="Var_cap")*1, (ISNUMBER(SEARCH("ITOT-SWHH2BR",[1]OUT_FinalEnergyCons!$A$4:$A$10000)))*1,[1]OUT_FinalEnergyCons!N$4:N$10000)</f>
        <v>0.67874543806337095</v>
      </c>
      <c r="Q1884" s="1" cm="1">
        <f t="array" ref="Q1884">SUMPRODUCT(([1]OUT_FinalEnergyCons!$B$4:$B$10000="Var_cap")*1, (ISNUMBER(SEARCH("ITOT-SWHH2BR",[1]OUT_FinalEnergyCons!$A$4:$A$10000)))*1,[1]OUT_FinalEnergyCons!O$4:O$10000)</f>
        <v>0.68685438683058619</v>
      </c>
      <c r="S1884" s="3"/>
    </row>
    <row r="1885" spans="2:19" x14ac:dyDescent="0.5">
      <c r="B1885" s="9" t="str">
        <f>B1813</f>
        <v>SPS1</v>
      </c>
      <c r="C1885" s="9" t="str">
        <f>C1813</f>
        <v>CH</v>
      </c>
      <c r="D1885" s="2" t="s">
        <v>1900</v>
      </c>
      <c r="E1885" s="9" t="str">
        <f t="shared" si="2015"/>
        <v>GWth/yr.</v>
      </c>
      <c r="F1885" s="17">
        <f>SUM(F1886,F1889,F1891,F1895,F1897,F1899,F1901)</f>
        <v>6.1442854742658186</v>
      </c>
      <c r="G1885" s="17">
        <f t="shared" ref="G1885:K1885" si="2123">SUM(G1886,G1889,G1891,G1895,G1897,G1899,G1901)</f>
        <v>5.9916830093328457</v>
      </c>
      <c r="H1885" s="17">
        <f t="shared" si="2123"/>
        <v>6.142366289509682</v>
      </c>
      <c r="I1885" s="17">
        <f t="shared" si="2123"/>
        <v>6.1899036422290576</v>
      </c>
      <c r="J1885" s="17">
        <f t="shared" si="2123"/>
        <v>4.3871015391206987</v>
      </c>
      <c r="K1885" s="17">
        <f t="shared" si="2123"/>
        <v>4.6808755647168629</v>
      </c>
      <c r="L1885" s="17">
        <f t="shared" ref="L1885:O1885" si="2124">SUM(L1886,L1889,L1891,L1895,L1897,L1899,L1901)</f>
        <v>4.5452282335724403</v>
      </c>
      <c r="M1885" s="17">
        <f t="shared" si="2124"/>
        <v>4.5210648898489083</v>
      </c>
      <c r="N1885" s="17">
        <f t="shared" si="2124"/>
        <v>4.4383760401516437</v>
      </c>
      <c r="O1885" s="17">
        <f t="shared" si="2124"/>
        <v>4.3814441311844288</v>
      </c>
      <c r="P1885" s="17">
        <f>SUM(P1886,P1889,P1891,P1895,P1897,P1899,P1901)</f>
        <v>4.3530490800024841</v>
      </c>
      <c r="Q1885" s="17">
        <f>SUM(Q1886,Q1889,Q1891,Q1895,Q1897,Q1899,Q1901)</f>
        <v>4.4891430404992247</v>
      </c>
      <c r="S1885" s="3"/>
    </row>
    <row r="1886" spans="2:19" x14ac:dyDescent="0.5">
      <c r="B1886" s="5" t="str">
        <f>B1885</f>
        <v>SPS1</v>
      </c>
      <c r="C1886" s="5" t="str">
        <f>C1885</f>
        <v>CH</v>
      </c>
      <c r="D1886" t="s">
        <v>1901</v>
      </c>
      <c r="E1886" t="str">
        <f t="shared" si="2015"/>
        <v>GWth/yr.</v>
      </c>
      <c r="F1886" s="1">
        <f>SUM(F1887:F1888)</f>
        <v>0.61561419051956567</v>
      </c>
      <c r="G1886" s="1">
        <f t="shared" ref="G1886:K1886" si="2125">SUM(G1887:G1888)</f>
        <v>0.43086701060025484</v>
      </c>
      <c r="H1886" s="1">
        <f t="shared" si="2125"/>
        <v>0.58130839840996307</v>
      </c>
      <c r="I1886" s="1">
        <f t="shared" si="2125"/>
        <v>0.59755927894561789</v>
      </c>
      <c r="J1886" s="1">
        <f t="shared" si="2125"/>
        <v>0.59702831300542547</v>
      </c>
      <c r="K1886" s="1">
        <f t="shared" si="2125"/>
        <v>0.58744158315670925</v>
      </c>
      <c r="L1886" s="1">
        <f t="shared" ref="L1886:O1886" si="2126">SUM(L1887:L1888)</f>
        <v>0.57474301415538942</v>
      </c>
      <c r="M1886" s="1">
        <f t="shared" si="2126"/>
        <v>1.2903055149100151</v>
      </c>
      <c r="N1886" s="1">
        <f t="shared" si="2126"/>
        <v>1.5358433132920319</v>
      </c>
      <c r="O1886" s="1">
        <f t="shared" si="2126"/>
        <v>1.642439369908459</v>
      </c>
      <c r="P1886" s="1">
        <f>SUM(P1887:P1888)</f>
        <v>1.6993779336908117</v>
      </c>
      <c r="Q1886" s="1">
        <f>SUM(Q1887:Q1888)</f>
        <v>1.9449476812929261</v>
      </c>
      <c r="S1886" s="3"/>
    </row>
    <row r="1887" spans="2:19" x14ac:dyDescent="0.5">
      <c r="B1887" s="5" t="str">
        <f>B1886</f>
        <v>SPS1</v>
      </c>
      <c r="C1887" s="5" t="str">
        <f>C1886</f>
        <v>CH</v>
      </c>
      <c r="D1887" t="s">
        <v>1902</v>
      </c>
      <c r="E1887" t="str">
        <f t="shared" si="2015"/>
        <v>GWth/yr.</v>
      </c>
      <c r="F1887" s="1" cm="1">
        <f t="array" ref="F1887">SUMPRODUCT(([1]OUT_FinalEnergyCons!$B$4:$B$10000="Var_cap")*1, (ISNUMBER(SEARCH("SCOM-SHELCBR",[1]OUT_FinalEnergyCons!$A$4:$A$10000)))*1,[1]OUT_FinalEnergyCons!D$4:D$10000)</f>
        <v>0.18499640067283379</v>
      </c>
      <c r="G1887" s="1" cm="1">
        <f t="array" ref="G1887">SUMPRODUCT(([1]OUT_FinalEnergyCons!$B$4:$B$10000="Var_cap")*1, (ISNUMBER(SEARCH("SCOM-SHELCBR",[1]OUT_FinalEnergyCons!$A$4:$A$10000)))*1,[1]OUT_FinalEnergyCons!E$4:E$10000)</f>
        <v>2.5114594787395417E-4</v>
      </c>
      <c r="H1887" s="1" cm="1">
        <f t="array" ref="H1887">SUMPRODUCT(([1]OUT_FinalEnergyCons!$B$4:$B$10000="Var_cap")*1, (ISNUMBER(SEARCH("SCOM-SHELCBR",[1]OUT_FinalEnergyCons!$A$4:$A$10000)))*1,[1]OUT_FinalEnergyCons!F$4:F$10000)</f>
        <v>0.15069443112483699</v>
      </c>
      <c r="I1887" s="1" cm="1">
        <f t="array" ref="I1887">SUMPRODUCT(([1]OUT_FinalEnergyCons!$B$4:$B$10000="Var_cap")*1, (ISNUMBER(SEARCH("SCOM-SHELCBR",[1]OUT_FinalEnergyCons!$A$4:$A$10000)))*1,[1]OUT_FinalEnergyCons!G$4:G$10000)</f>
        <v>0.16694190375856602</v>
      </c>
      <c r="J1887" s="1" cm="1">
        <f t="array" ref="J1887">SUMPRODUCT(([1]OUT_FinalEnergyCons!$B$4:$B$10000="Var_cap")*1, (ISNUMBER(SEARCH("SCOM-SHELCBR",[1]OUT_FinalEnergyCons!$A$4:$A$10000)))*1,[1]OUT_FinalEnergyCons!H$4:H$10000)</f>
        <v>0.16675368302569799</v>
      </c>
      <c r="K1887" s="1" cm="1">
        <f t="array" ref="K1887">SUMPRODUCT(([1]OUT_FinalEnergyCons!$B$4:$B$10000="Var_cap")*1, (ISNUMBER(SEARCH("SCOM-SHELCBR",[1]OUT_FinalEnergyCons!$A$4:$A$10000)))*1,[1]OUT_FinalEnergyCons!I$4:I$10000)</f>
        <v>0.15294098774635342</v>
      </c>
      <c r="L1887" s="1" cm="1">
        <f t="array" ref="L1887">SUMPRODUCT(([1]OUT_FinalEnergyCons!$B$4:$B$10000="Var_cap")*1, (ISNUMBER(SEARCH("SCOM-SHELCBR",[1]OUT_FinalEnergyCons!$A$4:$A$10000)))*1,[1]OUT_FinalEnergyCons!J$4:J$10000)</f>
        <v>0.1082289452917666</v>
      </c>
      <c r="M1887" s="1" cm="1">
        <f t="array" ref="M1887">SUMPRODUCT(([1]OUT_FinalEnergyCons!$B$4:$B$10000="Var_cap")*1, (ISNUMBER(SEARCH("SCOM-SHELCBR",[1]OUT_FinalEnergyCons!$A$4:$A$10000)))*1,[1]OUT_FinalEnergyCons!K$4:K$10000)</f>
        <v>8.0280750603161699E-2</v>
      </c>
      <c r="N1887" s="1" cm="1">
        <f t="array" ref="N1887">SUMPRODUCT(([1]OUT_FinalEnergyCons!$B$4:$B$10000="Var_cap")*1, (ISNUMBER(SEARCH("SCOM-SHELCBR",[1]OUT_FinalEnergyCons!$A$4:$A$10000)))*1,[1]OUT_FinalEnergyCons!L$4:L$10000)</f>
        <v>0.17905283057189905</v>
      </c>
      <c r="O1887" s="1" cm="1">
        <f t="array" ref="O1887">SUMPRODUCT(([1]OUT_FinalEnergyCons!$B$4:$B$10000="Var_cap")*1, (ISNUMBER(SEARCH("SCOM-SHELCBR",[1]OUT_FinalEnergyCons!$A$4:$A$10000)))*1,[1]OUT_FinalEnergyCons!M$4:M$10000)</f>
        <v>0.16687923779939651</v>
      </c>
      <c r="P1887" s="1" cm="1">
        <f t="array" ref="P1887">SUMPRODUCT(([1]OUT_FinalEnergyCons!$B$4:$B$10000="Var_cap")*1, (ISNUMBER(SEARCH("SCOM-SHELCBR",[1]OUT_FinalEnergyCons!$A$4:$A$10000)))*1,[1]OUT_FinalEnergyCons!N$4:N$10000)</f>
        <v>8.2904301592722399E-2</v>
      </c>
      <c r="Q1887" s="1" cm="1">
        <f t="array" ref="Q1887">SUMPRODUCT(([1]OUT_FinalEnergyCons!$B$4:$B$10000="Var_cap")*1, (ISNUMBER(SEARCH("SCOM-SHELCBR",[1]OUT_FinalEnergyCons!$A$4:$A$10000)))*1,[1]OUT_FinalEnergyCons!O$4:O$10000)</f>
        <v>8.1400873193989753E-2</v>
      </c>
      <c r="S1887" s="3"/>
    </row>
    <row r="1888" spans="2:19" x14ac:dyDescent="0.5">
      <c r="B1888" s="5" t="str">
        <f t="shared" ref="B1888:C1888" si="2127">B1887</f>
        <v>SPS1</v>
      </c>
      <c r="C1888" s="5" t="str">
        <f t="shared" si="2127"/>
        <v>CH</v>
      </c>
      <c r="D1888" t="s">
        <v>1903</v>
      </c>
      <c r="E1888" t="str">
        <f t="shared" si="2015"/>
        <v>GWth/yr.</v>
      </c>
      <c r="F1888" s="1" cm="1">
        <f t="array" ref="F1888">SUMPRODUCT(([1]OUT_FinalEnergyCons!$B$4:$B$10000="Var_cap")*1, (ISNUMBER(SEARCH("SCOM-SHELCHP",[1]OUT_FinalEnergyCons!$A$4:$A$10000)))*1,[1]OUT_FinalEnergyCons!D$4:D$10000)</f>
        <v>0.43061778984673188</v>
      </c>
      <c r="G1888" s="1" cm="1">
        <f t="array" ref="G1888">SUMPRODUCT(([1]OUT_FinalEnergyCons!$B$4:$B$10000="Var_cap")*1, (ISNUMBER(SEARCH("SCOM-SHELCHP",[1]OUT_FinalEnergyCons!$A$4:$A$10000)))*1,[1]OUT_FinalEnergyCons!E$4:E$10000)</f>
        <v>0.43061586465238089</v>
      </c>
      <c r="H1888" s="1" cm="1">
        <f t="array" ref="H1888">SUMPRODUCT(([1]OUT_FinalEnergyCons!$B$4:$B$10000="Var_cap")*1, (ISNUMBER(SEARCH("SCOM-SHELCHP",[1]OUT_FinalEnergyCons!$A$4:$A$10000)))*1,[1]OUT_FinalEnergyCons!F$4:F$10000)</f>
        <v>0.43061396728512608</v>
      </c>
      <c r="I1888" s="1" cm="1">
        <f t="array" ref="I1888">SUMPRODUCT(([1]OUT_FinalEnergyCons!$B$4:$B$10000="Var_cap")*1, (ISNUMBER(SEARCH("SCOM-SHELCHP",[1]OUT_FinalEnergyCons!$A$4:$A$10000)))*1,[1]OUT_FinalEnergyCons!G$4:G$10000)</f>
        <v>0.4306173751870519</v>
      </c>
      <c r="J1888" s="1" cm="1">
        <f t="array" ref="J1888">SUMPRODUCT(([1]OUT_FinalEnergyCons!$B$4:$B$10000="Var_cap")*1, (ISNUMBER(SEARCH("SCOM-SHELCHP",[1]OUT_FinalEnergyCons!$A$4:$A$10000)))*1,[1]OUT_FinalEnergyCons!H$4:H$10000)</f>
        <v>0.43027462997972749</v>
      </c>
      <c r="K1888" s="1" cm="1">
        <f t="array" ref="K1888">SUMPRODUCT(([1]OUT_FinalEnergyCons!$B$4:$B$10000="Var_cap")*1, (ISNUMBER(SEARCH("SCOM-SHELCHP",[1]OUT_FinalEnergyCons!$A$4:$A$10000)))*1,[1]OUT_FinalEnergyCons!I$4:I$10000)</f>
        <v>0.43450059541035585</v>
      </c>
      <c r="L1888" s="1" cm="1">
        <f t="array" ref="L1888">SUMPRODUCT(([1]OUT_FinalEnergyCons!$B$4:$B$10000="Var_cap")*1, (ISNUMBER(SEARCH("SCOM-SHELCHP",[1]OUT_FinalEnergyCons!$A$4:$A$10000)))*1,[1]OUT_FinalEnergyCons!J$4:J$10000)</f>
        <v>0.46651406886362284</v>
      </c>
      <c r="M1888" s="1" cm="1">
        <f t="array" ref="M1888">SUMPRODUCT(([1]OUT_FinalEnergyCons!$B$4:$B$10000="Var_cap")*1, (ISNUMBER(SEARCH("SCOM-SHELCHP",[1]OUT_FinalEnergyCons!$A$4:$A$10000)))*1,[1]OUT_FinalEnergyCons!K$4:K$10000)</f>
        <v>1.2100247643068534</v>
      </c>
      <c r="N1888" s="1" cm="1">
        <f t="array" ref="N1888">SUMPRODUCT(([1]OUT_FinalEnergyCons!$B$4:$B$10000="Var_cap")*1, (ISNUMBER(SEARCH("SCOM-SHELCHP",[1]OUT_FinalEnergyCons!$A$4:$A$10000)))*1,[1]OUT_FinalEnergyCons!L$4:L$10000)</f>
        <v>1.3567904827201329</v>
      </c>
      <c r="O1888" s="1" cm="1">
        <f t="array" ref="O1888">SUMPRODUCT(([1]OUT_FinalEnergyCons!$B$4:$B$10000="Var_cap")*1, (ISNUMBER(SEARCH("SCOM-SHELCHP",[1]OUT_FinalEnergyCons!$A$4:$A$10000)))*1,[1]OUT_FinalEnergyCons!M$4:M$10000)</f>
        <v>1.4755601321090626</v>
      </c>
      <c r="P1888" s="1" cm="1">
        <f t="array" ref="P1888">SUMPRODUCT(([1]OUT_FinalEnergyCons!$B$4:$B$10000="Var_cap")*1, (ISNUMBER(SEARCH("SCOM-SHELCHP",[1]OUT_FinalEnergyCons!$A$4:$A$10000)))*1,[1]OUT_FinalEnergyCons!N$4:N$10000)</f>
        <v>1.6164736320980893</v>
      </c>
      <c r="Q1888" s="1" cm="1">
        <f t="array" ref="Q1888">SUMPRODUCT(([1]OUT_FinalEnergyCons!$B$4:$B$10000="Var_cap")*1, (ISNUMBER(SEARCH("SCOM-SHELCHP",[1]OUT_FinalEnergyCons!$A$4:$A$10000)))*1,[1]OUT_FinalEnergyCons!O$4:O$10000)</f>
        <v>1.8635468080989364</v>
      </c>
      <c r="S1888" s="3"/>
    </row>
    <row r="1889" spans="2:19" x14ac:dyDescent="0.5">
      <c r="B1889" s="5" t="str">
        <f t="shared" ref="B1889:C1889" si="2128">B1888</f>
        <v>SPS1</v>
      </c>
      <c r="C1889" s="5" t="str">
        <f t="shared" si="2128"/>
        <v>CH</v>
      </c>
      <c r="D1889" t="s">
        <v>1904</v>
      </c>
      <c r="E1889" t="str">
        <f t="shared" si="2015"/>
        <v>GWth/yr.</v>
      </c>
      <c r="F1889" s="1">
        <f>F1890</f>
        <v>1.928578711176079</v>
      </c>
      <c r="G1889" s="1">
        <f t="shared" ref="G1889:O1889" si="2129">G1890</f>
        <v>1.9283708782593829</v>
      </c>
      <c r="H1889" s="1">
        <f t="shared" si="2129"/>
        <v>1.9282664034443178</v>
      </c>
      <c r="I1889" s="1">
        <f t="shared" si="2129"/>
        <v>1.9281540025679087</v>
      </c>
      <c r="J1889" s="1">
        <f t="shared" si="2129"/>
        <v>0.57028981939439571</v>
      </c>
      <c r="K1889" s="1">
        <f t="shared" si="2129"/>
        <v>0.38816424564541863</v>
      </c>
      <c r="L1889" s="1">
        <f t="shared" si="2129"/>
        <v>0.28159280740572601</v>
      </c>
      <c r="M1889" s="1">
        <f t="shared" si="2129"/>
        <v>0.11546563364325799</v>
      </c>
      <c r="N1889" s="1">
        <f t="shared" si="2129"/>
        <v>0.11536264765248741</v>
      </c>
      <c r="O1889" s="1">
        <f t="shared" si="2129"/>
        <v>0.11534808711824951</v>
      </c>
      <c r="P1889" s="1">
        <f>P1890</f>
        <v>0.11333672034996621</v>
      </c>
      <c r="Q1889" s="1">
        <f>Q1890</f>
        <v>0.11332574831382441</v>
      </c>
      <c r="S1889" s="3"/>
    </row>
    <row r="1890" spans="2:19" x14ac:dyDescent="0.5">
      <c r="B1890" s="5" t="str">
        <f t="shared" ref="B1890:C1890" si="2130">B1889</f>
        <v>SPS1</v>
      </c>
      <c r="C1890" s="5" t="str">
        <f t="shared" si="2130"/>
        <v>CH</v>
      </c>
      <c r="D1890" t="s">
        <v>1905</v>
      </c>
      <c r="E1890" t="str">
        <f t="shared" ref="E1890:E1902" si="2131">E1889</f>
        <v>GWth/yr.</v>
      </c>
      <c r="F1890" s="1" cm="1">
        <f t="array" ref="F1890">SUMPRODUCT(([1]OUT_FinalEnergyCons!$B$4:$B$10000="Var_cap")*1,(ISNUMBER(SEARCH("SCOM-SHLFOBR",[1]OUT_FinalEnergyCons!$A$4:$A$10000)))*1,[1]OUT_FinalEnergyCons!D$4:D$10000)</f>
        <v>1.928578711176079</v>
      </c>
      <c r="G1890" s="1" cm="1">
        <f t="array" ref="G1890">SUMPRODUCT(([1]OUT_FinalEnergyCons!$B$4:$B$10000="Var_cap")*1,(ISNUMBER(SEARCH("SCOM-SHLFOBR",[1]OUT_FinalEnergyCons!$A$4:$A$10000)))*1,[1]OUT_FinalEnergyCons!E$4:E$10000)</f>
        <v>1.9283708782593829</v>
      </c>
      <c r="H1890" s="1" cm="1">
        <f t="array" ref="H1890">SUMPRODUCT(([1]OUT_FinalEnergyCons!$B$4:$B$10000="Var_cap")*1,(ISNUMBER(SEARCH("SCOM-SHLFOBR",[1]OUT_FinalEnergyCons!$A$4:$A$10000)))*1,[1]OUT_FinalEnergyCons!F$4:F$10000)</f>
        <v>1.9282664034443178</v>
      </c>
      <c r="I1890" s="1" cm="1">
        <f t="array" ref="I1890">SUMPRODUCT(([1]OUT_FinalEnergyCons!$B$4:$B$10000="Var_cap")*1,(ISNUMBER(SEARCH("SCOM-SHLFOBR",[1]OUT_FinalEnergyCons!$A$4:$A$10000)))*1,[1]OUT_FinalEnergyCons!G$4:G$10000)</f>
        <v>1.9281540025679087</v>
      </c>
      <c r="J1890" s="1" cm="1">
        <f t="array" ref="J1890">SUMPRODUCT(([1]OUT_FinalEnergyCons!$B$4:$B$10000="Var_cap")*1,(ISNUMBER(SEARCH("SCOM-SHLFOBR",[1]OUT_FinalEnergyCons!$A$4:$A$10000)))*1,[1]OUT_FinalEnergyCons!H$4:H$10000)</f>
        <v>0.57028981939439571</v>
      </c>
      <c r="K1890" s="1" cm="1">
        <f t="array" ref="K1890">SUMPRODUCT(([1]OUT_FinalEnergyCons!$B$4:$B$10000="Var_cap")*1,(ISNUMBER(SEARCH("SCOM-SHLFOBR",[1]OUT_FinalEnergyCons!$A$4:$A$10000)))*1,[1]OUT_FinalEnergyCons!I$4:I$10000)</f>
        <v>0.38816424564541863</v>
      </c>
      <c r="L1890" s="1" cm="1">
        <f t="array" ref="L1890">SUMPRODUCT(([1]OUT_FinalEnergyCons!$B$4:$B$10000="Var_cap")*1,(ISNUMBER(SEARCH("SCOM-SHLFOBR",[1]OUT_FinalEnergyCons!$A$4:$A$10000)))*1,[1]OUT_FinalEnergyCons!J$4:J$10000)</f>
        <v>0.28159280740572601</v>
      </c>
      <c r="M1890" s="1" cm="1">
        <f t="array" ref="M1890">SUMPRODUCT(([1]OUT_FinalEnergyCons!$B$4:$B$10000="Var_cap")*1,(ISNUMBER(SEARCH("SCOM-SHLFOBR",[1]OUT_FinalEnergyCons!$A$4:$A$10000)))*1,[1]OUT_FinalEnergyCons!K$4:K$10000)</f>
        <v>0.11546563364325799</v>
      </c>
      <c r="N1890" s="1" cm="1">
        <f t="array" ref="N1890">SUMPRODUCT(([1]OUT_FinalEnergyCons!$B$4:$B$10000="Var_cap")*1,(ISNUMBER(SEARCH("SCOM-SHLFOBR",[1]OUT_FinalEnergyCons!$A$4:$A$10000)))*1,[1]OUT_FinalEnergyCons!L$4:L$10000)</f>
        <v>0.11536264765248741</v>
      </c>
      <c r="O1890" s="1" cm="1">
        <f t="array" ref="O1890">SUMPRODUCT(([1]OUT_FinalEnergyCons!$B$4:$B$10000="Var_cap")*1,(ISNUMBER(SEARCH("SCOM-SHLFOBR",[1]OUT_FinalEnergyCons!$A$4:$A$10000)))*1,[1]OUT_FinalEnergyCons!M$4:M$10000)</f>
        <v>0.11534808711824951</v>
      </c>
      <c r="P1890" s="1" cm="1">
        <f t="array" ref="P1890">SUMPRODUCT(([1]OUT_FinalEnergyCons!$B$4:$B$10000="Var_cap")*1,(ISNUMBER(SEARCH("SCOM-SHLFOBR",[1]OUT_FinalEnergyCons!$A$4:$A$10000)))*1,[1]OUT_FinalEnergyCons!N$4:N$10000)</f>
        <v>0.11333672034996621</v>
      </c>
      <c r="Q1890" s="1" cm="1">
        <f t="array" ref="Q1890">SUMPRODUCT(([1]OUT_FinalEnergyCons!$B$4:$B$10000="Var_cap")*1,(ISNUMBER(SEARCH("SCOM-SHLFOBR",[1]OUT_FinalEnergyCons!$A$4:$A$10000)))*1,[1]OUT_FinalEnergyCons!O$4:O$10000)</f>
        <v>0.11332574831382441</v>
      </c>
      <c r="S1890" s="3"/>
    </row>
    <row r="1891" spans="2:19" x14ac:dyDescent="0.5">
      <c r="B1891" s="5" t="str">
        <f t="shared" ref="B1891:C1891" si="2132">B1890</f>
        <v>SPS1</v>
      </c>
      <c r="C1891" s="5" t="str">
        <f t="shared" si="2132"/>
        <v>CH</v>
      </c>
      <c r="D1891" t="s">
        <v>1906</v>
      </c>
      <c r="E1891" t="str">
        <f t="shared" si="2131"/>
        <v>GWth/yr.</v>
      </c>
      <c r="F1891" s="1">
        <f>SUM(F1892:F1894)</f>
        <v>2.880035674479609</v>
      </c>
      <c r="G1891" s="1">
        <f t="shared" ref="G1891:K1891" si="2133">SUM(G1892:G1894)</f>
        <v>2.8801024166162996</v>
      </c>
      <c r="H1891" s="1">
        <f t="shared" si="2133"/>
        <v>2.880448510295619</v>
      </c>
      <c r="I1891" s="1">
        <f t="shared" si="2133"/>
        <v>2.880489109696986</v>
      </c>
      <c r="J1891" s="1">
        <f t="shared" si="2133"/>
        <v>1.8648301649182981</v>
      </c>
      <c r="K1891" s="1">
        <f t="shared" si="2133"/>
        <v>1.8811479883459272</v>
      </c>
      <c r="L1891" s="1">
        <f t="shared" ref="L1891:O1891" si="2134">SUM(L1892:L1894)</f>
        <v>1.2135336698207471</v>
      </c>
      <c r="M1891" s="1">
        <f t="shared" si="2134"/>
        <v>0.99484176110001965</v>
      </c>
      <c r="N1891" s="1">
        <f t="shared" si="2134"/>
        <v>1.0510373149685424</v>
      </c>
      <c r="O1891" s="1">
        <f t="shared" si="2134"/>
        <v>1.0862977258794873</v>
      </c>
      <c r="P1891" s="1">
        <f>SUM(P1892:P1894)</f>
        <v>1.0993923217396631</v>
      </c>
      <c r="Q1891" s="1">
        <f>SUM(Q1892:Q1894)</f>
        <v>1.0084049026770183</v>
      </c>
      <c r="S1891" s="3"/>
    </row>
    <row r="1892" spans="2:19" x14ac:dyDescent="0.5">
      <c r="B1892" s="5" t="str">
        <f t="shared" ref="B1892:C1892" si="2135">B1891</f>
        <v>SPS1</v>
      </c>
      <c r="C1892" s="5" t="str">
        <f t="shared" si="2135"/>
        <v>CH</v>
      </c>
      <c r="D1892" t="s">
        <v>1907</v>
      </c>
      <c r="E1892" t="str">
        <f t="shared" si="2131"/>
        <v>GWth/yr.</v>
      </c>
      <c r="F1892" s="1" cm="1">
        <f t="array" ref="F1892">SUMPRODUCT(([1]OUT_FinalEnergyCons!$B$4:$B$10000="Var_cap")*1, (ISNUMBER(SEARCH("SCOM-SHNGABR",[1]OUT_FinalEnergyCons!$A$4:$A$10000)))*1,[1]OUT_FinalEnergyCons!D$4:D$10000)</f>
        <v>2.7746820844533495</v>
      </c>
      <c r="G1892" s="1" cm="1">
        <f t="array" ref="G1892">SUMPRODUCT(([1]OUT_FinalEnergyCons!$B$4:$B$10000="Var_cap")*1, (ISNUMBER(SEARCH("SCOM-SHNGABR",[1]OUT_FinalEnergyCons!$A$4:$A$10000)))*1,[1]OUT_FinalEnergyCons!E$4:E$10000)</f>
        <v>2.7745478423754002</v>
      </c>
      <c r="H1892" s="1" cm="1">
        <f t="array" ref="H1892">SUMPRODUCT(([1]OUT_FinalEnergyCons!$B$4:$B$10000="Var_cap")*1, (ISNUMBER(SEARCH("SCOM-SHNGABR",[1]OUT_FinalEnergyCons!$A$4:$A$10000)))*1,[1]OUT_FinalEnergyCons!F$4:F$10000)</f>
        <v>2.7744627776610864</v>
      </c>
      <c r="I1892" s="1" cm="1">
        <f t="array" ref="I1892">SUMPRODUCT(([1]OUT_FinalEnergyCons!$B$4:$B$10000="Var_cap")*1, (ISNUMBER(SEARCH("SCOM-SHNGABR",[1]OUT_FinalEnergyCons!$A$4:$A$10000)))*1,[1]OUT_FinalEnergyCons!G$4:G$10000)</f>
        <v>2.7745001382832011</v>
      </c>
      <c r="J1892" s="1" cm="1">
        <f t="array" ref="J1892">SUMPRODUCT(([1]OUT_FinalEnergyCons!$B$4:$B$10000="Var_cap")*1, (ISNUMBER(SEARCH("SCOM-SHNGABR",[1]OUT_FinalEnergyCons!$A$4:$A$10000)))*1,[1]OUT_FinalEnergyCons!H$4:H$10000)</f>
        <v>1.7151124596658798</v>
      </c>
      <c r="K1892" s="1" cm="1">
        <f t="array" ref="K1892">SUMPRODUCT(([1]OUT_FinalEnergyCons!$B$4:$B$10000="Var_cap")*1, (ISNUMBER(SEARCH("SCOM-SHNGABR",[1]OUT_FinalEnergyCons!$A$4:$A$10000)))*1,[1]OUT_FinalEnergyCons!I$4:I$10000)</f>
        <v>1.5604277627022893</v>
      </c>
      <c r="L1892" s="1" cm="1">
        <f t="array" ref="L1892">SUMPRODUCT(([1]OUT_FinalEnergyCons!$B$4:$B$10000="Var_cap")*1, (ISNUMBER(SEARCH("SCOM-SHNGABR",[1]OUT_FinalEnergyCons!$A$4:$A$10000)))*1,[1]OUT_FinalEnergyCons!J$4:J$10000)</f>
        <v>0.89285256373368804</v>
      </c>
      <c r="M1892" s="1" cm="1">
        <f t="array" ref="M1892">SUMPRODUCT(([1]OUT_FinalEnergyCons!$B$4:$B$10000="Var_cap")*1, (ISNUMBER(SEARCH("SCOM-SHNGABR",[1]OUT_FinalEnergyCons!$A$4:$A$10000)))*1,[1]OUT_FinalEnergyCons!K$4:K$10000)</f>
        <v>0.66027366494557205</v>
      </c>
      <c r="N1892" s="1" cm="1">
        <f t="array" ref="N1892">SUMPRODUCT(([1]OUT_FinalEnergyCons!$B$4:$B$10000="Var_cap")*1, (ISNUMBER(SEARCH("SCOM-SHNGABR",[1]OUT_FinalEnergyCons!$A$4:$A$10000)))*1,[1]OUT_FinalEnergyCons!L$4:L$10000)</f>
        <v>0.72869763395449394</v>
      </c>
      <c r="O1892" s="1" cm="1">
        <f t="array" ref="O1892">SUMPRODUCT(([1]OUT_FinalEnergyCons!$B$4:$B$10000="Var_cap")*1, (ISNUMBER(SEARCH("SCOM-SHNGABR",[1]OUT_FinalEnergyCons!$A$4:$A$10000)))*1,[1]OUT_FinalEnergyCons!M$4:M$10000)</f>
        <v>0.72382873016457006</v>
      </c>
      <c r="P1892" s="1" cm="1">
        <f t="array" ref="P1892">SUMPRODUCT(([1]OUT_FinalEnergyCons!$B$4:$B$10000="Var_cap")*1, (ISNUMBER(SEARCH("SCOM-SHNGABR",[1]OUT_FinalEnergyCons!$A$4:$A$10000)))*1,[1]OUT_FinalEnergyCons!N$4:N$10000)</f>
        <v>0.70499240250361006</v>
      </c>
      <c r="Q1892" s="1" cm="1">
        <f t="array" ref="Q1892">SUMPRODUCT(([1]OUT_FinalEnergyCons!$B$4:$B$10000="Var_cap")*1, (ISNUMBER(SEARCH("SCOM-SHNGABR",[1]OUT_FinalEnergyCons!$A$4:$A$10000)))*1,[1]OUT_FinalEnergyCons!O$4:O$10000)</f>
        <v>0.71094734630781486</v>
      </c>
      <c r="S1892" s="3"/>
    </row>
    <row r="1893" spans="2:19" x14ac:dyDescent="0.5">
      <c r="B1893" s="5" t="str">
        <f t="shared" ref="B1893:C1893" si="2136">B1892</f>
        <v>SPS1</v>
      </c>
      <c r="C1893" s="5" t="str">
        <f t="shared" si="2136"/>
        <v>CH</v>
      </c>
      <c r="D1893" t="s">
        <v>1908</v>
      </c>
      <c r="E1893" t="str">
        <f t="shared" si="2131"/>
        <v>GWth/yr.</v>
      </c>
      <c r="F1893" s="1" cm="1">
        <f t="array" ref="F1893">SUMPRODUCT(([1]OUT_FinalEnergyCons!$B$4:$B$10000="Var_cap")*1, (ISNUMBER(SEARCH("SCOM-SHngahp",[1]OUT_FinalEnergyCons!$A$4:$A$10000)))*1,[1]OUT_FinalEnergyCons!D$4:D$10000)</f>
        <v>3.0773827900938301E-6</v>
      </c>
      <c r="G1893" s="1" cm="1">
        <f t="array" ref="G1893">SUMPRODUCT(([1]OUT_FinalEnergyCons!$B$4:$B$10000="Var_cap")*1, (ISNUMBER(SEARCH("SCOM-SHngahp",[1]OUT_FinalEnergyCons!$A$4:$A$10000)))*1,[1]OUT_FinalEnergyCons!E$4:E$10000)</f>
        <v>1.6263862077329076E-4</v>
      </c>
      <c r="H1893" s="1" cm="1">
        <f t="array" ref="H1893">SUMPRODUCT(([1]OUT_FinalEnergyCons!$B$4:$B$10000="Var_cap")*1, (ISNUMBER(SEARCH("SCOM-SHngahp",[1]OUT_FinalEnergyCons!$A$4:$A$10000)))*1,[1]OUT_FinalEnergyCons!F$4:F$10000)</f>
        <v>6.1380584787167763E-4</v>
      </c>
      <c r="I1893" s="1" cm="1">
        <f t="array" ref="I1893">SUMPRODUCT(([1]OUT_FinalEnergyCons!$B$4:$B$10000="Var_cap")*1, (ISNUMBER(SEARCH("SCOM-SHngahp",[1]OUT_FinalEnergyCons!$A$4:$A$10000)))*1,[1]OUT_FinalEnergyCons!G$4:G$10000)</f>
        <v>6.2811622420529416E-4</v>
      </c>
      <c r="J1893" s="1" cm="1">
        <f t="array" ref="J1893">SUMPRODUCT(([1]OUT_FinalEnergyCons!$B$4:$B$10000="Var_cap")*1, (ISNUMBER(SEARCH("SCOM-SHngahp",[1]OUT_FinalEnergyCons!$A$4:$A$10000)))*1,[1]OUT_FinalEnergyCons!H$4:H$10000)</f>
        <v>4.620683347092259E-3</v>
      </c>
      <c r="K1893" s="1" cm="1">
        <f t="array" ref="K1893">SUMPRODUCT(([1]OUT_FinalEnergyCons!$B$4:$B$10000="Var_cap")*1, (ISNUMBER(SEARCH("SCOM-SHngahp",[1]OUT_FinalEnergyCons!$A$4:$A$10000)))*1,[1]OUT_FinalEnergyCons!I$4:I$10000)</f>
        <v>3.8503705677975383E-2</v>
      </c>
      <c r="L1893" s="1" cm="1">
        <f t="array" ref="L1893">SUMPRODUCT(([1]OUT_FinalEnergyCons!$B$4:$B$10000="Var_cap")*1, (ISNUMBER(SEARCH("SCOM-SHngahp",[1]OUT_FinalEnergyCons!$A$4:$A$10000)))*1,[1]OUT_FinalEnergyCons!J$4:J$10000)</f>
        <v>3.845021043447721E-2</v>
      </c>
      <c r="M1893" s="1" cm="1">
        <f t="array" ref="M1893">SUMPRODUCT(([1]OUT_FinalEnergyCons!$B$4:$B$10000="Var_cap")*1, (ISNUMBER(SEARCH("SCOM-SHngahp",[1]OUT_FinalEnergyCons!$A$4:$A$10000)))*1,[1]OUT_FinalEnergyCons!K$4:K$10000)</f>
        <v>6.0073673037274532E-2</v>
      </c>
      <c r="N1893" s="1" cm="1">
        <f t="array" ref="N1893">SUMPRODUCT(([1]OUT_FinalEnergyCons!$B$4:$B$10000="Var_cap")*1, (ISNUMBER(SEARCH("SCOM-SHngahp",[1]OUT_FinalEnergyCons!$A$4:$A$10000)))*1,[1]OUT_FinalEnergyCons!L$4:L$10000)</f>
        <v>2.6656616730830109E-2</v>
      </c>
      <c r="O1893" s="1" cm="1">
        <f t="array" ref="O1893">SUMPRODUCT(([1]OUT_FinalEnergyCons!$B$4:$B$10000="Var_cap")*1, (ISNUMBER(SEARCH("SCOM-SHngahp",[1]OUT_FinalEnergyCons!$A$4:$A$10000)))*1,[1]OUT_FinalEnergyCons!M$4:M$10000)</f>
        <v>2.7775925148724876E-2</v>
      </c>
      <c r="P1893" s="1" cm="1">
        <f t="array" ref="P1893">SUMPRODUCT(([1]OUT_FinalEnergyCons!$B$4:$B$10000="Var_cap")*1, (ISNUMBER(SEARCH("SCOM-SHngahp",[1]OUT_FinalEnergyCons!$A$4:$A$10000)))*1,[1]OUT_FinalEnergyCons!N$4:N$10000)</f>
        <v>3.7081771214429585E-2</v>
      </c>
      <c r="Q1893" s="1" cm="1">
        <f t="array" ref="Q1893">SUMPRODUCT(([1]OUT_FinalEnergyCons!$B$4:$B$10000="Var_cap")*1, (ISNUMBER(SEARCH("SCOM-SHngahp",[1]OUT_FinalEnergyCons!$A$4:$A$10000)))*1,[1]OUT_FinalEnergyCons!O$4:O$10000)</f>
        <v>3.6528272712999382E-2</v>
      </c>
      <c r="S1893" s="3"/>
    </row>
    <row r="1894" spans="2:19" x14ac:dyDescent="0.5">
      <c r="B1894" s="5" t="str">
        <f t="shared" ref="B1894:C1894" si="2137">B1893</f>
        <v>SPS1</v>
      </c>
      <c r="C1894" s="5" t="str">
        <f t="shared" si="2137"/>
        <v>CH</v>
      </c>
      <c r="D1894" t="s">
        <v>1909</v>
      </c>
      <c r="E1894" t="str">
        <f t="shared" si="2131"/>
        <v>GWth/yr.</v>
      </c>
      <c r="F1894" s="1" cm="1">
        <f t="array" ref="F1894">SUMPRODUCT(([1]OUT_FinalEnergyCons!$B$4:$B$10000="Var_cap")*1, (("SCOM-SHBIOBR"=[1]OUT_FinalEnergyCons!$A$4:$A$10000)*1+("SCOM-SHBNGABR"=[1]OUT_FinalEnergyCons!$A$4:$A$10000)*1),[1]OUT_FinalEnergyCons!D$4:D$10000)</f>
        <v>0.1053505126434693</v>
      </c>
      <c r="G1894" s="1" cm="1">
        <f t="array" ref="G1894">SUMPRODUCT(([1]OUT_FinalEnergyCons!$B$4:$B$10000="Var_cap")*1, (("SCOM-SHBIOBR"=[1]OUT_FinalEnergyCons!$A$4:$A$10000)*1+("SCOM-SHBNGABR"=[1]OUT_FinalEnergyCons!$A$4:$A$10000)*1),[1]OUT_FinalEnergyCons!E$4:E$10000)</f>
        <v>0.10539193562012633</v>
      </c>
      <c r="H1894" s="1" cm="1">
        <f t="array" ref="H1894">SUMPRODUCT(([1]OUT_FinalEnergyCons!$B$4:$B$10000="Var_cap")*1, (("SCOM-SHBIOBR"=[1]OUT_FinalEnergyCons!$A$4:$A$10000)*1+("SCOM-SHBNGABR"=[1]OUT_FinalEnergyCons!$A$4:$A$10000)*1),[1]OUT_FinalEnergyCons!F$4:F$10000)</f>
        <v>0.10537192678666106</v>
      </c>
      <c r="I1894" s="1" cm="1">
        <f t="array" ref="I1894">SUMPRODUCT(([1]OUT_FinalEnergyCons!$B$4:$B$10000="Var_cap")*1, (("SCOM-SHBIOBR"=[1]OUT_FinalEnergyCons!$A$4:$A$10000)*1+("SCOM-SHBNGABR"=[1]OUT_FinalEnergyCons!$A$4:$A$10000)*1),[1]OUT_FinalEnergyCons!G$4:G$10000)</f>
        <v>0.10536085518957962</v>
      </c>
      <c r="J1894" s="1" cm="1">
        <f t="array" ref="J1894">SUMPRODUCT(([1]OUT_FinalEnergyCons!$B$4:$B$10000="Var_cap")*1, (("SCOM-SHBIOBR"=[1]OUT_FinalEnergyCons!$A$4:$A$10000)*1+("SCOM-SHBNGABR"=[1]OUT_FinalEnergyCons!$A$4:$A$10000)*1),[1]OUT_FinalEnergyCons!H$4:H$10000)</f>
        <v>0.14509702190532603</v>
      </c>
      <c r="K1894" s="1" cm="1">
        <f t="array" ref="K1894">SUMPRODUCT(([1]OUT_FinalEnergyCons!$B$4:$B$10000="Var_cap")*1, (("SCOM-SHBIOBR"=[1]OUT_FinalEnergyCons!$A$4:$A$10000)*1+("SCOM-SHBNGABR"=[1]OUT_FinalEnergyCons!$A$4:$A$10000)*1),[1]OUT_FinalEnergyCons!I$4:I$10000)</f>
        <v>0.28221651996566255</v>
      </c>
      <c r="L1894" s="1" cm="1">
        <f t="array" ref="L1894">SUMPRODUCT(([1]OUT_FinalEnergyCons!$B$4:$B$10000="Var_cap")*1, (("SCOM-SHBIOBR"=[1]OUT_FinalEnergyCons!$A$4:$A$10000)*1+("SCOM-SHBNGABR"=[1]OUT_FinalEnergyCons!$A$4:$A$10000)*1),[1]OUT_FinalEnergyCons!J$4:J$10000)</f>
        <v>0.28223089565258191</v>
      </c>
      <c r="M1894" s="1" cm="1">
        <f t="array" ref="M1894">SUMPRODUCT(([1]OUT_FinalEnergyCons!$B$4:$B$10000="Var_cap")*1, (("SCOM-SHBIOBR"=[1]OUT_FinalEnergyCons!$A$4:$A$10000)*1+("SCOM-SHBNGABR"=[1]OUT_FinalEnergyCons!$A$4:$A$10000)*1),[1]OUT_FinalEnergyCons!K$4:K$10000)</f>
        <v>0.27449442311717309</v>
      </c>
      <c r="N1894" s="1" cm="1">
        <f t="array" ref="N1894">SUMPRODUCT(([1]OUT_FinalEnergyCons!$B$4:$B$10000="Var_cap")*1, (("SCOM-SHBIOBR"=[1]OUT_FinalEnergyCons!$A$4:$A$10000)*1+("SCOM-SHBNGABR"=[1]OUT_FinalEnergyCons!$A$4:$A$10000)*1),[1]OUT_FinalEnergyCons!L$4:L$10000)</f>
        <v>0.29568306428321839</v>
      </c>
      <c r="O1894" s="1" cm="1">
        <f t="array" ref="O1894">SUMPRODUCT(([1]OUT_FinalEnergyCons!$B$4:$B$10000="Var_cap")*1, (("SCOM-SHBIOBR"=[1]OUT_FinalEnergyCons!$A$4:$A$10000)*1+("SCOM-SHBNGABR"=[1]OUT_FinalEnergyCons!$A$4:$A$10000)*1),[1]OUT_FinalEnergyCons!M$4:M$10000)</f>
        <v>0.33469307056619241</v>
      </c>
      <c r="P1894" s="1" cm="1">
        <f t="array" ref="P1894">SUMPRODUCT(([1]OUT_FinalEnergyCons!$B$4:$B$10000="Var_cap")*1, (("SCOM-SHBIOBR"=[1]OUT_FinalEnergyCons!$A$4:$A$10000)*1+("SCOM-SHBNGABR"=[1]OUT_FinalEnergyCons!$A$4:$A$10000)*1),[1]OUT_FinalEnergyCons!N$4:N$10000)</f>
        <v>0.35731814802162348</v>
      </c>
      <c r="Q1894" s="1" cm="1">
        <f t="array" ref="Q1894">SUMPRODUCT(([1]OUT_FinalEnergyCons!$B$4:$B$10000="Var_cap")*1, (("SCOM-SHBIOBR"=[1]OUT_FinalEnergyCons!$A$4:$A$10000)*1+("SCOM-SHBNGABR"=[1]OUT_FinalEnergyCons!$A$4:$A$10000)*1),[1]OUT_FinalEnergyCons!O$4:O$10000)</f>
        <v>0.2609292836562041</v>
      </c>
      <c r="S1894" s="3"/>
    </row>
    <row r="1895" spans="2:19" x14ac:dyDescent="0.5">
      <c r="B1895" s="5" t="str">
        <f t="shared" ref="B1895:C1895" si="2138">B1894</f>
        <v>SPS1</v>
      </c>
      <c r="C1895" s="5" t="str">
        <f t="shared" si="2138"/>
        <v>CH</v>
      </c>
      <c r="D1895" t="s">
        <v>1910</v>
      </c>
      <c r="E1895" t="str">
        <f t="shared" si="2131"/>
        <v>GWth/yr.</v>
      </c>
      <c r="F1895" s="1">
        <f>F1896</f>
        <v>0.47842445633058639</v>
      </c>
      <c r="G1895" s="1">
        <f t="shared" ref="G1895:O1895" si="2139">G1896</f>
        <v>0.47843853556994892</v>
      </c>
      <c r="H1895" s="1">
        <f t="shared" si="2139"/>
        <v>0.47842570808949736</v>
      </c>
      <c r="I1895" s="1">
        <f t="shared" si="2139"/>
        <v>0.47835576359365739</v>
      </c>
      <c r="J1895" s="1">
        <f t="shared" si="2139"/>
        <v>0.6101240602184369</v>
      </c>
      <c r="K1895" s="1">
        <f t="shared" si="2139"/>
        <v>0.75796945659250969</v>
      </c>
      <c r="L1895" s="1">
        <f t="shared" si="2139"/>
        <v>1.2955607955956234</v>
      </c>
      <c r="M1895" s="1">
        <f t="shared" si="2139"/>
        <v>0.87163776657374936</v>
      </c>
      <c r="N1895" s="1">
        <f t="shared" si="2139"/>
        <v>0.37783893022493603</v>
      </c>
      <c r="O1895" s="1">
        <f t="shared" si="2139"/>
        <v>0.14935630140556952</v>
      </c>
      <c r="P1895" s="1">
        <f>P1896</f>
        <v>6.1578477760464295E-2</v>
      </c>
      <c r="Q1895" s="1">
        <f>Q1896</f>
        <v>6.2552853585032764E-2</v>
      </c>
      <c r="S1895" s="3"/>
    </row>
    <row r="1896" spans="2:19" x14ac:dyDescent="0.5">
      <c r="B1896" s="5" t="str">
        <f t="shared" ref="B1896:C1896" si="2140">B1895</f>
        <v>SPS1</v>
      </c>
      <c r="C1896" s="5" t="str">
        <f t="shared" si="2140"/>
        <v>CH</v>
      </c>
      <c r="D1896" t="s">
        <v>1911</v>
      </c>
      <c r="E1896" t="str">
        <f t="shared" si="2131"/>
        <v>GWth/yr.</v>
      </c>
      <c r="F1896" s="1" cm="1">
        <f t="array" ref="F1896">SUMPRODUCT(([1]OUT_FinalEnergyCons!$B$4:$B$10000="Var_cap")*1, (ISNUMBER(SEARCH("SCOM-SHWODBR",[1]OUT_FinalEnergyCons!$A$4:$A$10000)))*1,[1]OUT_FinalEnergyCons!D$4:D$10000)</f>
        <v>0.47842445633058639</v>
      </c>
      <c r="G1896" s="1" cm="1">
        <f t="array" ref="G1896">SUMPRODUCT(([1]OUT_FinalEnergyCons!$B$4:$B$10000="Var_cap")*1, (ISNUMBER(SEARCH("SCOM-SHWODBR",[1]OUT_FinalEnergyCons!$A$4:$A$10000)))*1,[1]OUT_FinalEnergyCons!E$4:E$10000)</f>
        <v>0.47843853556994892</v>
      </c>
      <c r="H1896" s="1" cm="1">
        <f t="array" ref="H1896">SUMPRODUCT(([1]OUT_FinalEnergyCons!$B$4:$B$10000="Var_cap")*1, (ISNUMBER(SEARCH("SCOM-SHWODBR",[1]OUT_FinalEnergyCons!$A$4:$A$10000)))*1,[1]OUT_FinalEnergyCons!F$4:F$10000)</f>
        <v>0.47842570808949736</v>
      </c>
      <c r="I1896" s="1" cm="1">
        <f t="array" ref="I1896">SUMPRODUCT(([1]OUT_FinalEnergyCons!$B$4:$B$10000="Var_cap")*1, (ISNUMBER(SEARCH("SCOM-SHWODBR",[1]OUT_FinalEnergyCons!$A$4:$A$10000)))*1,[1]OUT_FinalEnergyCons!G$4:G$10000)</f>
        <v>0.47835576359365739</v>
      </c>
      <c r="J1896" s="1" cm="1">
        <f t="array" ref="J1896">SUMPRODUCT(([1]OUT_FinalEnergyCons!$B$4:$B$10000="Var_cap")*1, (ISNUMBER(SEARCH("SCOM-SHWODBR",[1]OUT_FinalEnergyCons!$A$4:$A$10000)))*1,[1]OUT_FinalEnergyCons!H$4:H$10000)</f>
        <v>0.6101240602184369</v>
      </c>
      <c r="K1896" s="1" cm="1">
        <f t="array" ref="K1896">SUMPRODUCT(([1]OUT_FinalEnergyCons!$B$4:$B$10000="Var_cap")*1, (ISNUMBER(SEARCH("SCOM-SHWODBR",[1]OUT_FinalEnergyCons!$A$4:$A$10000)))*1,[1]OUT_FinalEnergyCons!I$4:I$10000)</f>
        <v>0.75796945659250969</v>
      </c>
      <c r="L1896" s="1" cm="1">
        <f t="array" ref="L1896">SUMPRODUCT(([1]OUT_FinalEnergyCons!$B$4:$B$10000="Var_cap")*1, (ISNUMBER(SEARCH("SCOM-SHWODBR",[1]OUT_FinalEnergyCons!$A$4:$A$10000)))*1,[1]OUT_FinalEnergyCons!J$4:J$10000)</f>
        <v>1.2955607955956234</v>
      </c>
      <c r="M1896" s="1" cm="1">
        <f t="array" ref="M1896">SUMPRODUCT(([1]OUT_FinalEnergyCons!$B$4:$B$10000="Var_cap")*1, (ISNUMBER(SEARCH("SCOM-SHWODBR",[1]OUT_FinalEnergyCons!$A$4:$A$10000)))*1,[1]OUT_FinalEnergyCons!K$4:K$10000)</f>
        <v>0.87163776657374936</v>
      </c>
      <c r="N1896" s="1" cm="1">
        <f t="array" ref="N1896">SUMPRODUCT(([1]OUT_FinalEnergyCons!$B$4:$B$10000="Var_cap")*1, (ISNUMBER(SEARCH("SCOM-SHWODBR",[1]OUT_FinalEnergyCons!$A$4:$A$10000)))*1,[1]OUT_FinalEnergyCons!L$4:L$10000)</f>
        <v>0.37783893022493603</v>
      </c>
      <c r="O1896" s="1" cm="1">
        <f t="array" ref="O1896">SUMPRODUCT(([1]OUT_FinalEnergyCons!$B$4:$B$10000="Var_cap")*1, (ISNUMBER(SEARCH("SCOM-SHWODBR",[1]OUT_FinalEnergyCons!$A$4:$A$10000)))*1,[1]OUT_FinalEnergyCons!M$4:M$10000)</f>
        <v>0.14935630140556952</v>
      </c>
      <c r="P1896" s="1" cm="1">
        <f t="array" ref="P1896">SUMPRODUCT(([1]OUT_FinalEnergyCons!$B$4:$B$10000="Var_cap")*1, (ISNUMBER(SEARCH("SCOM-SHWODBR",[1]OUT_FinalEnergyCons!$A$4:$A$10000)))*1,[1]OUT_FinalEnergyCons!N$4:N$10000)</f>
        <v>6.1578477760464295E-2</v>
      </c>
      <c r="Q1896" s="1" cm="1">
        <f t="array" ref="Q1896">SUMPRODUCT(([1]OUT_FinalEnergyCons!$B$4:$B$10000="Var_cap")*1, (ISNUMBER(SEARCH("SCOM-SHWODBR",[1]OUT_FinalEnergyCons!$A$4:$A$10000)))*1,[1]OUT_FinalEnergyCons!O$4:O$10000)</f>
        <v>6.2552853585032764E-2</v>
      </c>
      <c r="S1896" s="3"/>
    </row>
    <row r="1897" spans="2:19" x14ac:dyDescent="0.5">
      <c r="B1897" s="5" t="str">
        <f t="shared" ref="B1897:C1897" si="2141">B1896</f>
        <v>SPS1</v>
      </c>
      <c r="C1897" s="5" t="str">
        <f t="shared" si="2141"/>
        <v>CH</v>
      </c>
      <c r="D1897" t="s">
        <v>1912</v>
      </c>
      <c r="E1897" t="str">
        <f t="shared" si="2131"/>
        <v>GWth/yr.</v>
      </c>
      <c r="F1897" s="1">
        <f>F1898</f>
        <v>0.15051533275723017</v>
      </c>
      <c r="G1897" s="1">
        <f t="shared" ref="G1897:O1897" si="2142">G1898</f>
        <v>0.17395771461600029</v>
      </c>
      <c r="H1897" s="1">
        <f t="shared" si="2142"/>
        <v>0.17395069838821539</v>
      </c>
      <c r="I1897" s="1">
        <f t="shared" si="2142"/>
        <v>0.1739502406091479</v>
      </c>
      <c r="J1897" s="1">
        <f t="shared" si="2142"/>
        <v>0.1752219670629073</v>
      </c>
      <c r="K1897" s="1">
        <f t="shared" si="2142"/>
        <v>0.18067345280261707</v>
      </c>
      <c r="L1897" s="1">
        <f t="shared" si="2142"/>
        <v>0.18069846455476068</v>
      </c>
      <c r="M1897" s="1">
        <f t="shared" si="2142"/>
        <v>0.20284205630183388</v>
      </c>
      <c r="N1897" s="1">
        <f t="shared" si="2142"/>
        <v>0.22560776290654105</v>
      </c>
      <c r="O1897" s="1">
        <f t="shared" si="2142"/>
        <v>0.21699249244186869</v>
      </c>
      <c r="P1897" s="1">
        <f>P1898</f>
        <v>0.23251630016404717</v>
      </c>
      <c r="Q1897" s="1">
        <f>Q1898</f>
        <v>0.2861267101199752</v>
      </c>
      <c r="S1897" s="3"/>
    </row>
    <row r="1898" spans="2:19" x14ac:dyDescent="0.5">
      <c r="B1898" s="5" t="str">
        <f t="shared" ref="B1898:C1898" si="2143">B1897</f>
        <v>SPS1</v>
      </c>
      <c r="C1898" s="5" t="str">
        <f t="shared" si="2143"/>
        <v>CH</v>
      </c>
      <c r="D1898" t="s">
        <v>1913</v>
      </c>
      <c r="E1898" t="str">
        <f t="shared" si="2131"/>
        <v>GWth/yr.</v>
      </c>
      <c r="F1898" s="1" cm="1">
        <f t="array" ref="F1898">SUMPRODUCT(([1]OUT_FinalEnergyCons!$B$4:$B$10000="Var_cap")*1,(ISNUMBER(SEARCH("SCOM-SHPLTBR",[1]OUT_FinalEnergyCons!$A$4:$A$10000)))*1,[1]OUT_FinalEnergyCons!D$4:D$10000)</f>
        <v>0.15051533275723017</v>
      </c>
      <c r="G1898" s="1" cm="1">
        <f t="array" ref="G1898">SUMPRODUCT(([1]OUT_FinalEnergyCons!$B$4:$B$10000="Var_cap")*1,(ISNUMBER(SEARCH("SCOM-SHPLTBR",[1]OUT_FinalEnergyCons!$A$4:$A$10000)))*1,[1]OUT_FinalEnergyCons!E$4:E$10000)</f>
        <v>0.17395771461600029</v>
      </c>
      <c r="H1898" s="1" cm="1">
        <f t="array" ref="H1898">SUMPRODUCT(([1]OUT_FinalEnergyCons!$B$4:$B$10000="Var_cap")*1,(ISNUMBER(SEARCH("SCOM-SHPLTBR",[1]OUT_FinalEnergyCons!$A$4:$A$10000)))*1,[1]OUT_FinalEnergyCons!F$4:F$10000)</f>
        <v>0.17395069838821539</v>
      </c>
      <c r="I1898" s="1" cm="1">
        <f t="array" ref="I1898">SUMPRODUCT(([1]OUT_FinalEnergyCons!$B$4:$B$10000="Var_cap")*1,(ISNUMBER(SEARCH("SCOM-SHPLTBR",[1]OUT_FinalEnergyCons!$A$4:$A$10000)))*1,[1]OUT_FinalEnergyCons!G$4:G$10000)</f>
        <v>0.1739502406091479</v>
      </c>
      <c r="J1898" s="1" cm="1">
        <f t="array" ref="J1898">SUMPRODUCT(([1]OUT_FinalEnergyCons!$B$4:$B$10000="Var_cap")*1,(ISNUMBER(SEARCH("SCOM-SHPLTBR",[1]OUT_FinalEnergyCons!$A$4:$A$10000)))*1,[1]OUT_FinalEnergyCons!H$4:H$10000)</f>
        <v>0.1752219670629073</v>
      </c>
      <c r="K1898" s="1" cm="1">
        <f t="array" ref="K1898">SUMPRODUCT(([1]OUT_FinalEnergyCons!$B$4:$B$10000="Var_cap")*1,(ISNUMBER(SEARCH("SCOM-SHPLTBR",[1]OUT_FinalEnergyCons!$A$4:$A$10000)))*1,[1]OUT_FinalEnergyCons!I$4:I$10000)</f>
        <v>0.18067345280261707</v>
      </c>
      <c r="L1898" s="1" cm="1">
        <f t="array" ref="L1898">SUMPRODUCT(([1]OUT_FinalEnergyCons!$B$4:$B$10000="Var_cap")*1,(ISNUMBER(SEARCH("SCOM-SHPLTBR",[1]OUT_FinalEnergyCons!$A$4:$A$10000)))*1,[1]OUT_FinalEnergyCons!J$4:J$10000)</f>
        <v>0.18069846455476068</v>
      </c>
      <c r="M1898" s="1" cm="1">
        <f t="array" ref="M1898">SUMPRODUCT(([1]OUT_FinalEnergyCons!$B$4:$B$10000="Var_cap")*1,(ISNUMBER(SEARCH("SCOM-SHPLTBR",[1]OUT_FinalEnergyCons!$A$4:$A$10000)))*1,[1]OUT_FinalEnergyCons!K$4:K$10000)</f>
        <v>0.20284205630183388</v>
      </c>
      <c r="N1898" s="1" cm="1">
        <f t="array" ref="N1898">SUMPRODUCT(([1]OUT_FinalEnergyCons!$B$4:$B$10000="Var_cap")*1,(ISNUMBER(SEARCH("SCOM-SHPLTBR",[1]OUT_FinalEnergyCons!$A$4:$A$10000)))*1,[1]OUT_FinalEnergyCons!L$4:L$10000)</f>
        <v>0.22560776290654105</v>
      </c>
      <c r="O1898" s="1" cm="1">
        <f t="array" ref="O1898">SUMPRODUCT(([1]OUT_FinalEnergyCons!$B$4:$B$10000="Var_cap")*1,(ISNUMBER(SEARCH("SCOM-SHPLTBR",[1]OUT_FinalEnergyCons!$A$4:$A$10000)))*1,[1]OUT_FinalEnergyCons!M$4:M$10000)</f>
        <v>0.21699249244186869</v>
      </c>
      <c r="P1898" s="1" cm="1">
        <f t="array" ref="P1898">SUMPRODUCT(([1]OUT_FinalEnergyCons!$B$4:$B$10000="Var_cap")*1,(ISNUMBER(SEARCH("SCOM-SHPLTBR",[1]OUT_FinalEnergyCons!$A$4:$A$10000)))*1,[1]OUT_FinalEnergyCons!N$4:N$10000)</f>
        <v>0.23251630016404717</v>
      </c>
      <c r="Q1898" s="1" cm="1">
        <f t="array" ref="Q1898">SUMPRODUCT(([1]OUT_FinalEnergyCons!$B$4:$B$10000="Var_cap")*1,(ISNUMBER(SEARCH("SCOM-SHPLTBR",[1]OUT_FinalEnergyCons!$A$4:$A$10000)))*1,[1]OUT_FinalEnergyCons!O$4:O$10000)</f>
        <v>0.2861267101199752</v>
      </c>
      <c r="S1898" s="3"/>
    </row>
    <row r="1899" spans="2:19" x14ac:dyDescent="0.5">
      <c r="B1899" s="5" t="str">
        <f t="shared" ref="B1899:C1899" si="2144">B1898</f>
        <v>SPS1</v>
      </c>
      <c r="C1899" s="5" t="str">
        <f t="shared" si="2144"/>
        <v>CH</v>
      </c>
      <c r="D1899" t="s">
        <v>1914</v>
      </c>
      <c r="E1899" t="str">
        <f t="shared" si="2131"/>
        <v>GWth/yr.</v>
      </c>
      <c r="F1899" s="1">
        <f>F1900</f>
        <v>9.111710900274915E-2</v>
      </c>
      <c r="G1899" s="1">
        <f t="shared" ref="G1899:O1899" si="2145">G1900</f>
        <v>9.9946453670959903E-2</v>
      </c>
      <c r="H1899" s="1">
        <f t="shared" si="2145"/>
        <v>9.9966570882068798E-2</v>
      </c>
      <c r="I1899" s="1">
        <f t="shared" si="2145"/>
        <v>0.10000077099630771</v>
      </c>
      <c r="J1899" s="1">
        <f t="shared" si="2145"/>
        <v>0.52782353015833605</v>
      </c>
      <c r="K1899" s="1">
        <f t="shared" si="2145"/>
        <v>0.839992056946955</v>
      </c>
      <c r="L1899" s="1">
        <f t="shared" si="2145"/>
        <v>0.98243039486713102</v>
      </c>
      <c r="M1899" s="1">
        <f t="shared" si="2145"/>
        <v>0.98243071974708496</v>
      </c>
      <c r="N1899" s="1">
        <f t="shared" si="2145"/>
        <v>0.98243081840674795</v>
      </c>
      <c r="O1899" s="1">
        <f t="shared" si="2145"/>
        <v>0.98243165107549801</v>
      </c>
      <c r="P1899" s="1">
        <f>P1900</f>
        <v>0.98243219998231801</v>
      </c>
      <c r="Q1899" s="1">
        <f>Q1900</f>
        <v>0.98243463672978404</v>
      </c>
      <c r="S1899" s="3"/>
    </row>
    <row r="1900" spans="2:19" x14ac:dyDescent="0.5">
      <c r="B1900" s="5" t="str">
        <f t="shared" ref="B1900:C1900" si="2146">B1899</f>
        <v>SPS1</v>
      </c>
      <c r="C1900" s="5" t="str">
        <f t="shared" si="2146"/>
        <v>CH</v>
      </c>
      <c r="D1900" t="s">
        <v>1915</v>
      </c>
      <c r="E1900" t="str">
        <f t="shared" si="2131"/>
        <v>GWth/yr.</v>
      </c>
      <c r="F1900" s="1" cm="1">
        <f t="array" ref="F1900">SUMPRODUCT(([1]OUT_FinalEnergyCons!$B$4:$B$10000="Var_cap")*1, (ISNUMBER(SEARCH("SCOM-SHSOLBR",[1]OUT_FinalEnergyCons!$A$4:$A$10000)))*1,[1]OUT_FinalEnergyCons!D$4:D$10000)</f>
        <v>9.111710900274915E-2</v>
      </c>
      <c r="G1900" s="1" cm="1">
        <f t="array" ref="G1900">SUMPRODUCT(([1]OUT_FinalEnergyCons!$B$4:$B$10000="Var_cap")*1, (ISNUMBER(SEARCH("SCOM-SHSOLBR",[1]OUT_FinalEnergyCons!$A$4:$A$10000)))*1,[1]OUT_FinalEnergyCons!E$4:E$10000)</f>
        <v>9.9946453670959903E-2</v>
      </c>
      <c r="H1900" s="1" cm="1">
        <f t="array" ref="H1900">SUMPRODUCT(([1]OUT_FinalEnergyCons!$B$4:$B$10000="Var_cap")*1, (ISNUMBER(SEARCH("SCOM-SHSOLBR",[1]OUT_FinalEnergyCons!$A$4:$A$10000)))*1,[1]OUT_FinalEnergyCons!F$4:F$10000)</f>
        <v>9.9966570882068798E-2</v>
      </c>
      <c r="I1900" s="1" cm="1">
        <f t="array" ref="I1900">SUMPRODUCT(([1]OUT_FinalEnergyCons!$B$4:$B$10000="Var_cap")*1, (ISNUMBER(SEARCH("SCOM-SHSOLBR",[1]OUT_FinalEnergyCons!$A$4:$A$10000)))*1,[1]OUT_FinalEnergyCons!G$4:G$10000)</f>
        <v>0.10000077099630771</v>
      </c>
      <c r="J1900" s="1" cm="1">
        <f t="array" ref="J1900">SUMPRODUCT(([1]OUT_FinalEnergyCons!$B$4:$B$10000="Var_cap")*1, (ISNUMBER(SEARCH("SCOM-SHSOLBR",[1]OUT_FinalEnergyCons!$A$4:$A$10000)))*1,[1]OUT_FinalEnergyCons!H$4:H$10000)</f>
        <v>0.52782353015833605</v>
      </c>
      <c r="K1900" s="1" cm="1">
        <f t="array" ref="K1900">SUMPRODUCT(([1]OUT_FinalEnergyCons!$B$4:$B$10000="Var_cap")*1, (ISNUMBER(SEARCH("SCOM-SHSOLBR",[1]OUT_FinalEnergyCons!$A$4:$A$10000)))*1,[1]OUT_FinalEnergyCons!I$4:I$10000)</f>
        <v>0.839992056946955</v>
      </c>
      <c r="L1900" s="1" cm="1">
        <f t="array" ref="L1900">SUMPRODUCT(([1]OUT_FinalEnergyCons!$B$4:$B$10000="Var_cap")*1, (ISNUMBER(SEARCH("SCOM-SHSOLBR",[1]OUT_FinalEnergyCons!$A$4:$A$10000)))*1,[1]OUT_FinalEnergyCons!J$4:J$10000)</f>
        <v>0.98243039486713102</v>
      </c>
      <c r="M1900" s="1" cm="1">
        <f t="array" ref="M1900">SUMPRODUCT(([1]OUT_FinalEnergyCons!$B$4:$B$10000="Var_cap")*1, (ISNUMBER(SEARCH("SCOM-SHSOLBR",[1]OUT_FinalEnergyCons!$A$4:$A$10000)))*1,[1]OUT_FinalEnergyCons!K$4:K$10000)</f>
        <v>0.98243071974708496</v>
      </c>
      <c r="N1900" s="1" cm="1">
        <f t="array" ref="N1900">SUMPRODUCT(([1]OUT_FinalEnergyCons!$B$4:$B$10000="Var_cap")*1, (ISNUMBER(SEARCH("SCOM-SHSOLBR",[1]OUT_FinalEnergyCons!$A$4:$A$10000)))*1,[1]OUT_FinalEnergyCons!L$4:L$10000)</f>
        <v>0.98243081840674795</v>
      </c>
      <c r="O1900" s="1" cm="1">
        <f t="array" ref="O1900">SUMPRODUCT(([1]OUT_FinalEnergyCons!$B$4:$B$10000="Var_cap")*1, (ISNUMBER(SEARCH("SCOM-SHSOLBR",[1]OUT_FinalEnergyCons!$A$4:$A$10000)))*1,[1]OUT_FinalEnergyCons!M$4:M$10000)</f>
        <v>0.98243165107549801</v>
      </c>
      <c r="P1900" s="1" cm="1">
        <f t="array" ref="P1900">SUMPRODUCT(([1]OUT_FinalEnergyCons!$B$4:$B$10000="Var_cap")*1, (ISNUMBER(SEARCH("SCOM-SHSOLBR",[1]OUT_FinalEnergyCons!$A$4:$A$10000)))*1,[1]OUT_FinalEnergyCons!N$4:N$10000)</f>
        <v>0.98243219998231801</v>
      </c>
      <c r="Q1900" s="1" cm="1">
        <f t="array" ref="Q1900">SUMPRODUCT(([1]OUT_FinalEnergyCons!$B$4:$B$10000="Var_cap")*1, (ISNUMBER(SEARCH("SCOM-SHSOLBR",[1]OUT_FinalEnergyCons!$A$4:$A$10000)))*1,[1]OUT_FinalEnergyCons!O$4:O$10000)</f>
        <v>0.98243463672978404</v>
      </c>
      <c r="S1900" s="3"/>
    </row>
    <row r="1901" spans="2:19" x14ac:dyDescent="0.5">
      <c r="B1901" s="5" t="str">
        <f t="shared" ref="B1901:C1901" si="2147">B1900</f>
        <v>SPS1</v>
      </c>
      <c r="C1901" s="5" t="str">
        <f t="shared" si="2147"/>
        <v>CH</v>
      </c>
      <c r="D1901" t="s">
        <v>1916</v>
      </c>
      <c r="E1901" t="str">
        <f t="shared" si="2131"/>
        <v>GWth/yr.</v>
      </c>
      <c r="F1901" s="1">
        <f>F1902</f>
        <v>0</v>
      </c>
      <c r="G1901" s="1">
        <f t="shared" ref="G1901:O1901" si="2148">G1902</f>
        <v>0</v>
      </c>
      <c r="H1901" s="1">
        <f t="shared" si="2148"/>
        <v>0</v>
      </c>
      <c r="I1901" s="1">
        <f t="shared" si="2148"/>
        <v>3.1394475819431299E-2</v>
      </c>
      <c r="J1901" s="1">
        <f t="shared" si="2148"/>
        <v>4.1783684362899406E-2</v>
      </c>
      <c r="K1901" s="1">
        <f t="shared" si="2148"/>
        <v>4.5486781226725607E-2</v>
      </c>
      <c r="L1901" s="1">
        <f t="shared" si="2148"/>
        <v>1.6669087173062671E-2</v>
      </c>
      <c r="M1901" s="1">
        <f t="shared" si="2148"/>
        <v>6.3541437572947876E-2</v>
      </c>
      <c r="N1901" s="1">
        <f t="shared" si="2148"/>
        <v>0.15025525270035681</v>
      </c>
      <c r="O1901" s="1">
        <f t="shared" si="2148"/>
        <v>0.18857850335529672</v>
      </c>
      <c r="P1901" s="1">
        <f>P1902</f>
        <v>0.1644151263152131</v>
      </c>
      <c r="Q1901" s="1">
        <f>Q1902</f>
        <v>9.1350507780663628E-2</v>
      </c>
      <c r="S1901" s="3"/>
    </row>
    <row r="1902" spans="2:19" x14ac:dyDescent="0.5">
      <c r="B1902" s="5" t="str">
        <f t="shared" ref="B1902:C1902" si="2149">B1901</f>
        <v>SPS1</v>
      </c>
      <c r="C1902" s="5" t="str">
        <f t="shared" si="2149"/>
        <v>CH</v>
      </c>
      <c r="D1902" t="s">
        <v>1917</v>
      </c>
      <c r="E1902" t="str">
        <f t="shared" si="2131"/>
        <v>GWth/yr.</v>
      </c>
      <c r="F1902" s="1" cm="1">
        <f t="array" ref="F1902">SUMPRODUCT(([1]OUT_FinalEnergyCons!$B$4:$B$10000="Var_cap")*1, (ISNUMBER(SEARCH("SCOM-SHH2BR",[1]OUT_FinalEnergyCons!$A$4:$A$10000)))*1,[1]OUT_FinalEnergyCons!D$4:D$10000)</f>
        <v>0</v>
      </c>
      <c r="G1902" s="1" cm="1">
        <f t="array" ref="G1902">SUMPRODUCT(([1]OUT_FinalEnergyCons!$B$4:$B$10000="Var_cap")*1, (ISNUMBER(SEARCH("SCOM-SHH2BR",[1]OUT_FinalEnergyCons!$A$4:$A$10000)))*1,[1]OUT_FinalEnergyCons!E$4:E$10000)</f>
        <v>0</v>
      </c>
      <c r="H1902" s="1" cm="1">
        <f t="array" ref="H1902">SUMPRODUCT(([1]OUT_FinalEnergyCons!$B$4:$B$10000="Var_cap")*1, (ISNUMBER(SEARCH("SCOM-SHH2BR",[1]OUT_FinalEnergyCons!$A$4:$A$10000)))*1,[1]OUT_FinalEnergyCons!F$4:F$10000)</f>
        <v>0</v>
      </c>
      <c r="I1902" s="1" cm="1">
        <f t="array" ref="I1902">SUMPRODUCT(([1]OUT_FinalEnergyCons!$B$4:$B$10000="Var_cap")*1, (ISNUMBER(SEARCH("SCOM-SHH2BR",[1]OUT_FinalEnergyCons!$A$4:$A$10000)))*1,[1]OUT_FinalEnergyCons!G$4:G$10000)</f>
        <v>3.1394475819431299E-2</v>
      </c>
      <c r="J1902" s="1" cm="1">
        <f t="array" ref="J1902">SUMPRODUCT(([1]OUT_FinalEnergyCons!$B$4:$B$10000="Var_cap")*1, (ISNUMBER(SEARCH("SCOM-SHH2BR",[1]OUT_FinalEnergyCons!$A$4:$A$10000)))*1,[1]OUT_FinalEnergyCons!H$4:H$10000)</f>
        <v>4.1783684362899406E-2</v>
      </c>
      <c r="K1902" s="1" cm="1">
        <f t="array" ref="K1902">SUMPRODUCT(([1]OUT_FinalEnergyCons!$B$4:$B$10000="Var_cap")*1, (ISNUMBER(SEARCH("SCOM-SHH2BR",[1]OUT_FinalEnergyCons!$A$4:$A$10000)))*1,[1]OUT_FinalEnergyCons!I$4:I$10000)</f>
        <v>4.5486781226725607E-2</v>
      </c>
      <c r="L1902" s="1" cm="1">
        <f t="array" ref="L1902">SUMPRODUCT(([1]OUT_FinalEnergyCons!$B$4:$B$10000="Var_cap")*1, (ISNUMBER(SEARCH("SCOM-SHH2BR",[1]OUT_FinalEnergyCons!$A$4:$A$10000)))*1,[1]OUT_FinalEnergyCons!J$4:J$10000)</f>
        <v>1.6669087173062671E-2</v>
      </c>
      <c r="M1902" s="1" cm="1">
        <f t="array" ref="M1902">SUMPRODUCT(([1]OUT_FinalEnergyCons!$B$4:$B$10000="Var_cap")*1, (ISNUMBER(SEARCH("SCOM-SHH2BR",[1]OUT_FinalEnergyCons!$A$4:$A$10000)))*1,[1]OUT_FinalEnergyCons!K$4:K$10000)</f>
        <v>6.3541437572947876E-2</v>
      </c>
      <c r="N1902" s="1" cm="1">
        <f t="array" ref="N1902">SUMPRODUCT(([1]OUT_FinalEnergyCons!$B$4:$B$10000="Var_cap")*1, (ISNUMBER(SEARCH("SCOM-SHH2BR",[1]OUT_FinalEnergyCons!$A$4:$A$10000)))*1,[1]OUT_FinalEnergyCons!L$4:L$10000)</f>
        <v>0.15025525270035681</v>
      </c>
      <c r="O1902" s="1" cm="1">
        <f t="array" ref="O1902">SUMPRODUCT(([1]OUT_FinalEnergyCons!$B$4:$B$10000="Var_cap")*1, (ISNUMBER(SEARCH("SCOM-SHH2BR",[1]OUT_FinalEnergyCons!$A$4:$A$10000)))*1,[1]OUT_FinalEnergyCons!M$4:M$10000)</f>
        <v>0.18857850335529672</v>
      </c>
      <c r="P1902" s="1" cm="1">
        <f t="array" ref="P1902">SUMPRODUCT(([1]OUT_FinalEnergyCons!$B$4:$B$10000="Var_cap")*1, (ISNUMBER(SEARCH("SCOM-SHH2BR",[1]OUT_FinalEnergyCons!$A$4:$A$10000)))*1,[1]OUT_FinalEnergyCons!N$4:N$10000)</f>
        <v>0.1644151263152131</v>
      </c>
      <c r="Q1902" s="1" cm="1">
        <f t="array" ref="Q1902">SUMPRODUCT(([1]OUT_FinalEnergyCons!$B$4:$B$10000="Var_cap")*1, (ISNUMBER(SEARCH("SCOM-SHH2BR",[1]OUT_FinalEnergyCons!$A$4:$A$10000)))*1,[1]OUT_FinalEnergyCons!O$4:O$10000)</f>
        <v>9.1350507780663628E-2</v>
      </c>
      <c r="S1902" s="3"/>
    </row>
    <row r="1903" spans="2:19" x14ac:dyDescent="0.5">
      <c r="B1903" s="5" t="str">
        <f>B1902</f>
        <v>SPS1</v>
      </c>
      <c r="C1903" s="5" t="str">
        <f>C1902</f>
        <v>CH</v>
      </c>
      <c r="D1903" s="2" t="s">
        <v>1920</v>
      </c>
      <c r="E1903" s="2" t="s">
        <v>1972</v>
      </c>
      <c r="F1903" s="3">
        <f>SUM(F1904:F1953)</f>
        <v>4.6738043213973661</v>
      </c>
      <c r="G1903" s="3">
        <f t="shared" ref="G1903:K1903" si="2150">SUM(G1904:G1953)</f>
        <v>4.7833415976969889</v>
      </c>
      <c r="H1903" s="3">
        <f t="shared" si="2150"/>
        <v>4.9795239448132493</v>
      </c>
      <c r="I1903" s="3">
        <f t="shared" si="2150"/>
        <v>5.2123430927135637</v>
      </c>
      <c r="J1903" s="3">
        <f t="shared" si="2150"/>
        <v>5.3800453500036189</v>
      </c>
      <c r="K1903" s="3">
        <f t="shared" si="2150"/>
        <v>5.5476669472337541</v>
      </c>
      <c r="L1903" s="3">
        <f t="shared" ref="L1903:O1903" si="2151">SUM(L1904:L1953)</f>
        <v>5.6518900605577214</v>
      </c>
      <c r="M1903" s="3">
        <f t="shared" si="2151"/>
        <v>5.7564280057628689</v>
      </c>
      <c r="N1903" s="3">
        <f t="shared" si="2151"/>
        <v>6.0529224740289216</v>
      </c>
      <c r="O1903" s="3">
        <f t="shared" si="2151"/>
        <v>6.1874505093350498</v>
      </c>
      <c r="P1903" s="3">
        <f>SUM(P1904:P1953)</f>
        <v>6.3330949959962615</v>
      </c>
      <c r="Q1903" s="3">
        <f>SUM(Q1904:Q1953)</f>
        <v>6.5002538143955446</v>
      </c>
      <c r="S1903" s="3"/>
    </row>
    <row r="1904" spans="2:19" x14ac:dyDescent="0.5">
      <c r="B1904" s="5" t="str">
        <f t="shared" ref="B1904:B1953" si="2152">B1903</f>
        <v>SPS1</v>
      </c>
      <c r="C1904" s="5" t="str">
        <f t="shared" ref="C1904:C1953" si="2153">C1903</f>
        <v>CH</v>
      </c>
      <c r="D1904" t="s">
        <v>1921</v>
      </c>
      <c r="E1904" t="str">
        <f>E1903</f>
        <v>Million</v>
      </c>
      <c r="F1904" s="1" cm="1">
        <f t="array" ref="F1904">SUMPRODUCT(("Var_Cap"=[1]OUT_TransportEnergyCons!$B$4:$B$10000)*1,("-"=[1]OUT_TransportEnergyCons!$C$4:$C$10000)*1,ISNUMBER(SEARCH("T_C*bat*ext",[1]OUT_TransportEnergyCons!$A$4:$A$10000))*1,[1]OUT_TransportEnergyCons!D$4:D$10000)</f>
        <v>4.2038783843432279E-2</v>
      </c>
      <c r="G1904" s="1" cm="1">
        <f t="array" ref="G1904">SUMPRODUCT(("Var_Cap"=[1]OUT_TransportEnergyCons!$B$4:$B$10000)*1,("-"=[1]OUT_TransportEnergyCons!$C$4:$C$10000)*1,ISNUMBER(SEARCH("T_C*bat*ext",[1]OUT_TransportEnergyCons!$A$4:$A$10000))*1,[1]OUT_TransportEnergyCons!E$4:E$10000)</f>
        <v>3.6402548109083471E-2</v>
      </c>
      <c r="H1904" s="1" cm="1">
        <f t="array" ref="H1904">SUMPRODUCT(("Var_Cap"=[1]OUT_TransportEnergyCons!$B$4:$B$10000)*1,("-"=[1]OUT_TransportEnergyCons!$C$4:$C$10000)*1,ISNUMBER(SEARCH("T_C*bat*ext",[1]OUT_TransportEnergyCons!$A$4:$A$10000))*1,[1]OUT_TransportEnergyCons!F$4:F$10000)</f>
        <v>2.682291711258206E-2</v>
      </c>
      <c r="I1904" s="1" cm="1">
        <f t="array" ref="I1904">SUMPRODUCT(("Var_Cap"=[1]OUT_TransportEnergyCons!$B$4:$B$10000)*1,("-"=[1]OUT_TransportEnergyCons!$C$4:$C$10000)*1,ISNUMBER(SEARCH("T_C*bat*ext",[1]OUT_TransportEnergyCons!$A$4:$A$10000))*1,[1]OUT_TransportEnergyCons!G$4:G$10000)</f>
        <v>1.4013274365145064E-2</v>
      </c>
      <c r="J1904" s="1" cm="1">
        <f t="array" ref="J1904">SUMPRODUCT(("Var_Cap"=[1]OUT_TransportEnergyCons!$B$4:$B$10000)*1,("-"=[1]OUT_TransportEnergyCons!$C$4:$C$10000)*1,ISNUMBER(SEARCH("T_C*bat*ext",[1]OUT_TransportEnergyCons!$A$4:$A$10000))*1,[1]OUT_TransportEnergyCons!H$4:H$10000)</f>
        <v>0</v>
      </c>
      <c r="K1904" s="1" cm="1">
        <f t="array" ref="K1904">SUMPRODUCT(("Var_Cap"=[1]OUT_TransportEnergyCons!$B$4:$B$10000)*1,("-"=[1]OUT_TransportEnergyCons!$C$4:$C$10000)*1,ISNUMBER(SEARCH("T_C*bat*ext",[1]OUT_TransportEnergyCons!$A$4:$A$10000))*1,[1]OUT_TransportEnergyCons!I$4:I$10000)</f>
        <v>0</v>
      </c>
      <c r="L1904" s="1" cm="1">
        <f t="array" ref="L1904">SUMPRODUCT(("Var_Cap"=[1]OUT_TransportEnergyCons!$B$4:$B$10000)*1,("-"=[1]OUT_TransportEnergyCons!$C$4:$C$10000)*1,ISNUMBER(SEARCH("T_C*bat*ext",[1]OUT_TransportEnergyCons!$A$4:$A$10000))*1,[1]OUT_TransportEnergyCons!J$4:J$10000)</f>
        <v>0</v>
      </c>
      <c r="M1904" s="1" cm="1">
        <f t="array" ref="M1904">SUMPRODUCT(("Var_Cap"=[1]OUT_TransportEnergyCons!$B$4:$B$10000)*1,("-"=[1]OUT_TransportEnergyCons!$C$4:$C$10000)*1,ISNUMBER(SEARCH("T_C*bat*ext",[1]OUT_TransportEnergyCons!$A$4:$A$10000))*1,[1]OUT_TransportEnergyCons!K$4:K$10000)</f>
        <v>0</v>
      </c>
      <c r="N1904" s="1" cm="1">
        <f t="array" ref="N1904">SUMPRODUCT(("Var_Cap"=[1]OUT_TransportEnergyCons!$B$4:$B$10000)*1,("-"=[1]OUT_TransportEnergyCons!$C$4:$C$10000)*1,ISNUMBER(SEARCH("T_C*bat*ext",[1]OUT_TransportEnergyCons!$A$4:$A$10000))*1,[1]OUT_TransportEnergyCons!L$4:L$10000)</f>
        <v>0</v>
      </c>
      <c r="O1904" s="1" cm="1">
        <f t="array" ref="O1904">SUMPRODUCT(("Var_Cap"=[1]OUT_TransportEnergyCons!$B$4:$B$10000)*1,("-"=[1]OUT_TransportEnergyCons!$C$4:$C$10000)*1,ISNUMBER(SEARCH("T_C*bat*ext",[1]OUT_TransportEnergyCons!$A$4:$A$10000))*1,[1]OUT_TransportEnergyCons!M$4:M$10000)</f>
        <v>0</v>
      </c>
      <c r="P1904" s="1" cm="1">
        <f t="array" ref="P1904">SUMPRODUCT(("Var_Cap"=[1]OUT_TransportEnergyCons!$B$4:$B$10000)*1,("-"=[1]OUT_TransportEnergyCons!$C$4:$C$10000)*1,ISNUMBER(SEARCH("T_C*bat*ext",[1]OUT_TransportEnergyCons!$A$4:$A$10000))*1,[1]OUT_TransportEnergyCons!N$4:N$10000)</f>
        <v>0</v>
      </c>
      <c r="Q1904" s="1" cm="1">
        <f t="array" ref="Q1904">SUMPRODUCT(("Var_Cap"=[1]OUT_TransportEnergyCons!$B$4:$B$10000)*1,("-"=[1]OUT_TransportEnergyCons!$C$4:$C$10000)*1,ISNUMBER(SEARCH("T_C*bat*ext",[1]OUT_TransportEnergyCons!$A$4:$A$10000))*1,[1]OUT_TransportEnergyCons!O$4:O$10000)</f>
        <v>0</v>
      </c>
      <c r="S1904" s="3"/>
    </row>
    <row r="1905" spans="2:19" x14ac:dyDescent="0.5">
      <c r="B1905" s="5" t="str">
        <f t="shared" si="2152"/>
        <v>SPS1</v>
      </c>
      <c r="C1905" s="5" t="str">
        <f t="shared" si="2153"/>
        <v>CH</v>
      </c>
      <c r="D1905" t="s">
        <v>1922</v>
      </c>
      <c r="E1905" t="str">
        <f t="shared" ref="E1905:E1953" si="2154">E1904</f>
        <v>Million</v>
      </c>
      <c r="F1905" s="1" cm="1">
        <f t="array" ref="F1905">SUMPRODUCT(("Var_Cap"=[1]OUT_TransportEnergyCons!$B$4:$B$10000)*1,("-"=[1]OUT_TransportEnergyCons!$C$4:$C$10000)*1,ISNUMBER(SEARCH("T_C*bat*s1",[1]OUT_TransportEnergyCons!$A$4:$A$10000))*1,[1]OUT_TransportEnergyCons!D$4:D$10000)</f>
        <v>1.5770748806263881E-3</v>
      </c>
      <c r="G1905" s="1" cm="1">
        <f t="array" ref="G1905">SUMPRODUCT(("Var_Cap"=[1]OUT_TransportEnergyCons!$B$4:$B$10000)*1,("-"=[1]OUT_TransportEnergyCons!$C$4:$C$10000)*1,ISNUMBER(SEARCH("T_C*bat*s1",[1]OUT_TransportEnergyCons!$A$4:$A$10000))*1,[1]OUT_TransportEnergyCons!E$4:E$10000)</f>
        <v>2.6997485930338513E-3</v>
      </c>
      <c r="H1905" s="1" cm="1">
        <f t="array" ref="H1905">SUMPRODUCT(("Var_Cap"=[1]OUT_TransportEnergyCons!$B$4:$B$10000)*1,("-"=[1]OUT_TransportEnergyCons!$C$4:$C$10000)*1,ISNUMBER(SEARCH("T_C*bat*s1",[1]OUT_TransportEnergyCons!$A$4:$A$10000))*1,[1]OUT_TransportEnergyCons!F$4:F$10000)</f>
        <v>1.083792638354838E-3</v>
      </c>
      <c r="I1905" s="1" cm="1">
        <f t="array" ref="I1905">SUMPRODUCT(("Var_Cap"=[1]OUT_TransportEnergyCons!$B$4:$B$10000)*1,("-"=[1]OUT_TransportEnergyCons!$C$4:$C$10000)*1,ISNUMBER(SEARCH("T_C*bat*s1",[1]OUT_TransportEnergyCons!$A$4:$A$10000))*1,[1]OUT_TransportEnergyCons!G$4:G$10000)</f>
        <v>0.16754122589759882</v>
      </c>
      <c r="J1905" s="1" cm="1">
        <f t="array" ref="J1905">SUMPRODUCT(("Var_Cap"=[1]OUT_TransportEnergyCons!$B$4:$B$10000)*1,("-"=[1]OUT_TransportEnergyCons!$C$4:$C$10000)*1,ISNUMBER(SEARCH("T_C*bat*s1",[1]OUT_TransportEnergyCons!$A$4:$A$10000))*1,[1]OUT_TransportEnergyCons!H$4:H$10000)</f>
        <v>0.30331321823513208</v>
      </c>
      <c r="K1905" s="1" cm="1">
        <f t="array" ref="K1905">SUMPRODUCT(("Var_Cap"=[1]OUT_TransportEnergyCons!$B$4:$B$10000)*1,("-"=[1]OUT_TransportEnergyCons!$C$4:$C$10000)*1,ISNUMBER(SEARCH("T_C*bat*s1",[1]OUT_TransportEnergyCons!$A$4:$A$10000))*1,[1]OUT_TransportEnergyCons!I$4:I$10000)</f>
        <v>0.35288227966123442</v>
      </c>
      <c r="L1905" s="1" cm="1">
        <f t="array" ref="L1905">SUMPRODUCT(("Var_Cap"=[1]OUT_TransportEnergyCons!$B$4:$B$10000)*1,("-"=[1]OUT_TransportEnergyCons!$C$4:$C$10000)*1,ISNUMBER(SEARCH("T_C*bat*s1",[1]OUT_TransportEnergyCons!$A$4:$A$10000))*1,[1]OUT_TransportEnergyCons!J$4:J$10000)</f>
        <v>0.36363360952832269</v>
      </c>
      <c r="M1905" s="1" cm="1">
        <f t="array" ref="M1905">SUMPRODUCT(("Var_Cap"=[1]OUT_TransportEnergyCons!$B$4:$B$10000)*1,("-"=[1]OUT_TransportEnergyCons!$C$4:$C$10000)*1,ISNUMBER(SEARCH("T_C*bat*s1",[1]OUT_TransportEnergyCons!$A$4:$A$10000))*1,[1]OUT_TransportEnergyCons!K$4:K$10000)</f>
        <v>0.37001953390809778</v>
      </c>
      <c r="N1905" s="1" cm="1">
        <f t="array" ref="N1905">SUMPRODUCT(("Var_Cap"=[1]OUT_TransportEnergyCons!$B$4:$B$10000)*1,("-"=[1]OUT_TransportEnergyCons!$C$4:$C$10000)*1,ISNUMBER(SEARCH("T_C*bat*s1",[1]OUT_TransportEnergyCons!$A$4:$A$10000))*1,[1]OUT_TransportEnergyCons!L$4:L$10000)</f>
        <v>0.36527287227156052</v>
      </c>
      <c r="O1905" s="1" cm="1">
        <f t="array" ref="O1905">SUMPRODUCT(("Var_Cap"=[1]OUT_TransportEnergyCons!$B$4:$B$10000)*1,("-"=[1]OUT_TransportEnergyCons!$C$4:$C$10000)*1,ISNUMBER(SEARCH("T_C*bat*s1",[1]OUT_TransportEnergyCons!$A$4:$A$10000))*1,[1]OUT_TransportEnergyCons!M$4:M$10000)</f>
        <v>0.36743483449027026</v>
      </c>
      <c r="P1905" s="1" cm="1">
        <f t="array" ref="P1905">SUMPRODUCT(("Var_Cap"=[1]OUT_TransportEnergyCons!$B$4:$B$10000)*1,("-"=[1]OUT_TransportEnergyCons!$C$4:$C$10000)*1,ISNUMBER(SEARCH("T_C*bat*s1",[1]OUT_TransportEnergyCons!$A$4:$A$10000))*1,[1]OUT_TransportEnergyCons!N$4:N$10000)</f>
        <v>0.36615769768104611</v>
      </c>
      <c r="Q1905" s="1" cm="1">
        <f t="array" ref="Q1905">SUMPRODUCT(("Var_Cap"=[1]OUT_TransportEnergyCons!$B$4:$B$10000)*1,("-"=[1]OUT_TransportEnergyCons!$C$4:$C$10000)*1,ISNUMBER(SEARCH("T_C*bat*s1",[1]OUT_TransportEnergyCons!$A$4:$A$10000))*1,[1]OUT_TransportEnergyCons!O$4:O$10000)</f>
        <v>0.36536001615911151</v>
      </c>
      <c r="S1905" s="3"/>
    </row>
    <row r="1906" spans="2:19" x14ac:dyDescent="0.5">
      <c r="B1906" s="5" t="str">
        <f t="shared" si="2152"/>
        <v>SPS1</v>
      </c>
      <c r="C1906" s="5" t="str">
        <f t="shared" si="2153"/>
        <v>CH</v>
      </c>
      <c r="D1906" t="s">
        <v>1923</v>
      </c>
      <c r="E1906" t="str">
        <f t="shared" si="2154"/>
        <v>Million</v>
      </c>
      <c r="F1906" s="1" cm="1">
        <f t="array" ref="F1906">SUMPRODUCT(("Var_Cap"=[1]OUT_TransportEnergyCons!$B$4:$B$10000)*1,("-"=[1]OUT_TransportEnergyCons!$C$4:$C$10000)*1,ISNUMBER(SEARCH("T_C*bat*s2",[1]OUT_TransportEnergyCons!$A$4:$A$10000))*1,[1]OUT_TransportEnergyCons!D$4:D$10000)</f>
        <v>7.3942217625934384E-3</v>
      </c>
      <c r="G1906" s="1" cm="1">
        <f t="array" ref="G1906">SUMPRODUCT(("Var_Cap"=[1]OUT_TransportEnergyCons!$B$4:$B$10000)*1,("-"=[1]OUT_TransportEnergyCons!$C$4:$C$10000)*1,ISNUMBER(SEARCH("T_C*bat*s2",[1]OUT_TransportEnergyCons!$A$4:$A$10000))*1,[1]OUT_TransportEnergyCons!E$4:E$10000)</f>
        <v>1.2326476006699715E-2</v>
      </c>
      <c r="H1906" s="1" cm="1">
        <f t="array" ref="H1906">SUMPRODUCT(("Var_Cap"=[1]OUT_TransportEnergyCons!$B$4:$B$10000)*1,("-"=[1]OUT_TransportEnergyCons!$C$4:$C$10000)*1,ISNUMBER(SEARCH("T_C*bat*s2",[1]OUT_TransportEnergyCons!$A$4:$A$10000))*1,[1]OUT_TransportEnergyCons!F$4:F$10000)</f>
        <v>1.2329325315997003E-2</v>
      </c>
      <c r="I1906" s="1" cm="1">
        <f t="array" ref="I1906">SUMPRODUCT(("Var_Cap"=[1]OUT_TransportEnergyCons!$B$4:$B$10000)*1,("-"=[1]OUT_TransportEnergyCons!$C$4:$C$10000)*1,ISNUMBER(SEARCH("T_C*bat*s2",[1]OUT_TransportEnergyCons!$A$4:$A$10000))*1,[1]OUT_TransportEnergyCons!G$4:G$10000)</f>
        <v>0.36348841135118204</v>
      </c>
      <c r="J1906" s="1" cm="1">
        <f t="array" ref="J1906">SUMPRODUCT(("Var_Cap"=[1]OUT_TransportEnergyCons!$B$4:$B$10000)*1,("-"=[1]OUT_TransportEnergyCons!$C$4:$C$10000)*1,ISNUMBER(SEARCH("T_C*bat*s2",[1]OUT_TransportEnergyCons!$A$4:$A$10000))*1,[1]OUT_TransportEnergyCons!H$4:H$10000)</f>
        <v>1.5293235568800481</v>
      </c>
      <c r="K1906" s="1" cm="1">
        <f t="array" ref="K1906">SUMPRODUCT(("Var_Cap"=[1]OUT_TransportEnergyCons!$B$4:$B$10000)*1,("-"=[1]OUT_TransportEnergyCons!$C$4:$C$10000)*1,ISNUMBER(SEARCH("T_C*bat*s2",[1]OUT_TransportEnergyCons!$A$4:$A$10000))*1,[1]OUT_TransportEnergyCons!I$4:I$10000)</f>
        <v>1.8270078654357733</v>
      </c>
      <c r="L1906" s="1" cm="1">
        <f t="array" ref="L1906">SUMPRODUCT(("Var_Cap"=[1]OUT_TransportEnergyCons!$B$4:$B$10000)*1,("-"=[1]OUT_TransportEnergyCons!$C$4:$C$10000)*1,ISNUMBER(SEARCH("T_C*bat*s2",[1]OUT_TransportEnergyCons!$A$4:$A$10000))*1,[1]OUT_TransportEnergyCons!J$4:J$10000)</f>
        <v>1.9148774920616025</v>
      </c>
      <c r="M1906" s="1" cm="1">
        <f t="array" ref="M1906">SUMPRODUCT(("Var_Cap"=[1]OUT_TransportEnergyCons!$B$4:$B$10000)*1,("-"=[1]OUT_TransportEnergyCons!$C$4:$C$10000)*1,ISNUMBER(SEARCH("T_C*bat*s2",[1]OUT_TransportEnergyCons!$A$4:$A$10000))*1,[1]OUT_TransportEnergyCons!K$4:K$10000)</f>
        <v>1.8975951800334538</v>
      </c>
      <c r="N1906" s="1" cm="1">
        <f t="array" ref="N1906">SUMPRODUCT(("Var_Cap"=[1]OUT_TransportEnergyCons!$B$4:$B$10000)*1,("-"=[1]OUT_TransportEnergyCons!$C$4:$C$10000)*1,ISNUMBER(SEARCH("T_C*bat*s2",[1]OUT_TransportEnergyCons!$A$4:$A$10000))*1,[1]OUT_TransportEnergyCons!L$4:L$10000)</f>
        <v>1.8914352890409862</v>
      </c>
      <c r="O1906" s="1" cm="1">
        <f t="array" ref="O1906">SUMPRODUCT(("Var_Cap"=[1]OUT_TransportEnergyCons!$B$4:$B$10000)*1,("-"=[1]OUT_TransportEnergyCons!$C$4:$C$10000)*1,ISNUMBER(SEARCH("T_C*bat*s2",[1]OUT_TransportEnergyCons!$A$4:$A$10000))*1,[1]OUT_TransportEnergyCons!M$4:M$10000)</f>
        <v>1.888477392245957</v>
      </c>
      <c r="P1906" s="1" cm="1">
        <f t="array" ref="P1906">SUMPRODUCT(("Var_Cap"=[1]OUT_TransportEnergyCons!$B$4:$B$10000)*1,("-"=[1]OUT_TransportEnergyCons!$C$4:$C$10000)*1,ISNUMBER(SEARCH("T_C*bat*s2",[1]OUT_TransportEnergyCons!$A$4:$A$10000))*1,[1]OUT_TransportEnergyCons!N$4:N$10000)</f>
        <v>1.8838400610998047</v>
      </c>
      <c r="Q1906" s="1" cm="1">
        <f t="array" ref="Q1906">SUMPRODUCT(("Var_Cap"=[1]OUT_TransportEnergyCons!$B$4:$B$10000)*1,("-"=[1]OUT_TransportEnergyCons!$C$4:$C$10000)*1,ISNUMBER(SEARCH("T_C*bat*s2",[1]OUT_TransportEnergyCons!$A$4:$A$10000))*1,[1]OUT_TransportEnergyCons!O$4:O$10000)</f>
        <v>1.8837730419923062</v>
      </c>
      <c r="S1906" s="3"/>
    </row>
    <row r="1907" spans="2:19" x14ac:dyDescent="0.5">
      <c r="B1907" s="5" t="str">
        <f t="shared" si="2152"/>
        <v>SPS1</v>
      </c>
      <c r="C1907" s="5" t="str">
        <f t="shared" si="2153"/>
        <v>CH</v>
      </c>
      <c r="D1907" t="s">
        <v>1924</v>
      </c>
      <c r="E1907" t="str">
        <f t="shared" si="2154"/>
        <v>Million</v>
      </c>
      <c r="F1907" s="1" cm="1">
        <f t="array" ref="F1907">SUMPRODUCT(("Var_Cap"=[1]OUT_TransportEnergyCons!$B$4:$B$10000)*1,("-"=[1]OUT_TransportEnergyCons!$C$4:$C$10000)*1,ISNUMBER(SEARCH("T_C*bat*s3",[1]OUT_TransportEnergyCons!$A$4:$A$10000))*1,[1]OUT_TransportEnergyCons!D$4:D$10000)</f>
        <v>4.3336702888991645E-3</v>
      </c>
      <c r="G1907" s="1" cm="1">
        <f t="array" ref="G1907">SUMPRODUCT(("Var_Cap"=[1]OUT_TransportEnergyCons!$B$4:$B$10000)*1,("-"=[1]OUT_TransportEnergyCons!$C$4:$C$10000)*1,ISNUMBER(SEARCH("T_C*bat*s3",[1]OUT_TransportEnergyCons!$A$4:$A$10000))*1,[1]OUT_TransportEnergyCons!E$4:E$10000)</f>
        <v>9.1488903294697343E-3</v>
      </c>
      <c r="H1907" s="1" cm="1">
        <f t="array" ref="H1907">SUMPRODUCT(("Var_Cap"=[1]OUT_TransportEnergyCons!$B$4:$B$10000)*1,("-"=[1]OUT_TransportEnergyCons!$C$4:$C$10000)*1,ISNUMBER(SEARCH("T_C*bat*s3",[1]OUT_TransportEnergyCons!$A$4:$A$10000))*1,[1]OUT_TransportEnergyCons!F$4:F$10000)</f>
        <v>0.27737763121604908</v>
      </c>
      <c r="I1907" s="1" cm="1">
        <f t="array" ref="I1907">SUMPRODUCT(("Var_Cap"=[1]OUT_TransportEnergyCons!$B$4:$B$10000)*1,("-"=[1]OUT_TransportEnergyCons!$C$4:$C$10000)*1,ISNUMBER(SEARCH("T_C*bat*s3",[1]OUT_TransportEnergyCons!$A$4:$A$10000))*1,[1]OUT_TransportEnergyCons!G$4:G$10000)</f>
        <v>0.24379689109037381</v>
      </c>
      <c r="J1907" s="1" cm="1">
        <f t="array" ref="J1907">SUMPRODUCT(("Var_Cap"=[1]OUT_TransportEnergyCons!$B$4:$B$10000)*1,("-"=[1]OUT_TransportEnergyCons!$C$4:$C$10000)*1,ISNUMBER(SEARCH("T_C*bat*s3",[1]OUT_TransportEnergyCons!$A$4:$A$10000))*1,[1]OUT_TransportEnergyCons!H$4:H$10000)</f>
        <v>0.27064088464728181</v>
      </c>
      <c r="K1907" s="1" cm="1">
        <f t="array" ref="K1907">SUMPRODUCT(("Var_Cap"=[1]OUT_TransportEnergyCons!$B$4:$B$10000)*1,("-"=[1]OUT_TransportEnergyCons!$C$4:$C$10000)*1,ISNUMBER(SEARCH("T_C*bat*s3",[1]OUT_TransportEnergyCons!$A$4:$A$10000))*1,[1]OUT_TransportEnergyCons!I$4:I$10000)</f>
        <v>0.57334051741871972</v>
      </c>
      <c r="L1907" s="1" cm="1">
        <f t="array" ref="L1907">SUMPRODUCT(("Var_Cap"=[1]OUT_TransportEnergyCons!$B$4:$B$10000)*1,("-"=[1]OUT_TransportEnergyCons!$C$4:$C$10000)*1,ISNUMBER(SEARCH("T_C*bat*s3",[1]OUT_TransportEnergyCons!$A$4:$A$10000))*1,[1]OUT_TransportEnergyCons!J$4:J$10000)</f>
        <v>0.54463591492744923</v>
      </c>
      <c r="M1907" s="1" cm="1">
        <f t="array" ref="M1907">SUMPRODUCT(("Var_Cap"=[1]OUT_TransportEnergyCons!$B$4:$B$10000)*1,("-"=[1]OUT_TransportEnergyCons!$C$4:$C$10000)*1,ISNUMBER(SEARCH("T_C*bat*s3",[1]OUT_TransportEnergyCons!$A$4:$A$10000))*1,[1]OUT_TransportEnergyCons!K$4:K$10000)</f>
        <v>0.97267342269290091</v>
      </c>
      <c r="N1907" s="1" cm="1">
        <f t="array" ref="N1907">SUMPRODUCT(("Var_Cap"=[1]OUT_TransportEnergyCons!$B$4:$B$10000)*1,("-"=[1]OUT_TransportEnergyCons!$C$4:$C$10000)*1,ISNUMBER(SEARCH("T_C*bat*s3",[1]OUT_TransportEnergyCons!$A$4:$A$10000))*1,[1]OUT_TransportEnergyCons!L$4:L$10000)</f>
        <v>1.0415300126225966</v>
      </c>
      <c r="O1907" s="1" cm="1">
        <f t="array" ref="O1907">SUMPRODUCT(("Var_Cap"=[1]OUT_TransportEnergyCons!$B$4:$B$10000)*1,("-"=[1]OUT_TransportEnergyCons!$C$4:$C$10000)*1,ISNUMBER(SEARCH("T_C*bat*s3",[1]OUT_TransportEnergyCons!$A$4:$A$10000))*1,[1]OUT_TransportEnergyCons!M$4:M$10000)</f>
        <v>1.3166685734766481</v>
      </c>
      <c r="P1907" s="1" cm="1">
        <f t="array" ref="P1907">SUMPRODUCT(("Var_Cap"=[1]OUT_TransportEnergyCons!$B$4:$B$10000)*1,("-"=[1]OUT_TransportEnergyCons!$C$4:$C$10000)*1,ISNUMBER(SEARCH("T_C*bat*s3",[1]OUT_TransportEnergyCons!$A$4:$A$10000))*1,[1]OUT_TransportEnergyCons!N$4:N$10000)</f>
        <v>2.2678538362810081</v>
      </c>
      <c r="Q1907" s="1" cm="1">
        <f t="array" ref="Q1907">SUMPRODUCT(("Var_Cap"=[1]OUT_TransportEnergyCons!$B$4:$B$10000)*1,("-"=[1]OUT_TransportEnergyCons!$C$4:$C$10000)*1,ISNUMBER(SEARCH("T_C*bat*s3",[1]OUT_TransportEnergyCons!$A$4:$A$10000))*1,[1]OUT_TransportEnergyCons!O$4:O$10000)</f>
        <v>1.9334136586971031</v>
      </c>
      <c r="S1907" s="3"/>
    </row>
    <row r="1908" spans="2:19" x14ac:dyDescent="0.5">
      <c r="B1908" s="5" t="str">
        <f t="shared" si="2152"/>
        <v>SPS1</v>
      </c>
      <c r="C1908" s="5" t="str">
        <f t="shared" si="2153"/>
        <v>CH</v>
      </c>
      <c r="D1908" t="s">
        <v>1925</v>
      </c>
      <c r="E1908" t="str">
        <f t="shared" si="2154"/>
        <v>Million</v>
      </c>
      <c r="F1908" s="1" cm="1">
        <f t="array" ref="F1908">SUMPRODUCT(("Var_Cap"=[1]OUT_TransportEnergyCons!$B$4:$B$10000)*1,("-"=[1]OUT_TransportEnergyCons!$C$4:$C$10000)*1,ISNUMBER(SEARCH("T_C*bat*s4",[1]OUT_TransportEnergyCons!$A$4:$A$10000))*1,[1]OUT_TransportEnergyCons!D$4:D$10000)</f>
        <v>1.5378847589581551E-2</v>
      </c>
      <c r="G1908" s="1" cm="1">
        <f t="array" ref="G1908">SUMPRODUCT(("Var_Cap"=[1]OUT_TransportEnergyCons!$B$4:$B$10000)*1,("-"=[1]OUT_TransportEnergyCons!$C$4:$C$10000)*1,ISNUMBER(SEARCH("T_C*bat*s4",[1]OUT_TransportEnergyCons!$A$4:$A$10000))*1,[1]OUT_TransportEnergyCons!E$4:E$10000)</f>
        <v>9.963020908676147E-2</v>
      </c>
      <c r="H1908" s="1" cm="1">
        <f t="array" ref="H1908">SUMPRODUCT(("Var_Cap"=[1]OUT_TransportEnergyCons!$B$4:$B$10000)*1,("-"=[1]OUT_TransportEnergyCons!$C$4:$C$10000)*1,ISNUMBER(SEARCH("T_C*bat*s4",[1]OUT_TransportEnergyCons!$A$4:$A$10000))*1,[1]OUT_TransportEnergyCons!F$4:F$10000)</f>
        <v>0.10353195899226655</v>
      </c>
      <c r="I1908" s="1" cm="1">
        <f t="array" ref="I1908">SUMPRODUCT(("Var_Cap"=[1]OUT_TransportEnergyCons!$B$4:$B$10000)*1,("-"=[1]OUT_TransportEnergyCons!$C$4:$C$10000)*1,ISNUMBER(SEARCH("T_C*bat*s4",[1]OUT_TransportEnergyCons!$A$4:$A$10000))*1,[1]OUT_TransportEnergyCons!G$4:G$10000)</f>
        <v>0.88659965750892855</v>
      </c>
      <c r="J1908" s="1" cm="1">
        <f t="array" ref="J1908">SUMPRODUCT(("Var_Cap"=[1]OUT_TransportEnergyCons!$B$4:$B$10000)*1,("-"=[1]OUT_TransportEnergyCons!$C$4:$C$10000)*1,ISNUMBER(SEARCH("T_C*bat*s4",[1]OUT_TransportEnergyCons!$A$4:$A$10000))*1,[1]OUT_TransportEnergyCons!H$4:H$10000)</f>
        <v>1.5306464392366215</v>
      </c>
      <c r="K1908" s="1" cm="1">
        <f t="array" ref="K1908">SUMPRODUCT(("Var_Cap"=[1]OUT_TransportEnergyCons!$B$4:$B$10000)*1,("-"=[1]OUT_TransportEnergyCons!$C$4:$C$10000)*1,ISNUMBER(SEARCH("T_C*bat*s4",[1]OUT_TransportEnergyCons!$A$4:$A$10000))*1,[1]OUT_TransportEnergyCons!I$4:I$10000)</f>
        <v>1.8645025054520086</v>
      </c>
      <c r="L1908" s="1" cm="1">
        <f t="array" ref="L1908">SUMPRODUCT(("Var_Cap"=[1]OUT_TransportEnergyCons!$B$4:$B$10000)*1,("-"=[1]OUT_TransportEnergyCons!$C$4:$C$10000)*1,ISNUMBER(SEARCH("T_C*bat*s4",[1]OUT_TransportEnergyCons!$A$4:$A$10000))*1,[1]OUT_TransportEnergyCons!J$4:J$10000)</f>
        <v>1.9630657066167354</v>
      </c>
      <c r="M1908" s="1" cm="1">
        <f t="array" ref="M1908">SUMPRODUCT(("Var_Cap"=[1]OUT_TransportEnergyCons!$B$4:$B$10000)*1,("-"=[1]OUT_TransportEnergyCons!$C$4:$C$10000)*1,ISNUMBER(SEARCH("T_C*bat*s4",[1]OUT_TransportEnergyCons!$A$4:$A$10000))*1,[1]OUT_TransportEnergyCons!K$4:K$10000)</f>
        <v>2.1508679029642983</v>
      </c>
      <c r="N1908" s="1" cm="1">
        <f t="array" ref="N1908">SUMPRODUCT(("Var_Cap"=[1]OUT_TransportEnergyCons!$B$4:$B$10000)*1,("-"=[1]OUT_TransportEnergyCons!$C$4:$C$10000)*1,ISNUMBER(SEARCH("T_C*bat*s4",[1]OUT_TransportEnergyCons!$A$4:$A$10000))*1,[1]OUT_TransportEnergyCons!L$4:L$10000)</f>
        <v>2.3641004282061089</v>
      </c>
      <c r="O1908" s="1" cm="1">
        <f t="array" ref="O1908">SUMPRODUCT(("Var_Cap"=[1]OUT_TransportEnergyCons!$B$4:$B$10000)*1,("-"=[1]OUT_TransportEnergyCons!$C$4:$C$10000)*1,ISNUMBER(SEARCH("T_C*bat*s4",[1]OUT_TransportEnergyCons!$A$4:$A$10000))*1,[1]OUT_TransportEnergyCons!M$4:M$10000)</f>
        <v>2.1810130187227657</v>
      </c>
      <c r="P1908" s="1" cm="1">
        <f t="array" ref="P1908">SUMPRODUCT(("Var_Cap"=[1]OUT_TransportEnergyCons!$B$4:$B$10000)*1,("-"=[1]OUT_TransportEnergyCons!$C$4:$C$10000)*1,ISNUMBER(SEARCH("T_C*bat*s4",[1]OUT_TransportEnergyCons!$A$4:$A$10000))*1,[1]OUT_TransportEnergyCons!N$4:N$10000)</f>
        <v>1.3987190314335511</v>
      </c>
      <c r="Q1908" s="1" cm="1">
        <f t="array" ref="Q1908">SUMPRODUCT(("Var_Cap"=[1]OUT_TransportEnergyCons!$B$4:$B$10000)*1,("-"=[1]OUT_TransportEnergyCons!$C$4:$C$10000)*1,ISNUMBER(SEARCH("T_C*bat*s4",[1]OUT_TransportEnergyCons!$A$4:$A$10000))*1,[1]OUT_TransportEnergyCons!O$4:O$10000)</f>
        <v>1.9179912102296928</v>
      </c>
      <c r="S1908" s="3"/>
    </row>
    <row r="1909" spans="2:19" x14ac:dyDescent="0.5">
      <c r="B1909" s="5" t="str">
        <f t="shared" si="2152"/>
        <v>SPS1</v>
      </c>
      <c r="C1909" s="5" t="str">
        <f t="shared" si="2153"/>
        <v>CH</v>
      </c>
      <c r="D1909" t="s">
        <v>1926</v>
      </c>
      <c r="E1909" t="str">
        <f t="shared" si="2154"/>
        <v>Million</v>
      </c>
      <c r="F1909" s="1" cm="1">
        <f t="array" ref="F1909">SUMPRODUCT(("Var_Cap"=[1]OUT_TransportEnergyCons!$B$4:$B$10000)*1,("-"=[1]OUT_TransportEnergyCons!$C$4:$C$10000)*1,ISNUMBER(SEARCH("T_C*pev*GSL*s1",[1]OUT_TransportEnergyCons!$A$4:$A$10000))*1,[1]OUT_TransportEnergyCons!D$4:D$10000)</f>
        <v>2.5931623507506696E-5</v>
      </c>
      <c r="G1909" s="1" cm="1">
        <f t="array" ref="G1909">SUMPRODUCT(("Var_Cap"=[1]OUT_TransportEnergyCons!$B$4:$B$10000)*1,("-"=[1]OUT_TransportEnergyCons!$C$4:$C$10000)*1,ISNUMBER(SEARCH("T_C*pev*GSL*s1",[1]OUT_TransportEnergyCons!$A$4:$A$10000))*1,[1]OUT_TransportEnergyCons!E$4:E$10000)</f>
        <v>2.839153206638983E-4</v>
      </c>
      <c r="H1909" s="1" cm="1">
        <f t="array" ref="H1909">SUMPRODUCT(("Var_Cap"=[1]OUT_TransportEnergyCons!$B$4:$B$10000)*1,("-"=[1]OUT_TransportEnergyCons!$C$4:$C$10000)*1,ISNUMBER(SEARCH("T_C*pev*GSL*s1",[1]OUT_TransportEnergyCons!$A$4:$A$10000))*1,[1]OUT_TransportEnergyCons!F$4:F$10000)</f>
        <v>3.7505510896272616E-4</v>
      </c>
      <c r="I1909" s="1" cm="1">
        <f t="array" ref="I1909">SUMPRODUCT(("Var_Cap"=[1]OUT_TransportEnergyCons!$B$4:$B$10000)*1,("-"=[1]OUT_TransportEnergyCons!$C$4:$C$10000)*1,ISNUMBER(SEARCH("T_C*pev*GSL*s1",[1]OUT_TransportEnergyCons!$A$4:$A$10000))*1,[1]OUT_TransportEnergyCons!G$4:G$10000)</f>
        <v>5.1762361757276153E-4</v>
      </c>
      <c r="J1909" s="1" cm="1">
        <f t="array" ref="J1909">SUMPRODUCT(("Var_Cap"=[1]OUT_TransportEnergyCons!$B$4:$B$10000)*1,("-"=[1]OUT_TransportEnergyCons!$C$4:$C$10000)*1,ISNUMBER(SEARCH("T_C*pev*GSL*s1",[1]OUT_TransportEnergyCons!$A$4:$A$10000))*1,[1]OUT_TransportEnergyCons!H$4:H$10000)</f>
        <v>5.9284437509238579E-4</v>
      </c>
      <c r="K1909" s="1" cm="1">
        <f t="array" ref="K1909">SUMPRODUCT(("Var_Cap"=[1]OUT_TransportEnergyCons!$B$4:$B$10000)*1,("-"=[1]OUT_TransportEnergyCons!$C$4:$C$10000)*1,ISNUMBER(SEARCH("T_C*pev*GSL*s1",[1]OUT_TransportEnergyCons!$A$4:$A$10000))*1,[1]OUT_TransportEnergyCons!I$4:I$10000)</f>
        <v>3.6684188485479232E-4</v>
      </c>
      <c r="L1909" s="1" cm="1">
        <f t="array" ref="L1909">SUMPRODUCT(("Var_Cap"=[1]OUT_TransportEnergyCons!$B$4:$B$10000)*1,("-"=[1]OUT_TransportEnergyCons!$C$4:$C$10000)*1,ISNUMBER(SEARCH("T_C*pev*GSL*s1",[1]OUT_TransportEnergyCons!$A$4:$A$10000))*1,[1]OUT_TransportEnergyCons!J$4:J$10000)</f>
        <v>3.4467948409142718E-4</v>
      </c>
      <c r="M1909" s="1" cm="1">
        <f t="array" ref="M1909">SUMPRODUCT(("Var_Cap"=[1]OUT_TransportEnergyCons!$B$4:$B$10000)*1,("-"=[1]OUT_TransportEnergyCons!$C$4:$C$10000)*1,ISNUMBER(SEARCH("T_C*pev*GSL*s1",[1]OUT_TransportEnergyCons!$A$4:$A$10000))*1,[1]OUT_TransportEnergyCons!K$4:K$10000)</f>
        <v>1.4244403623921625E-4</v>
      </c>
      <c r="N1909" s="1" cm="1">
        <f t="array" ref="N1909">SUMPRODUCT(("Var_Cap"=[1]OUT_TransportEnergyCons!$B$4:$B$10000)*1,("-"=[1]OUT_TransportEnergyCons!$C$4:$C$10000)*1,ISNUMBER(SEARCH("T_C*pev*GSL*s1",[1]OUT_TransportEnergyCons!$A$4:$A$10000))*1,[1]OUT_TransportEnergyCons!L$4:L$10000)</f>
        <v>1.0523222106472833E-3</v>
      </c>
      <c r="O1909" s="1" cm="1">
        <f t="array" ref="O1909">SUMPRODUCT(("Var_Cap"=[1]OUT_TransportEnergyCons!$B$4:$B$10000)*1,("-"=[1]OUT_TransportEnergyCons!$C$4:$C$10000)*1,ISNUMBER(SEARCH("T_C*pev*GSL*s1",[1]OUT_TransportEnergyCons!$A$4:$A$10000))*1,[1]OUT_TransportEnergyCons!M$4:M$10000)</f>
        <v>1.8651533857174814E-3</v>
      </c>
      <c r="P1909" s="1" cm="1">
        <f t="array" ref="P1909">SUMPRODUCT(("Var_Cap"=[1]OUT_TransportEnergyCons!$B$4:$B$10000)*1,("-"=[1]OUT_TransportEnergyCons!$C$4:$C$10000)*1,ISNUMBER(SEARCH("T_C*pev*GSL*s1",[1]OUT_TransportEnergyCons!$A$4:$A$10000))*1,[1]OUT_TransportEnergyCons!N$4:N$10000)</f>
        <v>2.2776716246384748E-3</v>
      </c>
      <c r="Q1909" s="1" cm="1">
        <f t="array" ref="Q1909">SUMPRODUCT(("Var_Cap"=[1]OUT_TransportEnergyCons!$B$4:$B$10000)*1,("-"=[1]OUT_TransportEnergyCons!$C$4:$C$10000)*1,ISNUMBER(SEARCH("T_C*pev*GSL*s1",[1]OUT_TransportEnergyCons!$A$4:$A$10000))*1,[1]OUT_TransportEnergyCons!O$4:O$10000)</f>
        <v>2.8640435500150501E-3</v>
      </c>
      <c r="S1909" s="3"/>
    </row>
    <row r="1910" spans="2:19" x14ac:dyDescent="0.5">
      <c r="B1910" s="5" t="str">
        <f t="shared" si="2152"/>
        <v>SPS1</v>
      </c>
      <c r="C1910" s="5" t="str">
        <f t="shared" si="2153"/>
        <v>CH</v>
      </c>
      <c r="D1910" t="s">
        <v>1927</v>
      </c>
      <c r="E1910" t="str">
        <f t="shared" si="2154"/>
        <v>Million</v>
      </c>
      <c r="F1910" s="1" cm="1">
        <f t="array" ref="F1910">SUMPRODUCT(("Var_Cap"=[1]OUT_TransportEnergyCons!$B$4:$B$10000)*1,("-"=[1]OUT_TransportEnergyCons!$C$4:$C$10000)*1,ISNUMBER(SEARCH("T_C*pev*GSL*s2",[1]OUT_TransportEnergyCons!$A$4:$A$10000))*1,[1]OUT_TransportEnergyCons!D$4:D$10000)</f>
        <v>4.8859712579937186E-3</v>
      </c>
      <c r="G1910" s="1" cm="1">
        <f t="array" ref="G1910">SUMPRODUCT(("Var_Cap"=[1]OUT_TransportEnergyCons!$B$4:$B$10000)*1,("-"=[1]OUT_TransportEnergyCons!$C$4:$C$10000)*1,ISNUMBER(SEARCH("T_C*pev*GSL*s2",[1]OUT_TransportEnergyCons!$A$4:$A$10000))*1,[1]OUT_TransportEnergyCons!E$4:E$10000)</f>
        <v>7.5442592835067582E-3</v>
      </c>
      <c r="H1910" s="1" cm="1">
        <f t="array" ref="H1910">SUMPRODUCT(("Var_Cap"=[1]OUT_TransportEnergyCons!$B$4:$B$10000)*1,("-"=[1]OUT_TransportEnergyCons!$C$4:$C$10000)*1,ISNUMBER(SEARCH("T_C*pev*GSL*s2",[1]OUT_TransportEnergyCons!$A$4:$A$10000))*1,[1]OUT_TransportEnergyCons!F$4:F$10000)</f>
        <v>7.3549259222822159E-3</v>
      </c>
      <c r="I1910" s="1" cm="1">
        <f t="array" ref="I1910">SUMPRODUCT(("Var_Cap"=[1]OUT_TransportEnergyCons!$B$4:$B$10000)*1,("-"=[1]OUT_TransportEnergyCons!$C$4:$C$10000)*1,ISNUMBER(SEARCH("T_C*pev*GSL*s2",[1]OUT_TransportEnergyCons!$A$4:$A$10000))*1,[1]OUT_TransportEnergyCons!G$4:G$10000)</f>
        <v>1.7160512370996295E-2</v>
      </c>
      <c r="J1910" s="1" cm="1">
        <f t="array" ref="J1910">SUMPRODUCT(("Var_Cap"=[1]OUT_TransportEnergyCons!$B$4:$B$10000)*1,("-"=[1]OUT_TransportEnergyCons!$C$4:$C$10000)*1,ISNUMBER(SEARCH("T_C*pev*GSL*s2",[1]OUT_TransportEnergyCons!$A$4:$A$10000))*1,[1]OUT_TransportEnergyCons!H$4:H$10000)</f>
        <v>1.0522634733326604E-2</v>
      </c>
      <c r="K1910" s="1" cm="1">
        <f t="array" ref="K1910">SUMPRODUCT(("Var_Cap"=[1]OUT_TransportEnergyCons!$B$4:$B$10000)*1,("-"=[1]OUT_TransportEnergyCons!$C$4:$C$10000)*1,ISNUMBER(SEARCH("T_C*pev*GSL*s2",[1]OUT_TransportEnergyCons!$A$4:$A$10000))*1,[1]OUT_TransportEnergyCons!I$4:I$10000)</f>
        <v>5.7403172105835567E-3</v>
      </c>
      <c r="L1910" s="1" cm="1">
        <f t="array" ref="L1910">SUMPRODUCT(("Var_Cap"=[1]OUT_TransportEnergyCons!$B$4:$B$10000)*1,("-"=[1]OUT_TransportEnergyCons!$C$4:$C$10000)*1,ISNUMBER(SEARCH("T_C*pev*GSL*s2",[1]OUT_TransportEnergyCons!$A$4:$A$10000))*1,[1]OUT_TransportEnergyCons!J$4:J$10000)</f>
        <v>7.3857675372880811E-4</v>
      </c>
      <c r="M1910" s="1" cm="1">
        <f t="array" ref="M1910">SUMPRODUCT(("Var_Cap"=[1]OUT_TransportEnergyCons!$B$4:$B$10000)*1,("-"=[1]OUT_TransportEnergyCons!$C$4:$C$10000)*1,ISNUMBER(SEARCH("T_C*pev*GSL*s2",[1]OUT_TransportEnergyCons!$A$4:$A$10000))*1,[1]OUT_TransportEnergyCons!K$4:K$10000)</f>
        <v>4.1085528947882693E-4</v>
      </c>
      <c r="N1910" s="1" cm="1">
        <f t="array" ref="N1910">SUMPRODUCT(("Var_Cap"=[1]OUT_TransportEnergyCons!$B$4:$B$10000)*1,("-"=[1]OUT_TransportEnergyCons!$C$4:$C$10000)*1,ISNUMBER(SEARCH("T_C*pev*GSL*s2",[1]OUT_TransportEnergyCons!$A$4:$A$10000))*1,[1]OUT_TransportEnergyCons!L$4:L$10000)</f>
        <v>2.3822084136788796E-3</v>
      </c>
      <c r="O1910" s="1" cm="1">
        <f t="array" ref="O1910">SUMPRODUCT(("Var_Cap"=[1]OUT_TransportEnergyCons!$B$4:$B$10000)*1,("-"=[1]OUT_TransportEnergyCons!$C$4:$C$10000)*1,ISNUMBER(SEARCH("T_C*pev*GSL*s2",[1]OUT_TransportEnergyCons!$A$4:$A$10000))*1,[1]OUT_TransportEnergyCons!M$4:M$10000)</f>
        <v>2.4550227055888918E-3</v>
      </c>
      <c r="P1910" s="1" cm="1">
        <f t="array" ref="P1910">SUMPRODUCT(("Var_Cap"=[1]OUT_TransportEnergyCons!$B$4:$B$10000)*1,("-"=[1]OUT_TransportEnergyCons!$C$4:$C$10000)*1,ISNUMBER(SEARCH("T_C*pev*GSL*s2",[1]OUT_TransportEnergyCons!$A$4:$A$10000))*1,[1]OUT_TransportEnergyCons!N$4:N$10000)</f>
        <v>2.0325139092553096E-3</v>
      </c>
      <c r="Q1910" s="1" cm="1">
        <f t="array" ref="Q1910">SUMPRODUCT(("Var_Cap"=[1]OUT_TransportEnergyCons!$B$4:$B$10000)*1,("-"=[1]OUT_TransportEnergyCons!$C$4:$C$10000)*1,ISNUMBER(SEARCH("T_C*pev*GSL*s2",[1]OUT_TransportEnergyCons!$A$4:$A$10000))*1,[1]OUT_TransportEnergyCons!O$4:O$10000)</f>
        <v>1.0843476500484455E-3</v>
      </c>
      <c r="S1910" s="3"/>
    </row>
    <row r="1911" spans="2:19" x14ac:dyDescent="0.5">
      <c r="B1911" s="5" t="str">
        <f t="shared" si="2152"/>
        <v>SPS1</v>
      </c>
      <c r="C1911" s="5" t="str">
        <f t="shared" si="2153"/>
        <v>CH</v>
      </c>
      <c r="D1911" t="s">
        <v>1928</v>
      </c>
      <c r="E1911" t="str">
        <f t="shared" si="2154"/>
        <v>Million</v>
      </c>
      <c r="F1911" s="1" cm="1">
        <f t="array" ref="F1911">SUMPRODUCT(("Var_Cap"=[1]OUT_TransportEnergyCons!$B$4:$B$10000)*1,("-"=[1]OUT_TransportEnergyCons!$C$4:$C$10000)*1,ISNUMBER(SEARCH("T_C*pev*GSL*s3",[1]OUT_TransportEnergyCons!$A$4:$A$10000))*1,[1]OUT_TransportEnergyCons!D$4:D$10000)</f>
        <v>4.0687127330324181E-3</v>
      </c>
      <c r="G1911" s="1" cm="1">
        <f t="array" ref="G1911">SUMPRODUCT(("Var_Cap"=[1]OUT_TransportEnergyCons!$B$4:$B$10000)*1,("-"=[1]OUT_TransportEnergyCons!$C$4:$C$10000)*1,ISNUMBER(SEARCH("T_C*pev*GSL*s3",[1]OUT_TransportEnergyCons!$A$4:$A$10000))*1,[1]OUT_TransportEnergyCons!E$4:E$10000)</f>
        <v>1.1965748161786237E-2</v>
      </c>
      <c r="H1911" s="1" cm="1">
        <f t="array" ref="H1911">SUMPRODUCT(("Var_Cap"=[1]OUT_TransportEnergyCons!$B$4:$B$10000)*1,("-"=[1]OUT_TransportEnergyCons!$C$4:$C$10000)*1,ISNUMBER(SEARCH("T_C*pev*GSL*s3",[1]OUT_TransportEnergyCons!$A$4:$A$10000))*1,[1]OUT_TransportEnergyCons!F$4:F$10000)</f>
        <v>8.1463810180871468E-2</v>
      </c>
      <c r="I1911" s="1" cm="1">
        <f t="array" ref="I1911">SUMPRODUCT(("Var_Cap"=[1]OUT_TransportEnergyCons!$B$4:$B$10000)*1,("-"=[1]OUT_TransportEnergyCons!$C$4:$C$10000)*1,ISNUMBER(SEARCH("T_C*pev*GSL*s3",[1]OUT_TransportEnergyCons!$A$4:$A$10000))*1,[1]OUT_TransportEnergyCons!G$4:G$10000)</f>
        <v>0.20478396569346008</v>
      </c>
      <c r="J1911" s="1" cm="1">
        <f t="array" ref="J1911">SUMPRODUCT(("Var_Cap"=[1]OUT_TransportEnergyCons!$B$4:$B$10000)*1,("-"=[1]OUT_TransportEnergyCons!$C$4:$C$10000)*1,ISNUMBER(SEARCH("T_C*pev*GSL*s3",[1]OUT_TransportEnergyCons!$A$4:$A$10000))*1,[1]OUT_TransportEnergyCons!H$4:H$10000)</f>
        <v>0.5850141719072911</v>
      </c>
      <c r="K1911" s="1" cm="1">
        <f t="array" ref="K1911">SUMPRODUCT(("Var_Cap"=[1]OUT_TransportEnergyCons!$B$4:$B$10000)*1,("-"=[1]OUT_TransportEnergyCons!$C$4:$C$10000)*1,ISNUMBER(SEARCH("T_C*pev*GSL*s3",[1]OUT_TransportEnergyCons!$A$4:$A$10000))*1,[1]OUT_TransportEnergyCons!I$4:I$10000)</f>
        <v>0.45319553094655335</v>
      </c>
      <c r="L1911" s="1" cm="1">
        <f t="array" ref="L1911">SUMPRODUCT(("Var_Cap"=[1]OUT_TransportEnergyCons!$B$4:$B$10000)*1,("-"=[1]OUT_TransportEnergyCons!$C$4:$C$10000)*1,ISNUMBER(SEARCH("T_C*pev*GSL*s3",[1]OUT_TransportEnergyCons!$A$4:$A$10000))*1,[1]OUT_TransportEnergyCons!J$4:J$10000)</f>
        <v>0.46900449547735396</v>
      </c>
      <c r="M1911" s="1" cm="1">
        <f t="array" ref="M1911">SUMPRODUCT(("Var_Cap"=[1]OUT_TransportEnergyCons!$B$4:$B$10000)*1,("-"=[1]OUT_TransportEnergyCons!$C$4:$C$10000)*1,ISNUMBER(SEARCH("T_C*pev*GSL*s3",[1]OUT_TransportEnergyCons!$A$4:$A$10000))*1,[1]OUT_TransportEnergyCons!K$4:K$10000)</f>
        <v>0.17235385797819813</v>
      </c>
      <c r="N1911" s="1" cm="1">
        <f t="array" ref="N1911">SUMPRODUCT(("Var_Cap"=[1]OUT_TransportEnergyCons!$B$4:$B$10000)*1,("-"=[1]OUT_TransportEnergyCons!$C$4:$C$10000)*1,ISNUMBER(SEARCH("T_C*pev*GSL*s3",[1]OUT_TransportEnergyCons!$A$4:$A$10000))*1,[1]OUT_TransportEnergyCons!L$4:L$10000)</f>
        <v>0.11455329127040317</v>
      </c>
      <c r="O1911" s="1" cm="1">
        <f t="array" ref="O1911">SUMPRODUCT(("Var_Cap"=[1]OUT_TransportEnergyCons!$B$4:$B$10000)*1,("-"=[1]OUT_TransportEnergyCons!$C$4:$C$10000)*1,ISNUMBER(SEARCH("T_C*pev*GSL*s3",[1]OUT_TransportEnergyCons!$A$4:$A$10000))*1,[1]OUT_TransportEnergyCons!M$4:M$10000)</f>
        <v>4.9003277571767366E-3</v>
      </c>
      <c r="P1911" s="1" cm="1">
        <f t="array" ref="P1911">SUMPRODUCT(("Var_Cap"=[1]OUT_TransportEnergyCons!$B$4:$B$10000)*1,("-"=[1]OUT_TransportEnergyCons!$C$4:$C$10000)*1,ISNUMBER(SEARCH("T_C*pev*GSL*s3",[1]OUT_TransportEnergyCons!$A$4:$A$10000))*1,[1]OUT_TransportEnergyCons!N$4:N$10000)</f>
        <v>4.2735472023659269E-3</v>
      </c>
      <c r="Q1911" s="1" cm="1">
        <f t="array" ref="Q1911">SUMPRODUCT(("Var_Cap"=[1]OUT_TransportEnergyCons!$B$4:$B$10000)*1,("-"=[1]OUT_TransportEnergyCons!$C$4:$C$10000)*1,ISNUMBER(SEARCH("T_C*pev*GSL*s3",[1]OUT_TransportEnergyCons!$A$4:$A$10000))*1,[1]OUT_TransportEnergyCons!O$4:O$10000)</f>
        <v>2.1821489220077272E-3</v>
      </c>
      <c r="S1911" s="3"/>
    </row>
    <row r="1912" spans="2:19" x14ac:dyDescent="0.5">
      <c r="B1912" s="5" t="str">
        <f t="shared" si="2152"/>
        <v>SPS1</v>
      </c>
      <c r="C1912" s="5" t="str">
        <f t="shared" si="2153"/>
        <v>CH</v>
      </c>
      <c r="D1912" t="s">
        <v>1929</v>
      </c>
      <c r="E1912" t="str">
        <f t="shared" si="2154"/>
        <v>Million</v>
      </c>
      <c r="F1912" s="1" cm="1">
        <f t="array" ref="F1912">SUMPRODUCT(("Var_Cap"=[1]OUT_TransportEnergyCons!$B$4:$B$10000)*1,("-"=[1]OUT_TransportEnergyCons!$C$4:$C$10000)*1,ISNUMBER(SEARCH("T_C*pev*GSL*s4",[1]OUT_TransportEnergyCons!$A$4:$A$10000))*1,[1]OUT_TransportEnergyCons!D$4:D$10000)</f>
        <v>7.2626991815871664E-3</v>
      </c>
      <c r="G1912" s="1" cm="1">
        <f t="array" ref="G1912">SUMPRODUCT(("Var_Cap"=[1]OUT_TransportEnergyCons!$B$4:$B$10000)*1,("-"=[1]OUT_TransportEnergyCons!$C$4:$C$10000)*1,ISNUMBER(SEARCH("T_C*pev*GSL*s4",[1]OUT_TransportEnergyCons!$A$4:$A$10000))*1,[1]OUT_TransportEnergyCons!E$4:E$10000)</f>
        <v>1.2804712724214589E-2</v>
      </c>
      <c r="H1912" s="1" cm="1">
        <f t="array" ref="H1912">SUMPRODUCT(("Var_Cap"=[1]OUT_TransportEnergyCons!$B$4:$B$10000)*1,("-"=[1]OUT_TransportEnergyCons!$C$4:$C$10000)*1,ISNUMBER(SEARCH("T_C*pev*GSL*s4",[1]OUT_TransportEnergyCons!$A$4:$A$10000))*1,[1]OUT_TransportEnergyCons!F$4:F$10000)</f>
        <v>1.278009300440841E-2</v>
      </c>
      <c r="I1912" s="1" cm="1">
        <f t="array" ref="I1912">SUMPRODUCT(("Var_Cap"=[1]OUT_TransportEnergyCons!$B$4:$B$10000)*1,("-"=[1]OUT_TransportEnergyCons!$C$4:$C$10000)*1,ISNUMBER(SEARCH("T_C*pev*GSL*s4",[1]OUT_TransportEnergyCons!$A$4:$A$10000))*1,[1]OUT_TransportEnergyCons!G$4:G$10000)</f>
        <v>1.4550350193534636E-2</v>
      </c>
      <c r="J1912" s="1" cm="1">
        <f t="array" ref="J1912">SUMPRODUCT(("Var_Cap"=[1]OUT_TransportEnergyCons!$B$4:$B$10000)*1,("-"=[1]OUT_TransportEnergyCons!$C$4:$C$10000)*1,ISNUMBER(SEARCH("T_C*pev*GSL*s4",[1]OUT_TransportEnergyCons!$A$4:$A$10000))*1,[1]OUT_TransportEnergyCons!H$4:H$10000)</f>
        <v>6.3799318234091084E-3</v>
      </c>
      <c r="K1912" s="1" cm="1">
        <f t="array" ref="K1912">SUMPRODUCT(("Var_Cap"=[1]OUT_TransportEnergyCons!$B$4:$B$10000)*1,("-"=[1]OUT_TransportEnergyCons!$C$4:$C$10000)*1,ISNUMBER(SEARCH("T_C*pev*GSL*s4",[1]OUT_TransportEnergyCons!$A$4:$A$10000))*1,[1]OUT_TransportEnergyCons!I$4:I$10000)</f>
        <v>2.7354064459246367E-3</v>
      </c>
      <c r="L1912" s="1" cm="1">
        <f t="array" ref="L1912">SUMPRODUCT(("Var_Cap"=[1]OUT_TransportEnergyCons!$B$4:$B$10000)*1,("-"=[1]OUT_TransportEnergyCons!$C$4:$C$10000)*1,ISNUMBER(SEARCH("T_C*pev*GSL*s4",[1]OUT_TransportEnergyCons!$A$4:$A$10000))*1,[1]OUT_TransportEnergyCons!J$4:J$10000)</f>
        <v>1.1016333276475333E-3</v>
      </c>
      <c r="M1912" s="1" cm="1">
        <f t="array" ref="M1912">SUMPRODUCT(("Var_Cap"=[1]OUT_TransportEnergyCons!$B$4:$B$10000)*1,("-"=[1]OUT_TransportEnergyCons!$C$4:$C$10000)*1,ISNUMBER(SEARCH("T_C*pev*GSL*s4",[1]OUT_TransportEnergyCons!$A$4:$A$10000))*1,[1]OUT_TransportEnergyCons!K$4:K$10000)</f>
        <v>5.7320410806304691E-4</v>
      </c>
      <c r="N1912" s="1" cm="1">
        <f t="array" ref="N1912">SUMPRODUCT(("Var_Cap"=[1]OUT_TransportEnergyCons!$B$4:$B$10000)*1,("-"=[1]OUT_TransportEnergyCons!$C$4:$C$10000)*1,ISNUMBER(SEARCH("T_C*pev*GSL*s4",[1]OUT_TransportEnergyCons!$A$4:$A$10000))*1,[1]OUT_TransportEnergyCons!L$4:L$10000)</f>
        <v>8.8127359912065259E-2</v>
      </c>
      <c r="O1912" s="1" cm="1">
        <f t="array" ref="O1912">SUMPRODUCT(("Var_Cap"=[1]OUT_TransportEnergyCons!$B$4:$B$10000)*1,("-"=[1]OUT_TransportEnergyCons!$C$4:$C$10000)*1,ISNUMBER(SEARCH("T_C*pev*GSL*s4",[1]OUT_TransportEnergyCons!$A$4:$A$10000))*1,[1]OUT_TransportEnergyCons!M$4:M$10000)</f>
        <v>0.24721106562922215</v>
      </c>
      <c r="P1912" s="1" cm="1">
        <f t="array" ref="P1912">SUMPRODUCT(("Var_Cap"=[1]OUT_TransportEnergyCons!$B$4:$B$10000)*1,("-"=[1]OUT_TransportEnergyCons!$C$4:$C$10000)*1,ISNUMBER(SEARCH("T_C*pev*GSL*s4",[1]OUT_TransportEnergyCons!$A$4:$A$10000))*1,[1]OUT_TransportEnergyCons!N$4:N$10000)</f>
        <v>0.23728911291189564</v>
      </c>
      <c r="Q1912" s="1" cm="1">
        <f t="array" ref="Q1912">SUMPRODUCT(("Var_Cap"=[1]OUT_TransportEnergyCons!$B$4:$B$10000)*1,("-"=[1]OUT_TransportEnergyCons!$C$4:$C$10000)*1,ISNUMBER(SEARCH("T_C*pev*GSL*s4",[1]OUT_TransportEnergyCons!$A$4:$A$10000))*1,[1]OUT_TransportEnergyCons!O$4:O$10000)</f>
        <v>0.22944585177296298</v>
      </c>
      <c r="S1912" s="3"/>
    </row>
    <row r="1913" spans="2:19" x14ac:dyDescent="0.5">
      <c r="B1913" s="5" t="str">
        <f t="shared" si="2152"/>
        <v>SPS1</v>
      </c>
      <c r="C1913" s="5" t="str">
        <f t="shared" si="2153"/>
        <v>CH</v>
      </c>
      <c r="D1913" t="s">
        <v>1930</v>
      </c>
      <c r="E1913" t="str">
        <f t="shared" si="2154"/>
        <v>Million</v>
      </c>
      <c r="F1913" s="1" cm="1">
        <f t="array" ref="F1913">SUMPRODUCT(("Var_Cap"=[1]OUT_TransportEnergyCons!$B$4:$B$10000)*1,("-"=[1]OUT_TransportEnergyCons!$C$4:$C$10000)*1,ISNUMBER(SEARCH("T_C*pev*dsl*s1",[1]OUT_TransportEnergyCons!$A$4:$A$10000))*1,[1]OUT_TransportEnergyCons!D$4:D$10000)</f>
        <v>1.5079812834961819E-6</v>
      </c>
      <c r="G1913" s="1" cm="1">
        <f t="array" ref="G1913">SUMPRODUCT(("Var_Cap"=[1]OUT_TransportEnergyCons!$B$4:$B$10000)*1,("-"=[1]OUT_TransportEnergyCons!$C$4:$C$10000)*1,ISNUMBER(SEARCH("T_C*pev*dsl*s1",[1]OUT_TransportEnergyCons!$A$4:$A$10000))*1,[1]OUT_TransportEnergyCons!E$4:E$10000)</f>
        <v>2.9259456141075162E-4</v>
      </c>
      <c r="H1913" s="1" cm="1">
        <f t="array" ref="H1913">SUMPRODUCT(("Var_Cap"=[1]OUT_TransportEnergyCons!$B$4:$B$10000)*1,("-"=[1]OUT_TransportEnergyCons!$C$4:$C$10000)*1,ISNUMBER(SEARCH("T_C*pev*dsl*s1",[1]OUT_TransportEnergyCons!$A$4:$A$10000))*1,[1]OUT_TransportEnergyCons!F$4:F$10000)</f>
        <v>3.6944108061228733E-4</v>
      </c>
      <c r="I1913" s="1" cm="1">
        <f t="array" ref="I1913">SUMPRODUCT(("Var_Cap"=[1]OUT_TransportEnergyCons!$B$4:$B$10000)*1,("-"=[1]OUT_TransportEnergyCons!$C$4:$C$10000)*1,ISNUMBER(SEARCH("T_C*pev*dsl*s1",[1]OUT_TransportEnergyCons!$A$4:$A$10000))*1,[1]OUT_TransportEnergyCons!G$4:G$10000)</f>
        <v>6.9087368817706714E-4</v>
      </c>
      <c r="J1913" s="1" cm="1">
        <f t="array" ref="J1913">SUMPRODUCT(("Var_Cap"=[1]OUT_TransportEnergyCons!$B$4:$B$10000)*1,("-"=[1]OUT_TransportEnergyCons!$C$4:$C$10000)*1,ISNUMBER(SEARCH("T_C*pev*dsl*s1",[1]OUT_TransportEnergyCons!$A$4:$A$10000))*1,[1]OUT_TransportEnergyCons!H$4:H$10000)</f>
        <v>7.2427224437892344E-4</v>
      </c>
      <c r="K1913" s="1" cm="1">
        <f t="array" ref="K1913">SUMPRODUCT(("Var_Cap"=[1]OUT_TransportEnergyCons!$B$4:$B$10000)*1,("-"=[1]OUT_TransportEnergyCons!$C$4:$C$10000)*1,ISNUMBER(SEARCH("T_C*pev*dsl*s1",[1]OUT_TransportEnergyCons!$A$4:$A$10000))*1,[1]OUT_TransportEnergyCons!I$4:I$10000)</f>
        <v>4.389532076278097E-4</v>
      </c>
      <c r="L1913" s="1" cm="1">
        <f t="array" ref="L1913">SUMPRODUCT(("Var_Cap"=[1]OUT_TransportEnergyCons!$B$4:$B$10000)*1,("-"=[1]OUT_TransportEnergyCons!$C$4:$C$10000)*1,ISNUMBER(SEARCH("T_C*pev*dsl*s1",[1]OUT_TransportEnergyCons!$A$4:$A$10000))*1,[1]OUT_TransportEnergyCons!J$4:J$10000)</f>
        <v>2.2323386003458411E-3</v>
      </c>
      <c r="M1913" s="1" cm="1">
        <f t="array" ref="M1913">SUMPRODUCT(("Var_Cap"=[1]OUT_TransportEnergyCons!$B$4:$B$10000)*1,("-"=[1]OUT_TransportEnergyCons!$C$4:$C$10000)*1,ISNUMBER(SEARCH("T_C*pev*dsl*s1",[1]OUT_TransportEnergyCons!$A$4:$A$10000))*1,[1]OUT_TransportEnergyCons!K$4:K$10000)</f>
        <v>1.7963540538748933E-3</v>
      </c>
      <c r="N1913" s="1" cm="1">
        <f t="array" ref="N1913">SUMPRODUCT(("Var_Cap"=[1]OUT_TransportEnergyCons!$B$4:$B$10000)*1,("-"=[1]OUT_TransportEnergyCons!$C$4:$C$10000)*1,ISNUMBER(SEARCH("T_C*pev*dsl*s1",[1]OUT_TransportEnergyCons!$A$4:$A$10000))*1,[1]OUT_TransportEnergyCons!L$4:L$10000)</f>
        <v>4.453880313806783E-3</v>
      </c>
      <c r="O1913" s="1" cm="1">
        <f t="array" ref="O1913">SUMPRODUCT(("Var_Cap"=[1]OUT_TransportEnergyCons!$B$4:$B$10000)*1,("-"=[1]OUT_TransportEnergyCons!$C$4:$C$10000)*1,ISNUMBER(SEARCH("T_C*pev*dsl*s1",[1]OUT_TransportEnergyCons!$A$4:$A$10000))*1,[1]OUT_TransportEnergyCons!M$4:M$10000)</f>
        <v>2.1918706719409016E-4</v>
      </c>
      <c r="P1913" s="1" cm="1">
        <f t="array" ref="P1913">SUMPRODUCT(("Var_Cap"=[1]OUT_TransportEnergyCons!$B$4:$B$10000)*1,("-"=[1]OUT_TransportEnergyCons!$C$4:$C$10000)*1,ISNUMBER(SEARCH("T_C*pev*dsl*s1",[1]OUT_TransportEnergyCons!$A$4:$A$10000))*1,[1]OUT_TransportEnergyCons!N$4:N$10000)</f>
        <v>9.3746387814210019E-5</v>
      </c>
      <c r="Q1913" s="1" cm="1">
        <f t="array" ref="Q1913">SUMPRODUCT(("Var_Cap"=[1]OUT_TransportEnergyCons!$B$4:$B$10000)*1,("-"=[1]OUT_TransportEnergyCons!$C$4:$C$10000)*1,ISNUMBER(SEARCH("T_C*pev*dsl*s1",[1]OUT_TransportEnergyCons!$A$4:$A$10000))*1,[1]OUT_TransportEnergyCons!O$4:O$10000)</f>
        <v>9.1071768438068395E-5</v>
      </c>
      <c r="S1913" s="3"/>
    </row>
    <row r="1914" spans="2:19" x14ac:dyDescent="0.5">
      <c r="B1914" s="5" t="str">
        <f t="shared" si="2152"/>
        <v>SPS1</v>
      </c>
      <c r="C1914" s="5" t="str">
        <f t="shared" si="2153"/>
        <v>CH</v>
      </c>
      <c r="D1914" t="s">
        <v>1931</v>
      </c>
      <c r="E1914" t="str">
        <f t="shared" si="2154"/>
        <v>Million</v>
      </c>
      <c r="F1914" s="1" cm="1">
        <f t="array" ref="F1914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14" s="1" cm="1">
        <f t="array" ref="G1914">SUMPRODUCT(("Var_Cap"=[1]OUT_TransportEnergyCons!$B$4:$B$10000)*1,("-"=[1]OUT_TransportEnergyCons!$C$4:$C$10000)*1,ISNUMBER(SEARCH("T_C*pev*dsl*s2",[1]OUT_TransportEnergyCons!$A$4:$A$10000))*1,[1]OUT_TransportEnergyCons!E$4:E$10000)</f>
        <v>1.2853579729773008E-4</v>
      </c>
      <c r="H1914" s="1" cm="1">
        <f t="array" ref="H1914">SUMPRODUCT(("Var_Cap"=[1]OUT_TransportEnergyCons!$B$4:$B$10000)*1,("-"=[1]OUT_TransportEnergyCons!$C$4:$C$10000)*1,ISNUMBER(SEARCH("T_C*pev*dsl*s2",[1]OUT_TransportEnergyCons!$A$4:$A$10000))*1,[1]OUT_TransportEnergyCons!F$4:F$10000)</f>
        <v>2.2214486252825725E-4</v>
      </c>
      <c r="I1914" s="1" cm="1">
        <f t="array" ref="I1914">SUMPRODUCT(("Var_Cap"=[1]OUT_TransportEnergyCons!$B$4:$B$10000)*1,("-"=[1]OUT_TransportEnergyCons!$C$4:$C$10000)*1,ISNUMBER(SEARCH("T_C*pev*dsl*s2",[1]OUT_TransportEnergyCons!$A$4:$A$10000))*1,[1]OUT_TransportEnergyCons!G$4:G$10000)</f>
        <v>0.15334516206212698</v>
      </c>
      <c r="J1914" s="1" cm="1">
        <f t="array" ref="J1914">SUMPRODUCT(("Var_Cap"=[1]OUT_TransportEnergyCons!$B$4:$B$10000)*1,("-"=[1]OUT_TransportEnergyCons!$C$4:$C$10000)*1,ISNUMBER(SEARCH("T_C*pev*dsl*s2",[1]OUT_TransportEnergyCons!$A$4:$A$10000))*1,[1]OUT_TransportEnergyCons!H$4:H$10000)</f>
        <v>0.12538259792942519</v>
      </c>
      <c r="K1914" s="1" cm="1">
        <f t="array" ref="K1914">SUMPRODUCT(("Var_Cap"=[1]OUT_TransportEnergyCons!$B$4:$B$10000)*1,("-"=[1]OUT_TransportEnergyCons!$C$4:$C$10000)*1,ISNUMBER(SEARCH("T_C*pev*dsl*s2",[1]OUT_TransportEnergyCons!$A$4:$A$10000))*1,[1]OUT_TransportEnergyCons!I$4:I$10000)</f>
        <v>7.3754626236277224E-2</v>
      </c>
      <c r="L1914" s="1" cm="1">
        <f t="array" ref="L1914">SUMPRODUCT(("Var_Cap"=[1]OUT_TransportEnergyCons!$B$4:$B$10000)*1,("-"=[1]OUT_TransportEnergyCons!$C$4:$C$10000)*1,ISNUMBER(SEARCH("T_C*pev*dsl*s2",[1]OUT_TransportEnergyCons!$A$4:$A$10000))*1,[1]OUT_TransportEnergyCons!J$4:J$10000)</f>
        <v>6.468251105493753E-3</v>
      </c>
      <c r="M1914" s="1" cm="1">
        <f t="array" ref="M1914">SUMPRODUCT(("Var_Cap"=[1]OUT_TransportEnergyCons!$B$4:$B$10000)*1,("-"=[1]OUT_TransportEnergyCons!$C$4:$C$10000)*1,ISNUMBER(SEARCH("T_C*pev*dsl*s2",[1]OUT_TransportEnergyCons!$A$4:$A$10000))*1,[1]OUT_TransportEnergyCons!K$4:K$10000)</f>
        <v>5.4049926335433558E-3</v>
      </c>
      <c r="N1914" s="1" cm="1">
        <f t="array" ref="N1914">SUMPRODUCT(("Var_Cap"=[1]OUT_TransportEnergyCons!$B$4:$B$10000)*1,("-"=[1]OUT_TransportEnergyCons!$C$4:$C$10000)*1,ISNUMBER(SEARCH("T_C*pev*dsl*s2",[1]OUT_TransportEnergyCons!$A$4:$A$10000))*1,[1]OUT_TransportEnergyCons!L$4:L$10000)</f>
        <v>3.6265915923772581E-3</v>
      </c>
      <c r="O1914" s="1" cm="1">
        <f t="array" ref="O1914">SUMPRODUCT(("Var_Cap"=[1]OUT_TransportEnergyCons!$B$4:$B$10000)*1,("-"=[1]OUT_TransportEnergyCons!$C$4:$C$10000)*1,ISNUMBER(SEARCH("T_C*pev*dsl*s2",[1]OUT_TransportEnergyCons!$A$4:$A$10000))*1,[1]OUT_TransportEnergyCons!M$4:M$10000)</f>
        <v>1.9091849670831331E-4</v>
      </c>
      <c r="P1914" s="1" cm="1">
        <f t="array" ref="P1914">SUMPRODUCT(("Var_Cap"=[1]OUT_TransportEnergyCons!$B$4:$B$10000)*1,("-"=[1]OUT_TransportEnergyCons!$C$4:$C$10000)*1,ISNUMBER(SEARCH("T_C*pev*dsl*s2",[1]OUT_TransportEnergyCons!$A$4:$A$10000))*1,[1]OUT_TransportEnergyCons!N$4:N$10000)</f>
        <v>1.6436635127747607E-4</v>
      </c>
      <c r="Q1914" s="1" cm="1">
        <f t="array" ref="Q1914">SUMPRODUCT(("Var_Cap"=[1]OUT_TransportEnergyCons!$B$4:$B$10000)*1,("-"=[1]OUT_TransportEnergyCons!$C$4:$C$10000)*1,ISNUMBER(SEARCH("T_C*pev*dsl*s2",[1]OUT_TransportEnergyCons!$A$4:$A$10000))*1,[1]OUT_TransportEnergyCons!O$4:O$10000)</f>
        <v>1.0115317231750187E-4</v>
      </c>
      <c r="S1914" s="3"/>
    </row>
    <row r="1915" spans="2:19" x14ac:dyDescent="0.5">
      <c r="B1915" s="5" t="str">
        <f t="shared" si="2152"/>
        <v>SPS1</v>
      </c>
      <c r="C1915" s="5" t="str">
        <f t="shared" si="2153"/>
        <v>CH</v>
      </c>
      <c r="D1915" t="s">
        <v>1932</v>
      </c>
      <c r="E1915" t="str">
        <f t="shared" si="2154"/>
        <v>Million</v>
      </c>
      <c r="F1915" s="1" cm="1">
        <f t="array" ref="F1915">SUMPRODUCT(("Var_Cap"=[1]OUT_TransportEnergyCons!$B$4:$B$10000)*1,("-"=[1]OUT_TransportEnergyCons!$C$4:$C$10000)*1,ISNUMBER(SEARCH("T_C*pev*dsl*s3",[1]OUT_TransportEnergyCons!$A$4:$A$10000))*1,[1]OUT_TransportEnergyCons!D$4:D$10000)</f>
        <v>4.0699052660908299E-6</v>
      </c>
      <c r="G1915" s="1" cm="1">
        <f t="array" ref="G1915">SUMPRODUCT(("Var_Cap"=[1]OUT_TransportEnergyCons!$B$4:$B$10000)*1,("-"=[1]OUT_TransportEnergyCons!$C$4:$C$10000)*1,ISNUMBER(SEARCH("T_C*pev*dsl*s3",[1]OUT_TransportEnergyCons!$A$4:$A$10000))*1,[1]OUT_TransportEnergyCons!E$4:E$10000)</f>
        <v>3.0125328999907774E-2</v>
      </c>
      <c r="H1915" s="1" cm="1">
        <f t="array" ref="H1915">SUMPRODUCT(("Var_Cap"=[1]OUT_TransportEnergyCons!$B$4:$B$10000)*1,("-"=[1]OUT_TransportEnergyCons!$C$4:$C$10000)*1,ISNUMBER(SEARCH("T_C*pev*dsl*s3",[1]OUT_TransportEnergyCons!$A$4:$A$10000))*1,[1]OUT_TransportEnergyCons!F$4:F$10000)</f>
        <v>6.7243101510275613E-2</v>
      </c>
      <c r="I1915" s="1" cm="1">
        <f t="array" ref="I1915">SUMPRODUCT(("Var_Cap"=[1]OUT_TransportEnergyCons!$B$4:$B$10000)*1,("-"=[1]OUT_TransportEnergyCons!$C$4:$C$10000)*1,ISNUMBER(SEARCH("T_C*pev*dsl*s3",[1]OUT_TransportEnergyCons!$A$4:$A$10000))*1,[1]OUT_TransportEnergyCons!G$4:G$10000)</f>
        <v>5.8501835184683965E-2</v>
      </c>
      <c r="J1915" s="1" cm="1">
        <f t="array" ref="J1915">SUMPRODUCT(("Var_Cap"=[1]OUT_TransportEnergyCons!$B$4:$B$10000)*1,("-"=[1]OUT_TransportEnergyCons!$C$4:$C$10000)*1,ISNUMBER(SEARCH("T_C*pev*dsl*s3",[1]OUT_TransportEnergyCons!$A$4:$A$10000))*1,[1]OUT_TransportEnergyCons!H$4:H$10000)</f>
        <v>0.30806261052781531</v>
      </c>
      <c r="K1915" s="1" cm="1">
        <f t="array" ref="K1915">SUMPRODUCT(("Var_Cap"=[1]OUT_TransportEnergyCons!$B$4:$B$10000)*1,("-"=[1]OUT_TransportEnergyCons!$C$4:$C$10000)*1,ISNUMBER(SEARCH("T_C*pev*dsl*s3",[1]OUT_TransportEnergyCons!$A$4:$A$10000))*1,[1]OUT_TransportEnergyCons!I$4:I$10000)</f>
        <v>0.24892739416536447</v>
      </c>
      <c r="L1915" s="1" cm="1">
        <f t="array" ref="L1915">SUMPRODUCT(("Var_Cap"=[1]OUT_TransportEnergyCons!$B$4:$B$10000)*1,("-"=[1]OUT_TransportEnergyCons!$C$4:$C$10000)*1,ISNUMBER(SEARCH("T_C*pev*dsl*s3",[1]OUT_TransportEnergyCons!$A$4:$A$10000))*1,[1]OUT_TransportEnergyCons!J$4:J$10000)</f>
        <v>0.22174089943672032</v>
      </c>
      <c r="M1915" s="1" cm="1">
        <f t="array" ref="M1915">SUMPRODUCT(("Var_Cap"=[1]OUT_TransportEnergyCons!$B$4:$B$10000)*1,("-"=[1]OUT_TransportEnergyCons!$C$4:$C$10000)*1,ISNUMBER(SEARCH("T_C*pev*dsl*s3",[1]OUT_TransportEnergyCons!$A$4:$A$10000))*1,[1]OUT_TransportEnergyCons!K$4:K$10000)</f>
        <v>4.1988723509447705E-2</v>
      </c>
      <c r="N1915" s="1" cm="1">
        <f t="array" ref="N1915">SUMPRODUCT(("Var_Cap"=[1]OUT_TransportEnergyCons!$B$4:$B$10000)*1,("-"=[1]OUT_TransportEnergyCons!$C$4:$C$10000)*1,ISNUMBER(SEARCH("T_C*pev*dsl*s3",[1]OUT_TransportEnergyCons!$A$4:$A$10000))*1,[1]OUT_TransportEnergyCons!L$4:L$10000)</f>
        <v>2.7132937295530957E-2</v>
      </c>
      <c r="O1915" s="1" cm="1">
        <f t="array" ref="O1915">SUMPRODUCT(("Var_Cap"=[1]OUT_TransportEnergyCons!$B$4:$B$10000)*1,("-"=[1]OUT_TransportEnergyCons!$C$4:$C$10000)*1,ISNUMBER(SEARCH("T_C*pev*dsl*s3",[1]OUT_TransportEnergyCons!$A$4:$A$10000))*1,[1]OUT_TransportEnergyCons!M$4:M$10000)</f>
        <v>2.4058372869054505E-4</v>
      </c>
      <c r="P1915" s="1" cm="1">
        <f t="array" ref="P1915">SUMPRODUCT(("Var_Cap"=[1]OUT_TransportEnergyCons!$B$4:$B$10000)*1,("-"=[1]OUT_TransportEnergyCons!$C$4:$C$10000)*1,ISNUMBER(SEARCH("T_C*pev*dsl*s3",[1]OUT_TransportEnergyCons!$A$4:$A$10000))*1,[1]OUT_TransportEnergyCons!N$4:N$10000)</f>
        <v>2.0668086384687638E-4</v>
      </c>
      <c r="Q1915" s="1" cm="1">
        <f t="array" ref="Q1915">SUMPRODUCT(("Var_Cap"=[1]OUT_TransportEnergyCons!$B$4:$B$10000)*1,("-"=[1]OUT_TransportEnergyCons!$C$4:$C$10000)*1,ISNUMBER(SEARCH("T_C*pev*dsl*s3",[1]OUT_TransportEnergyCons!$A$4:$A$10000))*1,[1]OUT_TransportEnergyCons!O$4:O$10000)</f>
        <v>1.1998296974592753E-4</v>
      </c>
      <c r="S1915" s="3"/>
    </row>
    <row r="1916" spans="2:19" x14ac:dyDescent="0.5">
      <c r="B1916" s="5" t="str">
        <f t="shared" si="2152"/>
        <v>SPS1</v>
      </c>
      <c r="C1916" s="5" t="str">
        <f t="shared" si="2153"/>
        <v>CH</v>
      </c>
      <c r="D1916" t="s">
        <v>1933</v>
      </c>
      <c r="E1916" t="str">
        <f t="shared" si="2154"/>
        <v>Million</v>
      </c>
      <c r="F1916" s="1" cm="1">
        <f t="array" ref="F1916">SUMPRODUCT(("Var_Cap"=[1]OUT_TransportEnergyCons!$B$4:$B$10000)*1,("-"=[1]OUT_TransportEnergyCons!$C$4:$C$10000)*1,ISNUMBER(SEARCH("T_C*pev*dsl*s4",[1]OUT_TransportEnergyCons!$A$4:$A$10000))*1,[1]OUT_TransportEnergyCons!D$4:D$10000)</f>
        <v>2.5904001350604474E-4</v>
      </c>
      <c r="G1916" s="1" cm="1">
        <f t="array" ref="G1916">SUMPRODUCT(("Var_Cap"=[1]OUT_TransportEnergyCons!$B$4:$B$10000)*1,("-"=[1]OUT_TransportEnergyCons!$C$4:$C$10000)*1,ISNUMBER(SEARCH("T_C*pev*dsl*s4",[1]OUT_TransportEnergyCons!$A$4:$A$10000))*1,[1]OUT_TransportEnergyCons!E$4:E$10000)</f>
        <v>1.4662976126402685E-3</v>
      </c>
      <c r="H1916" s="1" cm="1">
        <f t="array" ref="H1916">SUMPRODUCT(("Var_Cap"=[1]OUT_TransportEnergyCons!$B$4:$B$10000)*1,("-"=[1]OUT_TransportEnergyCons!$C$4:$C$10000)*1,ISNUMBER(SEARCH("T_C*pev*dsl*s4",[1]OUT_TransportEnergyCons!$A$4:$A$10000))*1,[1]OUT_TransportEnergyCons!F$4:F$10000)</f>
        <v>2.0384055714252106E-3</v>
      </c>
      <c r="I1916" s="1" cm="1">
        <f t="array" ref="I1916">SUMPRODUCT(("Var_Cap"=[1]OUT_TransportEnergyCons!$B$4:$B$10000)*1,("-"=[1]OUT_TransportEnergyCons!$C$4:$C$10000)*1,ISNUMBER(SEARCH("T_C*pev*dsl*s4",[1]OUT_TransportEnergyCons!$A$4:$A$10000))*1,[1]OUT_TransportEnergyCons!G$4:G$10000)</f>
        <v>0.1488798815441813</v>
      </c>
      <c r="J1916" s="1" cm="1">
        <f t="array" ref="J1916">SUMPRODUCT(("Var_Cap"=[1]OUT_TransportEnergyCons!$B$4:$B$10000)*1,("-"=[1]OUT_TransportEnergyCons!$C$4:$C$10000)*1,ISNUMBER(SEARCH("T_C*pev*dsl*s4",[1]OUT_TransportEnergyCons!$A$4:$A$10000))*1,[1]OUT_TransportEnergyCons!H$4:H$10000)</f>
        <v>0.12159169236020979</v>
      </c>
      <c r="K1916" s="1" cm="1">
        <f t="array" ref="K1916">SUMPRODUCT(("Var_Cap"=[1]OUT_TransportEnergyCons!$B$4:$B$10000)*1,("-"=[1]OUT_TransportEnergyCons!$C$4:$C$10000)*1,ISNUMBER(SEARCH("T_C*pev*dsl*s4",[1]OUT_TransportEnergyCons!$A$4:$A$10000))*1,[1]OUT_TransportEnergyCons!I$4:I$10000)</f>
        <v>7.1342330428585815E-2</v>
      </c>
      <c r="L1916" s="1" cm="1">
        <f t="array" ref="L1916">SUMPRODUCT(("Var_Cap"=[1]OUT_TransportEnergyCons!$B$4:$B$10000)*1,("-"=[1]OUT_TransportEnergyCons!$C$4:$C$10000)*1,ISNUMBER(SEARCH("T_C*pev*dsl*s4",[1]OUT_TransportEnergyCons!$A$4:$A$10000))*1,[1]OUT_TransportEnergyCons!J$4:J$10000)</f>
        <v>0.16402538774634159</v>
      </c>
      <c r="M1916" s="1" cm="1">
        <f t="array" ref="M1916">SUMPRODUCT(("Var_Cap"=[1]OUT_TransportEnergyCons!$B$4:$B$10000)*1,("-"=[1]OUT_TransportEnergyCons!$C$4:$C$10000)*1,ISNUMBER(SEARCH("T_C*pev*dsl*s4",[1]OUT_TransportEnergyCons!$A$4:$A$10000))*1,[1]OUT_TransportEnergyCons!K$4:K$10000)</f>
        <v>0.14258054153239247</v>
      </c>
      <c r="N1916" s="1" cm="1">
        <f t="array" ref="N1916">SUMPRODUCT(("Var_Cap"=[1]OUT_TransportEnergyCons!$B$4:$B$10000)*1,("-"=[1]OUT_TransportEnergyCons!$C$4:$C$10000)*1,ISNUMBER(SEARCH("T_C*pev*dsl*s4",[1]OUT_TransportEnergyCons!$A$4:$A$10000))*1,[1]OUT_TransportEnergyCons!L$4:L$10000)</f>
        <v>0.14923437551133148</v>
      </c>
      <c r="O1916" s="1" cm="1">
        <f t="array" ref="O1916">SUMPRODUCT(("Var_Cap"=[1]OUT_TransportEnergyCons!$B$4:$B$10000)*1,("-"=[1]OUT_TransportEnergyCons!$C$4:$C$10000)*1,ISNUMBER(SEARCH("T_C*pev*dsl*s4",[1]OUT_TransportEnergyCons!$A$4:$A$10000))*1,[1]OUT_TransportEnergyCons!M$4:M$10000)</f>
        <v>0.17675359199413207</v>
      </c>
      <c r="P1916" s="1" cm="1">
        <f t="array" ref="P1916">SUMPRODUCT(("Var_Cap"=[1]OUT_TransportEnergyCons!$B$4:$B$10000)*1,("-"=[1]OUT_TransportEnergyCons!$C$4:$C$10000)*1,ISNUMBER(SEARCH("T_C*pev*dsl*s4",[1]OUT_TransportEnergyCons!$A$4:$A$10000))*1,[1]OUT_TransportEnergyCons!N$4:N$10000)</f>
        <v>0.17016492055103516</v>
      </c>
      <c r="Q1916" s="1" cm="1">
        <f t="array" ref="Q1916">SUMPRODUCT(("Var_Cap"=[1]OUT_TransportEnergyCons!$B$4:$B$10000)*1,("-"=[1]OUT_TransportEnergyCons!$C$4:$C$10000)*1,ISNUMBER(SEARCH("T_C*pev*dsl*s4",[1]OUT_TransportEnergyCons!$A$4:$A$10000))*1,[1]OUT_TransportEnergyCons!O$4:O$10000)</f>
        <v>0.16380160632087601</v>
      </c>
      <c r="S1916" s="3"/>
    </row>
    <row r="1917" spans="2:19" x14ac:dyDescent="0.5">
      <c r="B1917" s="5" t="str">
        <f t="shared" si="2152"/>
        <v>SPS1</v>
      </c>
      <c r="C1917" s="5" t="str">
        <f t="shared" si="2153"/>
        <v>CH</v>
      </c>
      <c r="D1917" t="s">
        <v>1934</v>
      </c>
      <c r="E1917" t="str">
        <f t="shared" si="2154"/>
        <v>Million</v>
      </c>
      <c r="F1917" s="1" cm="1">
        <f t="array" ref="F1917">SUMPRODUCT(("Var_Cap"=[1]OUT_TransportEnergyCons!$B$4:$B$10000)*1,("-"=[1]OUT_TransportEnergyCons!$C$4:$C$10000)*1,ISNUMBER(SEARCH("T_C*h2o*s1",[1]OUT_TransportEnergyCons!$A$4:$A$10000))*1,[1]OUT_TransportEnergyCons!D$4:D$10000)</f>
        <v>0</v>
      </c>
      <c r="G1917" s="1" cm="1">
        <f t="array" ref="G1917">SUMPRODUCT(("Var_Cap"=[1]OUT_TransportEnergyCons!$B$4:$B$10000)*1,("-"=[1]OUT_TransportEnergyCons!$C$4:$C$10000)*1,ISNUMBER(SEARCH("T_C*h2o*s1",[1]OUT_TransportEnergyCons!$A$4:$A$10000))*1,[1]OUT_TransportEnergyCons!E$4:E$10000)</f>
        <v>1.06656382677883E-5</v>
      </c>
      <c r="H1917" s="1" cm="1">
        <f t="array" ref="H1917">SUMPRODUCT(("Var_Cap"=[1]OUT_TransportEnergyCons!$B$4:$B$10000)*1,("-"=[1]OUT_TransportEnergyCons!$C$4:$C$10000)*1,ISNUMBER(SEARCH("T_C*h2o*s1",[1]OUT_TransportEnergyCons!$A$4:$A$10000))*1,[1]OUT_TransportEnergyCons!F$4:F$10000)</f>
        <v>1.387839989760292E-5</v>
      </c>
      <c r="I1917" s="1" cm="1">
        <f t="array" ref="I1917">SUMPRODUCT(("Var_Cap"=[1]OUT_TransportEnergyCons!$B$4:$B$10000)*1,("-"=[1]OUT_TransportEnergyCons!$C$4:$C$10000)*1,ISNUMBER(SEARCH("T_C*h2o*s1",[1]OUT_TransportEnergyCons!$A$4:$A$10000))*1,[1]OUT_TransportEnergyCons!G$4:G$10000)</f>
        <v>3.4867200697279959E-7</v>
      </c>
      <c r="J1917" s="1" cm="1">
        <f t="array" ref="J1917">SUMPRODUCT(("Var_Cap"=[1]OUT_TransportEnergyCons!$B$4:$B$10000)*1,("-"=[1]OUT_TransportEnergyCons!$C$4:$C$10000)*1,ISNUMBER(SEARCH("T_C*h2o*s1",[1]OUT_TransportEnergyCons!$A$4:$A$10000))*1,[1]OUT_TransportEnergyCons!H$4:H$10000)</f>
        <v>2.2765577643304598E-6</v>
      </c>
      <c r="K1917" s="1" cm="1">
        <f t="array" ref="K1917">SUMPRODUCT(("Var_Cap"=[1]OUT_TransportEnergyCons!$B$4:$B$10000)*1,("-"=[1]OUT_TransportEnergyCons!$C$4:$C$10000)*1,ISNUMBER(SEARCH("T_C*h2o*s1",[1]OUT_TransportEnergyCons!$A$4:$A$10000))*1,[1]OUT_TransportEnergyCons!I$4:I$10000)</f>
        <v>3.10770615012013E-6</v>
      </c>
      <c r="L1917" s="1" cm="1">
        <f t="array" ref="L1917">SUMPRODUCT(("Var_Cap"=[1]OUT_TransportEnergyCons!$B$4:$B$10000)*1,("-"=[1]OUT_TransportEnergyCons!$C$4:$C$10000)*1,ISNUMBER(SEARCH("T_C*h2o*s1",[1]OUT_TransportEnergyCons!$A$4:$A$10000))*1,[1]OUT_TransportEnergyCons!J$4:J$10000)</f>
        <v>2.478841437233899E-6</v>
      </c>
      <c r="M1917" s="1" cm="1">
        <f t="array" ref="M1917">SUMPRODUCT(("Var_Cap"=[1]OUT_TransportEnergyCons!$B$4:$B$10000)*1,("-"=[1]OUT_TransportEnergyCons!$C$4:$C$10000)*1,ISNUMBER(SEARCH("T_C*h2o*s1",[1]OUT_TransportEnergyCons!$A$4:$A$10000))*1,[1]OUT_TransportEnergyCons!K$4:K$10000)</f>
        <v>2.3389815757529129E-6</v>
      </c>
      <c r="N1917" s="1" cm="1">
        <f t="array" ref="N1917">SUMPRODUCT(("Var_Cap"=[1]OUT_TransportEnergyCons!$B$4:$B$10000)*1,("-"=[1]OUT_TransportEnergyCons!$C$4:$C$10000)*1,ISNUMBER(SEARCH("T_C*h2o*s1",[1]OUT_TransportEnergyCons!$A$4:$A$10000))*1,[1]OUT_TransportEnergyCons!L$4:L$10000)</f>
        <v>2.2589871802692112E-6</v>
      </c>
      <c r="O1917" s="1" cm="1">
        <f t="array" ref="O1917">SUMPRODUCT(("Var_Cap"=[1]OUT_TransportEnergyCons!$B$4:$B$10000)*1,("-"=[1]OUT_TransportEnergyCons!$C$4:$C$10000)*1,ISNUMBER(SEARCH("T_C*h2o*s1",[1]OUT_TransportEnergyCons!$A$4:$A$10000))*1,[1]OUT_TransportEnergyCons!M$4:M$10000)</f>
        <v>2.1279771800392011E-6</v>
      </c>
      <c r="P1917" s="1" cm="1">
        <f t="array" ref="P1917">SUMPRODUCT(("Var_Cap"=[1]OUT_TransportEnergyCons!$B$4:$B$10000)*1,("-"=[1]OUT_TransportEnergyCons!$C$4:$C$10000)*1,ISNUMBER(SEARCH("T_C*h2o*s1",[1]OUT_TransportEnergyCons!$A$4:$A$10000))*1,[1]OUT_TransportEnergyCons!N$4:N$10000)</f>
        <v>2.4562448598654598E-6</v>
      </c>
      <c r="Q1917" s="1" cm="1">
        <f t="array" ref="Q1917">SUMPRODUCT(("Var_Cap"=[1]OUT_TransportEnergyCons!$B$4:$B$10000)*1,("-"=[1]OUT_TransportEnergyCons!$C$4:$C$10000)*1,ISNUMBER(SEARCH("T_C*h2o*s1",[1]OUT_TransportEnergyCons!$A$4:$A$10000))*1,[1]OUT_TransportEnergyCons!O$4:O$10000)</f>
        <v>3.2224603213397509E-6</v>
      </c>
      <c r="S1917" s="3"/>
    </row>
    <row r="1918" spans="2:19" x14ac:dyDescent="0.5">
      <c r="B1918" s="5" t="str">
        <f t="shared" si="2152"/>
        <v>SPS1</v>
      </c>
      <c r="C1918" s="5" t="str">
        <f t="shared" si="2153"/>
        <v>CH</v>
      </c>
      <c r="D1918" t="s">
        <v>1935</v>
      </c>
      <c r="E1918" t="str">
        <f t="shared" si="2154"/>
        <v>Million</v>
      </c>
      <c r="F1918" s="1" cm="1">
        <f t="array" ref="F1918">SUMPRODUCT(("Var_Cap"=[1]OUT_TransportEnergyCons!$B$4:$B$10000)*1,("-"=[1]OUT_TransportEnergyCons!$C$4:$C$10000)*1,ISNUMBER(SEARCH("T_C*h2o*s2",[1]OUT_TransportEnergyCons!$A$4:$A$10000))*1,[1]OUT_TransportEnergyCons!D$4:D$10000)</f>
        <v>6.3188993618503113E-6</v>
      </c>
      <c r="G1918" s="1" cm="1">
        <f t="array" ref="G1918">SUMPRODUCT(("Var_Cap"=[1]OUT_TransportEnergyCons!$B$4:$B$10000)*1,("-"=[1]OUT_TransportEnergyCons!$C$4:$C$10000)*1,ISNUMBER(SEARCH("T_C*h2o*s2",[1]OUT_TransportEnergyCons!$A$4:$A$10000))*1,[1]OUT_TransportEnergyCons!E$4:E$10000)</f>
        <v>1.003508673455995E-5</v>
      </c>
      <c r="H1918" s="1" cm="1">
        <f t="array" ref="H1918">SUMPRODUCT(("Var_Cap"=[1]OUT_TransportEnergyCons!$B$4:$B$10000)*1,("-"=[1]OUT_TransportEnergyCons!$C$4:$C$10000)*1,ISNUMBER(SEARCH("T_C*h2o*s2",[1]OUT_TransportEnergyCons!$A$4:$A$10000))*1,[1]OUT_TransportEnergyCons!F$4:F$10000)</f>
        <v>1.2410941405590858E-5</v>
      </c>
      <c r="I1918" s="1" cm="1">
        <f t="array" ref="I1918">SUMPRODUCT(("Var_Cap"=[1]OUT_TransportEnergyCons!$B$4:$B$10000)*1,("-"=[1]OUT_TransportEnergyCons!$C$4:$C$10000)*1,ISNUMBER(SEARCH("T_C*h2o*s2",[1]OUT_TransportEnergyCons!$A$4:$A$10000))*1,[1]OUT_TransportEnergyCons!G$4:G$10000)</f>
        <v>5.4614338126971998E-6</v>
      </c>
      <c r="J1918" s="1" cm="1">
        <f t="array" ref="J1918">SUMPRODUCT(("Var_Cap"=[1]OUT_TransportEnergyCons!$B$4:$B$10000)*1,("-"=[1]OUT_TransportEnergyCons!$C$4:$C$10000)*1,ISNUMBER(SEARCH("T_C*h2o*s2",[1]OUT_TransportEnergyCons!$A$4:$A$10000))*1,[1]OUT_TransportEnergyCons!H$4:H$10000)</f>
        <v>5.8776229072482286E-6</v>
      </c>
      <c r="K1918" s="1" cm="1">
        <f t="array" ref="K1918">SUMPRODUCT(("Var_Cap"=[1]OUT_TransportEnergyCons!$B$4:$B$10000)*1,("-"=[1]OUT_TransportEnergyCons!$C$4:$C$10000)*1,ISNUMBER(SEARCH("T_C*h2o*s2",[1]OUT_TransportEnergyCons!$A$4:$A$10000))*1,[1]OUT_TransportEnergyCons!I$4:I$10000)</f>
        <v>5.8517260273735008E-6</v>
      </c>
      <c r="L1918" s="1" cm="1">
        <f t="array" ref="L1918">SUMPRODUCT(("Var_Cap"=[1]OUT_TransportEnergyCons!$B$4:$B$10000)*1,("-"=[1]OUT_TransportEnergyCons!$C$4:$C$10000)*1,ISNUMBER(SEARCH("T_C*h2o*s2",[1]OUT_TransportEnergyCons!$A$4:$A$10000))*1,[1]OUT_TransportEnergyCons!J$4:J$10000)</f>
        <v>5.9008220265413087E-6</v>
      </c>
      <c r="M1918" s="1" cm="1">
        <f t="array" ref="M1918">SUMPRODUCT(("Var_Cap"=[1]OUT_TransportEnergyCons!$B$4:$B$10000)*1,("-"=[1]OUT_TransportEnergyCons!$C$4:$C$10000)*1,ISNUMBER(SEARCH("T_C*h2o*s2",[1]OUT_TransportEnergyCons!$A$4:$A$10000))*1,[1]OUT_TransportEnergyCons!K$4:K$10000)</f>
        <v>5.7271710549096992E-6</v>
      </c>
      <c r="N1918" s="1" cm="1">
        <f t="array" ref="N1918">SUMPRODUCT(("Var_Cap"=[1]OUT_TransportEnergyCons!$B$4:$B$10000)*1,("-"=[1]OUT_TransportEnergyCons!$C$4:$C$10000)*1,ISNUMBER(SEARCH("T_C*h2o*s2",[1]OUT_TransportEnergyCons!$A$4:$A$10000))*1,[1]OUT_TransportEnergyCons!L$4:L$10000)</f>
        <v>5.6755379099987343E-6</v>
      </c>
      <c r="O1918" s="1" cm="1">
        <f t="array" ref="O1918">SUMPRODUCT(("Var_Cap"=[1]OUT_TransportEnergyCons!$B$4:$B$10000)*1,("-"=[1]OUT_TransportEnergyCons!$C$4:$C$10000)*1,ISNUMBER(SEARCH("T_C*h2o*s2",[1]OUT_TransportEnergyCons!$A$4:$A$10000))*1,[1]OUT_TransportEnergyCons!M$4:M$10000)</f>
        <v>5.7151830444812391E-6</v>
      </c>
      <c r="P1918" s="1" cm="1">
        <f t="array" ref="P1918">SUMPRODUCT(("Var_Cap"=[1]OUT_TransportEnergyCons!$B$4:$B$10000)*1,("-"=[1]OUT_TransportEnergyCons!$C$4:$C$10000)*1,ISNUMBER(SEARCH("T_C*h2o*s2",[1]OUT_TransportEnergyCons!$A$4:$A$10000))*1,[1]OUT_TransportEnergyCons!N$4:N$10000)</f>
        <v>5.9448860776417069E-6</v>
      </c>
      <c r="Q1918" s="1" cm="1">
        <f t="array" ref="Q1918">SUMPRODUCT(("Var_Cap"=[1]OUT_TransportEnergyCons!$B$4:$B$10000)*1,("-"=[1]OUT_TransportEnergyCons!$C$4:$C$10000)*1,ISNUMBER(SEARCH("T_C*h2o*s2",[1]OUT_TransportEnergyCons!$A$4:$A$10000))*1,[1]OUT_TransportEnergyCons!O$4:O$10000)</f>
        <v>7.0444649414380971E-6</v>
      </c>
      <c r="S1918" s="3"/>
    </row>
    <row r="1919" spans="2:19" x14ac:dyDescent="0.5">
      <c r="B1919" s="5" t="str">
        <f t="shared" si="2152"/>
        <v>SPS1</v>
      </c>
      <c r="C1919" s="5" t="str">
        <f t="shared" si="2153"/>
        <v>CH</v>
      </c>
      <c r="D1919" t="s">
        <v>1936</v>
      </c>
      <c r="E1919" t="str">
        <f t="shared" si="2154"/>
        <v>Million</v>
      </c>
      <c r="F1919" s="1" cm="1">
        <f t="array" ref="F1919">SUMPRODUCT(("Var_Cap"=[1]OUT_TransportEnergyCons!$B$4:$B$10000)*1,("-"=[1]OUT_TransportEnergyCons!$C$4:$C$10000)*1,ISNUMBER(SEARCH("T_C*h2o*s3",[1]OUT_TransportEnergyCons!$A$4:$A$10000))*1,[1]OUT_TransportEnergyCons!D$4:D$10000)</f>
        <v>5.3633563654534633E-5</v>
      </c>
      <c r="G1919" s="1" cm="1">
        <f t="array" ref="G1919">SUMPRODUCT(("Var_Cap"=[1]OUT_TransportEnergyCons!$B$4:$B$10000)*1,("-"=[1]OUT_TransportEnergyCons!$C$4:$C$10000)*1,ISNUMBER(SEARCH("T_C*h2o*s3",[1]OUT_TransportEnergyCons!$A$4:$A$10000))*1,[1]OUT_TransportEnergyCons!E$4:E$10000)</f>
        <v>1.113851680986336E-4</v>
      </c>
      <c r="H1919" s="1" cm="1">
        <f t="array" ref="H1919">SUMPRODUCT(("Var_Cap"=[1]OUT_TransportEnergyCons!$B$4:$B$10000)*1,("-"=[1]OUT_TransportEnergyCons!$C$4:$C$10000)*1,ISNUMBER(SEARCH("T_C*h2o*s3",[1]OUT_TransportEnergyCons!$A$4:$A$10000))*1,[1]OUT_TransportEnergyCons!F$4:F$10000)</f>
        <v>1.0869417252848714E-4</v>
      </c>
      <c r="I1919" s="1" cm="1">
        <f t="array" ref="I1919">SUMPRODUCT(("Var_Cap"=[1]OUT_TransportEnergyCons!$B$4:$B$10000)*1,("-"=[1]OUT_TransportEnergyCons!$C$4:$C$10000)*1,ISNUMBER(SEARCH("T_C*h2o*s3",[1]OUT_TransportEnergyCons!$A$4:$A$10000))*1,[1]OUT_TransportEnergyCons!G$4:G$10000)</f>
        <v>9.7734881580699456E-6</v>
      </c>
      <c r="J1919" s="1" cm="1">
        <f t="array" ref="J1919">SUMPRODUCT(("Var_Cap"=[1]OUT_TransportEnergyCons!$B$4:$B$10000)*1,("-"=[1]OUT_TransportEnergyCons!$C$4:$C$10000)*1,ISNUMBER(SEARCH("T_C*h2o*s3",[1]OUT_TransportEnergyCons!$A$4:$A$10000))*1,[1]OUT_TransportEnergyCons!H$4:H$10000)</f>
        <v>6.8883857244262552E-6</v>
      </c>
      <c r="K1919" s="1" cm="1">
        <f t="array" ref="K1919">SUMPRODUCT(("Var_Cap"=[1]OUT_TransportEnergyCons!$B$4:$B$10000)*1,("-"=[1]OUT_TransportEnergyCons!$C$4:$C$10000)*1,ISNUMBER(SEARCH("T_C*h2o*s3",[1]OUT_TransportEnergyCons!$A$4:$A$10000))*1,[1]OUT_TransportEnergyCons!I$4:I$10000)</f>
        <v>5.9461717699478124E-6</v>
      </c>
      <c r="L1919" s="1" cm="1">
        <f t="array" ref="L1919">SUMPRODUCT(("Var_Cap"=[1]OUT_TransportEnergyCons!$B$4:$B$10000)*1,("-"=[1]OUT_TransportEnergyCons!$C$4:$C$10000)*1,ISNUMBER(SEARCH("T_C*h2o*s3",[1]OUT_TransportEnergyCons!$A$4:$A$10000))*1,[1]OUT_TransportEnergyCons!J$4:J$10000)</f>
        <v>6.2476233477771614E-6</v>
      </c>
      <c r="M1919" s="1" cm="1">
        <f t="array" ref="M1919">SUMPRODUCT(("Var_Cap"=[1]OUT_TransportEnergyCons!$B$4:$B$10000)*1,("-"=[1]OUT_TransportEnergyCons!$C$4:$C$10000)*1,ISNUMBER(SEARCH("T_C*h2o*s3",[1]OUT_TransportEnergyCons!$A$4:$A$10000))*1,[1]OUT_TransportEnergyCons!K$4:K$10000)</f>
        <v>6.4706090528204435E-6</v>
      </c>
      <c r="N1919" s="1" cm="1">
        <f t="array" ref="N1919">SUMPRODUCT(("Var_Cap"=[1]OUT_TransportEnergyCons!$B$4:$B$10000)*1,("-"=[1]OUT_TransportEnergyCons!$C$4:$C$10000)*1,ISNUMBER(SEARCH("T_C*h2o*s3",[1]OUT_TransportEnergyCons!$A$4:$A$10000))*1,[1]OUT_TransportEnergyCons!L$4:L$10000)</f>
        <v>6.52850610970174E-6</v>
      </c>
      <c r="O1919" s="1" cm="1">
        <f t="array" ref="O1919">SUMPRODUCT(("Var_Cap"=[1]OUT_TransportEnergyCons!$B$4:$B$10000)*1,("-"=[1]OUT_TransportEnergyCons!$C$4:$C$10000)*1,ISNUMBER(SEARCH("T_C*h2o*s3",[1]OUT_TransportEnergyCons!$A$4:$A$10000))*1,[1]OUT_TransportEnergyCons!M$4:M$10000)</f>
        <v>6.5661554893124278E-6</v>
      </c>
      <c r="P1919" s="1" cm="1">
        <f t="array" ref="P1919">SUMPRODUCT(("Var_Cap"=[1]OUT_TransportEnergyCons!$B$4:$B$10000)*1,("-"=[1]OUT_TransportEnergyCons!$C$4:$C$10000)*1,ISNUMBER(SEARCH("T_C*h2o*s3",[1]OUT_TransportEnergyCons!$A$4:$A$10000))*1,[1]OUT_TransportEnergyCons!N$4:N$10000)</f>
        <v>6.7373535994410543E-6</v>
      </c>
      <c r="Q1919" s="1" cm="1">
        <f t="array" ref="Q1919">SUMPRODUCT(("Var_Cap"=[1]OUT_TransportEnergyCons!$B$4:$B$10000)*1,("-"=[1]OUT_TransportEnergyCons!$C$4:$C$10000)*1,ISNUMBER(SEARCH("T_C*h2o*s3",[1]OUT_TransportEnergyCons!$A$4:$A$10000))*1,[1]OUT_TransportEnergyCons!O$4:O$10000)</f>
        <v>7.7565019947410721E-6</v>
      </c>
      <c r="S1919" s="3"/>
    </row>
    <row r="1920" spans="2:19" x14ac:dyDescent="0.5">
      <c r="B1920" s="5" t="str">
        <f t="shared" si="2152"/>
        <v>SPS1</v>
      </c>
      <c r="C1920" s="5" t="str">
        <f t="shared" si="2153"/>
        <v>CH</v>
      </c>
      <c r="D1920" t="s">
        <v>1937</v>
      </c>
      <c r="E1920" t="str">
        <f t="shared" si="2154"/>
        <v>Million</v>
      </c>
      <c r="F1920" s="1" cm="1">
        <f t="array" ref="F1920">SUMPRODUCT(("Var_Cap"=[1]OUT_TransportEnergyCons!$B$4:$B$10000)*1,("-"=[1]OUT_TransportEnergyCons!$C$4:$C$10000)*1,ISNUMBER(SEARCH("T_C*h2o*s4",[1]OUT_TransportEnergyCons!$A$4:$A$10000))*1,[1]OUT_TransportEnergyCons!D$4:D$10000)</f>
        <v>0</v>
      </c>
      <c r="G1920" s="1" cm="1">
        <f t="array" ref="G1920">SUMPRODUCT(("Var_Cap"=[1]OUT_TransportEnergyCons!$B$4:$B$10000)*1,("-"=[1]OUT_TransportEnergyCons!$C$4:$C$10000)*1,ISNUMBER(SEARCH("T_C*h2o*s4",[1]OUT_TransportEnergyCons!$A$4:$A$10000))*1,[1]OUT_TransportEnergyCons!E$4:E$10000)</f>
        <v>4.5819318109415501E-6</v>
      </c>
      <c r="H1920" s="1" cm="1">
        <f t="array" ref="H1920">SUMPRODUCT(("Var_Cap"=[1]OUT_TransportEnergyCons!$B$4:$B$10000)*1,("-"=[1]OUT_TransportEnergyCons!$C$4:$C$10000)*1,ISNUMBER(SEARCH("T_C*h2o*s4",[1]OUT_TransportEnergyCons!$A$4:$A$10000))*1,[1]OUT_TransportEnergyCons!F$4:F$10000)</f>
        <v>7.2365916657510082E-6</v>
      </c>
      <c r="I1920" s="1" cm="1">
        <f t="array" ref="I1920">SUMPRODUCT(("Var_Cap"=[1]OUT_TransportEnergyCons!$B$4:$B$10000)*1,("-"=[1]OUT_TransportEnergyCons!$C$4:$C$10000)*1,ISNUMBER(SEARCH("T_C*h2o*s4",[1]OUT_TransportEnergyCons!$A$4:$A$10000))*1,[1]OUT_TransportEnergyCons!G$4:G$10000)</f>
        <v>5.4323476578633799E-6</v>
      </c>
      <c r="J1920" s="1" cm="1">
        <f t="array" ref="J1920">SUMPRODUCT(("Var_Cap"=[1]OUT_TransportEnergyCons!$B$4:$B$10000)*1,("-"=[1]OUT_TransportEnergyCons!$C$4:$C$10000)*1,ISNUMBER(SEARCH("T_C*h2o*s4",[1]OUT_TransportEnergyCons!$A$4:$A$10000))*1,[1]OUT_TransportEnergyCons!H$4:H$10000)</f>
        <v>6.3048409726488808E-6</v>
      </c>
      <c r="K1920" s="1" cm="1">
        <f t="array" ref="K1920">SUMPRODUCT(("Var_Cap"=[1]OUT_TransportEnergyCons!$B$4:$B$10000)*1,("-"=[1]OUT_TransportEnergyCons!$C$4:$C$10000)*1,ISNUMBER(SEARCH("T_C*h2o*s4",[1]OUT_TransportEnergyCons!$A$4:$A$10000))*1,[1]OUT_TransportEnergyCons!I$4:I$10000)</f>
        <v>6.2655804366353132E-6</v>
      </c>
      <c r="L1920" s="1" cm="1">
        <f t="array" ref="L1920">SUMPRODUCT(("Var_Cap"=[1]OUT_TransportEnergyCons!$B$4:$B$10000)*1,("-"=[1]OUT_TransportEnergyCons!$C$4:$C$10000)*1,ISNUMBER(SEARCH("T_C*h2o*s4",[1]OUT_TransportEnergyCons!$A$4:$A$10000))*1,[1]OUT_TransportEnergyCons!J$4:J$10000)</f>
        <v>6.4482050776197461E-6</v>
      </c>
      <c r="M1920" s="1" cm="1">
        <f t="array" ref="M1920">SUMPRODUCT(("Var_Cap"=[1]OUT_TransportEnergyCons!$B$4:$B$10000)*1,("-"=[1]OUT_TransportEnergyCons!$C$4:$C$10000)*1,ISNUMBER(SEARCH("T_C*h2o*s4",[1]OUT_TransportEnergyCons!$A$4:$A$10000))*1,[1]OUT_TransportEnergyCons!K$4:K$10000)</f>
        <v>6.4562611960376893E-6</v>
      </c>
      <c r="N1920" s="1" cm="1">
        <f t="array" ref="N1920">SUMPRODUCT(("Var_Cap"=[1]OUT_TransportEnergyCons!$B$4:$B$10000)*1,("-"=[1]OUT_TransportEnergyCons!$C$4:$C$10000)*1,ISNUMBER(SEARCH("T_C*h2o*s4",[1]OUT_TransportEnergyCons!$A$4:$A$10000))*1,[1]OUT_TransportEnergyCons!L$4:L$10000)</f>
        <v>6.4423366274493858E-6</v>
      </c>
      <c r="O1920" s="1" cm="1">
        <f t="array" ref="O1920">SUMPRODUCT(("Var_Cap"=[1]OUT_TransportEnergyCons!$B$4:$B$10000)*1,("-"=[1]OUT_TransportEnergyCons!$C$4:$C$10000)*1,ISNUMBER(SEARCH("T_C*h2o*s4",[1]OUT_TransportEnergyCons!$A$4:$A$10000))*1,[1]OUT_TransportEnergyCons!M$4:M$10000)</f>
        <v>6.4303192635256299E-6</v>
      </c>
      <c r="P1920" s="1" cm="1">
        <f t="array" ref="P1920">SUMPRODUCT(("Var_Cap"=[1]OUT_TransportEnergyCons!$B$4:$B$10000)*1,("-"=[1]OUT_TransportEnergyCons!$C$4:$C$10000)*1,ISNUMBER(SEARCH("T_C*h2o*s4",[1]OUT_TransportEnergyCons!$A$4:$A$10000))*1,[1]OUT_TransportEnergyCons!N$4:N$10000)</f>
        <v>6.6712141857207859E-6</v>
      </c>
      <c r="Q1920" s="1" cm="1">
        <f t="array" ref="Q1920">SUMPRODUCT(("Var_Cap"=[1]OUT_TransportEnergyCons!$B$4:$B$10000)*1,("-"=[1]OUT_TransportEnergyCons!$C$4:$C$10000)*1,ISNUMBER(SEARCH("T_C*h2o*s4",[1]OUT_TransportEnergyCons!$A$4:$A$10000))*1,[1]OUT_TransportEnergyCons!O$4:O$10000)</f>
        <v>7.6577636625472437E-6</v>
      </c>
      <c r="S1920" s="3"/>
    </row>
    <row r="1921" spans="2:19" x14ac:dyDescent="0.5">
      <c r="B1921" s="5" t="str">
        <f t="shared" si="2152"/>
        <v>SPS1</v>
      </c>
      <c r="C1921" s="5" t="str">
        <f t="shared" si="2153"/>
        <v>CH</v>
      </c>
      <c r="D1921" t="s">
        <v>1938</v>
      </c>
      <c r="E1921" t="str">
        <f t="shared" si="2154"/>
        <v>Million</v>
      </c>
      <c r="F1921" s="1" cm="1">
        <f t="array" ref="F1921">SUMPRODUCT(("Var_Cap"=[1]OUT_TransportEnergyCons!$B$4:$B$10000)*1,("-"=[1]OUT_TransportEnergyCons!$C$4:$C$10000)*1,ISNUMBER(SEARCH("T_C*hy*GSL*ext",[1]OUT_TransportEnergyCons!$A$4:$A$10000))*1,[1]OUT_TransportEnergyCons!D$4:D$10000)</f>
        <v>6.5792868670829979E-2</v>
      </c>
      <c r="G1921" s="1" cm="1">
        <f t="array" ref="G1921">SUMPRODUCT(("Var_Cap"=[1]OUT_TransportEnergyCons!$B$4:$B$10000)*1,("-"=[1]OUT_TransportEnergyCons!$C$4:$C$10000)*1,ISNUMBER(SEARCH("T_C*hy*GSL*ext",[1]OUT_TransportEnergyCons!$A$4:$A$10000))*1,[1]OUT_TransportEnergyCons!E$4:E$10000)</f>
        <v>5.7062999309973508E-2</v>
      </c>
      <c r="H1921" s="1" cm="1">
        <f t="array" ref="H1921">SUMPRODUCT(("Var_Cap"=[1]OUT_TransportEnergyCons!$B$4:$B$10000)*1,("-"=[1]OUT_TransportEnergyCons!$C$4:$C$10000)*1,ISNUMBER(SEARCH("T_C*hy*GSL*ext",[1]OUT_TransportEnergyCons!$A$4:$A$10000))*1,[1]OUT_TransportEnergyCons!F$4:F$10000)</f>
        <v>4.3893608385113823E-2</v>
      </c>
      <c r="I1921" s="1" cm="1">
        <f t="array" ref="I1921">SUMPRODUCT(("Var_Cap"=[1]OUT_TransportEnergyCons!$B$4:$B$10000)*1,("-"=[1]OUT_TransportEnergyCons!$C$4:$C$10000)*1,ISNUMBER(SEARCH("T_C*hy*GSL*ext",[1]OUT_TransportEnergyCons!$A$4:$A$10000))*1,[1]OUT_TransportEnergyCons!G$4:G$10000)</f>
        <v>2.1947301848362352E-2</v>
      </c>
      <c r="J1921" s="1" cm="1">
        <f t="array" ref="J1921">SUMPRODUCT(("Var_Cap"=[1]OUT_TransportEnergyCons!$B$4:$B$10000)*1,("-"=[1]OUT_TransportEnergyCons!$C$4:$C$10000)*1,ISNUMBER(SEARCH("T_C*hy*GSL*ext",[1]OUT_TransportEnergyCons!$A$4:$A$10000))*1,[1]OUT_TransportEnergyCons!H$4:H$10000)</f>
        <v>0</v>
      </c>
      <c r="K1921" s="1" cm="1">
        <f t="array" ref="K1921">SUMPRODUCT(("Var_Cap"=[1]OUT_TransportEnergyCons!$B$4:$B$10000)*1,("-"=[1]OUT_TransportEnergyCons!$C$4:$C$10000)*1,ISNUMBER(SEARCH("T_C*hy*GSL*ext",[1]OUT_TransportEnergyCons!$A$4:$A$10000))*1,[1]OUT_TransportEnergyCons!I$4:I$10000)</f>
        <v>0</v>
      </c>
      <c r="L1921" s="1" cm="1">
        <f t="array" ref="L1921">SUMPRODUCT(("Var_Cap"=[1]OUT_TransportEnergyCons!$B$4:$B$10000)*1,("-"=[1]OUT_TransportEnergyCons!$C$4:$C$10000)*1,ISNUMBER(SEARCH("T_C*hy*GSL*ext",[1]OUT_TransportEnergyCons!$A$4:$A$10000))*1,[1]OUT_TransportEnergyCons!J$4:J$10000)</f>
        <v>0</v>
      </c>
      <c r="M1921" s="1" cm="1">
        <f t="array" ref="M1921">SUMPRODUCT(("Var_Cap"=[1]OUT_TransportEnergyCons!$B$4:$B$10000)*1,("-"=[1]OUT_TransportEnergyCons!$C$4:$C$10000)*1,ISNUMBER(SEARCH("T_C*hy*GSL*ext",[1]OUT_TransportEnergyCons!$A$4:$A$10000))*1,[1]OUT_TransportEnergyCons!K$4:K$10000)</f>
        <v>0</v>
      </c>
      <c r="N1921" s="1" cm="1">
        <f t="array" ref="N1921">SUMPRODUCT(("Var_Cap"=[1]OUT_TransportEnergyCons!$B$4:$B$10000)*1,("-"=[1]OUT_TransportEnergyCons!$C$4:$C$10000)*1,ISNUMBER(SEARCH("T_C*hy*GSL*ext",[1]OUT_TransportEnergyCons!$A$4:$A$10000))*1,[1]OUT_TransportEnergyCons!L$4:L$10000)</f>
        <v>0</v>
      </c>
      <c r="O1921" s="1" cm="1">
        <f t="array" ref="O1921">SUMPRODUCT(("Var_Cap"=[1]OUT_TransportEnergyCons!$B$4:$B$10000)*1,("-"=[1]OUT_TransportEnergyCons!$C$4:$C$10000)*1,ISNUMBER(SEARCH("T_C*hy*GSL*ext",[1]OUT_TransportEnergyCons!$A$4:$A$10000))*1,[1]OUT_TransportEnergyCons!M$4:M$10000)</f>
        <v>0</v>
      </c>
      <c r="P1921" s="1" cm="1">
        <f t="array" ref="P1921">SUMPRODUCT(("Var_Cap"=[1]OUT_TransportEnergyCons!$B$4:$B$10000)*1,("-"=[1]OUT_TransportEnergyCons!$C$4:$C$10000)*1,ISNUMBER(SEARCH("T_C*hy*GSL*ext",[1]OUT_TransportEnergyCons!$A$4:$A$10000))*1,[1]OUT_TransportEnergyCons!N$4:N$10000)</f>
        <v>0</v>
      </c>
      <c r="Q1921" s="1" cm="1">
        <f t="array" ref="Q1921">SUMPRODUCT(("Var_Cap"=[1]OUT_TransportEnergyCons!$B$4:$B$10000)*1,("-"=[1]OUT_TransportEnergyCons!$C$4:$C$10000)*1,ISNUMBER(SEARCH("T_C*hy*GSL*ext",[1]OUT_TransportEnergyCons!$A$4:$A$10000))*1,[1]OUT_TransportEnergyCons!O$4:O$10000)</f>
        <v>0</v>
      </c>
      <c r="S1921" s="3"/>
    </row>
    <row r="1922" spans="2:19" x14ac:dyDescent="0.5">
      <c r="B1922" s="5" t="str">
        <f t="shared" si="2152"/>
        <v>SPS1</v>
      </c>
      <c r="C1922" s="5" t="str">
        <f t="shared" si="2153"/>
        <v>CH</v>
      </c>
      <c r="D1922" t="s">
        <v>1939</v>
      </c>
      <c r="E1922" t="str">
        <f t="shared" si="2154"/>
        <v>Million</v>
      </c>
      <c r="F1922" s="1" cm="1">
        <f t="array" ref="F1922">SUMPRODUCT(("Var_Cap"=[1]OUT_TransportEnergyCons!$B$4:$B$10000)*1,("-"=[1]OUT_TransportEnergyCons!$C$4:$C$10000)*1,ISNUMBER(SEARCH("T_C*hy*GSL*s1",[1]OUT_TransportEnergyCons!$A$4:$A$10000))*1,[1]OUT_TransportEnergyCons!D$4:D$10000)</f>
        <v>5.668931877619997E-3</v>
      </c>
      <c r="G1922" s="1" cm="1">
        <f t="array" ref="G1922">SUMPRODUCT(("Var_Cap"=[1]OUT_TransportEnergyCons!$B$4:$B$10000)*1,("-"=[1]OUT_TransportEnergyCons!$C$4:$C$10000)*1,ISNUMBER(SEARCH("T_C*hy*GSL*s1",[1]OUT_TransportEnergyCons!$A$4:$A$10000))*1,[1]OUT_TransportEnergyCons!E$4:E$10000)</f>
        <v>6.6273704553101711E-3</v>
      </c>
      <c r="H1922" s="1" cm="1">
        <f t="array" ref="H1922">SUMPRODUCT(("Var_Cap"=[1]OUT_TransportEnergyCons!$B$4:$B$10000)*1,("-"=[1]OUT_TransportEnergyCons!$C$4:$C$10000)*1,ISNUMBER(SEARCH("T_C*hy*GSL*s1",[1]OUT_TransportEnergyCons!$A$4:$A$10000))*1,[1]OUT_TransportEnergyCons!F$4:F$10000)</f>
        <v>5.4707831070106216E-3</v>
      </c>
      <c r="I1922" s="1" cm="1">
        <f t="array" ref="I1922">SUMPRODUCT(("Var_Cap"=[1]OUT_TransportEnergyCons!$B$4:$B$10000)*1,("-"=[1]OUT_TransportEnergyCons!$C$4:$C$10000)*1,ISNUMBER(SEARCH("T_C*hy*GSL*s1",[1]OUT_TransportEnergyCons!$A$4:$A$10000))*1,[1]OUT_TransportEnergyCons!G$4:G$10000)</f>
        <v>4.8662329492387534E-3</v>
      </c>
      <c r="J1922" s="1" cm="1">
        <f t="array" ref="J1922">SUMPRODUCT(("Var_Cap"=[1]OUT_TransportEnergyCons!$B$4:$B$10000)*1,("-"=[1]OUT_TransportEnergyCons!$C$4:$C$10000)*1,ISNUMBER(SEARCH("T_C*hy*GSL*s1",[1]OUT_TransportEnergyCons!$A$4:$A$10000))*1,[1]OUT_TransportEnergyCons!H$4:H$10000)</f>
        <v>6.2543171009317509E-4</v>
      </c>
      <c r="K1922" s="1" cm="1">
        <f t="array" ref="K1922">SUMPRODUCT(("Var_Cap"=[1]OUT_TransportEnergyCons!$B$4:$B$10000)*1,("-"=[1]OUT_TransportEnergyCons!$C$4:$C$10000)*1,ISNUMBER(SEARCH("T_C*hy*GSL*s1",[1]OUT_TransportEnergyCons!$A$4:$A$10000))*1,[1]OUT_TransportEnergyCons!I$4:I$10000)</f>
        <v>1.4276992717430543E-4</v>
      </c>
      <c r="L1922" s="1" cm="1">
        <f t="array" ref="L1922">SUMPRODUCT(("Var_Cap"=[1]OUT_TransportEnergyCons!$B$4:$B$10000)*1,("-"=[1]OUT_TransportEnergyCons!$C$4:$C$10000)*1,ISNUMBER(SEARCH("T_C*hy*GSL*s1",[1]OUT_TransportEnergyCons!$A$4:$A$10000))*1,[1]OUT_TransportEnergyCons!J$4:J$10000)</f>
        <v>0</v>
      </c>
      <c r="M1922" s="1" cm="1">
        <f t="array" ref="M1922">SUMPRODUCT(("Var_Cap"=[1]OUT_TransportEnergyCons!$B$4:$B$10000)*1,("-"=[1]OUT_TransportEnergyCons!$C$4:$C$10000)*1,ISNUMBER(SEARCH("T_C*hy*GSL*s1",[1]OUT_TransportEnergyCons!$A$4:$A$10000))*1,[1]OUT_TransportEnergyCons!K$4:K$10000)</f>
        <v>0</v>
      </c>
      <c r="N1922" s="1" cm="1">
        <f t="array" ref="N1922">SUMPRODUCT(("Var_Cap"=[1]OUT_TransportEnergyCons!$B$4:$B$10000)*1,("-"=[1]OUT_TransportEnergyCons!$C$4:$C$10000)*1,ISNUMBER(SEARCH("T_C*hy*GSL*s1",[1]OUT_TransportEnergyCons!$A$4:$A$10000))*1,[1]OUT_TransportEnergyCons!L$4:L$10000)</f>
        <v>0</v>
      </c>
      <c r="O1922" s="1" cm="1">
        <f t="array" ref="O1922">SUMPRODUCT(("Var_Cap"=[1]OUT_TransportEnergyCons!$B$4:$B$10000)*1,("-"=[1]OUT_TransportEnergyCons!$C$4:$C$10000)*1,ISNUMBER(SEARCH("T_C*hy*GSL*s1",[1]OUT_TransportEnergyCons!$A$4:$A$10000))*1,[1]OUT_TransportEnergyCons!M$4:M$10000)</f>
        <v>0</v>
      </c>
      <c r="P1922" s="1" cm="1">
        <f t="array" ref="P1922">SUMPRODUCT(("Var_Cap"=[1]OUT_TransportEnergyCons!$B$4:$B$10000)*1,("-"=[1]OUT_TransportEnergyCons!$C$4:$C$10000)*1,ISNUMBER(SEARCH("T_C*hy*GSL*s1",[1]OUT_TransportEnergyCons!$A$4:$A$10000))*1,[1]OUT_TransportEnergyCons!N$4:N$10000)</f>
        <v>0</v>
      </c>
      <c r="Q1922" s="1" cm="1">
        <f t="array" ref="Q1922">SUMPRODUCT(("Var_Cap"=[1]OUT_TransportEnergyCons!$B$4:$B$10000)*1,("-"=[1]OUT_TransportEnergyCons!$C$4:$C$10000)*1,ISNUMBER(SEARCH("T_C*hy*GSL*s1",[1]OUT_TransportEnergyCons!$A$4:$A$10000))*1,[1]OUT_TransportEnergyCons!O$4:O$10000)</f>
        <v>0</v>
      </c>
      <c r="S1922" s="3"/>
    </row>
    <row r="1923" spans="2:19" x14ac:dyDescent="0.5">
      <c r="B1923" s="5" t="str">
        <f t="shared" si="2152"/>
        <v>SPS1</v>
      </c>
      <c r="C1923" s="5" t="str">
        <f t="shared" si="2153"/>
        <v>CH</v>
      </c>
      <c r="D1923" t="s">
        <v>1940</v>
      </c>
      <c r="E1923" t="str">
        <f t="shared" si="2154"/>
        <v>Million</v>
      </c>
      <c r="F1923" s="1" cm="1">
        <f t="array" ref="F1923">SUMPRODUCT(("Var_Cap"=[1]OUT_TransportEnergyCons!$B$4:$B$10000)*1,("-"=[1]OUT_TransportEnergyCons!$C$4:$C$10000)*1,ISNUMBER(SEARCH("T_C*hy*GSL*s2",[1]OUT_TransportEnergyCons!$A$4:$A$10000))*1,[1]OUT_TransportEnergyCons!D$4:D$10000)</f>
        <v>1.722700918346361E-2</v>
      </c>
      <c r="G1923" s="1" cm="1">
        <f t="array" ref="G1923">SUMPRODUCT(("Var_Cap"=[1]OUT_TransportEnergyCons!$B$4:$B$10000)*1,("-"=[1]OUT_TransportEnergyCons!$C$4:$C$10000)*1,ISNUMBER(SEARCH("T_C*hy*GSL*s2",[1]OUT_TransportEnergyCons!$A$4:$A$10000))*1,[1]OUT_TransportEnergyCons!E$4:E$10000)</f>
        <v>5.390755553114044E-2</v>
      </c>
      <c r="H1923" s="1" cm="1">
        <f t="array" ref="H1923">SUMPRODUCT(("Var_Cap"=[1]OUT_TransportEnergyCons!$B$4:$B$10000)*1,("-"=[1]OUT_TransportEnergyCons!$C$4:$C$10000)*1,ISNUMBER(SEARCH("T_C*hy*GSL*s2",[1]OUT_TransportEnergyCons!$A$4:$A$10000))*1,[1]OUT_TransportEnergyCons!F$4:F$10000)</f>
        <v>0.14266253572425569</v>
      </c>
      <c r="I1923" s="1" cm="1">
        <f t="array" ref="I1923">SUMPRODUCT(("Var_Cap"=[1]OUT_TransportEnergyCons!$B$4:$B$10000)*1,("-"=[1]OUT_TransportEnergyCons!$C$4:$C$10000)*1,ISNUMBER(SEARCH("T_C*hy*GSL*s2",[1]OUT_TransportEnergyCons!$A$4:$A$10000))*1,[1]OUT_TransportEnergyCons!G$4:G$10000)</f>
        <v>0.12158167182514722</v>
      </c>
      <c r="J1923" s="1" cm="1">
        <f t="array" ref="J1923">SUMPRODUCT(("Var_Cap"=[1]OUT_TransportEnergyCons!$B$4:$B$10000)*1,("-"=[1]OUT_TransportEnergyCons!$C$4:$C$10000)*1,ISNUMBER(SEARCH("T_C*hy*GSL*s2",[1]OUT_TransportEnergyCons!$A$4:$A$10000))*1,[1]OUT_TransportEnergyCons!H$4:H$10000)</f>
        <v>6.7594952969262267E-2</v>
      </c>
      <c r="K1923" s="1" cm="1">
        <f t="array" ref="K1923">SUMPRODUCT(("Var_Cap"=[1]OUT_TransportEnergyCons!$B$4:$B$10000)*1,("-"=[1]OUT_TransportEnergyCons!$C$4:$C$10000)*1,ISNUMBER(SEARCH("T_C*hy*GSL*s2",[1]OUT_TransportEnergyCons!$A$4:$A$10000))*1,[1]OUT_TransportEnergyCons!I$4:I$10000)</f>
        <v>9.2397241685556724E-3</v>
      </c>
      <c r="L1923" s="1" cm="1">
        <f t="array" ref="L1923">SUMPRODUCT(("Var_Cap"=[1]OUT_TransportEnergyCons!$B$4:$B$10000)*1,("-"=[1]OUT_TransportEnergyCons!$C$4:$C$10000)*1,ISNUMBER(SEARCH("T_C*hy*GSL*s2",[1]OUT_TransportEnergyCons!$A$4:$A$10000))*1,[1]OUT_TransportEnergyCons!J$4:J$10000)</f>
        <v>0</v>
      </c>
      <c r="M1923" s="1" cm="1">
        <f t="array" ref="M1923">SUMPRODUCT(("Var_Cap"=[1]OUT_TransportEnergyCons!$B$4:$B$10000)*1,("-"=[1]OUT_TransportEnergyCons!$C$4:$C$10000)*1,ISNUMBER(SEARCH("T_C*hy*GSL*s2",[1]OUT_TransportEnergyCons!$A$4:$A$10000))*1,[1]OUT_TransportEnergyCons!K$4:K$10000)</f>
        <v>0</v>
      </c>
      <c r="N1923" s="1" cm="1">
        <f t="array" ref="N1923">SUMPRODUCT(("Var_Cap"=[1]OUT_TransportEnergyCons!$B$4:$B$10000)*1,("-"=[1]OUT_TransportEnergyCons!$C$4:$C$10000)*1,ISNUMBER(SEARCH("T_C*hy*GSL*s2",[1]OUT_TransportEnergyCons!$A$4:$A$10000))*1,[1]OUT_TransportEnergyCons!L$4:L$10000)</f>
        <v>0</v>
      </c>
      <c r="O1923" s="1" cm="1">
        <f t="array" ref="O1923">SUMPRODUCT(("Var_Cap"=[1]OUT_TransportEnergyCons!$B$4:$B$10000)*1,("-"=[1]OUT_TransportEnergyCons!$C$4:$C$10000)*1,ISNUMBER(SEARCH("T_C*hy*GSL*s2",[1]OUT_TransportEnergyCons!$A$4:$A$10000))*1,[1]OUT_TransportEnergyCons!M$4:M$10000)</f>
        <v>0</v>
      </c>
      <c r="P1923" s="1" cm="1">
        <f t="array" ref="P1923">SUMPRODUCT(("Var_Cap"=[1]OUT_TransportEnergyCons!$B$4:$B$10000)*1,("-"=[1]OUT_TransportEnergyCons!$C$4:$C$10000)*1,ISNUMBER(SEARCH("T_C*hy*GSL*s2",[1]OUT_TransportEnergyCons!$A$4:$A$10000))*1,[1]OUT_TransportEnergyCons!N$4:N$10000)</f>
        <v>0</v>
      </c>
      <c r="Q1923" s="1" cm="1">
        <f t="array" ref="Q1923">SUMPRODUCT(("Var_Cap"=[1]OUT_TransportEnergyCons!$B$4:$B$10000)*1,("-"=[1]OUT_TransportEnergyCons!$C$4:$C$10000)*1,ISNUMBER(SEARCH("T_C*hy*GSL*s2",[1]OUT_TransportEnergyCons!$A$4:$A$10000))*1,[1]OUT_TransportEnergyCons!O$4:O$10000)</f>
        <v>0</v>
      </c>
      <c r="S1923" s="3"/>
    </row>
    <row r="1924" spans="2:19" x14ac:dyDescent="0.5">
      <c r="B1924" s="5" t="str">
        <f t="shared" si="2152"/>
        <v>SPS1</v>
      </c>
      <c r="C1924" s="5" t="str">
        <f t="shared" si="2153"/>
        <v>CH</v>
      </c>
      <c r="D1924" t="s">
        <v>1941</v>
      </c>
      <c r="E1924" t="str">
        <f t="shared" si="2154"/>
        <v>Million</v>
      </c>
      <c r="F1924" s="1" cm="1">
        <f t="array" ref="F1924">SUMPRODUCT(("Var_Cap"=[1]OUT_TransportEnergyCons!$B$4:$B$10000)*1,("-"=[1]OUT_TransportEnergyCons!$C$4:$C$10000)*1,ISNUMBER(SEARCH("T_C*hy*GSL*s3",[1]OUT_TransportEnergyCons!$A$4:$A$10000))*1,[1]OUT_TransportEnergyCons!D$4:D$10000)</f>
        <v>1.4248759735363376E-2</v>
      </c>
      <c r="G1924" s="1" cm="1">
        <f t="array" ref="G1924">SUMPRODUCT(("Var_Cap"=[1]OUT_TransportEnergyCons!$B$4:$B$10000)*1,("-"=[1]OUT_TransportEnergyCons!$C$4:$C$10000)*1,ISNUMBER(SEARCH("T_C*hy*GSL*s3",[1]OUT_TransportEnergyCons!$A$4:$A$10000))*1,[1]OUT_TransportEnergyCons!E$4:E$10000)</f>
        <v>0.19513320781068327</v>
      </c>
      <c r="H1924" s="1" cm="1">
        <f t="array" ref="H1924">SUMPRODUCT(("Var_Cap"=[1]OUT_TransportEnergyCons!$B$4:$B$10000)*1,("-"=[1]OUT_TransportEnergyCons!$C$4:$C$10000)*1,ISNUMBER(SEARCH("T_C*hy*GSL*s3",[1]OUT_TransportEnergyCons!$A$4:$A$10000))*1,[1]OUT_TransportEnergyCons!F$4:F$10000)</f>
        <v>0.18517006313175355</v>
      </c>
      <c r="I1924" s="1" cm="1">
        <f t="array" ref="I1924">SUMPRODUCT(("Var_Cap"=[1]OUT_TransportEnergyCons!$B$4:$B$10000)*1,("-"=[1]OUT_TransportEnergyCons!$C$4:$C$10000)*1,ISNUMBER(SEARCH("T_C*hy*GSL*s3",[1]OUT_TransportEnergyCons!$A$4:$A$10000))*1,[1]OUT_TransportEnergyCons!G$4:G$10000)</f>
        <v>0.14922490008811845</v>
      </c>
      <c r="J1924" s="1" cm="1">
        <f t="array" ref="J1924">SUMPRODUCT(("Var_Cap"=[1]OUT_TransportEnergyCons!$B$4:$B$10000)*1,("-"=[1]OUT_TransportEnergyCons!$C$4:$C$10000)*1,ISNUMBER(SEARCH("T_C*hy*GSL*s3",[1]OUT_TransportEnergyCons!$A$4:$A$10000))*1,[1]OUT_TransportEnergyCons!H$4:H$10000)</f>
        <v>4.83981262616641E-2</v>
      </c>
      <c r="K1924" s="1" cm="1">
        <f t="array" ref="K1924">SUMPRODUCT(("Var_Cap"=[1]OUT_TransportEnergyCons!$B$4:$B$10000)*1,("-"=[1]OUT_TransportEnergyCons!$C$4:$C$10000)*1,ISNUMBER(SEARCH("T_C*hy*GSL*s3",[1]OUT_TransportEnergyCons!$A$4:$A$10000))*1,[1]OUT_TransportEnergyCons!I$4:I$10000)</f>
        <v>1.1539992002499057E-4</v>
      </c>
      <c r="L1924" s="1" cm="1">
        <f t="array" ref="L1924">SUMPRODUCT(("Var_Cap"=[1]OUT_TransportEnergyCons!$B$4:$B$10000)*1,("-"=[1]OUT_TransportEnergyCons!$C$4:$C$10000)*1,ISNUMBER(SEARCH("T_C*hy*GSL*s3",[1]OUT_TransportEnergyCons!$A$4:$A$10000))*1,[1]OUT_TransportEnergyCons!J$4:J$10000)</f>
        <v>0</v>
      </c>
      <c r="M1924" s="1" cm="1">
        <f t="array" ref="M1924">SUMPRODUCT(("Var_Cap"=[1]OUT_TransportEnergyCons!$B$4:$B$10000)*1,("-"=[1]OUT_TransportEnergyCons!$C$4:$C$10000)*1,ISNUMBER(SEARCH("T_C*hy*GSL*s3",[1]OUT_TransportEnergyCons!$A$4:$A$10000))*1,[1]OUT_TransportEnergyCons!K$4:K$10000)</f>
        <v>0</v>
      </c>
      <c r="N1924" s="1" cm="1">
        <f t="array" ref="N1924">SUMPRODUCT(("Var_Cap"=[1]OUT_TransportEnergyCons!$B$4:$B$10000)*1,("-"=[1]OUT_TransportEnergyCons!$C$4:$C$10000)*1,ISNUMBER(SEARCH("T_C*hy*GSL*s3",[1]OUT_TransportEnergyCons!$A$4:$A$10000))*1,[1]OUT_TransportEnergyCons!L$4:L$10000)</f>
        <v>0</v>
      </c>
      <c r="O1924" s="1" cm="1">
        <f t="array" ref="O1924">SUMPRODUCT(("Var_Cap"=[1]OUT_TransportEnergyCons!$B$4:$B$10000)*1,("-"=[1]OUT_TransportEnergyCons!$C$4:$C$10000)*1,ISNUMBER(SEARCH("T_C*hy*GSL*s3",[1]OUT_TransportEnergyCons!$A$4:$A$10000))*1,[1]OUT_TransportEnergyCons!M$4:M$10000)</f>
        <v>0</v>
      </c>
      <c r="P1924" s="1" cm="1">
        <f t="array" ref="P1924">SUMPRODUCT(("Var_Cap"=[1]OUT_TransportEnergyCons!$B$4:$B$10000)*1,("-"=[1]OUT_TransportEnergyCons!$C$4:$C$10000)*1,ISNUMBER(SEARCH("T_C*hy*GSL*s3",[1]OUT_TransportEnergyCons!$A$4:$A$10000))*1,[1]OUT_TransportEnergyCons!N$4:N$10000)</f>
        <v>0</v>
      </c>
      <c r="Q1924" s="1" cm="1">
        <f t="array" ref="Q1924">SUMPRODUCT(("Var_Cap"=[1]OUT_TransportEnergyCons!$B$4:$B$10000)*1,("-"=[1]OUT_TransportEnergyCons!$C$4:$C$10000)*1,ISNUMBER(SEARCH("T_C*hy*GSL*s3",[1]OUT_TransportEnergyCons!$A$4:$A$10000))*1,[1]OUT_TransportEnergyCons!O$4:O$10000)</f>
        <v>0</v>
      </c>
      <c r="S1924" s="3"/>
    </row>
    <row r="1925" spans="2:19" x14ac:dyDescent="0.5">
      <c r="B1925" s="5" t="str">
        <f t="shared" si="2152"/>
        <v>SPS1</v>
      </c>
      <c r="C1925" s="5" t="str">
        <f t="shared" si="2153"/>
        <v>CH</v>
      </c>
      <c r="D1925" t="s">
        <v>1942</v>
      </c>
      <c r="E1925" t="str">
        <f t="shared" si="2154"/>
        <v>Million</v>
      </c>
      <c r="F1925" s="1" cm="1">
        <f t="array" ref="F1925">SUMPRODUCT(("Var_Cap"=[1]OUT_TransportEnergyCons!$B$4:$B$10000)*1,("-"=[1]OUT_TransportEnergyCons!$C$4:$C$10000)*1,ISNUMBER(SEARCH("T_C*hy*GSL*s4",[1]OUT_TransportEnergyCons!$A$4:$A$10000))*1,[1]OUT_TransportEnergyCons!D$4:D$10000)</f>
        <v>8.3195711571262213E-3</v>
      </c>
      <c r="G1925" s="1" cm="1">
        <f t="array" ref="G1925">SUMPRODUCT(("Var_Cap"=[1]OUT_TransportEnergyCons!$B$4:$B$10000)*1,("-"=[1]OUT_TransportEnergyCons!$C$4:$C$10000)*1,ISNUMBER(SEARCH("T_C*hy*GSL*s4",[1]OUT_TransportEnergyCons!$A$4:$A$10000))*1,[1]OUT_TransportEnergyCons!E$4:E$10000)</f>
        <v>1.4219702434162276E-2</v>
      </c>
      <c r="H1925" s="1" cm="1">
        <f t="array" ref="H1925">SUMPRODUCT(("Var_Cap"=[1]OUT_TransportEnergyCons!$B$4:$B$10000)*1,("-"=[1]OUT_TransportEnergyCons!$C$4:$C$10000)*1,ISNUMBER(SEARCH("T_C*hy*GSL*s4",[1]OUT_TransportEnergyCons!$A$4:$A$10000))*1,[1]OUT_TransportEnergyCons!F$4:F$10000)</f>
        <v>1.3597547256130582E-2</v>
      </c>
      <c r="I1925" s="1" cm="1">
        <f t="array" ref="I1925">SUMPRODUCT(("Var_Cap"=[1]OUT_TransportEnergyCons!$B$4:$B$10000)*1,("-"=[1]OUT_TransportEnergyCons!$C$4:$C$10000)*1,ISNUMBER(SEARCH("T_C*hy*GSL*s4",[1]OUT_TransportEnergyCons!$A$4:$A$10000))*1,[1]OUT_TransportEnergyCons!G$4:G$10000)</f>
        <v>1.1570379123503373E-2</v>
      </c>
      <c r="J1925" s="1" cm="1">
        <f t="array" ref="J1925">SUMPRODUCT(("Var_Cap"=[1]OUT_TransportEnergyCons!$B$4:$B$10000)*1,("-"=[1]OUT_TransportEnergyCons!$C$4:$C$10000)*1,ISNUMBER(SEARCH("T_C*hy*GSL*s4",[1]OUT_TransportEnergyCons!$A$4:$A$10000))*1,[1]OUT_TransportEnergyCons!H$4:H$10000)</f>
        <v>2.2195458245029801E-3</v>
      </c>
      <c r="K1925" s="1" cm="1">
        <f t="array" ref="K1925">SUMPRODUCT(("Var_Cap"=[1]OUT_TransportEnergyCons!$B$4:$B$10000)*1,("-"=[1]OUT_TransportEnergyCons!$C$4:$C$10000)*1,ISNUMBER(SEARCH("T_C*hy*GSL*s4",[1]OUT_TransportEnergyCons!$A$4:$A$10000))*1,[1]OUT_TransportEnergyCons!I$4:I$10000)</f>
        <v>8.6838251323004262E-5</v>
      </c>
      <c r="L1925" s="1" cm="1">
        <f t="array" ref="L1925">SUMPRODUCT(("Var_Cap"=[1]OUT_TransportEnergyCons!$B$4:$B$10000)*1,("-"=[1]OUT_TransportEnergyCons!$C$4:$C$10000)*1,ISNUMBER(SEARCH("T_C*hy*GSL*s4",[1]OUT_TransportEnergyCons!$A$4:$A$10000))*1,[1]OUT_TransportEnergyCons!J$4:J$10000)</f>
        <v>0</v>
      </c>
      <c r="M1925" s="1" cm="1">
        <f t="array" ref="M1925">SUMPRODUCT(("Var_Cap"=[1]OUT_TransportEnergyCons!$B$4:$B$10000)*1,("-"=[1]OUT_TransportEnergyCons!$C$4:$C$10000)*1,ISNUMBER(SEARCH("T_C*hy*GSL*s4",[1]OUT_TransportEnergyCons!$A$4:$A$10000))*1,[1]OUT_TransportEnergyCons!K$4:K$10000)</f>
        <v>0</v>
      </c>
      <c r="N1925" s="1" cm="1">
        <f t="array" ref="N1925">SUMPRODUCT(("Var_Cap"=[1]OUT_TransportEnergyCons!$B$4:$B$10000)*1,("-"=[1]OUT_TransportEnergyCons!$C$4:$C$10000)*1,ISNUMBER(SEARCH("T_C*hy*GSL*s4",[1]OUT_TransportEnergyCons!$A$4:$A$10000))*1,[1]OUT_TransportEnergyCons!L$4:L$10000)</f>
        <v>0</v>
      </c>
      <c r="O1925" s="1" cm="1">
        <f t="array" ref="O1925">SUMPRODUCT(("Var_Cap"=[1]OUT_TransportEnergyCons!$B$4:$B$10000)*1,("-"=[1]OUT_TransportEnergyCons!$C$4:$C$10000)*1,ISNUMBER(SEARCH("T_C*hy*GSL*s4",[1]OUT_TransportEnergyCons!$A$4:$A$10000))*1,[1]OUT_TransportEnergyCons!M$4:M$10000)</f>
        <v>0</v>
      </c>
      <c r="P1925" s="1" cm="1">
        <f t="array" ref="P1925">SUMPRODUCT(("Var_Cap"=[1]OUT_TransportEnergyCons!$B$4:$B$10000)*1,("-"=[1]OUT_TransportEnergyCons!$C$4:$C$10000)*1,ISNUMBER(SEARCH("T_C*hy*GSL*s4",[1]OUT_TransportEnergyCons!$A$4:$A$10000))*1,[1]OUT_TransportEnergyCons!N$4:N$10000)</f>
        <v>0</v>
      </c>
      <c r="Q1925" s="1" cm="1">
        <f t="array" ref="Q1925">SUMPRODUCT(("Var_Cap"=[1]OUT_TransportEnergyCons!$B$4:$B$10000)*1,("-"=[1]OUT_TransportEnergyCons!$C$4:$C$10000)*1,ISNUMBER(SEARCH("T_C*hy*GSL*s4",[1]OUT_TransportEnergyCons!$A$4:$A$10000))*1,[1]OUT_TransportEnergyCons!O$4:O$10000)</f>
        <v>0</v>
      </c>
      <c r="S1925" s="3"/>
    </row>
    <row r="1926" spans="2:19" x14ac:dyDescent="0.5">
      <c r="B1926" s="5" t="str">
        <f t="shared" si="2152"/>
        <v>SPS1</v>
      </c>
      <c r="C1926" s="5" t="str">
        <f t="shared" si="2153"/>
        <v>CH</v>
      </c>
      <c r="D1926" t="s">
        <v>1943</v>
      </c>
      <c r="E1926" t="str">
        <f t="shared" si="2154"/>
        <v>Million</v>
      </c>
      <c r="F1926" s="1" cm="1">
        <f t="array" ref="F1926">SUMPRODUCT(("Var_Cap"=[1]OUT_TransportEnergyCons!$B$4:$B$10000)*1,("-"=[1]OUT_TransportEnergyCons!$C$4:$C$10000)*1,ISNUMBER(SEARCH("T_C*ICE*GSL*ext",[1]OUT_TransportEnergyCons!$A$4:$A$10000))*1,[1]OUT_TransportEnergyCons!D$4:D$10000)</f>
        <v>2.4924757391280061</v>
      </c>
      <c r="G1926" s="1" cm="1">
        <f t="array" ref="G1926">SUMPRODUCT(("Var_Cap"=[1]OUT_TransportEnergyCons!$B$4:$B$10000)*1,("-"=[1]OUT_TransportEnergyCons!$C$4:$C$10000)*1,ISNUMBER(SEARCH("T_C*ICE*GSL*ext",[1]OUT_TransportEnergyCons!$A$4:$A$10000))*1,[1]OUT_TransportEnergyCons!E$4:E$10000)</f>
        <v>2.1591541453516907</v>
      </c>
      <c r="H1926" s="1" cm="1">
        <f t="array" ref="H1926">SUMPRODUCT(("Var_Cap"=[1]OUT_TransportEnergyCons!$B$4:$B$10000)*1,("-"=[1]OUT_TransportEnergyCons!$C$4:$C$10000)*1,ISNUMBER(SEARCH("T_C*ICE*GSL*ext",[1]OUT_TransportEnergyCons!$A$4:$A$10000))*1,[1]OUT_TransportEnergyCons!F$4:F$10000)</f>
        <v>1.5313718418257538</v>
      </c>
      <c r="I1926" s="1" cm="1">
        <f t="array" ref="I1926">SUMPRODUCT(("Var_Cap"=[1]OUT_TransportEnergyCons!$B$4:$B$10000)*1,("-"=[1]OUT_TransportEnergyCons!$C$4:$C$10000)*1,ISNUMBER(SEARCH("T_C*ICE*GSL*ext",[1]OUT_TransportEnergyCons!$A$4:$A$10000))*1,[1]OUT_TransportEnergyCons!G$4:G$10000)</f>
        <v>0.83144200178436756</v>
      </c>
      <c r="J1926" s="1" cm="1">
        <f t="array" ref="J1926">SUMPRODUCT(("Var_Cap"=[1]OUT_TransportEnergyCons!$B$4:$B$10000)*1,("-"=[1]OUT_TransportEnergyCons!$C$4:$C$10000)*1,ISNUMBER(SEARCH("T_C*ICE*GSL*ext",[1]OUT_TransportEnergyCons!$A$4:$A$10000))*1,[1]OUT_TransportEnergyCons!H$4:H$10000)</f>
        <v>0</v>
      </c>
      <c r="K1926" s="1" cm="1">
        <f t="array" ref="K1926">SUMPRODUCT(("Var_Cap"=[1]OUT_TransportEnergyCons!$B$4:$B$10000)*1,("-"=[1]OUT_TransportEnergyCons!$C$4:$C$10000)*1,ISNUMBER(SEARCH("T_C*ICE*GSL*ext",[1]OUT_TransportEnergyCons!$A$4:$A$10000))*1,[1]OUT_TransportEnergyCons!I$4:I$10000)</f>
        <v>0</v>
      </c>
      <c r="L1926" s="1" cm="1">
        <f t="array" ref="L1926">SUMPRODUCT(("Var_Cap"=[1]OUT_TransportEnergyCons!$B$4:$B$10000)*1,("-"=[1]OUT_TransportEnergyCons!$C$4:$C$10000)*1,ISNUMBER(SEARCH("T_C*ICE*GSL*ext",[1]OUT_TransportEnergyCons!$A$4:$A$10000))*1,[1]OUT_TransportEnergyCons!J$4:J$10000)</f>
        <v>0</v>
      </c>
      <c r="M1926" s="1" cm="1">
        <f t="array" ref="M1926">SUMPRODUCT(("Var_Cap"=[1]OUT_TransportEnergyCons!$B$4:$B$10000)*1,("-"=[1]OUT_TransportEnergyCons!$C$4:$C$10000)*1,ISNUMBER(SEARCH("T_C*ICE*GSL*ext",[1]OUT_TransportEnergyCons!$A$4:$A$10000))*1,[1]OUT_TransportEnergyCons!K$4:K$10000)</f>
        <v>0</v>
      </c>
      <c r="N1926" s="1" cm="1">
        <f t="array" ref="N1926">SUMPRODUCT(("Var_Cap"=[1]OUT_TransportEnergyCons!$B$4:$B$10000)*1,("-"=[1]OUT_TransportEnergyCons!$C$4:$C$10000)*1,ISNUMBER(SEARCH("T_C*ICE*GSL*ext",[1]OUT_TransportEnergyCons!$A$4:$A$10000))*1,[1]OUT_TransportEnergyCons!L$4:L$10000)</f>
        <v>0</v>
      </c>
      <c r="O1926" s="1" cm="1">
        <f t="array" ref="O1926">SUMPRODUCT(("Var_Cap"=[1]OUT_TransportEnergyCons!$B$4:$B$10000)*1,("-"=[1]OUT_TransportEnergyCons!$C$4:$C$10000)*1,ISNUMBER(SEARCH("T_C*ICE*GSL*ext",[1]OUT_TransportEnergyCons!$A$4:$A$10000))*1,[1]OUT_TransportEnergyCons!M$4:M$10000)</f>
        <v>0</v>
      </c>
      <c r="P1926" s="1" cm="1">
        <f t="array" ref="P1926">SUMPRODUCT(("Var_Cap"=[1]OUT_TransportEnergyCons!$B$4:$B$10000)*1,("-"=[1]OUT_TransportEnergyCons!$C$4:$C$10000)*1,ISNUMBER(SEARCH("T_C*ICE*GSL*ext",[1]OUT_TransportEnergyCons!$A$4:$A$10000))*1,[1]OUT_TransportEnergyCons!N$4:N$10000)</f>
        <v>0</v>
      </c>
      <c r="Q1926" s="1" cm="1">
        <f t="array" ref="Q1926">SUMPRODUCT(("Var_Cap"=[1]OUT_TransportEnergyCons!$B$4:$B$10000)*1,("-"=[1]OUT_TransportEnergyCons!$C$4:$C$10000)*1,ISNUMBER(SEARCH("T_C*ICE*GSL*ext",[1]OUT_TransportEnergyCons!$A$4:$A$10000))*1,[1]OUT_TransportEnergyCons!O$4:O$10000)</f>
        <v>0</v>
      </c>
      <c r="S1926" s="3"/>
    </row>
    <row r="1927" spans="2:19" x14ac:dyDescent="0.5">
      <c r="B1927" s="5" t="str">
        <f t="shared" si="2152"/>
        <v>SPS1</v>
      </c>
      <c r="C1927" s="5" t="str">
        <f t="shared" si="2153"/>
        <v>CH</v>
      </c>
      <c r="D1927" t="s">
        <v>1944</v>
      </c>
      <c r="E1927" t="str">
        <f t="shared" si="2154"/>
        <v>Million</v>
      </c>
      <c r="F1927" s="1" cm="1">
        <f t="array" ref="F1927">SUMPRODUCT(("Var_Cap"=[1]OUT_TransportEnergyCons!$B$4:$B$10000)*1,("-"=[1]OUT_TransportEnergyCons!$C$4:$C$10000)*1,ISNUMBER(SEARCH("T_C*ICE*GSL*s1",[1]OUT_TransportEnergyCons!$A$4:$A$10000))*1,[1]OUT_TransportEnergyCons!D$4:D$10000)</f>
        <v>3.6542248496386168E-2</v>
      </c>
      <c r="G1927" s="1" cm="1">
        <f t="array" ref="G1927">SUMPRODUCT(("Var_Cap"=[1]OUT_TransportEnergyCons!$B$4:$B$10000)*1,("-"=[1]OUT_TransportEnergyCons!$C$4:$C$10000)*1,ISNUMBER(SEARCH("T_C*ICE*GSL*s1",[1]OUT_TransportEnergyCons!$A$4:$A$10000))*1,[1]OUT_TransportEnergyCons!E$4:E$10000)</f>
        <v>6.4776357369292839E-2</v>
      </c>
      <c r="H1927" s="1" cm="1">
        <f t="array" ref="H1927">SUMPRODUCT(("Var_Cap"=[1]OUT_TransportEnergyCons!$B$4:$B$10000)*1,("-"=[1]OUT_TransportEnergyCons!$C$4:$C$10000)*1,ISNUMBER(SEARCH("T_C*ICE*GSL*s1",[1]OUT_TransportEnergyCons!$A$4:$A$10000))*1,[1]OUT_TransportEnergyCons!F$4:F$10000)</f>
        <v>0.12285788614427043</v>
      </c>
      <c r="I1927" s="1" cm="1">
        <f t="array" ref="I1927">SUMPRODUCT(("Var_Cap"=[1]OUT_TransportEnergyCons!$B$4:$B$10000)*1,("-"=[1]OUT_TransportEnergyCons!$C$4:$C$10000)*1,ISNUMBER(SEARCH("T_C*ICE*GSL*s1",[1]OUT_TransportEnergyCons!$A$4:$A$10000))*1,[1]OUT_TransportEnergyCons!G$4:G$10000)</f>
        <v>0.10201676520400553</v>
      </c>
      <c r="J1927" s="1" cm="1">
        <f t="array" ref="J1927">SUMPRODUCT(("Var_Cap"=[1]OUT_TransportEnergyCons!$B$4:$B$10000)*1,("-"=[1]OUT_TransportEnergyCons!$C$4:$C$10000)*1,ISNUMBER(SEARCH("T_C*ICE*GSL*s1",[1]OUT_TransportEnergyCons!$A$4:$A$10000))*1,[1]OUT_TransportEnergyCons!H$4:H$10000)</f>
        <v>4.5658373575735343E-2</v>
      </c>
      <c r="K1927" s="1" cm="1">
        <f t="array" ref="K1927">SUMPRODUCT(("Var_Cap"=[1]OUT_TransportEnergyCons!$B$4:$B$10000)*1,("-"=[1]OUT_TransportEnergyCons!$C$4:$C$10000)*1,ISNUMBER(SEARCH("T_C*ICE*GSL*s1",[1]OUT_TransportEnergyCons!$A$4:$A$10000))*1,[1]OUT_TransportEnergyCons!I$4:I$10000)</f>
        <v>6.1426470066041298E-3</v>
      </c>
      <c r="L1927" s="1" cm="1">
        <f t="array" ref="L1927">SUMPRODUCT(("Var_Cap"=[1]OUT_TransportEnergyCons!$B$4:$B$10000)*1,("-"=[1]OUT_TransportEnergyCons!$C$4:$C$10000)*1,ISNUMBER(SEARCH("T_C*ICE*GSL*s1",[1]OUT_TransportEnergyCons!$A$4:$A$10000))*1,[1]OUT_TransportEnergyCons!J$4:J$10000)</f>
        <v>0</v>
      </c>
      <c r="M1927" s="1" cm="1">
        <f t="array" ref="M1927">SUMPRODUCT(("Var_Cap"=[1]OUT_TransportEnergyCons!$B$4:$B$10000)*1,("-"=[1]OUT_TransportEnergyCons!$C$4:$C$10000)*1,ISNUMBER(SEARCH("T_C*ICE*GSL*s1",[1]OUT_TransportEnergyCons!$A$4:$A$10000))*1,[1]OUT_TransportEnergyCons!K$4:K$10000)</f>
        <v>0</v>
      </c>
      <c r="N1927" s="1" cm="1">
        <f t="array" ref="N1927">SUMPRODUCT(("Var_Cap"=[1]OUT_TransportEnergyCons!$B$4:$B$10000)*1,("-"=[1]OUT_TransportEnergyCons!$C$4:$C$10000)*1,ISNUMBER(SEARCH("T_C*ICE*GSL*s1",[1]OUT_TransportEnergyCons!$A$4:$A$10000))*1,[1]OUT_TransportEnergyCons!L$4:L$10000)</f>
        <v>0</v>
      </c>
      <c r="O1927" s="1" cm="1">
        <f t="array" ref="O1927">SUMPRODUCT(("Var_Cap"=[1]OUT_TransportEnergyCons!$B$4:$B$10000)*1,("-"=[1]OUT_TransportEnergyCons!$C$4:$C$10000)*1,ISNUMBER(SEARCH("T_C*ICE*GSL*s1",[1]OUT_TransportEnergyCons!$A$4:$A$10000))*1,[1]OUT_TransportEnergyCons!M$4:M$10000)</f>
        <v>0</v>
      </c>
      <c r="P1927" s="1" cm="1">
        <f t="array" ref="P1927">SUMPRODUCT(("Var_Cap"=[1]OUT_TransportEnergyCons!$B$4:$B$10000)*1,("-"=[1]OUT_TransportEnergyCons!$C$4:$C$10000)*1,ISNUMBER(SEARCH("T_C*ICE*GSL*s1",[1]OUT_TransportEnergyCons!$A$4:$A$10000))*1,[1]OUT_TransportEnergyCons!N$4:N$10000)</f>
        <v>0</v>
      </c>
      <c r="Q1927" s="1" cm="1">
        <f t="array" ref="Q1927">SUMPRODUCT(("Var_Cap"=[1]OUT_TransportEnergyCons!$B$4:$B$10000)*1,("-"=[1]OUT_TransportEnergyCons!$C$4:$C$10000)*1,ISNUMBER(SEARCH("T_C*ICE*GSL*s1",[1]OUT_TransportEnergyCons!$A$4:$A$10000))*1,[1]OUT_TransportEnergyCons!O$4:O$10000)</f>
        <v>0</v>
      </c>
      <c r="S1927" s="3"/>
    </row>
    <row r="1928" spans="2:19" x14ac:dyDescent="0.5">
      <c r="B1928" s="5" t="str">
        <f t="shared" si="2152"/>
        <v>SPS1</v>
      </c>
      <c r="C1928" s="5" t="str">
        <f t="shared" si="2153"/>
        <v>CH</v>
      </c>
      <c r="D1928" t="s">
        <v>1945</v>
      </c>
      <c r="E1928" t="str">
        <f t="shared" si="2154"/>
        <v>Million</v>
      </c>
      <c r="F1928" s="1" cm="1">
        <f t="array" ref="F1928">SUMPRODUCT(("Var_Cap"=[1]OUT_TransportEnergyCons!$B$4:$B$10000)*1,("-"=[1]OUT_TransportEnergyCons!$C$4:$C$10000)*1,ISNUMBER(SEARCH("T_C*ICE*GSL*s2",[1]OUT_TransportEnergyCons!$A$4:$A$10000))*1,[1]OUT_TransportEnergyCons!D$4:D$10000)</f>
        <v>0.21743079515955915</v>
      </c>
      <c r="G1928" s="1" cm="1">
        <f t="array" ref="G1928">SUMPRODUCT(("Var_Cap"=[1]OUT_TransportEnergyCons!$B$4:$B$10000)*1,("-"=[1]OUT_TransportEnergyCons!$C$4:$C$10000)*1,ISNUMBER(SEARCH("T_C*ICE*GSL*s2",[1]OUT_TransportEnergyCons!$A$4:$A$10000))*1,[1]OUT_TransportEnergyCons!E$4:E$10000)</f>
        <v>0.24354873843067046</v>
      </c>
      <c r="H1928" s="1" cm="1">
        <f t="array" ref="H1928">SUMPRODUCT(("Var_Cap"=[1]OUT_TransportEnergyCons!$B$4:$B$10000)*1,("-"=[1]OUT_TransportEnergyCons!$C$4:$C$10000)*1,ISNUMBER(SEARCH("T_C*ICE*GSL*s2",[1]OUT_TransportEnergyCons!$A$4:$A$10000))*1,[1]OUT_TransportEnergyCons!F$4:F$10000)</f>
        <v>0.33223556662820874</v>
      </c>
      <c r="I1928" s="1" cm="1">
        <f t="array" ref="I1928">SUMPRODUCT(("Var_Cap"=[1]OUT_TransportEnergyCons!$B$4:$B$10000)*1,("-"=[1]OUT_TransportEnergyCons!$C$4:$C$10000)*1,ISNUMBER(SEARCH("T_C*ICE*GSL*s2",[1]OUT_TransportEnergyCons!$A$4:$A$10000))*1,[1]OUT_TransportEnergyCons!G$4:G$10000)</f>
        <v>0.27080228877516904</v>
      </c>
      <c r="J1928" s="1" cm="1">
        <f t="array" ref="J1928">SUMPRODUCT(("Var_Cap"=[1]OUT_TransportEnergyCons!$B$4:$B$10000)*1,("-"=[1]OUT_TransportEnergyCons!$C$4:$C$10000)*1,ISNUMBER(SEARCH("T_C*ICE*GSL*s2",[1]OUT_TransportEnergyCons!$A$4:$A$10000))*1,[1]OUT_TransportEnergyCons!H$4:H$10000)</f>
        <v>6.8051748117110261E-2</v>
      </c>
      <c r="K1928" s="1" cm="1">
        <f t="array" ref="K1928">SUMPRODUCT(("Var_Cap"=[1]OUT_TransportEnergyCons!$B$4:$B$10000)*1,("-"=[1]OUT_TransportEnergyCons!$C$4:$C$10000)*1,ISNUMBER(SEARCH("T_C*ICE*GSL*s2",[1]OUT_TransportEnergyCons!$A$4:$A$10000))*1,[1]OUT_TransportEnergyCons!I$4:I$10000)</f>
        <v>9.2979971723015746E-3</v>
      </c>
      <c r="L1928" s="1" cm="1">
        <f t="array" ref="L1928">SUMPRODUCT(("Var_Cap"=[1]OUT_TransportEnergyCons!$B$4:$B$10000)*1,("-"=[1]OUT_TransportEnergyCons!$C$4:$C$10000)*1,ISNUMBER(SEARCH("T_C*ICE*GSL*s2",[1]OUT_TransportEnergyCons!$A$4:$A$10000))*1,[1]OUT_TransportEnergyCons!J$4:J$10000)</f>
        <v>0</v>
      </c>
      <c r="M1928" s="1" cm="1">
        <f t="array" ref="M1928">SUMPRODUCT(("Var_Cap"=[1]OUT_TransportEnergyCons!$B$4:$B$10000)*1,("-"=[1]OUT_TransportEnergyCons!$C$4:$C$10000)*1,ISNUMBER(SEARCH("T_C*ICE*GSL*s2",[1]OUT_TransportEnergyCons!$A$4:$A$10000))*1,[1]OUT_TransportEnergyCons!K$4:K$10000)</f>
        <v>0</v>
      </c>
      <c r="N1928" s="1" cm="1">
        <f t="array" ref="N1928">SUMPRODUCT(("Var_Cap"=[1]OUT_TransportEnergyCons!$B$4:$B$10000)*1,("-"=[1]OUT_TransportEnergyCons!$C$4:$C$10000)*1,ISNUMBER(SEARCH("T_C*ICE*GSL*s2",[1]OUT_TransportEnergyCons!$A$4:$A$10000))*1,[1]OUT_TransportEnergyCons!L$4:L$10000)</f>
        <v>0</v>
      </c>
      <c r="O1928" s="1" cm="1">
        <f t="array" ref="O1928">SUMPRODUCT(("Var_Cap"=[1]OUT_TransportEnergyCons!$B$4:$B$10000)*1,("-"=[1]OUT_TransportEnergyCons!$C$4:$C$10000)*1,ISNUMBER(SEARCH("T_C*ICE*GSL*s2",[1]OUT_TransportEnergyCons!$A$4:$A$10000))*1,[1]OUT_TransportEnergyCons!M$4:M$10000)</f>
        <v>0</v>
      </c>
      <c r="P1928" s="1" cm="1">
        <f t="array" ref="P1928">SUMPRODUCT(("Var_Cap"=[1]OUT_TransportEnergyCons!$B$4:$B$10000)*1,("-"=[1]OUT_TransportEnergyCons!$C$4:$C$10000)*1,ISNUMBER(SEARCH("T_C*ICE*GSL*s2",[1]OUT_TransportEnergyCons!$A$4:$A$10000))*1,[1]OUT_TransportEnergyCons!N$4:N$10000)</f>
        <v>0</v>
      </c>
      <c r="Q1928" s="1" cm="1">
        <f t="array" ref="Q1928">SUMPRODUCT(("Var_Cap"=[1]OUT_TransportEnergyCons!$B$4:$B$10000)*1,("-"=[1]OUT_TransportEnergyCons!$C$4:$C$10000)*1,ISNUMBER(SEARCH("T_C*ICE*GSL*s2",[1]OUT_TransportEnergyCons!$A$4:$A$10000))*1,[1]OUT_TransportEnergyCons!O$4:O$10000)</f>
        <v>0</v>
      </c>
      <c r="S1928" s="3"/>
    </row>
    <row r="1929" spans="2:19" x14ac:dyDescent="0.5">
      <c r="B1929" s="5" t="str">
        <f t="shared" si="2152"/>
        <v>SPS1</v>
      </c>
      <c r="C1929" s="5" t="str">
        <f t="shared" si="2153"/>
        <v>CH</v>
      </c>
      <c r="D1929" t="s">
        <v>1946</v>
      </c>
      <c r="E1929" t="str">
        <f t="shared" si="2154"/>
        <v>Million</v>
      </c>
      <c r="F1929" s="1" cm="1">
        <f t="array" ref="F1929">SUMPRODUCT(("Var_Cap"=[1]OUT_TransportEnergyCons!$B$4:$B$10000)*1,("-"=[1]OUT_TransportEnergyCons!$C$4:$C$10000)*1,ISNUMBER(SEARCH("T_C*ICE*GSL*s3",[1]OUT_TransportEnergyCons!$A$4:$A$10000))*1,[1]OUT_TransportEnergyCons!D$4:D$10000)</f>
        <v>0.1820125001919328</v>
      </c>
      <c r="G1929" s="1" cm="1">
        <f t="array" ref="G1929">SUMPRODUCT(("Var_Cap"=[1]OUT_TransportEnergyCons!$B$4:$B$10000)*1,("-"=[1]OUT_TransportEnergyCons!$C$4:$C$10000)*1,ISNUMBER(SEARCH("T_C*ICE*GSL*s3",[1]OUT_TransportEnergyCons!$A$4:$A$10000))*1,[1]OUT_TransportEnergyCons!E$4:E$10000)</f>
        <v>0.20378180220531703</v>
      </c>
      <c r="H1929" s="1" cm="1">
        <f t="array" ref="H1929">SUMPRODUCT(("Var_Cap"=[1]OUT_TransportEnergyCons!$B$4:$B$10000)*1,("-"=[1]OUT_TransportEnergyCons!$C$4:$C$10000)*1,ISNUMBER(SEARCH("T_C*ICE*GSL*s3",[1]OUT_TransportEnergyCons!$A$4:$A$10000))*1,[1]OUT_TransportEnergyCons!F$4:F$10000)</f>
        <v>0.37647165744081995</v>
      </c>
      <c r="I1929" s="1" cm="1">
        <f t="array" ref="I1929">SUMPRODUCT(("Var_Cap"=[1]OUT_TransportEnergyCons!$B$4:$B$10000)*1,("-"=[1]OUT_TransportEnergyCons!$C$4:$C$10000)*1,ISNUMBER(SEARCH("T_C*ICE*GSL*s3",[1]OUT_TransportEnergyCons!$A$4:$A$10000))*1,[1]OUT_TransportEnergyCons!G$4:G$10000)</f>
        <v>0.31756511598051201</v>
      </c>
      <c r="J1929" s="1" cm="1">
        <f t="array" ref="J1929">SUMPRODUCT(("Var_Cap"=[1]OUT_TransportEnergyCons!$B$4:$B$10000)*1,("-"=[1]OUT_TransportEnergyCons!$C$4:$C$10000)*1,ISNUMBER(SEARCH("T_C*ICE*GSL*s3",[1]OUT_TransportEnergyCons!$A$4:$A$10000))*1,[1]OUT_TransportEnergyCons!H$4:H$10000)</f>
        <v>0.1194229672029827</v>
      </c>
      <c r="K1929" s="1" cm="1">
        <f t="array" ref="K1929">SUMPRODUCT(("Var_Cap"=[1]OUT_TransportEnergyCons!$B$4:$B$10000)*1,("-"=[1]OUT_TransportEnergyCons!$C$4:$C$10000)*1,ISNUMBER(SEARCH("T_C*ICE*GSL*s3",[1]OUT_TransportEnergyCons!$A$4:$A$10000))*1,[1]OUT_TransportEnergyCons!I$4:I$10000)</f>
        <v>1.7670519598656387E-2</v>
      </c>
      <c r="L1929" s="1" cm="1">
        <f t="array" ref="L1929">SUMPRODUCT(("Var_Cap"=[1]OUT_TransportEnergyCons!$B$4:$B$10000)*1,("-"=[1]OUT_TransportEnergyCons!$C$4:$C$10000)*1,ISNUMBER(SEARCH("T_C*ICE*GSL*s3",[1]OUT_TransportEnergyCons!$A$4:$A$10000))*1,[1]OUT_TransportEnergyCons!J$4:J$10000)</f>
        <v>0</v>
      </c>
      <c r="M1929" s="1" cm="1">
        <f t="array" ref="M1929">SUMPRODUCT(("Var_Cap"=[1]OUT_TransportEnergyCons!$B$4:$B$10000)*1,("-"=[1]OUT_TransportEnergyCons!$C$4:$C$10000)*1,ISNUMBER(SEARCH("T_C*ICE*GSL*s3",[1]OUT_TransportEnergyCons!$A$4:$A$10000))*1,[1]OUT_TransportEnergyCons!K$4:K$10000)</f>
        <v>0</v>
      </c>
      <c r="N1929" s="1" cm="1">
        <f t="array" ref="N1929">SUMPRODUCT(("Var_Cap"=[1]OUT_TransportEnergyCons!$B$4:$B$10000)*1,("-"=[1]OUT_TransportEnergyCons!$C$4:$C$10000)*1,ISNUMBER(SEARCH("T_C*ICE*GSL*s3",[1]OUT_TransportEnergyCons!$A$4:$A$10000))*1,[1]OUT_TransportEnergyCons!L$4:L$10000)</f>
        <v>0</v>
      </c>
      <c r="O1929" s="1" cm="1">
        <f t="array" ref="O1929">SUMPRODUCT(("Var_Cap"=[1]OUT_TransportEnergyCons!$B$4:$B$10000)*1,("-"=[1]OUT_TransportEnergyCons!$C$4:$C$10000)*1,ISNUMBER(SEARCH("T_C*ICE*GSL*s3",[1]OUT_TransportEnergyCons!$A$4:$A$10000))*1,[1]OUT_TransportEnergyCons!M$4:M$10000)</f>
        <v>0</v>
      </c>
      <c r="P1929" s="1" cm="1">
        <f t="array" ref="P1929">SUMPRODUCT(("Var_Cap"=[1]OUT_TransportEnergyCons!$B$4:$B$10000)*1,("-"=[1]OUT_TransportEnergyCons!$C$4:$C$10000)*1,ISNUMBER(SEARCH("T_C*ICE*GSL*s3",[1]OUT_TransportEnergyCons!$A$4:$A$10000))*1,[1]OUT_TransportEnergyCons!N$4:N$10000)</f>
        <v>0</v>
      </c>
      <c r="Q1929" s="1" cm="1">
        <f t="array" ref="Q1929">SUMPRODUCT(("Var_Cap"=[1]OUT_TransportEnergyCons!$B$4:$B$10000)*1,("-"=[1]OUT_TransportEnergyCons!$C$4:$C$10000)*1,ISNUMBER(SEARCH("T_C*ICE*GSL*s3",[1]OUT_TransportEnergyCons!$A$4:$A$10000))*1,[1]OUT_TransportEnergyCons!O$4:O$10000)</f>
        <v>0</v>
      </c>
      <c r="S1929" s="3"/>
    </row>
    <row r="1930" spans="2:19" x14ac:dyDescent="0.5">
      <c r="B1930" s="5" t="str">
        <f t="shared" si="2152"/>
        <v>SPS1</v>
      </c>
      <c r="C1930" s="5" t="str">
        <f t="shared" si="2153"/>
        <v>CH</v>
      </c>
      <c r="D1930" t="s">
        <v>1947</v>
      </c>
      <c r="E1930" t="str">
        <f t="shared" si="2154"/>
        <v>Million</v>
      </c>
      <c r="F1930" s="1" cm="1">
        <f t="array" ref="F1930">SUMPRODUCT(("Var_Cap"=[1]OUT_TransportEnergyCons!$B$4:$B$10000)*1,("-"=[1]OUT_TransportEnergyCons!$C$4:$C$10000)*1,ISNUMBER(SEARCH("T_C*ICE*GSL*s4",[1]OUT_TransportEnergyCons!$A$4:$A$10000))*1,[1]OUT_TransportEnergyCons!D$4:D$10000)</f>
        <v>0.15707569064427415</v>
      </c>
      <c r="G1930" s="1" cm="1">
        <f t="array" ref="G1930">SUMPRODUCT(("Var_Cap"=[1]OUT_TransportEnergyCons!$B$4:$B$10000)*1,("-"=[1]OUT_TransportEnergyCons!$C$4:$C$10000)*1,ISNUMBER(SEARCH("T_C*ICE*GSL*s4",[1]OUT_TransportEnergyCons!$A$4:$A$10000))*1,[1]OUT_TransportEnergyCons!E$4:E$10000)</f>
        <v>0.17933336131700012</v>
      </c>
      <c r="H1930" s="1" cm="1">
        <f t="array" ref="H1930">SUMPRODUCT(("Var_Cap"=[1]OUT_TransportEnergyCons!$B$4:$B$10000)*1,("-"=[1]OUT_TransportEnergyCons!$C$4:$C$10000)*1,ISNUMBER(SEARCH("T_C*ICE*GSL*s4",[1]OUT_TransportEnergyCons!$A$4:$A$10000))*1,[1]OUT_TransportEnergyCons!F$4:F$10000)</f>
        <v>0.3221028349277606</v>
      </c>
      <c r="I1930" s="1" cm="1">
        <f t="array" ref="I1930">SUMPRODUCT(("Var_Cap"=[1]OUT_TransportEnergyCons!$B$4:$B$10000)*1,("-"=[1]OUT_TransportEnergyCons!$C$4:$C$10000)*1,ISNUMBER(SEARCH("T_C*ICE*GSL*s4",[1]OUT_TransportEnergyCons!$A$4:$A$10000))*1,[1]OUT_TransportEnergyCons!G$4:G$10000)</f>
        <v>0.27011370005297725</v>
      </c>
      <c r="J1930" s="1" cm="1">
        <f t="array" ref="J1930">SUMPRODUCT(("Var_Cap"=[1]OUT_TransportEnergyCons!$B$4:$B$10000)*1,("-"=[1]OUT_TransportEnergyCons!$C$4:$C$10000)*1,ISNUMBER(SEARCH("T_C*ICE*GSL*s4",[1]OUT_TransportEnergyCons!$A$4:$A$10000))*1,[1]OUT_TransportEnergyCons!H$4:H$10000)</f>
        <v>0.10031980685611248</v>
      </c>
      <c r="K1930" s="1" cm="1">
        <f t="array" ref="K1930">SUMPRODUCT(("Var_Cap"=[1]OUT_TransportEnergyCons!$B$4:$B$10000)*1,("-"=[1]OUT_TransportEnergyCons!$C$4:$C$10000)*1,ISNUMBER(SEARCH("T_C*ICE*GSL*s4",[1]OUT_TransportEnergyCons!$A$4:$A$10000))*1,[1]OUT_TransportEnergyCons!I$4:I$10000)</f>
        <v>1.4737810067539055E-2</v>
      </c>
      <c r="L1930" s="1" cm="1">
        <f t="array" ref="L1930">SUMPRODUCT(("Var_Cap"=[1]OUT_TransportEnergyCons!$B$4:$B$10000)*1,("-"=[1]OUT_TransportEnergyCons!$C$4:$C$10000)*1,ISNUMBER(SEARCH("T_C*ICE*GSL*s4",[1]OUT_TransportEnergyCons!$A$4:$A$10000))*1,[1]OUT_TransportEnergyCons!J$4:J$10000)</f>
        <v>0</v>
      </c>
      <c r="M1930" s="1" cm="1">
        <f t="array" ref="M1930">SUMPRODUCT(("Var_Cap"=[1]OUT_TransportEnergyCons!$B$4:$B$10000)*1,("-"=[1]OUT_TransportEnergyCons!$C$4:$C$10000)*1,ISNUMBER(SEARCH("T_C*ICE*GSL*s4",[1]OUT_TransportEnergyCons!$A$4:$A$10000))*1,[1]OUT_TransportEnergyCons!K$4:K$10000)</f>
        <v>0</v>
      </c>
      <c r="N1930" s="1" cm="1">
        <f t="array" ref="N1930">SUMPRODUCT(("Var_Cap"=[1]OUT_TransportEnergyCons!$B$4:$B$10000)*1,("-"=[1]OUT_TransportEnergyCons!$C$4:$C$10000)*1,ISNUMBER(SEARCH("T_C*ICE*GSL*s4",[1]OUT_TransportEnergyCons!$A$4:$A$10000))*1,[1]OUT_TransportEnergyCons!L$4:L$10000)</f>
        <v>0</v>
      </c>
      <c r="O1930" s="1" cm="1">
        <f t="array" ref="O1930">SUMPRODUCT(("Var_Cap"=[1]OUT_TransportEnergyCons!$B$4:$B$10000)*1,("-"=[1]OUT_TransportEnergyCons!$C$4:$C$10000)*1,ISNUMBER(SEARCH("T_C*ICE*GSL*s4",[1]OUT_TransportEnergyCons!$A$4:$A$10000))*1,[1]OUT_TransportEnergyCons!M$4:M$10000)</f>
        <v>0</v>
      </c>
      <c r="P1930" s="1" cm="1">
        <f t="array" ref="P1930">SUMPRODUCT(("Var_Cap"=[1]OUT_TransportEnergyCons!$B$4:$B$10000)*1,("-"=[1]OUT_TransportEnergyCons!$C$4:$C$10000)*1,ISNUMBER(SEARCH("T_C*ICE*GSL*s4",[1]OUT_TransportEnergyCons!$A$4:$A$10000))*1,[1]OUT_TransportEnergyCons!N$4:N$10000)</f>
        <v>0</v>
      </c>
      <c r="Q1930" s="1" cm="1">
        <f t="array" ref="Q1930">SUMPRODUCT(("Var_Cap"=[1]OUT_TransportEnergyCons!$B$4:$B$10000)*1,("-"=[1]OUT_TransportEnergyCons!$C$4:$C$10000)*1,ISNUMBER(SEARCH("T_C*ICE*GSL*s4",[1]OUT_TransportEnergyCons!$A$4:$A$10000))*1,[1]OUT_TransportEnergyCons!O$4:O$10000)</f>
        <v>0</v>
      </c>
      <c r="S1930" s="3"/>
    </row>
    <row r="1931" spans="2:19" x14ac:dyDescent="0.5">
      <c r="B1931" s="5" t="str">
        <f t="shared" si="2152"/>
        <v>SPS1</v>
      </c>
      <c r="C1931" s="5" t="str">
        <f t="shared" si="2153"/>
        <v>CH</v>
      </c>
      <c r="D1931" t="s">
        <v>1948</v>
      </c>
      <c r="E1931" t="str">
        <f t="shared" si="2154"/>
        <v>Million</v>
      </c>
      <c r="F1931" s="1" cm="1">
        <f t="array" ref="F1931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31" s="1" cm="1">
        <f t="array" ref="G1931">SUMPRODUCT(("Var_Cap"=[1]OUT_TransportEnergyCons!$B$4:$B$10000)*1,("-"=[1]OUT_TransportEnergyCons!$C$4:$C$10000)*1,ISNUMBER(SEARCH("T_C*mhy*GSL*s1",[1]OUT_TransportEnergyCons!$A$4:$A$10000))*1,[1]OUT_TransportEnergyCons!E$4:E$10000)</f>
        <v>1.41487078356224E-5</v>
      </c>
      <c r="H1931" s="1" cm="1">
        <f t="array" ref="H1931">SUMPRODUCT(("Var_Cap"=[1]OUT_TransportEnergyCons!$B$4:$B$10000)*1,("-"=[1]OUT_TransportEnergyCons!$C$4:$C$10000)*1,ISNUMBER(SEARCH("T_C*mhy*GSL*s1",[1]OUT_TransportEnergyCons!$A$4:$A$10000))*1,[1]OUT_TransportEnergyCons!F$4:F$10000)</f>
        <v>3.15581397579292E-5</v>
      </c>
      <c r="I1931" s="1" cm="1">
        <f t="array" ref="I1931">SUMPRODUCT(("Var_Cap"=[1]OUT_TransportEnergyCons!$B$4:$B$10000)*1,("-"=[1]OUT_TransportEnergyCons!$C$4:$C$10000)*1,ISNUMBER(SEARCH("T_C*mhy*GSL*s1",[1]OUT_TransportEnergyCons!$A$4:$A$10000))*1,[1]OUT_TransportEnergyCons!G$4:G$10000)</f>
        <v>1.53103460616388E-4</v>
      </c>
      <c r="J1931" s="1" cm="1">
        <f t="array" ref="J1931">SUMPRODUCT(("Var_Cap"=[1]OUT_TransportEnergyCons!$B$4:$B$10000)*1,("-"=[1]OUT_TransportEnergyCons!$C$4:$C$10000)*1,ISNUMBER(SEARCH("T_C*mhy*GSL*s1",[1]OUT_TransportEnergyCons!$A$4:$A$10000))*1,[1]OUT_TransportEnergyCons!H$4:H$10000)</f>
        <v>1.18118740182229E-4</v>
      </c>
      <c r="K1931" s="1" cm="1">
        <f t="array" ref="K1931">SUMPRODUCT(("Var_Cap"=[1]OUT_TransportEnergyCons!$B$4:$B$10000)*1,("-"=[1]OUT_TransportEnergyCons!$C$4:$C$10000)*1,ISNUMBER(SEARCH("T_C*mhy*GSL*s1",[1]OUT_TransportEnergyCons!$A$4:$A$10000))*1,[1]OUT_TransportEnergyCons!I$4:I$10000)</f>
        <v>6.2362284236613694E-5</v>
      </c>
      <c r="L1931" s="1" cm="1">
        <f t="array" ref="L1931">SUMPRODUCT(("Var_Cap"=[1]OUT_TransportEnergyCons!$B$4:$B$10000)*1,("-"=[1]OUT_TransportEnergyCons!$C$4:$C$10000)*1,ISNUMBER(SEARCH("T_C*mhy*GSL*s1",[1]OUT_TransportEnergyCons!$A$4:$A$10000))*1,[1]OUT_TransportEnergyCons!J$4:J$10000)</f>
        <v>0</v>
      </c>
      <c r="M1931" s="1" cm="1">
        <f t="array" ref="M1931">SUMPRODUCT(("Var_Cap"=[1]OUT_TransportEnergyCons!$B$4:$B$10000)*1,("-"=[1]OUT_TransportEnergyCons!$C$4:$C$10000)*1,ISNUMBER(SEARCH("T_C*mhy*GSL*s1",[1]OUT_TransportEnergyCons!$A$4:$A$10000))*1,[1]OUT_TransportEnergyCons!K$4:K$10000)</f>
        <v>0</v>
      </c>
      <c r="N1931" s="1" cm="1">
        <f t="array" ref="N1931">SUMPRODUCT(("Var_Cap"=[1]OUT_TransportEnergyCons!$B$4:$B$10000)*1,("-"=[1]OUT_TransportEnergyCons!$C$4:$C$10000)*1,ISNUMBER(SEARCH("T_C*mhy*GSL*s1",[1]OUT_TransportEnergyCons!$A$4:$A$10000))*1,[1]OUT_TransportEnergyCons!L$4:L$10000)</f>
        <v>0</v>
      </c>
      <c r="O1931" s="1" cm="1">
        <f t="array" ref="O1931">SUMPRODUCT(("Var_Cap"=[1]OUT_TransportEnergyCons!$B$4:$B$10000)*1,("-"=[1]OUT_TransportEnergyCons!$C$4:$C$10000)*1,ISNUMBER(SEARCH("T_C*mhy*GSL*s1",[1]OUT_TransportEnergyCons!$A$4:$A$10000))*1,[1]OUT_TransportEnergyCons!M$4:M$10000)</f>
        <v>0</v>
      </c>
      <c r="P1931" s="1" cm="1">
        <f t="array" ref="P1931">SUMPRODUCT(("Var_Cap"=[1]OUT_TransportEnergyCons!$B$4:$B$10000)*1,("-"=[1]OUT_TransportEnergyCons!$C$4:$C$10000)*1,ISNUMBER(SEARCH("T_C*mhy*GSL*s1",[1]OUT_TransportEnergyCons!$A$4:$A$10000))*1,[1]OUT_TransportEnergyCons!N$4:N$10000)</f>
        <v>0</v>
      </c>
      <c r="Q1931" s="1" cm="1">
        <f t="array" ref="Q1931">SUMPRODUCT(("Var_Cap"=[1]OUT_TransportEnergyCons!$B$4:$B$10000)*1,("-"=[1]OUT_TransportEnergyCons!$C$4:$C$10000)*1,ISNUMBER(SEARCH("T_C*mhy*GSL*s1",[1]OUT_TransportEnergyCons!$A$4:$A$10000))*1,[1]OUT_TransportEnergyCons!O$4:O$10000)</f>
        <v>0</v>
      </c>
      <c r="S1931" s="3"/>
    </row>
    <row r="1932" spans="2:19" x14ac:dyDescent="0.5">
      <c r="B1932" s="5" t="str">
        <f t="shared" si="2152"/>
        <v>SPS1</v>
      </c>
      <c r="C1932" s="5" t="str">
        <f t="shared" si="2153"/>
        <v>CH</v>
      </c>
      <c r="D1932" t="s">
        <v>1949</v>
      </c>
      <c r="E1932" t="str">
        <f t="shared" si="2154"/>
        <v>Million</v>
      </c>
      <c r="F1932" s="1" cm="1">
        <f t="array" ref="F1932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32" s="1" cm="1">
        <f t="array" ref="G1932">SUMPRODUCT(("Var_Cap"=[1]OUT_TransportEnergyCons!$B$4:$B$10000)*1,("-"=[1]OUT_TransportEnergyCons!$C$4:$C$10000)*1,ISNUMBER(SEARCH("T_C*mhy*GSL*s2",[1]OUT_TransportEnergyCons!$A$4:$A$10000))*1,[1]OUT_TransportEnergyCons!E$4:E$10000)</f>
        <v>9.3440031397285105E-6</v>
      </c>
      <c r="H1932" s="1" cm="1">
        <f t="array" ref="H1932">SUMPRODUCT(("Var_Cap"=[1]OUT_TransportEnergyCons!$B$4:$B$10000)*1,("-"=[1]OUT_TransportEnergyCons!$C$4:$C$10000)*1,ISNUMBER(SEARCH("T_C*mhy*GSL*s2",[1]OUT_TransportEnergyCons!$A$4:$A$10000))*1,[1]OUT_TransportEnergyCons!F$4:F$10000)</f>
        <v>2.5193540933644798E-5</v>
      </c>
      <c r="I1932" s="1" cm="1">
        <f t="array" ref="I1932">SUMPRODUCT(("Var_Cap"=[1]OUT_TransportEnergyCons!$B$4:$B$10000)*1,("-"=[1]OUT_TransportEnergyCons!$C$4:$C$10000)*1,ISNUMBER(SEARCH("T_C*mhy*GSL*s2",[1]OUT_TransportEnergyCons!$A$4:$A$10000))*1,[1]OUT_TransportEnergyCons!G$4:G$10000)</f>
        <v>9.8853766344271594E-5</v>
      </c>
      <c r="J1932" s="1" cm="1">
        <f t="array" ref="J1932">SUMPRODUCT(("Var_Cap"=[1]OUT_TransportEnergyCons!$B$4:$B$10000)*1,("-"=[1]OUT_TransportEnergyCons!$C$4:$C$10000)*1,ISNUMBER(SEARCH("T_C*mhy*GSL*s2",[1]OUT_TransportEnergyCons!$A$4:$A$10000))*1,[1]OUT_TransportEnergyCons!H$4:H$10000)</f>
        <v>7.5773757812652902E-5</v>
      </c>
      <c r="K1932" s="1" cm="1">
        <f t="array" ref="K1932">SUMPRODUCT(("Var_Cap"=[1]OUT_TransportEnergyCons!$B$4:$B$10000)*1,("-"=[1]OUT_TransportEnergyCons!$C$4:$C$10000)*1,ISNUMBER(SEARCH("T_C*mhy*GSL*s2",[1]OUT_TransportEnergyCons!$A$4:$A$10000))*1,[1]OUT_TransportEnergyCons!I$4:I$10000)</f>
        <v>3.8707211507387499E-5</v>
      </c>
      <c r="L1932" s="1" cm="1">
        <f t="array" ref="L1932">SUMPRODUCT(("Var_Cap"=[1]OUT_TransportEnergyCons!$B$4:$B$10000)*1,("-"=[1]OUT_TransportEnergyCons!$C$4:$C$10000)*1,ISNUMBER(SEARCH("T_C*mhy*GSL*s2",[1]OUT_TransportEnergyCons!$A$4:$A$10000))*1,[1]OUT_TransportEnergyCons!J$4:J$10000)</f>
        <v>0</v>
      </c>
      <c r="M1932" s="1" cm="1">
        <f t="array" ref="M1932">SUMPRODUCT(("Var_Cap"=[1]OUT_TransportEnergyCons!$B$4:$B$10000)*1,("-"=[1]OUT_TransportEnergyCons!$C$4:$C$10000)*1,ISNUMBER(SEARCH("T_C*mhy*GSL*s2",[1]OUT_TransportEnergyCons!$A$4:$A$10000))*1,[1]OUT_TransportEnergyCons!K$4:K$10000)</f>
        <v>0</v>
      </c>
      <c r="N1932" s="1" cm="1">
        <f t="array" ref="N1932">SUMPRODUCT(("Var_Cap"=[1]OUT_TransportEnergyCons!$B$4:$B$10000)*1,("-"=[1]OUT_TransportEnergyCons!$C$4:$C$10000)*1,ISNUMBER(SEARCH("T_C*mhy*GSL*s2",[1]OUT_TransportEnergyCons!$A$4:$A$10000))*1,[1]OUT_TransportEnergyCons!L$4:L$10000)</f>
        <v>0</v>
      </c>
      <c r="O1932" s="1" cm="1">
        <f t="array" ref="O1932">SUMPRODUCT(("Var_Cap"=[1]OUT_TransportEnergyCons!$B$4:$B$10000)*1,("-"=[1]OUT_TransportEnergyCons!$C$4:$C$10000)*1,ISNUMBER(SEARCH("T_C*mhy*GSL*s2",[1]OUT_TransportEnergyCons!$A$4:$A$10000))*1,[1]OUT_TransportEnergyCons!M$4:M$10000)</f>
        <v>0</v>
      </c>
      <c r="P1932" s="1" cm="1">
        <f t="array" ref="P1932">SUMPRODUCT(("Var_Cap"=[1]OUT_TransportEnergyCons!$B$4:$B$10000)*1,("-"=[1]OUT_TransportEnergyCons!$C$4:$C$10000)*1,ISNUMBER(SEARCH("T_C*mhy*GSL*s2",[1]OUT_TransportEnergyCons!$A$4:$A$10000))*1,[1]OUT_TransportEnergyCons!N$4:N$10000)</f>
        <v>0</v>
      </c>
      <c r="Q1932" s="1" cm="1">
        <f t="array" ref="Q1932">SUMPRODUCT(("Var_Cap"=[1]OUT_TransportEnergyCons!$B$4:$B$10000)*1,("-"=[1]OUT_TransportEnergyCons!$C$4:$C$10000)*1,ISNUMBER(SEARCH("T_C*mhy*GSL*s2",[1]OUT_TransportEnergyCons!$A$4:$A$10000))*1,[1]OUT_TransportEnergyCons!O$4:O$10000)</f>
        <v>0</v>
      </c>
      <c r="S1932" s="3"/>
    </row>
    <row r="1933" spans="2:19" x14ac:dyDescent="0.5">
      <c r="B1933" s="5" t="str">
        <f t="shared" si="2152"/>
        <v>SPS1</v>
      </c>
      <c r="C1933" s="5" t="str">
        <f t="shared" si="2153"/>
        <v>CH</v>
      </c>
      <c r="D1933" t="s">
        <v>1950</v>
      </c>
      <c r="E1933" t="str">
        <f t="shared" si="2154"/>
        <v>Million</v>
      </c>
      <c r="F1933" s="1" cm="1">
        <f t="array" ref="F1933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33" s="1" cm="1">
        <f t="array" ref="G1933">SUMPRODUCT(("Var_Cap"=[1]OUT_TransportEnergyCons!$B$4:$B$10000)*1,("-"=[1]OUT_TransportEnergyCons!$C$4:$C$10000)*1,ISNUMBER(SEARCH("T_C*mhy*GSL*s3",[1]OUT_TransportEnergyCons!$A$4:$A$10000))*1,[1]OUT_TransportEnergyCons!E$4:E$10000)</f>
        <v>9.3053106337404402E-6</v>
      </c>
      <c r="H1933" s="1" cm="1">
        <f t="array" ref="H1933">SUMPRODUCT(("Var_Cap"=[1]OUT_TransportEnergyCons!$B$4:$B$10000)*1,("-"=[1]OUT_TransportEnergyCons!$C$4:$C$10000)*1,ISNUMBER(SEARCH("T_C*mhy*GSL*s3",[1]OUT_TransportEnergyCons!$A$4:$A$10000))*1,[1]OUT_TransportEnergyCons!F$4:F$10000)</f>
        <v>2.52029985112837E-5</v>
      </c>
      <c r="I1933" s="1" cm="1">
        <f t="array" ref="I1933">SUMPRODUCT(("Var_Cap"=[1]OUT_TransportEnergyCons!$B$4:$B$10000)*1,("-"=[1]OUT_TransportEnergyCons!$C$4:$C$10000)*1,ISNUMBER(SEARCH("T_C*mhy*GSL*s3",[1]OUT_TransportEnergyCons!$A$4:$A$10000))*1,[1]OUT_TransportEnergyCons!G$4:G$10000)</f>
        <v>6.7305106382999503E-5</v>
      </c>
      <c r="J1933" s="1" cm="1">
        <f t="array" ref="J1933">SUMPRODUCT(("Var_Cap"=[1]OUT_TransportEnergyCons!$B$4:$B$10000)*1,("-"=[1]OUT_TransportEnergyCons!$C$4:$C$10000)*1,ISNUMBER(SEARCH("T_C*mhy*GSL*s3",[1]OUT_TransportEnergyCons!$A$4:$A$10000))*1,[1]OUT_TransportEnergyCons!H$4:H$10000)</f>
        <v>5.00645179829869E-5</v>
      </c>
      <c r="K1933" s="1" cm="1">
        <f t="array" ref="K1933">SUMPRODUCT(("Var_Cap"=[1]OUT_TransportEnergyCons!$B$4:$B$10000)*1,("-"=[1]OUT_TransportEnergyCons!$C$4:$C$10000)*1,ISNUMBER(SEARCH("T_C*mhy*GSL*s3",[1]OUT_TransportEnergyCons!$A$4:$A$10000))*1,[1]OUT_TransportEnergyCons!I$4:I$10000)</f>
        <v>2.35946728751311E-5</v>
      </c>
      <c r="L1933" s="1" cm="1">
        <f t="array" ref="L1933">SUMPRODUCT(("Var_Cap"=[1]OUT_TransportEnergyCons!$B$4:$B$10000)*1,("-"=[1]OUT_TransportEnergyCons!$C$4:$C$10000)*1,ISNUMBER(SEARCH("T_C*mhy*GSL*s3",[1]OUT_TransportEnergyCons!$A$4:$A$10000))*1,[1]OUT_TransportEnergyCons!J$4:J$10000)</f>
        <v>0</v>
      </c>
      <c r="M1933" s="1" cm="1">
        <f t="array" ref="M1933">SUMPRODUCT(("Var_Cap"=[1]OUT_TransportEnergyCons!$B$4:$B$10000)*1,("-"=[1]OUT_TransportEnergyCons!$C$4:$C$10000)*1,ISNUMBER(SEARCH("T_C*mhy*GSL*s3",[1]OUT_TransportEnergyCons!$A$4:$A$10000))*1,[1]OUT_TransportEnergyCons!K$4:K$10000)</f>
        <v>0</v>
      </c>
      <c r="N1933" s="1" cm="1">
        <f t="array" ref="N1933">SUMPRODUCT(("Var_Cap"=[1]OUT_TransportEnergyCons!$B$4:$B$10000)*1,("-"=[1]OUT_TransportEnergyCons!$C$4:$C$10000)*1,ISNUMBER(SEARCH("T_C*mhy*GSL*s3",[1]OUT_TransportEnergyCons!$A$4:$A$10000))*1,[1]OUT_TransportEnergyCons!L$4:L$10000)</f>
        <v>0</v>
      </c>
      <c r="O1933" s="1" cm="1">
        <f t="array" ref="O1933">SUMPRODUCT(("Var_Cap"=[1]OUT_TransportEnergyCons!$B$4:$B$10000)*1,("-"=[1]OUT_TransportEnergyCons!$C$4:$C$10000)*1,ISNUMBER(SEARCH("T_C*mhy*GSL*s3",[1]OUT_TransportEnergyCons!$A$4:$A$10000))*1,[1]OUT_TransportEnergyCons!M$4:M$10000)</f>
        <v>0</v>
      </c>
      <c r="P1933" s="1" cm="1">
        <f t="array" ref="P1933">SUMPRODUCT(("Var_Cap"=[1]OUT_TransportEnergyCons!$B$4:$B$10000)*1,("-"=[1]OUT_TransportEnergyCons!$C$4:$C$10000)*1,ISNUMBER(SEARCH("T_C*mhy*GSL*s3",[1]OUT_TransportEnergyCons!$A$4:$A$10000))*1,[1]OUT_TransportEnergyCons!N$4:N$10000)</f>
        <v>0</v>
      </c>
      <c r="Q1933" s="1" cm="1">
        <f t="array" ref="Q1933">SUMPRODUCT(("Var_Cap"=[1]OUT_TransportEnergyCons!$B$4:$B$10000)*1,("-"=[1]OUT_TransportEnergyCons!$C$4:$C$10000)*1,ISNUMBER(SEARCH("T_C*mhy*GSL*s3",[1]OUT_TransportEnergyCons!$A$4:$A$10000))*1,[1]OUT_TransportEnergyCons!O$4:O$10000)</f>
        <v>0</v>
      </c>
      <c r="S1933" s="3"/>
    </row>
    <row r="1934" spans="2:19" x14ac:dyDescent="0.5">
      <c r="B1934" s="5" t="str">
        <f t="shared" si="2152"/>
        <v>SPS1</v>
      </c>
      <c r="C1934" s="5" t="str">
        <f t="shared" si="2153"/>
        <v>CH</v>
      </c>
      <c r="D1934" t="s">
        <v>1951</v>
      </c>
      <c r="E1934" t="str">
        <f t="shared" si="2154"/>
        <v>Million</v>
      </c>
      <c r="F1934" s="1" cm="1">
        <f t="array" ref="F1934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34" s="1" cm="1">
        <f t="array" ref="G1934">SUMPRODUCT(("Var_Cap"=[1]OUT_TransportEnergyCons!$B$4:$B$10000)*1,("-"=[1]OUT_TransportEnergyCons!$C$4:$C$10000)*1,ISNUMBER(SEARCH("T_C*mhy*GSL*s4",[1]OUT_TransportEnergyCons!$A$4:$A$10000))*1,[1]OUT_TransportEnergyCons!E$4:E$10000)</f>
        <v>1.20611197324162E-5</v>
      </c>
      <c r="H1934" s="1" cm="1">
        <f t="array" ref="H1934">SUMPRODUCT(("Var_Cap"=[1]OUT_TransportEnergyCons!$B$4:$B$10000)*1,("-"=[1]OUT_TransportEnergyCons!$C$4:$C$10000)*1,ISNUMBER(SEARCH("T_C*mhy*GSL*s4",[1]OUT_TransportEnergyCons!$A$4:$A$10000))*1,[1]OUT_TransportEnergyCons!F$4:F$10000)</f>
        <v>3.4368194152631303E-5</v>
      </c>
      <c r="I1934" s="1" cm="1">
        <f t="array" ref="I1934">SUMPRODUCT(("Var_Cap"=[1]OUT_TransportEnergyCons!$B$4:$B$10000)*1,("-"=[1]OUT_TransportEnergyCons!$C$4:$C$10000)*1,ISNUMBER(SEARCH("T_C*mhy*GSL*s4",[1]OUT_TransportEnergyCons!$A$4:$A$10000))*1,[1]OUT_TransportEnergyCons!G$4:G$10000)</f>
        <v>1.3763486260705101E-4</v>
      </c>
      <c r="J1934" s="1" cm="1">
        <f t="array" ref="J1934">SUMPRODUCT(("Var_Cap"=[1]OUT_TransportEnergyCons!$B$4:$B$10000)*1,("-"=[1]OUT_TransportEnergyCons!$C$4:$C$10000)*1,ISNUMBER(SEARCH("T_C*mhy*GSL*s4",[1]OUT_TransportEnergyCons!$A$4:$A$10000))*1,[1]OUT_TransportEnergyCons!H$4:H$10000)</f>
        <v>1.0582215490557E-4</v>
      </c>
      <c r="K1934" s="1" cm="1">
        <f t="array" ref="K1934">SUMPRODUCT(("Var_Cap"=[1]OUT_TransportEnergyCons!$B$4:$B$10000)*1,("-"=[1]OUT_TransportEnergyCons!$C$4:$C$10000)*1,ISNUMBER(SEARCH("T_C*mhy*GSL*s4",[1]OUT_TransportEnergyCons!$A$4:$A$10000))*1,[1]OUT_TransportEnergyCons!I$4:I$10000)</f>
        <v>5.4176803327014899E-5</v>
      </c>
      <c r="L1934" s="1" cm="1">
        <f t="array" ref="L1934">SUMPRODUCT(("Var_Cap"=[1]OUT_TransportEnergyCons!$B$4:$B$10000)*1,("-"=[1]OUT_TransportEnergyCons!$C$4:$C$10000)*1,ISNUMBER(SEARCH("T_C*mhy*GSL*s4",[1]OUT_TransportEnergyCons!$A$4:$A$10000))*1,[1]OUT_TransportEnergyCons!J$4:J$10000)</f>
        <v>0</v>
      </c>
      <c r="M1934" s="1" cm="1">
        <f t="array" ref="M1934">SUMPRODUCT(("Var_Cap"=[1]OUT_TransportEnergyCons!$B$4:$B$10000)*1,("-"=[1]OUT_TransportEnergyCons!$C$4:$C$10000)*1,ISNUMBER(SEARCH("T_C*mhy*GSL*s4",[1]OUT_TransportEnergyCons!$A$4:$A$10000))*1,[1]OUT_TransportEnergyCons!K$4:K$10000)</f>
        <v>0</v>
      </c>
      <c r="N1934" s="1" cm="1">
        <f t="array" ref="N1934">SUMPRODUCT(("Var_Cap"=[1]OUT_TransportEnergyCons!$B$4:$B$10000)*1,("-"=[1]OUT_TransportEnergyCons!$C$4:$C$10000)*1,ISNUMBER(SEARCH("T_C*mhy*GSL*s4",[1]OUT_TransportEnergyCons!$A$4:$A$10000))*1,[1]OUT_TransportEnergyCons!L$4:L$10000)</f>
        <v>0</v>
      </c>
      <c r="O1934" s="1" cm="1">
        <f t="array" ref="O1934">SUMPRODUCT(("Var_Cap"=[1]OUT_TransportEnergyCons!$B$4:$B$10000)*1,("-"=[1]OUT_TransportEnergyCons!$C$4:$C$10000)*1,ISNUMBER(SEARCH("T_C*mhy*GSL*s4",[1]OUT_TransportEnergyCons!$A$4:$A$10000))*1,[1]OUT_TransportEnergyCons!M$4:M$10000)</f>
        <v>0</v>
      </c>
      <c r="P1934" s="1" cm="1">
        <f t="array" ref="P1934">SUMPRODUCT(("Var_Cap"=[1]OUT_TransportEnergyCons!$B$4:$B$10000)*1,("-"=[1]OUT_TransportEnergyCons!$C$4:$C$10000)*1,ISNUMBER(SEARCH("T_C*mhy*GSL*s4",[1]OUT_TransportEnergyCons!$A$4:$A$10000))*1,[1]OUT_TransportEnergyCons!N$4:N$10000)</f>
        <v>0</v>
      </c>
      <c r="Q1934" s="1" cm="1">
        <f t="array" ref="Q1934">SUMPRODUCT(("Var_Cap"=[1]OUT_TransportEnergyCons!$B$4:$B$10000)*1,("-"=[1]OUT_TransportEnergyCons!$C$4:$C$10000)*1,ISNUMBER(SEARCH("T_C*mhy*GSL*s4",[1]OUT_TransportEnergyCons!$A$4:$A$10000))*1,[1]OUT_TransportEnergyCons!O$4:O$10000)</f>
        <v>0</v>
      </c>
      <c r="S1934" s="3"/>
    </row>
    <row r="1935" spans="2:19" x14ac:dyDescent="0.5">
      <c r="B1935" s="5" t="str">
        <f t="shared" si="2152"/>
        <v>SPS1</v>
      </c>
      <c r="C1935" s="5" t="str">
        <f t="shared" si="2153"/>
        <v>CH</v>
      </c>
      <c r="D1935" t="s">
        <v>1952</v>
      </c>
      <c r="E1935" t="str">
        <f t="shared" si="2154"/>
        <v>Million</v>
      </c>
      <c r="F1935" s="1" cm="1">
        <f t="array" ref="F1935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5" s="1" cm="1">
        <f t="array" ref="G1935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5" s="1" cm="1">
        <f t="array" ref="H1935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5" s="1" cm="1">
        <f t="array" ref="I1935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5" s="1" cm="1">
        <f t="array" ref="J1935">SUMPRODUCT(("Var_Cap"=[1]OUT_TransportEnergyCons!$B$4:$B$10000)*1,("-"=[1]OUT_TransportEnergyCons!$C$4:$C$10000)*1,ISNUMBER(SEARCH("T_C*hy*dsl*ext",[1]OUT_TransportEnergyCons!$A$4:$A$10000))*1,[1]OUT_TransportEnergyCons!H$4:H$10000)</f>
        <v>0</v>
      </c>
      <c r="K1935" s="1" cm="1">
        <f t="array" ref="K1935">SUMPRODUCT(("Var_Cap"=[1]OUT_TransportEnergyCons!$B$4:$B$10000)*1,("-"=[1]OUT_TransportEnergyCons!$C$4:$C$10000)*1,ISNUMBER(SEARCH("T_C*hy*dsl*ext",[1]OUT_TransportEnergyCons!$A$4:$A$10000))*1,[1]OUT_TransportEnergyCons!I$4:I$10000)</f>
        <v>0</v>
      </c>
      <c r="L1935" s="1" cm="1">
        <f t="array" ref="L1935">SUMPRODUCT(("Var_Cap"=[1]OUT_TransportEnergyCons!$B$4:$B$10000)*1,("-"=[1]OUT_TransportEnergyCons!$C$4:$C$10000)*1,ISNUMBER(SEARCH("T_C*hy*dsl*ext",[1]OUT_TransportEnergyCons!$A$4:$A$10000))*1,[1]OUT_TransportEnergyCons!J$4:J$10000)</f>
        <v>0</v>
      </c>
      <c r="M1935" s="1" cm="1">
        <f t="array" ref="M1935">SUMPRODUCT(("Var_Cap"=[1]OUT_TransportEnergyCons!$B$4:$B$10000)*1,("-"=[1]OUT_TransportEnergyCons!$C$4:$C$10000)*1,ISNUMBER(SEARCH("T_C*hy*dsl*ext",[1]OUT_TransportEnergyCons!$A$4:$A$10000))*1,[1]OUT_TransportEnergyCons!K$4:K$10000)</f>
        <v>0</v>
      </c>
      <c r="N1935" s="1" cm="1">
        <f t="array" ref="N1935">SUMPRODUCT(("Var_Cap"=[1]OUT_TransportEnergyCons!$B$4:$B$10000)*1,("-"=[1]OUT_TransportEnergyCons!$C$4:$C$10000)*1,ISNUMBER(SEARCH("T_C*hy*dsl*ext",[1]OUT_TransportEnergyCons!$A$4:$A$10000))*1,[1]OUT_TransportEnergyCons!L$4:L$10000)</f>
        <v>0</v>
      </c>
      <c r="O1935" s="1" cm="1">
        <f t="array" ref="O1935">SUMPRODUCT(("Var_Cap"=[1]OUT_TransportEnergyCons!$B$4:$B$10000)*1,("-"=[1]OUT_TransportEnergyCons!$C$4:$C$10000)*1,ISNUMBER(SEARCH("T_C*hy*dsl*ext",[1]OUT_TransportEnergyCons!$A$4:$A$10000))*1,[1]OUT_TransportEnergyCons!M$4:M$10000)</f>
        <v>0</v>
      </c>
      <c r="P1935" s="1" cm="1">
        <f t="array" ref="P1935">SUMPRODUCT(("Var_Cap"=[1]OUT_TransportEnergyCons!$B$4:$B$10000)*1,("-"=[1]OUT_TransportEnergyCons!$C$4:$C$10000)*1,ISNUMBER(SEARCH("T_C*hy*dsl*ext",[1]OUT_TransportEnergyCons!$A$4:$A$10000))*1,[1]OUT_TransportEnergyCons!N$4:N$10000)</f>
        <v>0</v>
      </c>
      <c r="Q1935" s="1" cm="1">
        <f t="array" ref="Q1935">SUMPRODUCT(("Var_Cap"=[1]OUT_TransportEnergyCons!$B$4:$B$10000)*1,("-"=[1]OUT_TransportEnergyCons!$C$4:$C$10000)*1,ISNUMBER(SEARCH("T_C*hy*dsl*ext",[1]OUT_TransportEnergyCons!$A$4:$A$10000))*1,[1]OUT_TransportEnergyCons!O$4:O$10000)</f>
        <v>0</v>
      </c>
      <c r="S1935" s="3"/>
    </row>
    <row r="1936" spans="2:19" x14ac:dyDescent="0.5">
      <c r="B1936" s="5" t="str">
        <f t="shared" si="2152"/>
        <v>SPS1</v>
      </c>
      <c r="C1936" s="5" t="str">
        <f t="shared" si="2153"/>
        <v>CH</v>
      </c>
      <c r="D1936" t="s">
        <v>1953</v>
      </c>
      <c r="E1936" t="str">
        <f t="shared" si="2154"/>
        <v>Million</v>
      </c>
      <c r="F1936" s="1" cm="1">
        <f t="array" ref="F1936">SUMPRODUCT(("Var_Cap"=[1]OUT_TransportEnergyCons!$B$4:$B$10000)*1,("-"=[1]OUT_TransportEnergyCons!$C$4:$C$10000)*1,ISNUMBER(SEARCH("T_C*hy*dsl*s1",[1]OUT_TransportEnergyCons!$A$4:$A$10000))*1,[1]OUT_TransportEnergyCons!D$4:D$10000)</f>
        <v>1.5869280198580235E-6</v>
      </c>
      <c r="G1936" s="1" cm="1">
        <f t="array" ref="G1936">SUMPRODUCT(("Var_Cap"=[1]OUT_TransportEnergyCons!$B$4:$B$10000)*1,("-"=[1]OUT_TransportEnergyCons!$C$4:$C$10000)*1,ISNUMBER(SEARCH("T_C*hy*dsl*s1",[1]OUT_TransportEnergyCons!$A$4:$A$10000))*1,[1]OUT_TransportEnergyCons!E$4:E$10000)</f>
        <v>1.1164492214870129E-4</v>
      </c>
      <c r="H1936" s="1" cm="1">
        <f t="array" ref="H1936">SUMPRODUCT(("Var_Cap"=[1]OUT_TransportEnergyCons!$B$4:$B$10000)*1,("-"=[1]OUT_TransportEnergyCons!$C$4:$C$10000)*1,ISNUMBER(SEARCH("T_C*hy*dsl*s1",[1]OUT_TransportEnergyCons!$A$4:$A$10000))*1,[1]OUT_TransportEnergyCons!F$4:F$10000)</f>
        <v>1.7462225489257331E-4</v>
      </c>
      <c r="I1936" s="1" cm="1">
        <f t="array" ref="I1936">SUMPRODUCT(("Var_Cap"=[1]OUT_TransportEnergyCons!$B$4:$B$10000)*1,("-"=[1]OUT_TransportEnergyCons!$C$4:$C$10000)*1,ISNUMBER(SEARCH("T_C*hy*dsl*s1",[1]OUT_TransportEnergyCons!$A$4:$A$10000))*1,[1]OUT_TransportEnergyCons!G$4:G$10000)</f>
        <v>5.5196277088968913E-4</v>
      </c>
      <c r="J1936" s="1" cm="1">
        <f t="array" ref="J1936">SUMPRODUCT(("Var_Cap"=[1]OUT_TransportEnergyCons!$B$4:$B$10000)*1,("-"=[1]OUT_TransportEnergyCons!$C$4:$C$10000)*1,ISNUMBER(SEARCH("T_C*hy*dsl*s1",[1]OUT_TransportEnergyCons!$A$4:$A$10000))*1,[1]OUT_TransportEnergyCons!H$4:H$10000)</f>
        <v>4.0358273936750687E-4</v>
      </c>
      <c r="K1936" s="1" cm="1">
        <f t="array" ref="K1936">SUMPRODUCT(("Var_Cap"=[1]OUT_TransportEnergyCons!$B$4:$B$10000)*1,("-"=[1]OUT_TransportEnergyCons!$C$4:$C$10000)*1,ISNUMBER(SEARCH("T_C*hy*dsl*s1",[1]OUT_TransportEnergyCons!$A$4:$A$10000))*1,[1]OUT_TransportEnergyCons!I$4:I$10000)</f>
        <v>2.0174856644129846E-4</v>
      </c>
      <c r="L1936" s="1" cm="1">
        <f t="array" ref="L1936">SUMPRODUCT(("Var_Cap"=[1]OUT_TransportEnergyCons!$B$4:$B$10000)*1,("-"=[1]OUT_TransportEnergyCons!$C$4:$C$10000)*1,ISNUMBER(SEARCH("T_C*hy*dsl*s1",[1]OUT_TransportEnergyCons!$A$4:$A$10000))*1,[1]OUT_TransportEnergyCons!J$4:J$10000)</f>
        <v>0</v>
      </c>
      <c r="M1936" s="1" cm="1">
        <f t="array" ref="M1936">SUMPRODUCT(("Var_Cap"=[1]OUT_TransportEnergyCons!$B$4:$B$10000)*1,("-"=[1]OUT_TransportEnergyCons!$C$4:$C$10000)*1,ISNUMBER(SEARCH("T_C*hy*dsl*s1",[1]OUT_TransportEnergyCons!$A$4:$A$10000))*1,[1]OUT_TransportEnergyCons!K$4:K$10000)</f>
        <v>0</v>
      </c>
      <c r="N1936" s="1" cm="1">
        <f t="array" ref="N1936">SUMPRODUCT(("Var_Cap"=[1]OUT_TransportEnergyCons!$B$4:$B$10000)*1,("-"=[1]OUT_TransportEnergyCons!$C$4:$C$10000)*1,ISNUMBER(SEARCH("T_C*hy*dsl*s1",[1]OUT_TransportEnergyCons!$A$4:$A$10000))*1,[1]OUT_TransportEnergyCons!L$4:L$10000)</f>
        <v>0</v>
      </c>
      <c r="O1936" s="1" cm="1">
        <f t="array" ref="O1936">SUMPRODUCT(("Var_Cap"=[1]OUT_TransportEnergyCons!$B$4:$B$10000)*1,("-"=[1]OUT_TransportEnergyCons!$C$4:$C$10000)*1,ISNUMBER(SEARCH("T_C*hy*dsl*s1",[1]OUT_TransportEnergyCons!$A$4:$A$10000))*1,[1]OUT_TransportEnergyCons!M$4:M$10000)</f>
        <v>0</v>
      </c>
      <c r="P1936" s="1" cm="1">
        <f t="array" ref="P1936">SUMPRODUCT(("Var_Cap"=[1]OUT_TransportEnergyCons!$B$4:$B$10000)*1,("-"=[1]OUT_TransportEnergyCons!$C$4:$C$10000)*1,ISNUMBER(SEARCH("T_C*hy*dsl*s1",[1]OUT_TransportEnergyCons!$A$4:$A$10000))*1,[1]OUT_TransportEnergyCons!N$4:N$10000)</f>
        <v>0</v>
      </c>
      <c r="Q1936" s="1" cm="1">
        <f t="array" ref="Q1936">SUMPRODUCT(("Var_Cap"=[1]OUT_TransportEnergyCons!$B$4:$B$10000)*1,("-"=[1]OUT_TransportEnergyCons!$C$4:$C$10000)*1,ISNUMBER(SEARCH("T_C*hy*dsl*s1",[1]OUT_TransportEnergyCons!$A$4:$A$10000))*1,[1]OUT_TransportEnergyCons!O$4:O$10000)</f>
        <v>0</v>
      </c>
      <c r="S1936" s="3"/>
    </row>
    <row r="1937" spans="2:19" x14ac:dyDescent="0.5">
      <c r="B1937" s="5" t="str">
        <f t="shared" si="2152"/>
        <v>SPS1</v>
      </c>
      <c r="C1937" s="5" t="str">
        <f t="shared" si="2153"/>
        <v>CH</v>
      </c>
      <c r="D1937" t="s">
        <v>1954</v>
      </c>
      <c r="E1937" t="str">
        <f t="shared" si="2154"/>
        <v>Million</v>
      </c>
      <c r="F1937" s="1" cm="1">
        <f t="array" ref="F1937">SUMPRODUCT(("Var_Cap"=[1]OUT_TransportEnergyCons!$B$4:$B$10000)*1,("-"=[1]OUT_TransportEnergyCons!$C$4:$C$10000)*1,ISNUMBER(SEARCH("T_C*hy*dsl*s2",[1]OUT_TransportEnergyCons!$A$4:$A$10000))*1,[1]OUT_TransportEnergyCons!D$4:D$10000)</f>
        <v>2.5979163004770389E-4</v>
      </c>
      <c r="G1937" s="1" cm="1">
        <f t="array" ref="G1937">SUMPRODUCT(("Var_Cap"=[1]OUT_TransportEnergyCons!$B$4:$B$10000)*1,("-"=[1]OUT_TransportEnergyCons!$C$4:$C$10000)*1,ISNUMBER(SEARCH("T_C*hy*dsl*s2",[1]OUT_TransportEnergyCons!$A$4:$A$10000))*1,[1]OUT_TransportEnergyCons!E$4:E$10000)</f>
        <v>9.5702112191148173E-2</v>
      </c>
      <c r="H1937" s="1" cm="1">
        <f t="array" ref="H1937">SUMPRODUCT(("Var_Cap"=[1]OUT_TransportEnergyCons!$B$4:$B$10000)*1,("-"=[1]OUT_TransportEnergyCons!$C$4:$C$10000)*1,ISNUMBER(SEARCH("T_C*hy*dsl*s2",[1]OUT_TransportEnergyCons!$A$4:$A$10000))*1,[1]OUT_TransportEnergyCons!F$4:F$10000)</f>
        <v>0.24137615740262114</v>
      </c>
      <c r="I1937" s="1" cm="1">
        <f t="array" ref="I1937">SUMPRODUCT(("Var_Cap"=[1]OUT_TransportEnergyCons!$B$4:$B$10000)*1,("-"=[1]OUT_TransportEnergyCons!$C$4:$C$10000)*1,ISNUMBER(SEARCH("T_C*hy*dsl*s2",[1]OUT_TransportEnergyCons!$A$4:$A$10000))*1,[1]OUT_TransportEnergyCons!G$4:G$10000)</f>
        <v>0.20548725632767956</v>
      </c>
      <c r="J1937" s="1" cm="1">
        <f t="array" ref="J1937">SUMPRODUCT(("Var_Cap"=[1]OUT_TransportEnergyCons!$B$4:$B$10000)*1,("-"=[1]OUT_TransportEnergyCons!$C$4:$C$10000)*1,ISNUMBER(SEARCH("T_C*hy*dsl*s2",[1]OUT_TransportEnergyCons!$A$4:$A$10000))*1,[1]OUT_TransportEnergyCons!H$4:H$10000)</f>
        <v>0.11967404048182101</v>
      </c>
      <c r="K1937" s="1" cm="1">
        <f t="array" ref="K1937">SUMPRODUCT(("Var_Cap"=[1]OUT_TransportEnergyCons!$B$4:$B$10000)*1,("-"=[1]OUT_TransportEnergyCons!$C$4:$C$10000)*1,ISNUMBER(SEARCH("T_C*hy*dsl*s2",[1]OUT_TransportEnergyCons!$A$4:$A$10000))*1,[1]OUT_TransportEnergyCons!I$4:I$10000)</f>
        <v>1.5240688709342243E-2</v>
      </c>
      <c r="L1937" s="1" cm="1">
        <f t="array" ref="L1937">SUMPRODUCT(("Var_Cap"=[1]OUT_TransportEnergyCons!$B$4:$B$10000)*1,("-"=[1]OUT_TransportEnergyCons!$C$4:$C$10000)*1,ISNUMBER(SEARCH("T_C*hy*dsl*s2",[1]OUT_TransportEnergyCons!$A$4:$A$10000))*1,[1]OUT_TransportEnergyCons!J$4:J$10000)</f>
        <v>0</v>
      </c>
      <c r="M1937" s="1" cm="1">
        <f t="array" ref="M1937">SUMPRODUCT(("Var_Cap"=[1]OUT_TransportEnergyCons!$B$4:$B$10000)*1,("-"=[1]OUT_TransportEnergyCons!$C$4:$C$10000)*1,ISNUMBER(SEARCH("T_C*hy*dsl*s2",[1]OUT_TransportEnergyCons!$A$4:$A$10000))*1,[1]OUT_TransportEnergyCons!K$4:K$10000)</f>
        <v>0</v>
      </c>
      <c r="N1937" s="1" cm="1">
        <f t="array" ref="N1937">SUMPRODUCT(("Var_Cap"=[1]OUT_TransportEnergyCons!$B$4:$B$10000)*1,("-"=[1]OUT_TransportEnergyCons!$C$4:$C$10000)*1,ISNUMBER(SEARCH("T_C*hy*dsl*s2",[1]OUT_TransportEnergyCons!$A$4:$A$10000))*1,[1]OUT_TransportEnergyCons!L$4:L$10000)</f>
        <v>0</v>
      </c>
      <c r="O1937" s="1" cm="1">
        <f t="array" ref="O1937">SUMPRODUCT(("Var_Cap"=[1]OUT_TransportEnergyCons!$B$4:$B$10000)*1,("-"=[1]OUT_TransportEnergyCons!$C$4:$C$10000)*1,ISNUMBER(SEARCH("T_C*hy*dsl*s2",[1]OUT_TransportEnergyCons!$A$4:$A$10000))*1,[1]OUT_TransportEnergyCons!M$4:M$10000)</f>
        <v>0</v>
      </c>
      <c r="P1937" s="1" cm="1">
        <f t="array" ref="P1937">SUMPRODUCT(("Var_Cap"=[1]OUT_TransportEnergyCons!$B$4:$B$10000)*1,("-"=[1]OUT_TransportEnergyCons!$C$4:$C$10000)*1,ISNUMBER(SEARCH("T_C*hy*dsl*s2",[1]OUT_TransportEnergyCons!$A$4:$A$10000))*1,[1]OUT_TransportEnergyCons!N$4:N$10000)</f>
        <v>0</v>
      </c>
      <c r="Q1937" s="1" cm="1">
        <f t="array" ref="Q1937">SUMPRODUCT(("Var_Cap"=[1]OUT_TransportEnergyCons!$B$4:$B$10000)*1,("-"=[1]OUT_TransportEnergyCons!$C$4:$C$10000)*1,ISNUMBER(SEARCH("T_C*hy*dsl*s2",[1]OUT_TransportEnergyCons!$A$4:$A$10000))*1,[1]OUT_TransportEnergyCons!O$4:O$10000)</f>
        <v>0</v>
      </c>
      <c r="S1937" s="3"/>
    </row>
    <row r="1938" spans="2:19" x14ac:dyDescent="0.5">
      <c r="B1938" s="5" t="str">
        <f t="shared" si="2152"/>
        <v>SPS1</v>
      </c>
      <c r="C1938" s="5" t="str">
        <f t="shared" si="2153"/>
        <v>CH</v>
      </c>
      <c r="D1938" t="s">
        <v>1955</v>
      </c>
      <c r="E1938" t="str">
        <f t="shared" si="2154"/>
        <v>Million</v>
      </c>
      <c r="F1938" s="1" cm="1">
        <f t="array" ref="F1938">SUMPRODUCT(("Var_Cap"=[1]OUT_TransportEnergyCons!$B$4:$B$10000)*1,("-"=[1]OUT_TransportEnergyCons!$C$4:$C$10000)*1,ISNUMBER(SEARCH("T_C*hy*dsl*s3",[1]OUT_TransportEnergyCons!$A$4:$A$10000))*1,[1]OUT_TransportEnergyCons!D$4:D$10000)</f>
        <v>1.8563571768780997E-3</v>
      </c>
      <c r="G1938" s="1" cm="1">
        <f t="array" ref="G1938">SUMPRODUCT(("Var_Cap"=[1]OUT_TransportEnergyCons!$B$4:$B$10000)*1,("-"=[1]OUT_TransportEnergyCons!$C$4:$C$10000)*1,ISNUMBER(SEARCH("T_C*hy*dsl*s3",[1]OUT_TransportEnergyCons!$A$4:$A$10000))*1,[1]OUT_TransportEnergyCons!E$4:E$10000)</f>
        <v>3.8200720922366132E-3</v>
      </c>
      <c r="H1938" s="1" cm="1">
        <f t="array" ref="H1938">SUMPRODUCT(("Var_Cap"=[1]OUT_TransportEnergyCons!$B$4:$B$10000)*1,("-"=[1]OUT_TransportEnergyCons!$C$4:$C$10000)*1,ISNUMBER(SEARCH("T_C*hy*dsl*s3",[1]OUT_TransportEnergyCons!$A$4:$A$10000))*1,[1]OUT_TransportEnergyCons!F$4:F$10000)</f>
        <v>3.7546450143874526E-3</v>
      </c>
      <c r="I1938" s="1" cm="1">
        <f t="array" ref="I1938">SUMPRODUCT(("Var_Cap"=[1]OUT_TransportEnergyCons!$B$4:$B$10000)*1,("-"=[1]OUT_TransportEnergyCons!$C$4:$C$10000)*1,ISNUMBER(SEARCH("T_C*hy*dsl*s3",[1]OUT_TransportEnergyCons!$A$4:$A$10000))*1,[1]OUT_TransportEnergyCons!G$4:G$10000)</f>
        <v>3.0550386389696883E-3</v>
      </c>
      <c r="J1938" s="1" cm="1">
        <f t="array" ref="J1938">SUMPRODUCT(("Var_Cap"=[1]OUT_TransportEnergyCons!$B$4:$B$10000)*1,("-"=[1]OUT_TransportEnergyCons!$C$4:$C$10000)*1,ISNUMBER(SEARCH("T_C*hy*dsl*s3",[1]OUT_TransportEnergyCons!$A$4:$A$10000))*1,[1]OUT_TransportEnergyCons!H$4:H$10000)</f>
        <v>7.727408947113733E-4</v>
      </c>
      <c r="K1938" s="1" cm="1">
        <f t="array" ref="K1938">SUMPRODUCT(("Var_Cap"=[1]OUT_TransportEnergyCons!$B$4:$B$10000)*1,("-"=[1]OUT_TransportEnergyCons!$C$4:$C$10000)*1,ISNUMBER(SEARCH("T_C*hy*dsl*s3",[1]OUT_TransportEnergyCons!$A$4:$A$10000))*1,[1]OUT_TransportEnergyCons!I$4:I$10000)</f>
        <v>4.2230118869844015E-5</v>
      </c>
      <c r="L1938" s="1" cm="1">
        <f t="array" ref="L1938">SUMPRODUCT(("Var_Cap"=[1]OUT_TransportEnergyCons!$B$4:$B$10000)*1,("-"=[1]OUT_TransportEnergyCons!$C$4:$C$10000)*1,ISNUMBER(SEARCH("T_C*hy*dsl*s3",[1]OUT_TransportEnergyCons!$A$4:$A$10000))*1,[1]OUT_TransportEnergyCons!J$4:J$10000)</f>
        <v>0</v>
      </c>
      <c r="M1938" s="1" cm="1">
        <f t="array" ref="M1938">SUMPRODUCT(("Var_Cap"=[1]OUT_TransportEnergyCons!$B$4:$B$10000)*1,("-"=[1]OUT_TransportEnergyCons!$C$4:$C$10000)*1,ISNUMBER(SEARCH("T_C*hy*dsl*s3",[1]OUT_TransportEnergyCons!$A$4:$A$10000))*1,[1]OUT_TransportEnergyCons!K$4:K$10000)</f>
        <v>0</v>
      </c>
      <c r="N1938" s="1" cm="1">
        <f t="array" ref="N1938">SUMPRODUCT(("Var_Cap"=[1]OUT_TransportEnergyCons!$B$4:$B$10000)*1,("-"=[1]OUT_TransportEnergyCons!$C$4:$C$10000)*1,ISNUMBER(SEARCH("T_C*hy*dsl*s3",[1]OUT_TransportEnergyCons!$A$4:$A$10000))*1,[1]OUT_TransportEnergyCons!L$4:L$10000)</f>
        <v>0</v>
      </c>
      <c r="O1938" s="1" cm="1">
        <f t="array" ref="O1938">SUMPRODUCT(("Var_Cap"=[1]OUT_TransportEnergyCons!$B$4:$B$10000)*1,("-"=[1]OUT_TransportEnergyCons!$C$4:$C$10000)*1,ISNUMBER(SEARCH("T_C*hy*dsl*s3",[1]OUT_TransportEnergyCons!$A$4:$A$10000))*1,[1]OUT_TransportEnergyCons!M$4:M$10000)</f>
        <v>0</v>
      </c>
      <c r="P1938" s="1" cm="1">
        <f t="array" ref="P1938">SUMPRODUCT(("Var_Cap"=[1]OUT_TransportEnergyCons!$B$4:$B$10000)*1,("-"=[1]OUT_TransportEnergyCons!$C$4:$C$10000)*1,ISNUMBER(SEARCH("T_C*hy*dsl*s3",[1]OUT_TransportEnergyCons!$A$4:$A$10000))*1,[1]OUT_TransportEnergyCons!N$4:N$10000)</f>
        <v>0</v>
      </c>
      <c r="Q1938" s="1" cm="1">
        <f t="array" ref="Q1938">SUMPRODUCT(("Var_Cap"=[1]OUT_TransportEnergyCons!$B$4:$B$10000)*1,("-"=[1]OUT_TransportEnergyCons!$C$4:$C$10000)*1,ISNUMBER(SEARCH("T_C*hy*dsl*s3",[1]OUT_TransportEnergyCons!$A$4:$A$10000))*1,[1]OUT_TransportEnergyCons!O$4:O$10000)</f>
        <v>0</v>
      </c>
      <c r="S1938" s="3"/>
    </row>
    <row r="1939" spans="2:19" x14ac:dyDescent="0.5">
      <c r="B1939" s="5" t="str">
        <f t="shared" si="2152"/>
        <v>SPS1</v>
      </c>
      <c r="C1939" s="5" t="str">
        <f t="shared" si="2153"/>
        <v>CH</v>
      </c>
      <c r="D1939" t="s">
        <v>1956</v>
      </c>
      <c r="E1939" t="str">
        <f t="shared" si="2154"/>
        <v>Million</v>
      </c>
      <c r="F1939" s="1" cm="1">
        <f t="array" ref="F1939">SUMPRODUCT(("Var_Cap"=[1]OUT_TransportEnergyCons!$B$4:$B$10000)*1,("-"=[1]OUT_TransportEnergyCons!$C$4:$C$10000)*1,ISNUMBER(SEARCH("T_C*hy*dsl*s4",[1]OUT_TransportEnergyCons!$A$4:$A$10000))*1,[1]OUT_TransportEnergyCons!D$4:D$10000)</f>
        <v>3.7728990981485107E-3</v>
      </c>
      <c r="G1939" s="1" cm="1">
        <f t="array" ref="G1939">SUMPRODUCT(("Var_Cap"=[1]OUT_TransportEnergyCons!$B$4:$B$10000)*1,("-"=[1]OUT_TransportEnergyCons!$C$4:$C$10000)*1,ISNUMBER(SEARCH("T_C*hy*dsl*s4",[1]OUT_TransportEnergyCons!$A$4:$A$10000))*1,[1]OUT_TransportEnergyCons!E$4:E$10000)</f>
        <v>8.9630153393475895E-3</v>
      </c>
      <c r="H1939" s="1" cm="1">
        <f t="array" ref="H1939">SUMPRODUCT(("Var_Cap"=[1]OUT_TransportEnergyCons!$B$4:$B$10000)*1,("-"=[1]OUT_TransportEnergyCons!$C$4:$C$10000)*1,ISNUMBER(SEARCH("T_C*hy*dsl*s4",[1]OUT_TransportEnergyCons!$A$4:$A$10000))*1,[1]OUT_TransportEnergyCons!F$4:F$10000)</f>
        <v>8.7044826583139393E-3</v>
      </c>
      <c r="I1939" s="1" cm="1">
        <f t="array" ref="I1939">SUMPRODUCT(("Var_Cap"=[1]OUT_TransportEnergyCons!$B$4:$B$10000)*1,("-"=[1]OUT_TransportEnergyCons!$C$4:$C$10000)*1,ISNUMBER(SEARCH("T_C*hy*dsl*s4",[1]OUT_TransportEnergyCons!$A$4:$A$10000))*1,[1]OUT_TransportEnergyCons!G$4:G$10000)</f>
        <v>7.3646897488635092E-3</v>
      </c>
      <c r="J1939" s="1" cm="1">
        <f t="array" ref="J1939">SUMPRODUCT(("Var_Cap"=[1]OUT_TransportEnergyCons!$B$4:$B$10000)*1,("-"=[1]OUT_TransportEnergyCons!$C$4:$C$10000)*1,ISNUMBER(SEARCH("T_C*hy*dsl*s4",[1]OUT_TransportEnergyCons!$A$4:$A$10000))*1,[1]OUT_TransportEnergyCons!H$4:H$10000)</f>
        <v>1.7367829646905792E-3</v>
      </c>
      <c r="K1939" s="1" cm="1">
        <f t="array" ref="K1939">SUMPRODUCT(("Var_Cap"=[1]OUT_TransportEnergyCons!$B$4:$B$10000)*1,("-"=[1]OUT_TransportEnergyCons!$C$4:$C$10000)*1,ISNUMBER(SEARCH("T_C*hy*dsl*s4",[1]OUT_TransportEnergyCons!$A$4:$A$10000))*1,[1]OUT_TransportEnergyCons!I$4:I$10000)</f>
        <v>4.9393872409219945E-5</v>
      </c>
      <c r="L1939" s="1" cm="1">
        <f t="array" ref="L1939">SUMPRODUCT(("Var_Cap"=[1]OUT_TransportEnergyCons!$B$4:$B$10000)*1,("-"=[1]OUT_TransportEnergyCons!$C$4:$C$10000)*1,ISNUMBER(SEARCH("T_C*hy*dsl*s4",[1]OUT_TransportEnergyCons!$A$4:$A$10000))*1,[1]OUT_TransportEnergyCons!J$4:J$10000)</f>
        <v>0</v>
      </c>
      <c r="M1939" s="1" cm="1">
        <f t="array" ref="M1939">SUMPRODUCT(("Var_Cap"=[1]OUT_TransportEnergyCons!$B$4:$B$10000)*1,("-"=[1]OUT_TransportEnergyCons!$C$4:$C$10000)*1,ISNUMBER(SEARCH("T_C*hy*dsl*s4",[1]OUT_TransportEnergyCons!$A$4:$A$10000))*1,[1]OUT_TransportEnergyCons!K$4:K$10000)</f>
        <v>0</v>
      </c>
      <c r="N1939" s="1" cm="1">
        <f t="array" ref="N1939">SUMPRODUCT(("Var_Cap"=[1]OUT_TransportEnergyCons!$B$4:$B$10000)*1,("-"=[1]OUT_TransportEnergyCons!$C$4:$C$10000)*1,ISNUMBER(SEARCH("T_C*hy*dsl*s4",[1]OUT_TransportEnergyCons!$A$4:$A$10000))*1,[1]OUT_TransportEnergyCons!L$4:L$10000)</f>
        <v>0</v>
      </c>
      <c r="O1939" s="1" cm="1">
        <f t="array" ref="O1939">SUMPRODUCT(("Var_Cap"=[1]OUT_TransportEnergyCons!$B$4:$B$10000)*1,("-"=[1]OUT_TransportEnergyCons!$C$4:$C$10000)*1,ISNUMBER(SEARCH("T_C*hy*dsl*s4",[1]OUT_TransportEnergyCons!$A$4:$A$10000))*1,[1]OUT_TransportEnergyCons!M$4:M$10000)</f>
        <v>0</v>
      </c>
      <c r="P1939" s="1" cm="1">
        <f t="array" ref="P1939">SUMPRODUCT(("Var_Cap"=[1]OUT_TransportEnergyCons!$B$4:$B$10000)*1,("-"=[1]OUT_TransportEnergyCons!$C$4:$C$10000)*1,ISNUMBER(SEARCH("T_C*hy*dsl*s4",[1]OUT_TransportEnergyCons!$A$4:$A$10000))*1,[1]OUT_TransportEnergyCons!N$4:N$10000)</f>
        <v>0</v>
      </c>
      <c r="Q1939" s="1" cm="1">
        <f t="array" ref="Q1939">SUMPRODUCT(("Var_Cap"=[1]OUT_TransportEnergyCons!$B$4:$B$10000)*1,("-"=[1]OUT_TransportEnergyCons!$C$4:$C$10000)*1,ISNUMBER(SEARCH("T_C*hy*dsl*s4",[1]OUT_TransportEnergyCons!$A$4:$A$10000))*1,[1]OUT_TransportEnergyCons!O$4:O$10000)</f>
        <v>0</v>
      </c>
      <c r="S1939" s="3"/>
    </row>
    <row r="1940" spans="2:19" x14ac:dyDescent="0.5">
      <c r="B1940" s="5" t="str">
        <f t="shared" si="2152"/>
        <v>SPS1</v>
      </c>
      <c r="C1940" s="5" t="str">
        <f t="shared" si="2153"/>
        <v>CH</v>
      </c>
      <c r="D1940" t="s">
        <v>1957</v>
      </c>
      <c r="E1940" t="str">
        <f t="shared" si="2154"/>
        <v>Million</v>
      </c>
      <c r="F1940" s="1" cm="1">
        <f t="array" ref="F1940">SUMPRODUCT(("Var_Cap"=[1]OUT_TransportEnergyCons!$B$4:$B$10000)*1,("-"=[1]OUT_TransportEnergyCons!$C$4:$C$10000)*1,ISNUMBER(SEARCH("T_C*ICE*dsl*ext",[1]OUT_TransportEnergyCons!$A$4:$A$10000))*1,[1]OUT_TransportEnergyCons!D$4:D$10000)</f>
        <v>1.0586057243405285</v>
      </c>
      <c r="G1940" s="1" cm="1">
        <f t="array" ref="G1940">SUMPRODUCT(("Var_Cap"=[1]OUT_TransportEnergyCons!$B$4:$B$10000)*1,("-"=[1]OUT_TransportEnergyCons!$C$4:$C$10000)*1,ISNUMBER(SEARCH("T_C*ICE*dsl*ext",[1]OUT_TransportEnergyCons!$A$4:$A$10000))*1,[1]OUT_TransportEnergyCons!E$4:E$10000)</f>
        <v>0.91828348303895435</v>
      </c>
      <c r="H1940" s="1" cm="1">
        <f t="array" ref="H1940">SUMPRODUCT(("Var_Cap"=[1]OUT_TransportEnergyCons!$B$4:$B$10000)*1,("-"=[1]OUT_TransportEnergyCons!$C$4:$C$10000)*1,ISNUMBER(SEARCH("T_C*ICE*dsl*ext",[1]OUT_TransportEnergyCons!$A$4:$A$10000))*1,[1]OUT_TransportEnergyCons!F$4:F$10000)</f>
        <v>0.70637168024566299</v>
      </c>
      <c r="I1940" s="1" cm="1">
        <f t="array" ref="I1940">SUMPRODUCT(("Var_Cap"=[1]OUT_TransportEnergyCons!$B$4:$B$10000)*1,("-"=[1]OUT_TransportEnergyCons!$C$4:$C$10000)*1,ISNUMBER(SEARCH("T_C*ICE*dsl*ext",[1]OUT_TransportEnergyCons!$A$4:$A$10000))*1,[1]OUT_TransportEnergyCons!G$4:G$10000)</f>
        <v>0.35318593159496314</v>
      </c>
      <c r="J1940" s="1" cm="1">
        <f t="array" ref="J1940">SUMPRODUCT(("Var_Cap"=[1]OUT_TransportEnergyCons!$B$4:$B$10000)*1,("-"=[1]OUT_TransportEnergyCons!$C$4:$C$10000)*1,ISNUMBER(SEARCH("T_C*ICE*dsl*ext",[1]OUT_TransportEnergyCons!$A$4:$A$10000))*1,[1]OUT_TransportEnergyCons!H$4:H$10000)</f>
        <v>0</v>
      </c>
      <c r="K1940" s="1" cm="1">
        <f t="array" ref="K1940">SUMPRODUCT(("Var_Cap"=[1]OUT_TransportEnergyCons!$B$4:$B$10000)*1,("-"=[1]OUT_TransportEnergyCons!$C$4:$C$10000)*1,ISNUMBER(SEARCH("T_C*ICE*dsl*ext",[1]OUT_TransportEnergyCons!$A$4:$A$10000))*1,[1]OUT_TransportEnergyCons!I$4:I$10000)</f>
        <v>0</v>
      </c>
      <c r="L1940" s="1" cm="1">
        <f t="array" ref="L1940">SUMPRODUCT(("Var_Cap"=[1]OUT_TransportEnergyCons!$B$4:$B$10000)*1,("-"=[1]OUT_TransportEnergyCons!$C$4:$C$10000)*1,ISNUMBER(SEARCH("T_C*ICE*dsl*ext",[1]OUT_TransportEnergyCons!$A$4:$A$10000))*1,[1]OUT_TransportEnergyCons!J$4:J$10000)</f>
        <v>0</v>
      </c>
      <c r="M1940" s="1" cm="1">
        <f t="array" ref="M1940">SUMPRODUCT(("Var_Cap"=[1]OUT_TransportEnergyCons!$B$4:$B$10000)*1,("-"=[1]OUT_TransportEnergyCons!$C$4:$C$10000)*1,ISNUMBER(SEARCH("T_C*ICE*dsl*ext",[1]OUT_TransportEnergyCons!$A$4:$A$10000))*1,[1]OUT_TransportEnergyCons!K$4:K$10000)</f>
        <v>0</v>
      </c>
      <c r="N1940" s="1" cm="1">
        <f t="array" ref="N1940">SUMPRODUCT(("Var_Cap"=[1]OUT_TransportEnergyCons!$B$4:$B$10000)*1,("-"=[1]OUT_TransportEnergyCons!$C$4:$C$10000)*1,ISNUMBER(SEARCH("T_C*ICE*dsl*ext",[1]OUT_TransportEnergyCons!$A$4:$A$10000))*1,[1]OUT_TransportEnergyCons!L$4:L$10000)</f>
        <v>0</v>
      </c>
      <c r="O1940" s="1" cm="1">
        <f t="array" ref="O1940">SUMPRODUCT(("Var_Cap"=[1]OUT_TransportEnergyCons!$B$4:$B$10000)*1,("-"=[1]OUT_TransportEnergyCons!$C$4:$C$10000)*1,ISNUMBER(SEARCH("T_C*ICE*dsl*ext",[1]OUT_TransportEnergyCons!$A$4:$A$10000))*1,[1]OUT_TransportEnergyCons!M$4:M$10000)</f>
        <v>0</v>
      </c>
      <c r="P1940" s="1" cm="1">
        <f t="array" ref="P1940">SUMPRODUCT(("Var_Cap"=[1]OUT_TransportEnergyCons!$B$4:$B$10000)*1,("-"=[1]OUT_TransportEnergyCons!$C$4:$C$10000)*1,ISNUMBER(SEARCH("T_C*ICE*dsl*ext",[1]OUT_TransportEnergyCons!$A$4:$A$10000))*1,[1]OUT_TransportEnergyCons!N$4:N$10000)</f>
        <v>0</v>
      </c>
      <c r="Q1940" s="1" cm="1">
        <f t="array" ref="Q1940">SUMPRODUCT(("Var_Cap"=[1]OUT_TransportEnergyCons!$B$4:$B$10000)*1,("-"=[1]OUT_TransportEnergyCons!$C$4:$C$10000)*1,ISNUMBER(SEARCH("T_C*ICE*dsl*ext",[1]OUT_TransportEnergyCons!$A$4:$A$10000))*1,[1]OUT_TransportEnergyCons!O$4:O$10000)</f>
        <v>0</v>
      </c>
      <c r="S1940" s="3"/>
    </row>
    <row r="1941" spans="2:19" x14ac:dyDescent="0.5">
      <c r="B1941" s="5" t="str">
        <f t="shared" si="2152"/>
        <v>SPS1</v>
      </c>
      <c r="C1941" s="5" t="str">
        <f t="shared" si="2153"/>
        <v>CH</v>
      </c>
      <c r="D1941" t="s">
        <v>1958</v>
      </c>
      <c r="E1941" t="str">
        <f t="shared" si="2154"/>
        <v>Million</v>
      </c>
      <c r="F1941" s="1" cm="1">
        <f t="array" ref="F1941">SUMPRODUCT(("Var_Cap"=[1]OUT_TransportEnergyCons!$B$4:$B$10000)*1,("-"=[1]OUT_TransportEnergyCons!$C$4:$C$10000)*1,ISNUMBER(SEARCH("T_C*ICE*dsl*s1",[1]OUT_TransportEnergyCons!$A$4:$A$10000))*1,[1]OUT_TransportEnergyCons!D$4:D$10000)</f>
        <v>4.4464496037692567E-4</v>
      </c>
      <c r="G1941" s="1" cm="1">
        <f t="array" ref="G1941">SUMPRODUCT(("Var_Cap"=[1]OUT_TransportEnergyCons!$B$4:$B$10000)*1,("-"=[1]OUT_TransportEnergyCons!$C$4:$C$10000)*1,ISNUMBER(SEARCH("T_C*ICE*dsl*s1",[1]OUT_TransportEnergyCons!$A$4:$A$10000))*1,[1]OUT_TransportEnergyCons!E$4:E$10000)</f>
        <v>5.2278324467305839E-3</v>
      </c>
      <c r="H1941" s="1" cm="1">
        <f t="array" ref="H1941">SUMPRODUCT(("Var_Cap"=[1]OUT_TransportEnergyCons!$B$4:$B$10000)*1,("-"=[1]OUT_TransportEnergyCons!$C$4:$C$10000)*1,ISNUMBER(SEARCH("T_C*ICE*dsl*s1",[1]OUT_TransportEnergyCons!$A$4:$A$10000))*1,[1]OUT_TransportEnergyCons!F$4:F$10000)</f>
        <v>5.0499943894640256E-3</v>
      </c>
      <c r="I1941" s="1" cm="1">
        <f t="array" ref="I1941">SUMPRODUCT(("Var_Cap"=[1]OUT_TransportEnergyCons!$B$4:$B$10000)*1,("-"=[1]OUT_TransportEnergyCons!$C$4:$C$10000)*1,ISNUMBER(SEARCH("T_C*ICE*dsl*s1",[1]OUT_TransportEnergyCons!$A$4:$A$10000))*1,[1]OUT_TransportEnergyCons!G$4:G$10000)</f>
        <v>4.1308605895416795E-3</v>
      </c>
      <c r="J1941" s="1" cm="1">
        <f t="array" ref="J1941">SUMPRODUCT(("Var_Cap"=[1]OUT_TransportEnergyCons!$B$4:$B$10000)*1,("-"=[1]OUT_TransportEnergyCons!$C$4:$C$10000)*1,ISNUMBER(SEARCH("T_C*ICE*dsl*s1",[1]OUT_TransportEnergyCons!$A$4:$A$10000))*1,[1]OUT_TransportEnergyCons!H$4:H$10000)</f>
        <v>1.4021653067071763E-3</v>
      </c>
      <c r="K1941" s="1" cm="1">
        <f t="array" ref="K1941">SUMPRODUCT(("Var_Cap"=[1]OUT_TransportEnergyCons!$B$4:$B$10000)*1,("-"=[1]OUT_TransportEnergyCons!$C$4:$C$10000)*1,ISNUMBER(SEARCH("T_C*ICE*dsl*s1",[1]OUT_TransportEnergyCons!$A$4:$A$10000))*1,[1]OUT_TransportEnergyCons!I$4:I$10000)</f>
        <v>6.4821157399342469E-5</v>
      </c>
      <c r="L1941" s="1" cm="1">
        <f t="array" ref="L1941">SUMPRODUCT(("Var_Cap"=[1]OUT_TransportEnergyCons!$B$4:$B$10000)*1,("-"=[1]OUT_TransportEnergyCons!$C$4:$C$10000)*1,ISNUMBER(SEARCH("T_C*ICE*dsl*s1",[1]OUT_TransportEnergyCons!$A$4:$A$10000))*1,[1]OUT_TransportEnergyCons!J$4:J$10000)</f>
        <v>0</v>
      </c>
      <c r="M1941" s="1" cm="1">
        <f t="array" ref="M1941">SUMPRODUCT(("Var_Cap"=[1]OUT_TransportEnergyCons!$B$4:$B$10000)*1,("-"=[1]OUT_TransportEnergyCons!$C$4:$C$10000)*1,ISNUMBER(SEARCH("T_C*ICE*dsl*s1",[1]OUT_TransportEnergyCons!$A$4:$A$10000))*1,[1]OUT_TransportEnergyCons!K$4:K$10000)</f>
        <v>0</v>
      </c>
      <c r="N1941" s="1" cm="1">
        <f t="array" ref="N1941">SUMPRODUCT(("Var_Cap"=[1]OUT_TransportEnergyCons!$B$4:$B$10000)*1,("-"=[1]OUT_TransportEnergyCons!$C$4:$C$10000)*1,ISNUMBER(SEARCH("T_C*ICE*dsl*s1",[1]OUT_TransportEnergyCons!$A$4:$A$10000))*1,[1]OUT_TransportEnergyCons!L$4:L$10000)</f>
        <v>0</v>
      </c>
      <c r="O1941" s="1" cm="1">
        <f t="array" ref="O1941">SUMPRODUCT(("Var_Cap"=[1]OUT_TransportEnergyCons!$B$4:$B$10000)*1,("-"=[1]OUT_TransportEnergyCons!$C$4:$C$10000)*1,ISNUMBER(SEARCH("T_C*ICE*dsl*s1",[1]OUT_TransportEnergyCons!$A$4:$A$10000))*1,[1]OUT_TransportEnergyCons!M$4:M$10000)</f>
        <v>0</v>
      </c>
      <c r="P1941" s="1" cm="1">
        <f t="array" ref="P1941">SUMPRODUCT(("Var_Cap"=[1]OUT_TransportEnergyCons!$B$4:$B$10000)*1,("-"=[1]OUT_TransportEnergyCons!$C$4:$C$10000)*1,ISNUMBER(SEARCH("T_C*ICE*dsl*s1",[1]OUT_TransportEnergyCons!$A$4:$A$10000))*1,[1]OUT_TransportEnergyCons!N$4:N$10000)</f>
        <v>0</v>
      </c>
      <c r="Q1941" s="1" cm="1">
        <f t="array" ref="Q1941">SUMPRODUCT(("Var_Cap"=[1]OUT_TransportEnergyCons!$B$4:$B$10000)*1,("-"=[1]OUT_TransportEnergyCons!$C$4:$C$10000)*1,ISNUMBER(SEARCH("T_C*ICE*dsl*s1",[1]OUT_TransportEnergyCons!$A$4:$A$10000))*1,[1]OUT_TransportEnergyCons!O$4:O$10000)</f>
        <v>0</v>
      </c>
      <c r="S1941" s="3"/>
    </row>
    <row r="1942" spans="2:19" x14ac:dyDescent="0.5">
      <c r="B1942" s="5" t="str">
        <f t="shared" si="2152"/>
        <v>SPS1</v>
      </c>
      <c r="C1942" s="5" t="str">
        <f t="shared" si="2153"/>
        <v>CH</v>
      </c>
      <c r="D1942" t="s">
        <v>1959</v>
      </c>
      <c r="E1942" t="str">
        <f t="shared" si="2154"/>
        <v>Million</v>
      </c>
      <c r="F1942" s="1" cm="1">
        <f t="array" ref="F1942">SUMPRODUCT(("Var_Cap"=[1]OUT_TransportEnergyCons!$B$4:$B$10000)*1,("-"=[1]OUT_TransportEnergyCons!$C$4:$C$10000)*1,ISNUMBER(SEARCH("T_C*ICE*dsl*s2",[1]OUT_TransportEnergyCons!$A$4:$A$10000))*1,[1]OUT_TransportEnergyCons!D$4:D$10000)</f>
        <v>6.456959060462808E-2</v>
      </c>
      <c r="G1942" s="1" cm="1">
        <f t="array" ref="G1942">SUMPRODUCT(("Var_Cap"=[1]OUT_TransportEnergyCons!$B$4:$B$10000)*1,("-"=[1]OUT_TransportEnergyCons!$C$4:$C$10000)*1,ISNUMBER(SEARCH("T_C*ICE*dsl*s2",[1]OUT_TransportEnergyCons!$A$4:$A$10000))*1,[1]OUT_TransportEnergyCons!E$4:E$10000)</f>
        <v>6.8566637050352527E-2</v>
      </c>
      <c r="H1942" s="1" cm="1">
        <f t="array" ref="H1942">SUMPRODUCT(("Var_Cap"=[1]OUT_TransportEnergyCons!$B$4:$B$10000)*1,("-"=[1]OUT_TransportEnergyCons!$C$4:$C$10000)*1,ISNUMBER(SEARCH("T_C*ICE*dsl*s2",[1]OUT_TransportEnergyCons!$A$4:$A$10000))*1,[1]OUT_TransportEnergyCons!F$4:F$10000)</f>
        <v>6.8005946433499942E-2</v>
      </c>
      <c r="I1942" s="1" cm="1">
        <f t="array" ref="I1942">SUMPRODUCT(("Var_Cap"=[1]OUT_TransportEnergyCons!$B$4:$B$10000)*1,("-"=[1]OUT_TransportEnergyCons!$C$4:$C$10000)*1,ISNUMBER(SEARCH("T_C*ICE*dsl*s2",[1]OUT_TransportEnergyCons!$A$4:$A$10000))*1,[1]OUT_TransportEnergyCons!G$4:G$10000)</f>
        <v>5.1619036919880762E-2</v>
      </c>
      <c r="J1942" s="1" cm="1">
        <f t="array" ref="J1942">SUMPRODUCT(("Var_Cap"=[1]OUT_TransportEnergyCons!$B$4:$B$10000)*1,("-"=[1]OUT_TransportEnergyCons!$C$4:$C$10000)*1,ISNUMBER(SEARCH("T_C*ICE*dsl*s2",[1]OUT_TransportEnergyCons!$A$4:$A$10000))*1,[1]OUT_TransportEnergyCons!H$4:H$10000)</f>
        <v>1.866013588081548E-3</v>
      </c>
      <c r="K1942" s="1" cm="1">
        <f t="array" ref="K1942">SUMPRODUCT(("Var_Cap"=[1]OUT_TransportEnergyCons!$B$4:$B$10000)*1,("-"=[1]OUT_TransportEnergyCons!$C$4:$C$10000)*1,ISNUMBER(SEARCH("T_C*ICE*dsl*s2",[1]OUT_TransportEnergyCons!$A$4:$A$10000))*1,[1]OUT_TransportEnergyCons!I$4:I$10000)</f>
        <v>3.2772999449218838E-5</v>
      </c>
      <c r="L1942" s="1" cm="1">
        <f t="array" ref="L1942">SUMPRODUCT(("Var_Cap"=[1]OUT_TransportEnergyCons!$B$4:$B$10000)*1,("-"=[1]OUT_TransportEnergyCons!$C$4:$C$10000)*1,ISNUMBER(SEARCH("T_C*ICE*dsl*s2",[1]OUT_TransportEnergyCons!$A$4:$A$10000))*1,[1]OUT_TransportEnergyCons!J$4:J$10000)</f>
        <v>0</v>
      </c>
      <c r="M1942" s="1" cm="1">
        <f t="array" ref="M1942">SUMPRODUCT(("Var_Cap"=[1]OUT_TransportEnergyCons!$B$4:$B$10000)*1,("-"=[1]OUT_TransportEnergyCons!$C$4:$C$10000)*1,ISNUMBER(SEARCH("T_C*ICE*dsl*s2",[1]OUT_TransportEnergyCons!$A$4:$A$10000))*1,[1]OUT_TransportEnergyCons!K$4:K$10000)</f>
        <v>0</v>
      </c>
      <c r="N1942" s="1" cm="1">
        <f t="array" ref="N1942">SUMPRODUCT(("Var_Cap"=[1]OUT_TransportEnergyCons!$B$4:$B$10000)*1,("-"=[1]OUT_TransportEnergyCons!$C$4:$C$10000)*1,ISNUMBER(SEARCH("T_C*ICE*dsl*s2",[1]OUT_TransportEnergyCons!$A$4:$A$10000))*1,[1]OUT_TransportEnergyCons!L$4:L$10000)</f>
        <v>0</v>
      </c>
      <c r="O1942" s="1" cm="1">
        <f t="array" ref="O1942">SUMPRODUCT(("Var_Cap"=[1]OUT_TransportEnergyCons!$B$4:$B$10000)*1,("-"=[1]OUT_TransportEnergyCons!$C$4:$C$10000)*1,ISNUMBER(SEARCH("T_C*ICE*dsl*s2",[1]OUT_TransportEnergyCons!$A$4:$A$10000))*1,[1]OUT_TransportEnergyCons!M$4:M$10000)</f>
        <v>0</v>
      </c>
      <c r="P1942" s="1" cm="1">
        <f t="array" ref="P1942">SUMPRODUCT(("Var_Cap"=[1]OUT_TransportEnergyCons!$B$4:$B$10000)*1,("-"=[1]OUT_TransportEnergyCons!$C$4:$C$10000)*1,ISNUMBER(SEARCH("T_C*ICE*dsl*s2",[1]OUT_TransportEnergyCons!$A$4:$A$10000))*1,[1]OUT_TransportEnergyCons!N$4:N$10000)</f>
        <v>0</v>
      </c>
      <c r="Q1942" s="1" cm="1">
        <f t="array" ref="Q1942">SUMPRODUCT(("Var_Cap"=[1]OUT_TransportEnergyCons!$B$4:$B$10000)*1,("-"=[1]OUT_TransportEnergyCons!$C$4:$C$10000)*1,ISNUMBER(SEARCH("T_C*ICE*dsl*s2",[1]OUT_TransportEnergyCons!$A$4:$A$10000))*1,[1]OUT_TransportEnergyCons!O$4:O$10000)</f>
        <v>0</v>
      </c>
      <c r="S1942" s="3"/>
    </row>
    <row r="1943" spans="2:19" x14ac:dyDescent="0.5">
      <c r="B1943" s="5" t="str">
        <f t="shared" si="2152"/>
        <v>SPS1</v>
      </c>
      <c r="C1943" s="5" t="str">
        <f t="shared" si="2153"/>
        <v>CH</v>
      </c>
      <c r="D1943" t="s">
        <v>1960</v>
      </c>
      <c r="E1943" t="str">
        <f t="shared" si="2154"/>
        <v>Million</v>
      </c>
      <c r="F1943" s="1" cm="1">
        <f t="array" ref="F1943">SUMPRODUCT(("Var_Cap"=[1]OUT_TransportEnergyCons!$B$4:$B$10000)*1,("-"=[1]OUT_TransportEnergyCons!$C$4:$C$10000)*1,ISNUMBER(SEARCH("T_C*ICE*dsl*s3",[1]OUT_TransportEnergyCons!$A$4:$A$10000))*1,[1]OUT_TransportEnergyCons!D$4:D$10000)</f>
        <v>0.18324144802544665</v>
      </c>
      <c r="G1943" s="1" cm="1">
        <f t="array" ref="G1943">SUMPRODUCT(("Var_Cap"=[1]OUT_TransportEnergyCons!$B$4:$B$10000)*1,("-"=[1]OUT_TransportEnergyCons!$C$4:$C$10000)*1,ISNUMBER(SEARCH("T_C*ICE*dsl*s3",[1]OUT_TransportEnergyCons!$A$4:$A$10000))*1,[1]OUT_TransportEnergyCons!E$4:E$10000)</f>
        <v>0.19503195454697655</v>
      </c>
      <c r="H1943" s="1" cm="1">
        <f t="array" ref="H1943">SUMPRODUCT(("Var_Cap"=[1]OUT_TransportEnergyCons!$B$4:$B$10000)*1,("-"=[1]OUT_TransportEnergyCons!$C$4:$C$10000)*1,ISNUMBER(SEARCH("T_C*ICE*dsl*s3",[1]OUT_TransportEnergyCons!$A$4:$A$10000))*1,[1]OUT_TransportEnergyCons!F$4:F$10000)</f>
        <v>0.19303765337143361</v>
      </c>
      <c r="I1943" s="1" cm="1">
        <f t="array" ref="I1943">SUMPRODUCT(("Var_Cap"=[1]OUT_TransportEnergyCons!$B$4:$B$10000)*1,("-"=[1]OUT_TransportEnergyCons!$C$4:$C$10000)*1,ISNUMBER(SEARCH("T_C*ICE*dsl*s3",[1]OUT_TransportEnergyCons!$A$4:$A$10000))*1,[1]OUT_TransportEnergyCons!G$4:G$10000)</f>
        <v>0.15001579115223809</v>
      </c>
      <c r="J1943" s="1" cm="1">
        <f t="array" ref="J1943">SUMPRODUCT(("Var_Cap"=[1]OUT_TransportEnergyCons!$B$4:$B$10000)*1,("-"=[1]OUT_TransportEnergyCons!$C$4:$C$10000)*1,ISNUMBER(SEARCH("T_C*ICE*dsl*s3",[1]OUT_TransportEnergyCons!$A$4:$A$10000))*1,[1]OUT_TransportEnergyCons!H$4:H$10000)</f>
        <v>5.6738798521895027E-3</v>
      </c>
      <c r="K1943" s="1" cm="1">
        <f t="array" ref="K1943">SUMPRODUCT(("Var_Cap"=[1]OUT_TransportEnergyCons!$B$4:$B$10000)*1,("-"=[1]OUT_TransportEnergyCons!$C$4:$C$10000)*1,ISNUMBER(SEARCH("T_C*ICE*dsl*s3",[1]OUT_TransportEnergyCons!$A$4:$A$10000))*1,[1]OUT_TransportEnergyCons!I$4:I$10000)</f>
        <v>1.9829315198217823E-5</v>
      </c>
      <c r="L1943" s="1" cm="1">
        <f t="array" ref="L1943">SUMPRODUCT(("Var_Cap"=[1]OUT_TransportEnergyCons!$B$4:$B$10000)*1,("-"=[1]OUT_TransportEnergyCons!$C$4:$C$10000)*1,ISNUMBER(SEARCH("T_C*ICE*dsl*s3",[1]OUT_TransportEnergyCons!$A$4:$A$10000))*1,[1]OUT_TransportEnergyCons!J$4:J$10000)</f>
        <v>0</v>
      </c>
      <c r="M1943" s="1" cm="1">
        <f t="array" ref="M1943">SUMPRODUCT(("Var_Cap"=[1]OUT_TransportEnergyCons!$B$4:$B$10000)*1,("-"=[1]OUT_TransportEnergyCons!$C$4:$C$10000)*1,ISNUMBER(SEARCH("T_C*ICE*dsl*s3",[1]OUT_TransportEnergyCons!$A$4:$A$10000))*1,[1]OUT_TransportEnergyCons!K$4:K$10000)</f>
        <v>0</v>
      </c>
      <c r="N1943" s="1" cm="1">
        <f t="array" ref="N1943">SUMPRODUCT(("Var_Cap"=[1]OUT_TransportEnergyCons!$B$4:$B$10000)*1,("-"=[1]OUT_TransportEnergyCons!$C$4:$C$10000)*1,ISNUMBER(SEARCH("T_C*ICE*dsl*s3",[1]OUT_TransportEnergyCons!$A$4:$A$10000))*1,[1]OUT_TransportEnergyCons!L$4:L$10000)</f>
        <v>0</v>
      </c>
      <c r="O1943" s="1" cm="1">
        <f t="array" ref="O1943">SUMPRODUCT(("Var_Cap"=[1]OUT_TransportEnergyCons!$B$4:$B$10000)*1,("-"=[1]OUT_TransportEnergyCons!$C$4:$C$10000)*1,ISNUMBER(SEARCH("T_C*ICE*dsl*s3",[1]OUT_TransportEnergyCons!$A$4:$A$10000))*1,[1]OUT_TransportEnergyCons!M$4:M$10000)</f>
        <v>0</v>
      </c>
      <c r="P1943" s="1" cm="1">
        <f t="array" ref="P1943">SUMPRODUCT(("Var_Cap"=[1]OUT_TransportEnergyCons!$B$4:$B$10000)*1,("-"=[1]OUT_TransportEnergyCons!$C$4:$C$10000)*1,ISNUMBER(SEARCH("T_C*ICE*dsl*s3",[1]OUT_TransportEnergyCons!$A$4:$A$10000))*1,[1]OUT_TransportEnergyCons!N$4:N$10000)</f>
        <v>0</v>
      </c>
      <c r="Q1943" s="1" cm="1">
        <f t="array" ref="Q1943">SUMPRODUCT(("Var_Cap"=[1]OUT_TransportEnergyCons!$B$4:$B$10000)*1,("-"=[1]OUT_TransportEnergyCons!$C$4:$C$10000)*1,ISNUMBER(SEARCH("T_C*ICE*dsl*s3",[1]OUT_TransportEnergyCons!$A$4:$A$10000))*1,[1]OUT_TransportEnergyCons!O$4:O$10000)</f>
        <v>0</v>
      </c>
      <c r="S1943" s="3"/>
    </row>
    <row r="1944" spans="2:19" x14ac:dyDescent="0.5">
      <c r="B1944" s="5" t="str">
        <f t="shared" si="2152"/>
        <v>SPS1</v>
      </c>
      <c r="C1944" s="5" t="str">
        <f t="shared" si="2153"/>
        <v>CH</v>
      </c>
      <c r="D1944" t="s">
        <v>1961</v>
      </c>
      <c r="E1944" t="str">
        <f t="shared" si="2154"/>
        <v>Million</v>
      </c>
      <c r="F1944" s="1" cm="1">
        <f t="array" ref="F1944">SUMPRODUCT(("Var_Cap"=[1]OUT_TransportEnergyCons!$B$4:$B$10000)*1,("-"=[1]OUT_TransportEnergyCons!$C$4:$C$10000)*1,ISNUMBER(SEARCH("T_C*ICE*dsl*s4",[1]OUT_TransportEnergyCons!$A$4:$A$10000))*1,[1]OUT_TransportEnergyCons!D$4:D$10000)</f>
        <v>7.1262323132449165E-2</v>
      </c>
      <c r="G1944" s="1" cm="1">
        <f t="array" ref="G1944">SUMPRODUCT(("Var_Cap"=[1]OUT_TransportEnergyCons!$B$4:$B$10000)*1,("-"=[1]OUT_TransportEnergyCons!$C$4:$C$10000)*1,ISNUMBER(SEARCH("T_C*ICE*dsl*s4",[1]OUT_TransportEnergyCons!$A$4:$A$10000))*1,[1]OUT_TransportEnergyCons!E$4:E$10000)</f>
        <v>7.9348372639449521E-2</v>
      </c>
      <c r="H1944" s="1" cm="1">
        <f t="array" ref="H1944">SUMPRODUCT(("Var_Cap"=[1]OUT_TransportEnergyCons!$B$4:$B$10000)*1,("-"=[1]OUT_TransportEnergyCons!$C$4:$C$10000)*1,ISNUMBER(SEARCH("T_C*ICE*dsl*s4",[1]OUT_TransportEnergyCons!$A$4:$A$10000))*1,[1]OUT_TransportEnergyCons!F$4:F$10000)</f>
        <v>7.8228870328637914E-2</v>
      </c>
      <c r="I1944" s="1" cm="1">
        <f t="array" ref="I1944">SUMPRODUCT(("Var_Cap"=[1]OUT_TransportEnergyCons!$B$4:$B$10000)*1,("-"=[1]OUT_TransportEnergyCons!$C$4:$C$10000)*1,ISNUMBER(SEARCH("T_C*ICE*dsl*s4",[1]OUT_TransportEnergyCons!$A$4:$A$10000))*1,[1]OUT_TransportEnergyCons!G$4:G$10000)</f>
        <v>6.1099942680701826E-2</v>
      </c>
      <c r="J1944" s="1" cm="1">
        <f t="array" ref="J1944">SUMPRODUCT(("Var_Cap"=[1]OUT_TransportEnergyCons!$B$4:$B$10000)*1,("-"=[1]OUT_TransportEnergyCons!$C$4:$C$10000)*1,ISNUMBER(SEARCH("T_C*ICE*dsl*s4",[1]OUT_TransportEnergyCons!$A$4:$A$10000))*1,[1]OUT_TransportEnergyCons!H$4:H$10000)</f>
        <v>3.4002448391893536E-3</v>
      </c>
      <c r="K1944" s="1" cm="1">
        <f t="array" ref="K1944">SUMPRODUCT(("Var_Cap"=[1]OUT_TransportEnergyCons!$B$4:$B$10000)*1,("-"=[1]OUT_TransportEnergyCons!$C$4:$C$10000)*1,ISNUMBER(SEARCH("T_C*ICE*dsl*s4",[1]OUT_TransportEnergyCons!$A$4:$A$10000))*1,[1]OUT_TransportEnergyCons!I$4:I$10000)</f>
        <v>1.4513261445904663E-5</v>
      </c>
      <c r="L1944" s="1" cm="1">
        <f t="array" ref="L1944">SUMPRODUCT(("Var_Cap"=[1]OUT_TransportEnergyCons!$B$4:$B$10000)*1,("-"=[1]OUT_TransportEnergyCons!$C$4:$C$10000)*1,ISNUMBER(SEARCH("T_C*ICE*dsl*s4",[1]OUT_TransportEnergyCons!$A$4:$A$10000))*1,[1]OUT_TransportEnergyCons!J$4:J$10000)</f>
        <v>0</v>
      </c>
      <c r="M1944" s="1" cm="1">
        <f t="array" ref="M1944">SUMPRODUCT(("Var_Cap"=[1]OUT_TransportEnergyCons!$B$4:$B$10000)*1,("-"=[1]OUT_TransportEnergyCons!$C$4:$C$10000)*1,ISNUMBER(SEARCH("T_C*ICE*dsl*s4",[1]OUT_TransportEnergyCons!$A$4:$A$10000))*1,[1]OUT_TransportEnergyCons!K$4:K$10000)</f>
        <v>0</v>
      </c>
      <c r="N1944" s="1" cm="1">
        <f t="array" ref="N1944">SUMPRODUCT(("Var_Cap"=[1]OUT_TransportEnergyCons!$B$4:$B$10000)*1,("-"=[1]OUT_TransportEnergyCons!$C$4:$C$10000)*1,ISNUMBER(SEARCH("T_C*ICE*dsl*s4",[1]OUT_TransportEnergyCons!$A$4:$A$10000))*1,[1]OUT_TransportEnergyCons!L$4:L$10000)</f>
        <v>0</v>
      </c>
      <c r="O1944" s="1" cm="1">
        <f t="array" ref="O1944">SUMPRODUCT(("Var_Cap"=[1]OUT_TransportEnergyCons!$B$4:$B$10000)*1,("-"=[1]OUT_TransportEnergyCons!$C$4:$C$10000)*1,ISNUMBER(SEARCH("T_C*ICE*dsl*s4",[1]OUT_TransportEnergyCons!$A$4:$A$10000))*1,[1]OUT_TransportEnergyCons!M$4:M$10000)</f>
        <v>0</v>
      </c>
      <c r="P1944" s="1" cm="1">
        <f t="array" ref="P1944">SUMPRODUCT(("Var_Cap"=[1]OUT_TransportEnergyCons!$B$4:$B$10000)*1,("-"=[1]OUT_TransportEnergyCons!$C$4:$C$10000)*1,ISNUMBER(SEARCH("T_C*ICE*dsl*s4",[1]OUT_TransportEnergyCons!$A$4:$A$10000))*1,[1]OUT_TransportEnergyCons!N$4:N$10000)</f>
        <v>0</v>
      </c>
      <c r="Q1944" s="1" cm="1">
        <f t="array" ref="Q1944">SUMPRODUCT(("Var_Cap"=[1]OUT_TransportEnergyCons!$B$4:$B$10000)*1,("-"=[1]OUT_TransportEnergyCons!$C$4:$C$10000)*1,ISNUMBER(SEARCH("T_C*ICE*dsl*s4",[1]OUT_TransportEnergyCons!$A$4:$A$10000))*1,[1]OUT_TransportEnergyCons!O$4:O$10000)</f>
        <v>0</v>
      </c>
      <c r="S1944" s="3"/>
    </row>
    <row r="1945" spans="2:19" x14ac:dyDescent="0.5">
      <c r="B1945" s="5" t="str">
        <f t="shared" si="2152"/>
        <v>SPS1</v>
      </c>
      <c r="C1945" s="5" t="str">
        <f t="shared" si="2153"/>
        <v>CH</v>
      </c>
      <c r="D1945" t="s">
        <v>1962</v>
      </c>
      <c r="E1945" t="str">
        <f t="shared" si="2154"/>
        <v>Million</v>
      </c>
      <c r="F1945" s="1" cm="1">
        <f t="array" ref="F1945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5" s="1" cm="1">
        <f t="array" ref="G1945">SUMPRODUCT(("Var_Cap"=[1]OUT_TransportEnergyCons!$B$4:$B$10000)*1,("-"=[1]OUT_TransportEnergyCons!$C$4:$C$10000)*1,ISNUMBER(SEARCH("T_C*mhy*dsl*s1",[1]OUT_TransportEnergyCons!$A$4:$A$10000))*1,[1]OUT_TransportEnergyCons!E$4:E$10000)</f>
        <v>1.21402578815489E-5</v>
      </c>
      <c r="H1945" s="1" cm="1">
        <f t="array" ref="H1945">SUMPRODUCT(("Var_Cap"=[1]OUT_TransportEnergyCons!$B$4:$B$10000)*1,("-"=[1]OUT_TransportEnergyCons!$C$4:$C$10000)*1,ISNUMBER(SEARCH("T_C*mhy*dsl*s1",[1]OUT_TransportEnergyCons!$A$4:$A$10000))*1,[1]OUT_TransportEnergyCons!F$4:F$10000)</f>
        <v>2.48728763075407E-5</v>
      </c>
      <c r="I1945" s="1" cm="1">
        <f t="array" ref="I1945">SUMPRODUCT(("Var_Cap"=[1]OUT_TransportEnergyCons!$B$4:$B$10000)*1,("-"=[1]OUT_TransportEnergyCons!$C$4:$C$10000)*1,ISNUMBER(SEARCH("T_C*mhy*dsl*s1",[1]OUT_TransportEnergyCons!$A$4:$A$10000))*1,[1]OUT_TransportEnergyCons!G$4:G$10000)</f>
        <v>1.59447414592993E-4</v>
      </c>
      <c r="J1945" s="1" cm="1">
        <f t="array" ref="J1945">SUMPRODUCT(("Var_Cap"=[1]OUT_TransportEnergyCons!$B$4:$B$10000)*1,("-"=[1]OUT_TransportEnergyCons!$C$4:$C$10000)*1,ISNUMBER(SEARCH("T_C*mhy*dsl*s1",[1]OUT_TransportEnergyCons!$A$4:$A$10000))*1,[1]OUT_TransportEnergyCons!H$4:H$10000)</f>
        <v>1.24439629107018E-4</v>
      </c>
      <c r="K1945" s="1" cm="1">
        <f t="array" ref="K1945">SUMPRODUCT(("Var_Cap"=[1]OUT_TransportEnergyCons!$B$4:$B$10000)*1,("-"=[1]OUT_TransportEnergyCons!$C$4:$C$10000)*1,ISNUMBER(SEARCH("T_C*mhy*dsl*s1",[1]OUT_TransportEnergyCons!$A$4:$A$10000))*1,[1]OUT_TransportEnergyCons!I$4:I$10000)</f>
        <v>6.7666421523296505E-5</v>
      </c>
      <c r="L1945" s="1" cm="1">
        <f t="array" ref="L1945">SUMPRODUCT(("Var_Cap"=[1]OUT_TransportEnergyCons!$B$4:$B$10000)*1,("-"=[1]OUT_TransportEnergyCons!$C$4:$C$10000)*1,ISNUMBER(SEARCH("T_C*mhy*dsl*s1",[1]OUT_TransportEnergyCons!$A$4:$A$10000))*1,[1]OUT_TransportEnergyCons!J$4:J$10000)</f>
        <v>0</v>
      </c>
      <c r="M1945" s="1" cm="1">
        <f t="array" ref="M1945">SUMPRODUCT(("Var_Cap"=[1]OUT_TransportEnergyCons!$B$4:$B$10000)*1,("-"=[1]OUT_TransportEnergyCons!$C$4:$C$10000)*1,ISNUMBER(SEARCH("T_C*mhy*dsl*s1",[1]OUT_TransportEnergyCons!$A$4:$A$10000))*1,[1]OUT_TransportEnergyCons!K$4:K$10000)</f>
        <v>0</v>
      </c>
      <c r="N1945" s="1" cm="1">
        <f t="array" ref="N1945">SUMPRODUCT(("Var_Cap"=[1]OUT_TransportEnergyCons!$B$4:$B$10000)*1,("-"=[1]OUT_TransportEnergyCons!$C$4:$C$10000)*1,ISNUMBER(SEARCH("T_C*mhy*dsl*s1",[1]OUT_TransportEnergyCons!$A$4:$A$10000))*1,[1]OUT_TransportEnergyCons!L$4:L$10000)</f>
        <v>0</v>
      </c>
      <c r="O1945" s="1" cm="1">
        <f t="array" ref="O1945">SUMPRODUCT(("Var_Cap"=[1]OUT_TransportEnergyCons!$B$4:$B$10000)*1,("-"=[1]OUT_TransportEnergyCons!$C$4:$C$10000)*1,ISNUMBER(SEARCH("T_C*mhy*dsl*s1",[1]OUT_TransportEnergyCons!$A$4:$A$10000))*1,[1]OUT_TransportEnergyCons!M$4:M$10000)</f>
        <v>0</v>
      </c>
      <c r="P1945" s="1" cm="1">
        <f t="array" ref="P1945">SUMPRODUCT(("Var_Cap"=[1]OUT_TransportEnergyCons!$B$4:$B$10000)*1,("-"=[1]OUT_TransportEnergyCons!$C$4:$C$10000)*1,ISNUMBER(SEARCH("T_C*mhy*dsl*s1",[1]OUT_TransportEnergyCons!$A$4:$A$10000))*1,[1]OUT_TransportEnergyCons!N$4:N$10000)</f>
        <v>0</v>
      </c>
      <c r="Q1945" s="1" cm="1">
        <f t="array" ref="Q1945">SUMPRODUCT(("Var_Cap"=[1]OUT_TransportEnergyCons!$B$4:$B$10000)*1,("-"=[1]OUT_TransportEnergyCons!$C$4:$C$10000)*1,ISNUMBER(SEARCH("T_C*mhy*dsl*s1",[1]OUT_TransportEnergyCons!$A$4:$A$10000))*1,[1]OUT_TransportEnergyCons!O$4:O$10000)</f>
        <v>0</v>
      </c>
      <c r="S1945" s="3"/>
    </row>
    <row r="1946" spans="2:19" x14ac:dyDescent="0.5">
      <c r="B1946" s="5" t="str">
        <f t="shared" si="2152"/>
        <v>SPS1</v>
      </c>
      <c r="C1946" s="5" t="str">
        <f t="shared" si="2153"/>
        <v>CH</v>
      </c>
      <c r="D1946" t="s">
        <v>1963</v>
      </c>
      <c r="E1946" t="str">
        <f t="shared" si="2154"/>
        <v>Million</v>
      </c>
      <c r="F1946" s="1" cm="1">
        <f t="array" ref="F1946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6" s="1" cm="1">
        <f t="array" ref="G1946">SUMPRODUCT(("Var_Cap"=[1]OUT_TransportEnergyCons!$B$4:$B$10000)*1,("-"=[1]OUT_TransportEnergyCons!$C$4:$C$10000)*1,ISNUMBER(SEARCH("T_C*mhy*dsl*s2",[1]OUT_TransportEnergyCons!$A$4:$A$10000))*1,[1]OUT_TransportEnergyCons!E$4:E$10000)</f>
        <v>8.3384776867696502E-6</v>
      </c>
      <c r="H1946" s="1" cm="1">
        <f t="array" ref="H1946">SUMPRODUCT(("Var_Cap"=[1]OUT_TransportEnergyCons!$B$4:$B$10000)*1,("-"=[1]OUT_TransportEnergyCons!$C$4:$C$10000)*1,ISNUMBER(SEARCH("T_C*mhy*dsl*s2",[1]OUT_TransportEnergyCons!$A$4:$A$10000))*1,[1]OUT_TransportEnergyCons!F$4:F$10000)</f>
        <v>2.0411487777505E-5</v>
      </c>
      <c r="I1946" s="1" cm="1">
        <f t="array" ref="I1946">SUMPRODUCT(("Var_Cap"=[1]OUT_TransportEnergyCons!$B$4:$B$10000)*1,("-"=[1]OUT_TransportEnergyCons!$C$4:$C$10000)*1,ISNUMBER(SEARCH("T_C*mhy*dsl*s2",[1]OUT_TransportEnergyCons!$A$4:$A$10000))*1,[1]OUT_TransportEnergyCons!G$4:G$10000)</f>
        <v>8.0995396992826504E-5</v>
      </c>
      <c r="J1946" s="1" cm="1">
        <f t="array" ref="J1946">SUMPRODUCT(("Var_Cap"=[1]OUT_TransportEnergyCons!$B$4:$B$10000)*1,("-"=[1]OUT_TransportEnergyCons!$C$4:$C$10000)*1,ISNUMBER(SEARCH("T_C*mhy*dsl*s2",[1]OUT_TransportEnergyCons!$A$4:$A$10000))*1,[1]OUT_TransportEnergyCons!H$4:H$10000)</f>
        <v>6.1920257105596094E-5</v>
      </c>
      <c r="K1946" s="1" cm="1">
        <f t="array" ref="K1946">SUMPRODUCT(("Var_Cap"=[1]OUT_TransportEnergyCons!$B$4:$B$10000)*1,("-"=[1]OUT_TransportEnergyCons!$C$4:$C$10000)*1,ISNUMBER(SEARCH("T_C*mhy*dsl*s2",[1]OUT_TransportEnergyCons!$A$4:$A$10000))*1,[1]OUT_TransportEnergyCons!I$4:I$10000)</f>
        <v>3.1747581594450503E-5</v>
      </c>
      <c r="L1946" s="1" cm="1">
        <f t="array" ref="L1946">SUMPRODUCT(("Var_Cap"=[1]OUT_TransportEnergyCons!$B$4:$B$10000)*1,("-"=[1]OUT_TransportEnergyCons!$C$4:$C$10000)*1,ISNUMBER(SEARCH("T_C*mhy*dsl*s2",[1]OUT_TransportEnergyCons!$A$4:$A$10000))*1,[1]OUT_TransportEnergyCons!J$4:J$10000)</f>
        <v>0</v>
      </c>
      <c r="M1946" s="1" cm="1">
        <f t="array" ref="M1946">SUMPRODUCT(("Var_Cap"=[1]OUT_TransportEnergyCons!$B$4:$B$10000)*1,("-"=[1]OUT_TransportEnergyCons!$C$4:$C$10000)*1,ISNUMBER(SEARCH("T_C*mhy*dsl*s2",[1]OUT_TransportEnergyCons!$A$4:$A$10000))*1,[1]OUT_TransportEnergyCons!K$4:K$10000)</f>
        <v>0</v>
      </c>
      <c r="N1946" s="1" cm="1">
        <f t="array" ref="N1946">SUMPRODUCT(("Var_Cap"=[1]OUT_TransportEnergyCons!$B$4:$B$10000)*1,("-"=[1]OUT_TransportEnergyCons!$C$4:$C$10000)*1,ISNUMBER(SEARCH("T_C*mhy*dsl*s2",[1]OUT_TransportEnergyCons!$A$4:$A$10000))*1,[1]OUT_TransportEnergyCons!L$4:L$10000)</f>
        <v>0</v>
      </c>
      <c r="O1946" s="1" cm="1">
        <f t="array" ref="O1946">SUMPRODUCT(("Var_Cap"=[1]OUT_TransportEnergyCons!$B$4:$B$10000)*1,("-"=[1]OUT_TransportEnergyCons!$C$4:$C$10000)*1,ISNUMBER(SEARCH("T_C*mhy*dsl*s2",[1]OUT_TransportEnergyCons!$A$4:$A$10000))*1,[1]OUT_TransportEnergyCons!M$4:M$10000)</f>
        <v>0</v>
      </c>
      <c r="P1946" s="1" cm="1">
        <f t="array" ref="P1946">SUMPRODUCT(("Var_Cap"=[1]OUT_TransportEnergyCons!$B$4:$B$10000)*1,("-"=[1]OUT_TransportEnergyCons!$C$4:$C$10000)*1,ISNUMBER(SEARCH("T_C*mhy*dsl*s2",[1]OUT_TransportEnergyCons!$A$4:$A$10000))*1,[1]OUT_TransportEnergyCons!N$4:N$10000)</f>
        <v>0</v>
      </c>
      <c r="Q1946" s="1" cm="1">
        <f t="array" ref="Q1946">SUMPRODUCT(("Var_Cap"=[1]OUT_TransportEnergyCons!$B$4:$B$10000)*1,("-"=[1]OUT_TransportEnergyCons!$C$4:$C$10000)*1,ISNUMBER(SEARCH("T_C*mhy*dsl*s2",[1]OUT_TransportEnergyCons!$A$4:$A$10000))*1,[1]OUT_TransportEnergyCons!O$4:O$10000)</f>
        <v>0</v>
      </c>
      <c r="S1946" s="3"/>
    </row>
    <row r="1947" spans="2:19" x14ac:dyDescent="0.5">
      <c r="B1947" s="5" t="str">
        <f t="shared" si="2152"/>
        <v>SPS1</v>
      </c>
      <c r="C1947" s="5" t="str">
        <f t="shared" si="2153"/>
        <v>CH</v>
      </c>
      <c r="D1947" t="s">
        <v>1964</v>
      </c>
      <c r="E1947" t="str">
        <f t="shared" si="2154"/>
        <v>Million</v>
      </c>
      <c r="F1947" s="1" cm="1">
        <f t="array" ref="F1947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7" s="1" cm="1">
        <f t="array" ref="G1947">SUMPRODUCT(("Var_Cap"=[1]OUT_TransportEnergyCons!$B$4:$B$10000)*1,("-"=[1]OUT_TransportEnergyCons!$C$4:$C$10000)*1,ISNUMBER(SEARCH("T_C*mhy*dsl*s3",[1]OUT_TransportEnergyCons!$A$4:$A$10000))*1,[1]OUT_TransportEnergyCons!E$4:E$10000)</f>
        <v>8.2249513010228405E-6</v>
      </c>
      <c r="H1947" s="1" cm="1">
        <f t="array" ref="H1947">SUMPRODUCT(("Var_Cap"=[1]OUT_TransportEnergyCons!$B$4:$B$10000)*1,("-"=[1]OUT_TransportEnergyCons!$C$4:$C$10000)*1,ISNUMBER(SEARCH("T_C*mhy*dsl*s3",[1]OUT_TransportEnergyCons!$A$4:$A$10000))*1,[1]OUT_TransportEnergyCons!F$4:F$10000)</f>
        <v>2.0121121146423899E-5</v>
      </c>
      <c r="I1947" s="1" cm="1">
        <f t="array" ref="I1947">SUMPRODUCT(("Var_Cap"=[1]OUT_TransportEnergyCons!$B$4:$B$10000)*1,("-"=[1]OUT_TransportEnergyCons!$C$4:$C$10000)*1,ISNUMBER(SEARCH("T_C*mhy*dsl*s3",[1]OUT_TransportEnergyCons!$A$4:$A$10000))*1,[1]OUT_TransportEnergyCons!G$4:G$10000)</f>
        <v>5.3748864480415903E-5</v>
      </c>
      <c r="J1947" s="1" cm="1">
        <f t="array" ref="J1947">SUMPRODUCT(("Var_Cap"=[1]OUT_TransportEnergyCons!$B$4:$B$10000)*1,("-"=[1]OUT_TransportEnergyCons!$C$4:$C$10000)*1,ISNUMBER(SEARCH("T_C*mhy*dsl*s3",[1]OUT_TransportEnergyCons!$A$4:$A$10000))*1,[1]OUT_TransportEnergyCons!H$4:H$10000)</f>
        <v>3.9765569128794998E-5</v>
      </c>
      <c r="K1947" s="1" cm="1">
        <f t="array" ref="K1947">SUMPRODUCT(("Var_Cap"=[1]OUT_TransportEnergyCons!$B$4:$B$10000)*1,("-"=[1]OUT_TransportEnergyCons!$C$4:$C$10000)*1,ISNUMBER(SEARCH("T_C*mhy*dsl*s3",[1]OUT_TransportEnergyCons!$A$4:$A$10000))*1,[1]OUT_TransportEnergyCons!I$4:I$10000)</f>
        <v>1.8796447826759499E-5</v>
      </c>
      <c r="L1947" s="1" cm="1">
        <f t="array" ref="L1947">SUMPRODUCT(("Var_Cap"=[1]OUT_TransportEnergyCons!$B$4:$B$10000)*1,("-"=[1]OUT_TransportEnergyCons!$C$4:$C$10000)*1,ISNUMBER(SEARCH("T_C*mhy*dsl*s3",[1]OUT_TransportEnergyCons!$A$4:$A$10000))*1,[1]OUT_TransportEnergyCons!J$4:J$10000)</f>
        <v>0</v>
      </c>
      <c r="M1947" s="1" cm="1">
        <f t="array" ref="M1947">SUMPRODUCT(("Var_Cap"=[1]OUT_TransportEnergyCons!$B$4:$B$10000)*1,("-"=[1]OUT_TransportEnergyCons!$C$4:$C$10000)*1,ISNUMBER(SEARCH("T_C*mhy*dsl*s3",[1]OUT_TransportEnergyCons!$A$4:$A$10000))*1,[1]OUT_TransportEnergyCons!K$4:K$10000)</f>
        <v>0</v>
      </c>
      <c r="N1947" s="1" cm="1">
        <f t="array" ref="N1947">SUMPRODUCT(("Var_Cap"=[1]OUT_TransportEnergyCons!$B$4:$B$10000)*1,("-"=[1]OUT_TransportEnergyCons!$C$4:$C$10000)*1,ISNUMBER(SEARCH("T_C*mhy*dsl*s3",[1]OUT_TransportEnergyCons!$A$4:$A$10000))*1,[1]OUT_TransportEnergyCons!L$4:L$10000)</f>
        <v>0</v>
      </c>
      <c r="O1947" s="1" cm="1">
        <f t="array" ref="O1947">SUMPRODUCT(("Var_Cap"=[1]OUT_TransportEnergyCons!$B$4:$B$10000)*1,("-"=[1]OUT_TransportEnergyCons!$C$4:$C$10000)*1,ISNUMBER(SEARCH("T_C*mhy*dsl*s3",[1]OUT_TransportEnergyCons!$A$4:$A$10000))*1,[1]OUT_TransportEnergyCons!M$4:M$10000)</f>
        <v>0</v>
      </c>
      <c r="P1947" s="1" cm="1">
        <f t="array" ref="P1947">SUMPRODUCT(("Var_Cap"=[1]OUT_TransportEnergyCons!$B$4:$B$10000)*1,("-"=[1]OUT_TransportEnergyCons!$C$4:$C$10000)*1,ISNUMBER(SEARCH("T_C*mhy*dsl*s3",[1]OUT_TransportEnergyCons!$A$4:$A$10000))*1,[1]OUT_TransportEnergyCons!N$4:N$10000)</f>
        <v>0</v>
      </c>
      <c r="Q1947" s="1" cm="1">
        <f t="array" ref="Q1947">SUMPRODUCT(("Var_Cap"=[1]OUT_TransportEnergyCons!$B$4:$B$10000)*1,("-"=[1]OUT_TransportEnergyCons!$C$4:$C$10000)*1,ISNUMBER(SEARCH("T_C*mhy*dsl*s3",[1]OUT_TransportEnergyCons!$A$4:$A$10000))*1,[1]OUT_TransportEnergyCons!O$4:O$10000)</f>
        <v>0</v>
      </c>
      <c r="S1947" s="3"/>
    </row>
    <row r="1948" spans="2:19" x14ac:dyDescent="0.5">
      <c r="B1948" s="5" t="str">
        <f t="shared" si="2152"/>
        <v>SPS1</v>
      </c>
      <c r="C1948" s="5" t="str">
        <f t="shared" si="2153"/>
        <v>CH</v>
      </c>
      <c r="D1948" t="s">
        <v>1965</v>
      </c>
      <c r="E1948" t="str">
        <f t="shared" si="2154"/>
        <v>Million</v>
      </c>
      <c r="F1948" s="1" cm="1">
        <f t="array" ref="F1948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8" s="1" cm="1">
        <f t="array" ref="G1948">SUMPRODUCT(("Var_Cap"=[1]OUT_TransportEnergyCons!$B$4:$B$10000)*1,("-"=[1]OUT_TransportEnergyCons!$C$4:$C$10000)*1,ISNUMBER(SEARCH("T_C*mhy*dsl*s4",[1]OUT_TransportEnergyCons!$A$4:$A$10000))*1,[1]OUT_TransportEnergyCons!E$4:E$10000)</f>
        <v>6.8357628536434101E-6</v>
      </c>
      <c r="H1948" s="1" cm="1">
        <f t="array" ref="H1948">SUMPRODUCT(("Var_Cap"=[1]OUT_TransportEnergyCons!$B$4:$B$10000)*1,("-"=[1]OUT_TransportEnergyCons!$C$4:$C$10000)*1,ISNUMBER(SEARCH("T_C*mhy*dsl*s4",[1]OUT_TransportEnergyCons!$A$4:$A$10000))*1,[1]OUT_TransportEnergyCons!F$4:F$10000)</f>
        <v>1.6241385007350802E-5</v>
      </c>
      <c r="I1948" s="1" cm="1">
        <f t="array" ref="I1948">SUMPRODUCT(("Var_Cap"=[1]OUT_TransportEnergyCons!$B$4:$B$10000)*1,("-"=[1]OUT_TransportEnergyCons!$C$4:$C$10000)*1,ISNUMBER(SEARCH("T_C*mhy*dsl*s4",[1]OUT_TransportEnergyCons!$A$4:$A$10000))*1,[1]OUT_TransportEnergyCons!G$4:G$10000)</f>
        <v>4.29656291627767E-5</v>
      </c>
      <c r="J1948" s="1" cm="1">
        <f t="array" ref="J1948">SUMPRODUCT(("Var_Cap"=[1]OUT_TransportEnergyCons!$B$4:$B$10000)*1,("-"=[1]OUT_TransportEnergyCons!$C$4:$C$10000)*1,ISNUMBER(SEARCH("T_C*mhy*dsl*s4",[1]OUT_TransportEnergyCons!$A$4:$A$10000))*1,[1]OUT_TransportEnergyCons!H$4:H$10000)</f>
        <v>3.1702623305096497E-5</v>
      </c>
      <c r="K1948" s="1" cm="1">
        <f t="array" ref="K1948">SUMPRODUCT(("Var_Cap"=[1]OUT_TransportEnergyCons!$B$4:$B$10000)*1,("-"=[1]OUT_TransportEnergyCons!$C$4:$C$10000)*1,ISNUMBER(SEARCH("T_C*mhy*dsl*s4",[1]OUT_TransportEnergyCons!$A$4:$A$10000))*1,[1]OUT_TransportEnergyCons!I$4:I$10000)</f>
        <v>1.4959403007674301E-5</v>
      </c>
      <c r="L1948" s="1" cm="1">
        <f t="array" ref="L1948">SUMPRODUCT(("Var_Cap"=[1]OUT_TransportEnergyCons!$B$4:$B$10000)*1,("-"=[1]OUT_TransportEnergyCons!$C$4:$C$10000)*1,ISNUMBER(SEARCH("T_C*mhy*dsl*s4",[1]OUT_TransportEnergyCons!$A$4:$A$10000))*1,[1]OUT_TransportEnergyCons!J$4:J$10000)</f>
        <v>0</v>
      </c>
      <c r="M1948" s="1" cm="1">
        <f t="array" ref="M1948">SUMPRODUCT(("Var_Cap"=[1]OUT_TransportEnergyCons!$B$4:$B$10000)*1,("-"=[1]OUT_TransportEnergyCons!$C$4:$C$10000)*1,ISNUMBER(SEARCH("T_C*mhy*dsl*s4",[1]OUT_TransportEnergyCons!$A$4:$A$10000))*1,[1]OUT_TransportEnergyCons!K$4:K$10000)</f>
        <v>0</v>
      </c>
      <c r="N1948" s="1" cm="1">
        <f t="array" ref="N1948">SUMPRODUCT(("Var_Cap"=[1]OUT_TransportEnergyCons!$B$4:$B$10000)*1,("-"=[1]OUT_TransportEnergyCons!$C$4:$C$10000)*1,ISNUMBER(SEARCH("T_C*mhy*dsl*s4",[1]OUT_TransportEnergyCons!$A$4:$A$10000))*1,[1]OUT_TransportEnergyCons!L$4:L$10000)</f>
        <v>0</v>
      </c>
      <c r="O1948" s="1" cm="1">
        <f t="array" ref="O1948">SUMPRODUCT(("Var_Cap"=[1]OUT_TransportEnergyCons!$B$4:$B$10000)*1,("-"=[1]OUT_TransportEnergyCons!$C$4:$C$10000)*1,ISNUMBER(SEARCH("T_C*mhy*dsl*s4",[1]OUT_TransportEnergyCons!$A$4:$A$10000))*1,[1]OUT_TransportEnergyCons!M$4:M$10000)</f>
        <v>0</v>
      </c>
      <c r="P1948" s="1" cm="1">
        <f t="array" ref="P1948">SUMPRODUCT(("Var_Cap"=[1]OUT_TransportEnergyCons!$B$4:$B$10000)*1,("-"=[1]OUT_TransportEnergyCons!$C$4:$C$10000)*1,ISNUMBER(SEARCH("T_C*mhy*dsl*s4",[1]OUT_TransportEnergyCons!$A$4:$A$10000))*1,[1]OUT_TransportEnergyCons!N$4:N$10000)</f>
        <v>0</v>
      </c>
      <c r="Q1948" s="1" cm="1">
        <f t="array" ref="Q1948">SUMPRODUCT(("Var_Cap"=[1]OUT_TransportEnergyCons!$B$4:$B$10000)*1,("-"=[1]OUT_TransportEnergyCons!$C$4:$C$10000)*1,ISNUMBER(SEARCH("T_C*mhy*dsl*s4",[1]OUT_TransportEnergyCons!$A$4:$A$10000))*1,[1]OUT_TransportEnergyCons!O$4:O$10000)</f>
        <v>0</v>
      </c>
      <c r="S1948" s="3"/>
    </row>
    <row r="1949" spans="2:19" x14ac:dyDescent="0.5">
      <c r="B1949" s="5" t="str">
        <f t="shared" si="2152"/>
        <v>SPS1</v>
      </c>
      <c r="C1949" s="5" t="str">
        <f t="shared" si="2153"/>
        <v>CH</v>
      </c>
      <c r="D1949" t="s">
        <v>1966</v>
      </c>
      <c r="E1949" t="str">
        <f t="shared" si="2154"/>
        <v>Million</v>
      </c>
      <c r="F1949" s="1" cm="1">
        <f t="array" ref="F1949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9" s="1" cm="1">
        <f t="array" ref="G1949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9" s="1" cm="1">
        <f t="array" ref="H1949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9" s="1" cm="1">
        <f t="array" ref="I1949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9" s="1" cm="1">
        <f t="array" ref="J1949">SUMPRODUCT(("Var_Cap"=[1]OUT_TransportEnergyCons!$B$4:$B$10000)*1,("-"=[1]OUT_TransportEnergyCons!$C$4:$C$10000)*1,ISNUMBER(SEARCH("T_C*ICE*nga*ext",[1]OUT_TransportEnergyCons!$A$4:$A$10000))*1,[1]OUT_TransportEnergyCons!H$4:H$10000)</f>
        <v>0</v>
      </c>
      <c r="K1949" s="1" cm="1">
        <f t="array" ref="K1949">SUMPRODUCT(("Var_Cap"=[1]OUT_TransportEnergyCons!$B$4:$B$10000)*1,("-"=[1]OUT_TransportEnergyCons!$C$4:$C$10000)*1,ISNUMBER(SEARCH("T_C*ICE*nga*ext",[1]OUT_TransportEnergyCons!$A$4:$A$10000))*1,[1]OUT_TransportEnergyCons!I$4:I$10000)</f>
        <v>0</v>
      </c>
      <c r="L1949" s="1" cm="1">
        <f t="array" ref="L1949">SUMPRODUCT(("Var_Cap"=[1]OUT_TransportEnergyCons!$B$4:$B$10000)*1,("-"=[1]OUT_TransportEnergyCons!$C$4:$C$10000)*1,ISNUMBER(SEARCH("T_C*ICE*nga*ext",[1]OUT_TransportEnergyCons!$A$4:$A$10000))*1,[1]OUT_TransportEnergyCons!J$4:J$10000)</f>
        <v>0</v>
      </c>
      <c r="M1949" s="1" cm="1">
        <f t="array" ref="M1949">SUMPRODUCT(("Var_Cap"=[1]OUT_TransportEnergyCons!$B$4:$B$10000)*1,("-"=[1]OUT_TransportEnergyCons!$C$4:$C$10000)*1,ISNUMBER(SEARCH("T_C*ICE*nga*ext",[1]OUT_TransportEnergyCons!$A$4:$A$10000))*1,[1]OUT_TransportEnergyCons!K$4:K$10000)</f>
        <v>0</v>
      </c>
      <c r="N1949" s="1" cm="1">
        <f t="array" ref="N1949">SUMPRODUCT(("Var_Cap"=[1]OUT_TransportEnergyCons!$B$4:$B$10000)*1,("-"=[1]OUT_TransportEnergyCons!$C$4:$C$10000)*1,ISNUMBER(SEARCH("T_C*ICE*nga*ext",[1]OUT_TransportEnergyCons!$A$4:$A$10000))*1,[1]OUT_TransportEnergyCons!L$4:L$10000)</f>
        <v>0</v>
      </c>
      <c r="O1949" s="1" cm="1">
        <f t="array" ref="O1949">SUMPRODUCT(("Var_Cap"=[1]OUT_TransportEnergyCons!$B$4:$B$10000)*1,("-"=[1]OUT_TransportEnergyCons!$C$4:$C$10000)*1,ISNUMBER(SEARCH("T_C*ICE*nga*ext",[1]OUT_TransportEnergyCons!$A$4:$A$10000))*1,[1]OUT_TransportEnergyCons!M$4:M$10000)</f>
        <v>0</v>
      </c>
      <c r="P1949" s="1" cm="1">
        <f t="array" ref="P1949">SUMPRODUCT(("Var_Cap"=[1]OUT_TransportEnergyCons!$B$4:$B$10000)*1,("-"=[1]OUT_TransportEnergyCons!$C$4:$C$10000)*1,ISNUMBER(SEARCH("T_C*ICE*nga*ext",[1]OUT_TransportEnergyCons!$A$4:$A$10000))*1,[1]OUT_TransportEnergyCons!N$4:N$10000)</f>
        <v>0</v>
      </c>
      <c r="Q1949" s="1" cm="1">
        <f t="array" ref="Q1949">SUMPRODUCT(("Var_Cap"=[1]OUT_TransportEnergyCons!$B$4:$B$10000)*1,("-"=[1]OUT_TransportEnergyCons!$C$4:$C$10000)*1,ISNUMBER(SEARCH("T_C*ICE*nga*ext",[1]OUT_TransportEnergyCons!$A$4:$A$10000))*1,[1]OUT_TransportEnergyCons!O$4:O$10000)</f>
        <v>0</v>
      </c>
      <c r="S1949" s="3"/>
    </row>
    <row r="1950" spans="2:19" x14ac:dyDescent="0.5">
      <c r="B1950" s="5" t="str">
        <f t="shared" si="2152"/>
        <v>SPS1</v>
      </c>
      <c r="C1950" s="5" t="str">
        <f t="shared" si="2153"/>
        <v>CH</v>
      </c>
      <c r="D1950" t="s">
        <v>1967</v>
      </c>
      <c r="E1950" t="str">
        <f t="shared" si="2154"/>
        <v>Million</v>
      </c>
      <c r="F1950" s="1" cm="1">
        <f t="array" ref="F1950">SUMPRODUCT(("Var_Cap"=[1]OUT_TransportEnergyCons!$B$4:$B$10000)*1,("-"=[1]OUT_TransportEnergyCons!$C$4:$C$10000)*1,ISNUMBER(SEARCH("T_C*ICE*nga*s1",[1]OUT_TransportEnergyCons!$A$4:$A$10000))*1,[1]OUT_TransportEnergyCons!D$4:D$10000)</f>
        <v>2.5629355550414398E-4</v>
      </c>
      <c r="G1950" s="1" cm="1">
        <f t="array" ref="G1950">SUMPRODUCT(("Var_Cap"=[1]OUT_TransportEnergyCons!$B$4:$B$10000)*1,("-"=[1]OUT_TransportEnergyCons!$C$4:$C$10000)*1,ISNUMBER(SEARCH("T_C*ICE*nga*s1",[1]OUT_TransportEnergyCons!$A$4:$A$10000))*1,[1]OUT_TransportEnergyCons!E$4:E$10000)</f>
        <v>1.6594347771647943E-4</v>
      </c>
      <c r="H1950" s="1" cm="1">
        <f t="array" ref="H1950">SUMPRODUCT(("Var_Cap"=[1]OUT_TransportEnergyCons!$B$4:$B$10000)*1,("-"=[1]OUT_TransportEnergyCons!$C$4:$C$10000)*1,ISNUMBER(SEARCH("T_C*ICE*nga*s1",[1]OUT_TransportEnergyCons!$A$4:$A$10000))*1,[1]OUT_TransportEnergyCons!F$4:F$10000)</f>
        <v>2.3764002899961302E-4</v>
      </c>
      <c r="I1950" s="1" cm="1">
        <f t="array" ref="I1950">SUMPRODUCT(("Var_Cap"=[1]OUT_TransportEnergyCons!$B$4:$B$10000)*1,("-"=[1]OUT_TransportEnergyCons!$C$4:$C$10000)*1,ISNUMBER(SEARCH("T_C*ICE*nga*s1",[1]OUT_TransportEnergyCons!$A$4:$A$10000))*1,[1]OUT_TransportEnergyCons!G$4:G$10000)</f>
        <v>8.850808158691523E-6</v>
      </c>
      <c r="J1950" s="1" cm="1">
        <f t="array" ref="J1950">SUMPRODUCT(("Var_Cap"=[1]OUT_TransportEnergyCons!$B$4:$B$10000)*1,("-"=[1]OUT_TransportEnergyCons!$C$4:$C$10000)*1,ISNUMBER(SEARCH("T_C*ICE*nga*s1",[1]OUT_TransportEnergyCons!$A$4:$A$10000))*1,[1]OUT_TransportEnergyCons!H$4:H$10000)</f>
        <v>1.2319031653919708E-6</v>
      </c>
      <c r="K1950" s="1" cm="1">
        <f t="array" ref="K1950">SUMPRODUCT(("Var_Cap"=[1]OUT_TransportEnergyCons!$B$4:$B$10000)*1,("-"=[1]OUT_TransportEnergyCons!$C$4:$C$10000)*1,ISNUMBER(SEARCH("T_C*ICE*nga*s1",[1]OUT_TransportEnergyCons!$A$4:$A$10000))*1,[1]OUT_TransportEnergyCons!I$4:I$10000)</f>
        <v>-1.1153309044621958E-7</v>
      </c>
      <c r="L1950" s="1" cm="1">
        <f t="array" ref="L1950">SUMPRODUCT(("Var_Cap"=[1]OUT_TransportEnergyCons!$B$4:$B$10000)*1,("-"=[1]OUT_TransportEnergyCons!$C$4:$C$10000)*1,ISNUMBER(SEARCH("T_C*ICE*nga*s1",[1]OUT_TransportEnergyCons!$A$4:$A$10000))*1,[1]OUT_TransportEnergyCons!J$4:J$10000)</f>
        <v>0</v>
      </c>
      <c r="M1950" s="1" cm="1">
        <f t="array" ref="M1950">SUMPRODUCT(("Var_Cap"=[1]OUT_TransportEnergyCons!$B$4:$B$10000)*1,("-"=[1]OUT_TransportEnergyCons!$C$4:$C$10000)*1,ISNUMBER(SEARCH("T_C*ICE*nga*s1",[1]OUT_TransportEnergyCons!$A$4:$A$10000))*1,[1]OUT_TransportEnergyCons!K$4:K$10000)</f>
        <v>0</v>
      </c>
      <c r="N1950" s="1" cm="1">
        <f t="array" ref="N1950">SUMPRODUCT(("Var_Cap"=[1]OUT_TransportEnergyCons!$B$4:$B$10000)*1,("-"=[1]OUT_TransportEnergyCons!$C$4:$C$10000)*1,ISNUMBER(SEARCH("T_C*ICE*nga*s1",[1]OUT_TransportEnergyCons!$A$4:$A$10000))*1,[1]OUT_TransportEnergyCons!L$4:L$10000)</f>
        <v>0</v>
      </c>
      <c r="O1950" s="1" cm="1">
        <f t="array" ref="O1950">SUMPRODUCT(("Var_Cap"=[1]OUT_TransportEnergyCons!$B$4:$B$10000)*1,("-"=[1]OUT_TransportEnergyCons!$C$4:$C$10000)*1,ISNUMBER(SEARCH("T_C*ICE*nga*s1",[1]OUT_TransportEnergyCons!$A$4:$A$10000))*1,[1]OUT_TransportEnergyCons!M$4:M$10000)</f>
        <v>0</v>
      </c>
      <c r="P1950" s="1" cm="1">
        <f t="array" ref="P1950">SUMPRODUCT(("Var_Cap"=[1]OUT_TransportEnergyCons!$B$4:$B$10000)*1,("-"=[1]OUT_TransportEnergyCons!$C$4:$C$10000)*1,ISNUMBER(SEARCH("T_C*ICE*nga*s1",[1]OUT_TransportEnergyCons!$A$4:$A$10000))*1,[1]OUT_TransportEnergyCons!N$4:N$10000)</f>
        <v>0</v>
      </c>
      <c r="Q1950" s="1" cm="1">
        <f t="array" ref="Q1950">SUMPRODUCT(("Var_Cap"=[1]OUT_TransportEnergyCons!$B$4:$B$10000)*1,("-"=[1]OUT_TransportEnergyCons!$C$4:$C$10000)*1,ISNUMBER(SEARCH("T_C*ICE*nga*s1",[1]OUT_TransportEnergyCons!$A$4:$A$10000))*1,[1]OUT_TransportEnergyCons!O$4:O$10000)</f>
        <v>0</v>
      </c>
      <c r="S1950" s="3"/>
    </row>
    <row r="1951" spans="2:19" x14ac:dyDescent="0.5">
      <c r="B1951" s="5" t="str">
        <f t="shared" si="2152"/>
        <v>SPS1</v>
      </c>
      <c r="C1951" s="5" t="str">
        <f t="shared" si="2153"/>
        <v>CH</v>
      </c>
      <c r="D1951" t="s">
        <v>1968</v>
      </c>
      <c r="E1951" t="str">
        <f t="shared" si="2154"/>
        <v>Million</v>
      </c>
      <c r="F1951" s="1" cm="1">
        <f t="array" ref="F1951">SUMPRODUCT(("Var_Cap"=[1]OUT_TransportEnergyCons!$B$4:$B$10000)*1,("-"=[1]OUT_TransportEnergyCons!$C$4:$C$10000)*1,ISNUMBER(SEARCH("T_C*ICE*nga*s2",[1]OUT_TransportEnergyCons!$A$4:$A$10000))*1,[1]OUT_TransportEnergyCons!D$4:D$10000)</f>
        <v>2.6902364593150698E-3</v>
      </c>
      <c r="G1951" s="1" cm="1">
        <f t="array" ref="G1951">SUMPRODUCT(("Var_Cap"=[1]OUT_TransportEnergyCons!$B$4:$B$10000)*1,("-"=[1]OUT_TransportEnergyCons!$C$4:$C$10000)*1,ISNUMBER(SEARCH("T_C*ICE*nga*s2",[1]OUT_TransportEnergyCons!$A$4:$A$10000))*1,[1]OUT_TransportEnergyCons!E$4:E$10000)</f>
        <v>2.8422889674344139E-3</v>
      </c>
      <c r="H1951" s="1" cm="1">
        <f t="array" ref="H1951">SUMPRODUCT(("Var_Cap"=[1]OUT_TransportEnergyCons!$B$4:$B$10000)*1,("-"=[1]OUT_TransportEnergyCons!$C$4:$C$10000)*1,ISNUMBER(SEARCH("T_C*ICE*nga*s2",[1]OUT_TransportEnergyCons!$A$4:$A$10000))*1,[1]OUT_TransportEnergyCons!F$4:F$10000)</f>
        <v>2.8105067117063444E-3</v>
      </c>
      <c r="I1951" s="1" cm="1">
        <f t="array" ref="I1951">SUMPRODUCT(("Var_Cap"=[1]OUT_TransportEnergyCons!$B$4:$B$10000)*1,("-"=[1]OUT_TransportEnergyCons!$C$4:$C$10000)*1,ISNUMBER(SEARCH("T_C*ICE*nga*s2",[1]OUT_TransportEnergyCons!$A$4:$A$10000))*1,[1]OUT_TransportEnergyCons!G$4:G$10000)</f>
        <v>-1.4967227628072052E-6</v>
      </c>
      <c r="J1951" s="1" cm="1">
        <f t="array" ref="J1951">SUMPRODUCT(("Var_Cap"=[1]OUT_TransportEnergyCons!$B$4:$B$10000)*1,("-"=[1]OUT_TransportEnergyCons!$C$4:$C$10000)*1,ISNUMBER(SEARCH("T_C*ICE*nga*s2",[1]OUT_TransportEnergyCons!$A$4:$A$10000))*1,[1]OUT_TransportEnergyCons!H$4:H$10000)</f>
        <v>-7.6565534259042615E-7</v>
      </c>
      <c r="K1951" s="1" cm="1">
        <f t="array" ref="K1951">SUMPRODUCT(("Var_Cap"=[1]OUT_TransportEnergyCons!$B$4:$B$10000)*1,("-"=[1]OUT_TransportEnergyCons!$C$4:$C$10000)*1,ISNUMBER(SEARCH("T_C*ICE*nga*s2",[1]OUT_TransportEnergyCons!$A$4:$A$10000))*1,[1]OUT_TransportEnergyCons!I$4:I$10000)</f>
        <v>-1.1401397546439901E-7</v>
      </c>
      <c r="L1951" s="1" cm="1">
        <f t="array" ref="L1951">SUMPRODUCT(("Var_Cap"=[1]OUT_TransportEnergyCons!$B$4:$B$10000)*1,("-"=[1]OUT_TransportEnergyCons!$C$4:$C$10000)*1,ISNUMBER(SEARCH("T_C*ICE*nga*s2",[1]OUT_TransportEnergyCons!$A$4:$A$10000))*1,[1]OUT_TransportEnergyCons!J$4:J$10000)</f>
        <v>0</v>
      </c>
      <c r="M1951" s="1" cm="1">
        <f t="array" ref="M1951">SUMPRODUCT(("Var_Cap"=[1]OUT_TransportEnergyCons!$B$4:$B$10000)*1,("-"=[1]OUT_TransportEnergyCons!$C$4:$C$10000)*1,ISNUMBER(SEARCH("T_C*ICE*nga*s2",[1]OUT_TransportEnergyCons!$A$4:$A$10000))*1,[1]OUT_TransportEnergyCons!K$4:K$10000)</f>
        <v>0</v>
      </c>
      <c r="N1951" s="1" cm="1">
        <f t="array" ref="N1951">SUMPRODUCT(("Var_Cap"=[1]OUT_TransportEnergyCons!$B$4:$B$10000)*1,("-"=[1]OUT_TransportEnergyCons!$C$4:$C$10000)*1,ISNUMBER(SEARCH("T_C*ICE*nga*s2",[1]OUT_TransportEnergyCons!$A$4:$A$10000))*1,[1]OUT_TransportEnergyCons!L$4:L$10000)</f>
        <v>0</v>
      </c>
      <c r="O1951" s="1" cm="1">
        <f t="array" ref="O1951">SUMPRODUCT(("Var_Cap"=[1]OUT_TransportEnergyCons!$B$4:$B$10000)*1,("-"=[1]OUT_TransportEnergyCons!$C$4:$C$10000)*1,ISNUMBER(SEARCH("T_C*ICE*nga*s2",[1]OUT_TransportEnergyCons!$A$4:$A$10000))*1,[1]OUT_TransportEnergyCons!M$4:M$10000)</f>
        <v>0</v>
      </c>
      <c r="P1951" s="1" cm="1">
        <f t="array" ref="P1951">SUMPRODUCT(("Var_Cap"=[1]OUT_TransportEnergyCons!$B$4:$B$10000)*1,("-"=[1]OUT_TransportEnergyCons!$C$4:$C$10000)*1,ISNUMBER(SEARCH("T_C*ICE*nga*s2",[1]OUT_TransportEnergyCons!$A$4:$A$10000))*1,[1]OUT_TransportEnergyCons!N$4:N$10000)</f>
        <v>0</v>
      </c>
      <c r="Q1951" s="1" cm="1">
        <f t="array" ref="Q1951">SUMPRODUCT(("Var_Cap"=[1]OUT_TransportEnergyCons!$B$4:$B$10000)*1,("-"=[1]OUT_TransportEnergyCons!$C$4:$C$10000)*1,ISNUMBER(SEARCH("T_C*ICE*nga*s2",[1]OUT_TransportEnergyCons!$A$4:$A$10000))*1,[1]OUT_TransportEnergyCons!O$4:O$10000)</f>
        <v>0</v>
      </c>
      <c r="S1951" s="3"/>
    </row>
    <row r="1952" spans="2:19" x14ac:dyDescent="0.5">
      <c r="B1952" s="5" t="str">
        <f t="shared" si="2152"/>
        <v>SPS1</v>
      </c>
      <c r="C1952" s="5" t="str">
        <f t="shared" si="2153"/>
        <v>CH</v>
      </c>
      <c r="D1952" t="s">
        <v>1969</v>
      </c>
      <c r="E1952" t="str">
        <f t="shared" si="2154"/>
        <v>Million</v>
      </c>
      <c r="F1952" s="1" cm="1">
        <f t="array" ref="F1952">SUMPRODUCT(("Var_Cap"=[1]OUT_TransportEnergyCons!$B$4:$B$10000)*1,("-"=[1]OUT_TransportEnergyCons!$C$4:$C$10000)*1,ISNUMBER(SEARCH("T_C*ICE*nga*s3",[1]OUT_TransportEnergyCons!$A$4:$A$10000))*1,[1]OUT_TransportEnergyCons!D$4:D$10000)</f>
        <v>1.5112174236928E-4</v>
      </c>
      <c r="G1952" s="1" cm="1">
        <f t="array" ref="G1952">SUMPRODUCT(("Var_Cap"=[1]OUT_TransportEnergyCons!$B$4:$B$10000)*1,("-"=[1]OUT_TransportEnergyCons!$C$4:$C$10000)*1,ISNUMBER(SEARCH("T_C*ICE*nga*s3",[1]OUT_TransportEnergyCons!$A$4:$A$10000))*1,[1]OUT_TransportEnergyCons!E$4:E$10000)</f>
        <v>1.6097376667536219E-4</v>
      </c>
      <c r="H1952" s="1" cm="1">
        <f t="array" ref="H1952">SUMPRODUCT(("Var_Cap"=[1]OUT_TransportEnergyCons!$B$4:$B$10000)*1,("-"=[1]OUT_TransportEnergyCons!$C$4:$C$10000)*1,ISNUMBER(SEARCH("T_C*ICE*nga*s3",[1]OUT_TransportEnergyCons!$A$4:$A$10000))*1,[1]OUT_TransportEnergyCons!F$4:F$10000)</f>
        <v>1.7487863469876151E-4</v>
      </c>
      <c r="I1952" s="1" cm="1">
        <f t="array" ref="I1952">SUMPRODUCT(("Var_Cap"=[1]OUT_TransportEnergyCons!$B$4:$B$10000)*1,("-"=[1]OUT_TransportEnergyCons!$C$4:$C$10000)*1,ISNUMBER(SEARCH("T_C*ICE*nga*s3",[1]OUT_TransportEnergyCons!$A$4:$A$10000))*1,[1]OUT_TransportEnergyCons!G$4:G$10000)</f>
        <v>1.1288930668027592E-5</v>
      </c>
      <c r="J1952" s="1" cm="1">
        <f t="array" ref="J1952">SUMPRODUCT(("Var_Cap"=[1]OUT_TransportEnergyCons!$B$4:$B$10000)*1,("-"=[1]OUT_TransportEnergyCons!$C$4:$C$10000)*1,ISNUMBER(SEARCH("T_C*ICE*nga*s3",[1]OUT_TransportEnergyCons!$A$4:$A$10000))*1,[1]OUT_TransportEnergyCons!H$4:H$10000)</f>
        <v>1.4620042833989196E-6</v>
      </c>
      <c r="K1952" s="1" cm="1">
        <f t="array" ref="K1952">SUMPRODUCT(("Var_Cap"=[1]OUT_TransportEnergyCons!$B$4:$B$10000)*1,("-"=[1]OUT_TransportEnergyCons!$C$4:$C$10000)*1,ISNUMBER(SEARCH("T_C*ICE*nga*s3",[1]OUT_TransportEnergyCons!$A$4:$A$10000))*1,[1]OUT_TransportEnergyCons!I$4:I$10000)</f>
        <v>-1.5154091578736014E-7</v>
      </c>
      <c r="L1952" s="1" cm="1">
        <f t="array" ref="L1952">SUMPRODUCT(("Var_Cap"=[1]OUT_TransportEnergyCons!$B$4:$B$10000)*1,("-"=[1]OUT_TransportEnergyCons!$C$4:$C$10000)*1,ISNUMBER(SEARCH("T_C*ICE*nga*s3",[1]OUT_TransportEnergyCons!$A$4:$A$10000))*1,[1]OUT_TransportEnergyCons!J$4:J$10000)</f>
        <v>0</v>
      </c>
      <c r="M1952" s="1" cm="1">
        <f t="array" ref="M1952">SUMPRODUCT(("Var_Cap"=[1]OUT_TransportEnergyCons!$B$4:$B$10000)*1,("-"=[1]OUT_TransportEnergyCons!$C$4:$C$10000)*1,ISNUMBER(SEARCH("T_C*ICE*nga*s3",[1]OUT_TransportEnergyCons!$A$4:$A$10000))*1,[1]OUT_TransportEnergyCons!K$4:K$10000)</f>
        <v>0</v>
      </c>
      <c r="N1952" s="1" cm="1">
        <f t="array" ref="N1952">SUMPRODUCT(("Var_Cap"=[1]OUT_TransportEnergyCons!$B$4:$B$10000)*1,("-"=[1]OUT_TransportEnergyCons!$C$4:$C$10000)*1,ISNUMBER(SEARCH("T_C*ICE*nga*s3",[1]OUT_TransportEnergyCons!$A$4:$A$10000))*1,[1]OUT_TransportEnergyCons!L$4:L$10000)</f>
        <v>0</v>
      </c>
      <c r="O1952" s="1" cm="1">
        <f t="array" ref="O1952">SUMPRODUCT(("Var_Cap"=[1]OUT_TransportEnergyCons!$B$4:$B$10000)*1,("-"=[1]OUT_TransportEnergyCons!$C$4:$C$10000)*1,ISNUMBER(SEARCH("T_C*ICE*nga*s3",[1]OUT_TransportEnergyCons!$A$4:$A$10000))*1,[1]OUT_TransportEnergyCons!M$4:M$10000)</f>
        <v>0</v>
      </c>
      <c r="P1952" s="1" cm="1">
        <f t="array" ref="P1952">SUMPRODUCT(("Var_Cap"=[1]OUT_TransportEnergyCons!$B$4:$B$10000)*1,("-"=[1]OUT_TransportEnergyCons!$C$4:$C$10000)*1,ISNUMBER(SEARCH("T_C*ICE*nga*s3",[1]OUT_TransportEnergyCons!$A$4:$A$10000))*1,[1]OUT_TransportEnergyCons!N$4:N$10000)</f>
        <v>0</v>
      </c>
      <c r="Q1952" s="1" cm="1">
        <f t="array" ref="Q1952">SUMPRODUCT(("Var_Cap"=[1]OUT_TransportEnergyCons!$B$4:$B$10000)*1,("-"=[1]OUT_TransportEnergyCons!$C$4:$C$10000)*1,ISNUMBER(SEARCH("T_C*ICE*nga*s3",[1]OUT_TransportEnergyCons!$A$4:$A$10000))*1,[1]OUT_TransportEnergyCons!O$4:O$10000)</f>
        <v>0</v>
      </c>
      <c r="S1952" s="3"/>
    </row>
    <row r="1953" spans="2:19" x14ac:dyDescent="0.5">
      <c r="B1953" s="5" t="str">
        <f t="shared" si="2152"/>
        <v>SPS1</v>
      </c>
      <c r="C1953" s="5" t="str">
        <f t="shared" si="2153"/>
        <v>CH</v>
      </c>
      <c r="D1953" t="s">
        <v>1970</v>
      </c>
      <c r="E1953" t="str">
        <f t="shared" si="2154"/>
        <v>Million</v>
      </c>
      <c r="F1953" s="1" cm="1">
        <f t="array" ref="F1953">SUMPRODUCT(("Var_Cap"=[1]OUT_TransportEnergyCons!$B$4:$B$10000)*1,("-"=[1]OUT_TransportEnergyCons!$C$4:$C$10000)*1,ISNUMBER(SEARCH("T_C*ICE*nga*s4",[1]OUT_TransportEnergyCons!$A$4:$A$10000))*1,[1]OUT_TransportEnergyCons!D$4:D$10000)</f>
        <v>2.6074482428115001E-3</v>
      </c>
      <c r="G1953" s="1" cm="1">
        <f t="array" ref="G1953">SUMPRODUCT(("Var_Cap"=[1]OUT_TransportEnergyCons!$B$4:$B$10000)*1,("-"=[1]OUT_TransportEnergyCons!$C$4:$C$10000)*1,ISNUMBER(SEARCH("T_C*ICE*nga*s4",[1]OUT_TransportEnergyCons!$A$4:$A$10000))*1,[1]OUT_TransportEnergyCons!E$4:E$10000)</f>
        <v>2.5356960001243316E-3</v>
      </c>
      <c r="H1953" s="1" cm="1">
        <f t="array" ref="H1953">SUMPRODUCT(("Var_Cap"=[1]OUT_TransportEnergyCons!$B$4:$B$10000)*1,("-"=[1]OUT_TransportEnergyCons!$C$4:$C$10000)*1,ISNUMBER(SEARCH("T_C*ICE*nga*s4",[1]OUT_TransportEnergyCons!$A$4:$A$10000))*1,[1]OUT_TransportEnergyCons!F$4:F$10000)</f>
        <v>2.42975040214522E-3</v>
      </c>
      <c r="I1953" s="1" cm="1">
        <f t="array" ref="I1953">SUMPRODUCT(("Var_Cap"=[1]OUT_TransportEnergyCons!$B$4:$B$10000)*1,("-"=[1]OUT_TransportEnergyCons!$C$4:$C$10000)*1,ISNUMBER(SEARCH("T_C*ICE*nga*s4",[1]OUT_TransportEnergyCons!$A$4:$A$10000))*1,[1]OUT_TransportEnergyCons!G$4:G$10000)</f>
        <v>-1.1533684061177264E-6</v>
      </c>
      <c r="J1953" s="1" cm="1">
        <f t="array" ref="J1953">SUMPRODUCT(("Var_Cap"=[1]OUT_TransportEnergyCons!$B$4:$B$10000)*1,("-"=[1]OUT_TransportEnergyCons!$C$4:$C$10000)*1,ISNUMBER(SEARCH("T_C*ICE*nga*s4",[1]OUT_TransportEnergyCons!$A$4:$A$10000))*1,[1]OUT_TransportEnergyCons!H$4:H$10000)</f>
        <v>-7.9098963848219005E-7</v>
      </c>
      <c r="K1953" s="1" cm="1">
        <f t="array" ref="K1953">SUMPRODUCT(("Var_Cap"=[1]OUT_TransportEnergyCons!$B$4:$B$10000)*1,("-"=[1]OUT_TransportEnergyCons!$C$4:$C$10000)*1,ISNUMBER(SEARCH("T_C*ICE*nga*s4",[1]OUT_TransportEnergyCons!$A$4:$A$10000))*1,[1]OUT_TransportEnergyCons!I$4:I$10000)</f>
        <v>-1.3029478716366973E-7</v>
      </c>
      <c r="L1953" s="1" cm="1">
        <f t="array" ref="L1953">SUMPRODUCT(("Var_Cap"=[1]OUT_TransportEnergyCons!$B$4:$B$10000)*1,("-"=[1]OUT_TransportEnergyCons!$C$4:$C$10000)*1,ISNUMBER(SEARCH("T_C*ICE*nga*s4",[1]OUT_TransportEnergyCons!$A$4:$A$10000))*1,[1]OUT_TransportEnergyCons!J$4:J$10000)</f>
        <v>0</v>
      </c>
      <c r="M1953" s="1" cm="1">
        <f t="array" ref="M1953">SUMPRODUCT(("Var_Cap"=[1]OUT_TransportEnergyCons!$B$4:$B$10000)*1,("-"=[1]OUT_TransportEnergyCons!$C$4:$C$10000)*1,ISNUMBER(SEARCH("T_C*ICE*nga*s4",[1]OUT_TransportEnergyCons!$A$4:$A$10000))*1,[1]OUT_TransportEnergyCons!K$4:K$10000)</f>
        <v>0</v>
      </c>
      <c r="N1953" s="1" cm="1">
        <f t="array" ref="N1953">SUMPRODUCT(("Var_Cap"=[1]OUT_TransportEnergyCons!$B$4:$B$10000)*1,("-"=[1]OUT_TransportEnergyCons!$C$4:$C$10000)*1,ISNUMBER(SEARCH("T_C*ICE*nga*s4",[1]OUT_TransportEnergyCons!$A$4:$A$10000))*1,[1]OUT_TransportEnergyCons!L$4:L$10000)</f>
        <v>0</v>
      </c>
      <c r="O1953" s="1" cm="1">
        <f t="array" ref="O1953">SUMPRODUCT(("Var_Cap"=[1]OUT_TransportEnergyCons!$B$4:$B$10000)*1,("-"=[1]OUT_TransportEnergyCons!$C$4:$C$10000)*1,ISNUMBER(SEARCH("T_C*ICE*nga*s4",[1]OUT_TransportEnergyCons!$A$4:$A$10000))*1,[1]OUT_TransportEnergyCons!M$4:M$10000)</f>
        <v>0</v>
      </c>
      <c r="P1953" s="1" cm="1">
        <f t="array" ref="P1953">SUMPRODUCT(("Var_Cap"=[1]OUT_TransportEnergyCons!$B$4:$B$10000)*1,("-"=[1]OUT_TransportEnergyCons!$C$4:$C$10000)*1,ISNUMBER(SEARCH("T_C*ICE*nga*s4",[1]OUT_TransportEnergyCons!$A$4:$A$10000))*1,[1]OUT_TransportEnergyCons!N$4:N$10000)</f>
        <v>0</v>
      </c>
      <c r="Q1953" s="1" cm="1">
        <f t="array" ref="Q1953">SUMPRODUCT(("Var_Cap"=[1]OUT_TransportEnergyCons!$B$4:$B$10000)*1,("-"=[1]OUT_TransportEnergyCons!$C$4:$C$10000)*1,ISNUMBER(SEARCH("T_C*ICE*nga*s4",[1]OUT_TransportEnergyCons!$A$4:$A$10000))*1,[1]OUT_TransportEnergyCons!O$4:O$10000)</f>
        <v>0</v>
      </c>
      <c r="S1953" s="3"/>
    </row>
    <row r="1954" spans="2:19" x14ac:dyDescent="0.5">
      <c r="B1954" s="5" t="str">
        <f>B1953</f>
        <v>SPS1</v>
      </c>
      <c r="C1954" s="5" t="str">
        <f>C1953</f>
        <v>CH</v>
      </c>
      <c r="D1954" s="2" t="s">
        <v>1973</v>
      </c>
      <c r="E1954" s="2" t="s">
        <v>1999</v>
      </c>
      <c r="F1954" s="3">
        <f>SUM(F1955:F1977)</f>
        <v>5.7247141746114805</v>
      </c>
      <c r="G1954" s="3">
        <f t="shared" ref="G1954:K1954" si="2155">SUM(G1955:G1977)</f>
        <v>5.680952342876469</v>
      </c>
      <c r="H1954" s="3">
        <f t="shared" si="2155"/>
        <v>5.8411408110982279</v>
      </c>
      <c r="I1954" s="3">
        <f t="shared" si="2155"/>
        <v>6.65468642914034</v>
      </c>
      <c r="J1954" s="3">
        <f t="shared" si="2155"/>
        <v>6.8257942582234739</v>
      </c>
      <c r="K1954" s="3">
        <f t="shared" si="2155"/>
        <v>7.2467190509592339</v>
      </c>
      <c r="L1954" s="3">
        <f t="shared" ref="L1954:O1954" si="2156">SUM(L1955:L1977)</f>
        <v>7.4726513207000593</v>
      </c>
      <c r="M1954" s="3">
        <f t="shared" si="2156"/>
        <v>7.7128778987393591</v>
      </c>
      <c r="N1954" s="3">
        <f t="shared" si="2156"/>
        <v>7.9954274360448698</v>
      </c>
      <c r="O1954" s="3">
        <f t="shared" si="2156"/>
        <v>8.232460861115058</v>
      </c>
      <c r="P1954" s="3">
        <f>SUM(P1955:P1977)</f>
        <v>8.4602335481919031</v>
      </c>
      <c r="Q1954" s="3">
        <f>SUM(Q1955:Q1977)</f>
        <v>8.6787811958892469</v>
      </c>
      <c r="S1954" s="3"/>
    </row>
    <row r="1955" spans="2:19" x14ac:dyDescent="0.5">
      <c r="B1955" s="5" t="str">
        <f t="shared" ref="B1955:B1977" si="2157">B1954</f>
        <v>SPS1</v>
      </c>
      <c r="C1955" s="5" t="str">
        <f t="shared" ref="C1955:C1977" si="2158">C1954</f>
        <v>CH</v>
      </c>
      <c r="D1955" t="s">
        <v>1978</v>
      </c>
      <c r="E1955" t="s">
        <v>1999</v>
      </c>
      <c r="F1955" s="1" cm="1">
        <f t="array" ref="F1955">(SUMPRODUCT(("Var_Cap"=[1]OUT_TransportEnergyCons!$B$4:$B$10000)*1,ISNUMBER(SEARCH("T_B_u*bev*ext",[1]OUT_TransportEnergyCons!$A$4:$A$10000))*1,[1]OUT_TransportEnergyCons!D$4:D$10000))*1000</f>
        <v>3.777566863497616E-2</v>
      </c>
      <c r="G1955" s="1" cm="1">
        <f t="array" ref="G1955">(SUMPRODUCT(("Var_Cap"=[1]OUT_TransportEnergyCons!$B$4:$B$10000)*1,ISNUMBER(SEARCH("T_B_u*bev*ext",[1]OUT_TransportEnergyCons!$A$4:$A$10000))*1,[1]OUT_TransportEnergyCons!E$4:E$10000))*1000</f>
        <v>3.0231644004944401E-2</v>
      </c>
      <c r="H1955" s="1" cm="1">
        <f t="array" ref="H1955">(SUMPRODUCT(("Var_Cap"=[1]OUT_TransportEnergyCons!$B$4:$B$10000)*1,ISNUMBER(SEARCH("T_B_u*bev*ext",[1]OUT_TransportEnergyCons!$A$4:$A$10000))*1,[1]OUT_TransportEnergyCons!F$4:F$10000))*1000</f>
        <v>1.8894777503090199E-2</v>
      </c>
      <c r="I1955" s="1" cm="1">
        <f t="array" ref="I1955">(SUMPRODUCT(("Var_Cap"=[1]OUT_TransportEnergyCons!$B$4:$B$10000)*1,ISNUMBER(SEARCH("T_B_u*bev*ext",[1]OUT_TransportEnergyCons!$A$4:$A$10000))*1,[1]OUT_TransportEnergyCons!G$4:G$10000))*1000</f>
        <v>0</v>
      </c>
      <c r="J1955" s="1" cm="1">
        <f t="array" ref="J1955">(SUMPRODUCT(("Var_Cap"=[1]OUT_TransportEnergyCons!$B$4:$B$10000)*1,ISNUMBER(SEARCH("T_B_u*bev*ext",[1]OUT_TransportEnergyCons!$A$4:$A$10000))*1,[1]OUT_TransportEnergyCons!H$4:H$10000))*1000</f>
        <v>0</v>
      </c>
      <c r="K1955" s="1" cm="1">
        <f t="array" ref="K1955">(SUMPRODUCT(("Var_Cap"=[1]OUT_TransportEnergyCons!$B$4:$B$10000)*1,ISNUMBER(SEARCH("T_B_u*bev*ext",[1]OUT_TransportEnergyCons!$A$4:$A$10000))*1,[1]OUT_TransportEnergyCons!I$4:I$10000))*1000</f>
        <v>0</v>
      </c>
      <c r="L1955" s="1" cm="1">
        <f t="array" ref="L1955">(SUMPRODUCT(("Var_Cap"=[1]OUT_TransportEnergyCons!$B$4:$B$10000)*1,ISNUMBER(SEARCH("T_B_u*bev*ext",[1]OUT_TransportEnergyCons!$A$4:$A$10000))*1,[1]OUT_TransportEnergyCons!J$4:J$10000))*1000</f>
        <v>0</v>
      </c>
      <c r="M1955" s="1" cm="1">
        <f t="array" ref="M1955">(SUMPRODUCT(("Var_Cap"=[1]OUT_TransportEnergyCons!$B$4:$B$10000)*1,ISNUMBER(SEARCH("T_B_u*bev*ext",[1]OUT_TransportEnergyCons!$A$4:$A$10000))*1,[1]OUT_TransportEnergyCons!K$4:K$10000))*1000</f>
        <v>0</v>
      </c>
      <c r="N1955" s="1" cm="1">
        <f t="array" ref="N1955">(SUMPRODUCT(("Var_Cap"=[1]OUT_TransportEnergyCons!$B$4:$B$10000)*1,ISNUMBER(SEARCH("T_B_u*bev*ext",[1]OUT_TransportEnergyCons!$A$4:$A$10000))*1,[1]OUT_TransportEnergyCons!L$4:L$10000))*1000</f>
        <v>0</v>
      </c>
      <c r="O1955" s="1" cm="1">
        <f t="array" ref="O1955">(SUMPRODUCT(("Var_Cap"=[1]OUT_TransportEnergyCons!$B$4:$B$10000)*1,ISNUMBER(SEARCH("T_B_u*bev*ext",[1]OUT_TransportEnergyCons!$A$4:$A$10000))*1,[1]OUT_TransportEnergyCons!M$4:M$10000))*1000</f>
        <v>0</v>
      </c>
      <c r="P1955" s="1" cm="1">
        <f t="array" ref="P1955">(SUMPRODUCT(("Var_Cap"=[1]OUT_TransportEnergyCons!$B$4:$B$10000)*1,ISNUMBER(SEARCH("T_B_u*bev*ext",[1]OUT_TransportEnergyCons!$A$4:$A$10000))*1,[1]OUT_TransportEnergyCons!N$4:N$10000))*1000</f>
        <v>0</v>
      </c>
      <c r="Q1955" s="1" cm="1">
        <f t="array" ref="Q1955">(SUMPRODUCT(("Var_Cap"=[1]OUT_TransportEnergyCons!$B$4:$B$10000)*1,ISNUMBER(SEARCH("T_B_u*bev*ext",[1]OUT_TransportEnergyCons!$A$4:$A$10000))*1,[1]OUT_TransportEnergyCons!O$4:O$10000))*1000</f>
        <v>0</v>
      </c>
      <c r="S1955" s="3"/>
    </row>
    <row r="1956" spans="2:19" x14ac:dyDescent="0.5">
      <c r="B1956" s="5" t="str">
        <f t="shared" si="2157"/>
        <v>SPS1</v>
      </c>
      <c r="C1956" s="5" t="str">
        <f t="shared" si="2158"/>
        <v>CH</v>
      </c>
      <c r="D1956" t="s">
        <v>1979</v>
      </c>
      <c r="E1956" t="s">
        <v>1999</v>
      </c>
      <c r="F1956" s="1" cm="1">
        <f t="array" ref="F1956">(SUMPRODUCT(("Var_Cap"=[1]OUT_TransportEnergyCons!$B$4:$B$10000)*1,ISNUMBER(SEARCH("T_B_u*bev*s1",[1]OUT_TransportEnergyCons!$A$4:$A$10000))*1,[1]OUT_TransportEnergyCons!D$4:D$10000))*1000</f>
        <v>3.02390998593531E-5</v>
      </c>
      <c r="G1956" s="1" cm="1">
        <f t="array" ref="G1956">(SUMPRODUCT(("Var_Cap"=[1]OUT_TransportEnergyCons!$B$4:$B$10000)*1,ISNUMBER(SEARCH("T_B_u*bev*s1",[1]OUT_TransportEnergyCons!$A$4:$A$10000))*1,[1]OUT_TransportEnergyCons!E$4:E$10000))*1000</f>
        <v>3.8840015092630853E-2</v>
      </c>
      <c r="H1956" s="1" cm="1">
        <f t="array" ref="H1956">(SUMPRODUCT(("Var_Cap"=[1]OUT_TransportEnergyCons!$B$4:$B$10000)*1,ISNUMBER(SEARCH("T_B_u*bev*s1",[1]OUT_TransportEnergyCons!$A$4:$A$10000))*1,[1]OUT_TransportEnergyCons!F$4:F$10000))*1000</f>
        <v>1.2029237634693828</v>
      </c>
      <c r="I1956" s="1" cm="1">
        <f t="array" ref="I1956">(SUMPRODUCT(("Var_Cap"=[1]OUT_TransportEnergyCons!$B$4:$B$10000)*1,ISNUMBER(SEARCH("T_B_u*bev*s1",[1]OUT_TransportEnergyCons!$A$4:$A$10000))*1,[1]OUT_TransportEnergyCons!G$4:G$10000))*1000</f>
        <v>2.6225948343155494</v>
      </c>
      <c r="J1956" s="1" cm="1">
        <f t="array" ref="J1956">(SUMPRODUCT(("Var_Cap"=[1]OUT_TransportEnergyCons!$B$4:$B$10000)*1,ISNUMBER(SEARCH("T_B_u*bev*s1",[1]OUT_TransportEnergyCons!$A$4:$A$10000))*1,[1]OUT_TransportEnergyCons!H$4:H$10000))*1000</f>
        <v>2.6135351391916202</v>
      </c>
      <c r="K1956" s="1" cm="1">
        <f t="array" ref="K1956">(SUMPRODUCT(("Var_Cap"=[1]OUT_TransportEnergyCons!$B$4:$B$10000)*1,ISNUMBER(SEARCH("T_B_u*bev*s1",[1]OUT_TransportEnergyCons!$A$4:$A$10000))*1,[1]OUT_TransportEnergyCons!I$4:I$10000))*1000</f>
        <v>2.8559264451485369</v>
      </c>
      <c r="L1956" s="1" cm="1">
        <f t="array" ref="L1956">(SUMPRODUCT(("Var_Cap"=[1]OUT_TransportEnergyCons!$B$4:$B$10000)*1,ISNUMBER(SEARCH("T_B_u*bev*s1",[1]OUT_TransportEnergyCons!$A$4:$A$10000))*1,[1]OUT_TransportEnergyCons!J$4:J$10000))*1000</f>
        <v>2.9278823485625791</v>
      </c>
      <c r="M1956" s="1" cm="1">
        <f t="array" ref="M1956">(SUMPRODUCT(("Var_Cap"=[1]OUT_TransportEnergyCons!$B$4:$B$10000)*1,ISNUMBER(SEARCH("T_B_u*bev*s1",[1]OUT_TransportEnergyCons!$A$4:$A$10000))*1,[1]OUT_TransportEnergyCons!K$4:K$10000))*1000</f>
        <v>3.0108155519274877</v>
      </c>
      <c r="N1956" s="1" cm="1">
        <f t="array" ref="N1956">(SUMPRODUCT(("Var_Cap"=[1]OUT_TransportEnergyCons!$B$4:$B$10000)*1,ISNUMBER(SEARCH("T_B_u*bev*s1",[1]OUT_TransportEnergyCons!$A$4:$A$10000))*1,[1]OUT_TransportEnergyCons!L$4:L$10000))*1000</f>
        <v>3.1642822710770426</v>
      </c>
      <c r="O1956" s="1" cm="1">
        <f t="array" ref="O1956">(SUMPRODUCT(("Var_Cap"=[1]OUT_TransportEnergyCons!$B$4:$B$10000)*1,ISNUMBER(SEARCH("T_B_u*bev*s1",[1]OUT_TransportEnergyCons!$A$4:$A$10000))*1,[1]OUT_TransportEnergyCons!M$4:M$10000))*1000</f>
        <v>3.2597636345249494</v>
      </c>
      <c r="P1956" s="1" cm="1">
        <f t="array" ref="P1956">(SUMPRODUCT(("Var_Cap"=[1]OUT_TransportEnergyCons!$B$4:$B$10000)*1,ISNUMBER(SEARCH("T_B_u*bev*s1",[1]OUT_TransportEnergyCons!$A$4:$A$10000))*1,[1]OUT_TransportEnergyCons!N$4:N$10000))*1000</f>
        <v>3.337761263424238</v>
      </c>
      <c r="Q1956" s="1" cm="1">
        <f t="array" ref="Q1956">(SUMPRODUCT(("Var_Cap"=[1]OUT_TransportEnergyCons!$B$4:$B$10000)*1,ISNUMBER(SEARCH("T_B_u*bev*s1",[1]OUT_TransportEnergyCons!$A$4:$A$10000))*1,[1]OUT_TransportEnergyCons!O$4:O$10000))*1000</f>
        <v>3.3732357089982985</v>
      </c>
      <c r="S1956" s="3"/>
    </row>
    <row r="1957" spans="2:19" x14ac:dyDescent="0.5">
      <c r="B1957" s="5" t="str">
        <f t="shared" si="2157"/>
        <v>SPS1</v>
      </c>
      <c r="C1957" s="5" t="str">
        <f t="shared" si="2158"/>
        <v>CH</v>
      </c>
      <c r="D1957" t="s">
        <v>1980</v>
      </c>
      <c r="E1957" t="s">
        <v>1999</v>
      </c>
      <c r="F1957" s="1" cm="1">
        <f t="array" ref="F1957">(SUMPRODUCT(("Var_Cap"=[1]OUT_TransportEnergyCons!$B$4:$B$10000)*1,ISNUMBER(SEARCH("T_B_u*bev*s2",[1]OUT_TransportEnergyCons!$A$4:$A$10000))*1,[1]OUT_TransportEnergyCons!D$4:D$10000))*1000</f>
        <v>7.834799593859321E-3</v>
      </c>
      <c r="G1957" s="1" cm="1">
        <f t="array" ref="G1957">(SUMPRODUCT(("Var_Cap"=[1]OUT_TransportEnergyCons!$B$4:$B$10000)*1,ISNUMBER(SEARCH("T_B_u*bev*s2",[1]OUT_TransportEnergyCons!$A$4:$A$10000))*1,[1]OUT_TransportEnergyCons!E$4:E$10000))*1000</f>
        <v>1.9218642261902785E-2</v>
      </c>
      <c r="H1957" s="1" cm="1">
        <f t="array" ref="H1957">(SUMPRODUCT(("Var_Cap"=[1]OUT_TransportEnergyCons!$B$4:$B$10000)*1,ISNUMBER(SEARCH("T_B_u*bev*s2",[1]OUT_TransportEnergyCons!$A$4:$A$10000))*1,[1]OUT_TransportEnergyCons!F$4:F$10000))*1000</f>
        <v>0.43346360069746687</v>
      </c>
      <c r="I1957" s="1" cm="1">
        <f t="array" ref="I1957">(SUMPRODUCT(("Var_Cap"=[1]OUT_TransportEnergyCons!$B$4:$B$10000)*1,ISNUMBER(SEARCH("T_B_u*bev*s2",[1]OUT_TransportEnergyCons!$A$4:$A$10000))*1,[1]OUT_TransportEnergyCons!G$4:G$10000))*1000</f>
        <v>0.74733258904129873</v>
      </c>
      <c r="J1957" s="1" cm="1">
        <f t="array" ref="J1957">(SUMPRODUCT(("Var_Cap"=[1]OUT_TransportEnergyCons!$B$4:$B$10000)*1,ISNUMBER(SEARCH("T_B_u*bev*s2",[1]OUT_TransportEnergyCons!$A$4:$A$10000))*1,[1]OUT_TransportEnergyCons!H$4:H$10000))*1000</f>
        <v>0.78386328510822989</v>
      </c>
      <c r="K1957" s="1" cm="1">
        <f t="array" ref="K1957">(SUMPRODUCT(("Var_Cap"=[1]OUT_TransportEnergyCons!$B$4:$B$10000)*1,ISNUMBER(SEARCH("T_B_u*bev*s2",[1]OUT_TransportEnergyCons!$A$4:$A$10000))*1,[1]OUT_TransportEnergyCons!I$4:I$10000))*1000</f>
        <v>0.81759974412697134</v>
      </c>
      <c r="L1957" s="1" cm="1">
        <f t="array" ref="L1957">(SUMPRODUCT(("Var_Cap"=[1]OUT_TransportEnergyCons!$B$4:$B$10000)*1,ISNUMBER(SEARCH("T_B_u*bev*s2",[1]OUT_TransportEnergyCons!$A$4:$A$10000))*1,[1]OUT_TransportEnergyCons!J$4:J$10000))*1000</f>
        <v>0.84671814017531188</v>
      </c>
      <c r="M1957" s="1" cm="1">
        <f t="array" ref="M1957">(SUMPRODUCT(("Var_Cap"=[1]OUT_TransportEnergyCons!$B$4:$B$10000)*1,ISNUMBER(SEARCH("T_B_u*bev*s2",[1]OUT_TransportEnergyCons!$A$4:$A$10000))*1,[1]OUT_TransportEnergyCons!K$4:K$10000))*1000</f>
        <v>0.87722053336922057</v>
      </c>
      <c r="N1957" s="1" cm="1">
        <f t="array" ref="N1957">(SUMPRODUCT(("Var_Cap"=[1]OUT_TransportEnergyCons!$B$4:$B$10000)*1,ISNUMBER(SEARCH("T_B_u*bev*s2",[1]OUT_TransportEnergyCons!$A$4:$A$10000))*1,[1]OUT_TransportEnergyCons!L$4:L$10000))*1000</f>
        <v>0.90051582232086513</v>
      </c>
      <c r="O1957" s="1" cm="1">
        <f t="array" ref="O1957">(SUMPRODUCT(("Var_Cap"=[1]OUT_TransportEnergyCons!$B$4:$B$10000)*1,ISNUMBER(SEARCH("T_B_u*bev*s2",[1]OUT_TransportEnergyCons!$A$4:$A$10000))*1,[1]OUT_TransportEnergyCons!M$4:M$10000))*1000</f>
        <v>0.92843361492895293</v>
      </c>
      <c r="P1957" s="1" cm="1">
        <f t="array" ref="P1957">(SUMPRODUCT(("Var_Cap"=[1]OUT_TransportEnergyCons!$B$4:$B$10000)*1,ISNUMBER(SEARCH("T_B_u*bev*s2",[1]OUT_TransportEnergyCons!$A$4:$A$10000))*1,[1]OUT_TransportEnergyCons!N$4:N$10000))*1000</f>
        <v>0.95488504569576393</v>
      </c>
      <c r="Q1957" s="1" cm="1">
        <f t="array" ref="Q1957">(SUMPRODUCT(("Var_Cap"=[1]OUT_TransportEnergyCons!$B$4:$B$10000)*1,ISNUMBER(SEARCH("T_B_u*bev*s2",[1]OUT_TransportEnergyCons!$A$4:$A$10000))*1,[1]OUT_TransportEnergyCons!O$4:O$10000))*1000</f>
        <v>0.99182324318810355</v>
      </c>
      <c r="S1957" s="3"/>
    </row>
    <row r="1958" spans="2:19" x14ac:dyDescent="0.5">
      <c r="B1958" s="5" t="str">
        <f t="shared" si="2157"/>
        <v>SPS1</v>
      </c>
      <c r="C1958" s="5" t="str">
        <f t="shared" si="2158"/>
        <v>CH</v>
      </c>
      <c r="D1958" t="s">
        <v>1981</v>
      </c>
      <c r="E1958" t="s">
        <v>1999</v>
      </c>
      <c r="F1958" s="1" cm="1">
        <f t="array" ref="F1958">(SUMPRODUCT(("Var_Cap"=[1]OUT_TransportEnergyCons!$B$4:$B$10000)*1,ISNUMBER(SEARCH("T_B_u*bev*s3",[1]OUT_TransportEnergyCons!$A$4:$A$10000))*1,[1]OUT_TransportEnergyCons!D$4:D$10000))*1000</f>
        <v>3.4352312538640906E-2</v>
      </c>
      <c r="G1958" s="1" cm="1">
        <f t="array" ref="G1958">(SUMPRODUCT(("Var_Cap"=[1]OUT_TransportEnergyCons!$B$4:$B$10000)*1,ISNUMBER(SEARCH("T_B_u*bev*s3",[1]OUT_TransportEnergyCons!$A$4:$A$10000))*1,[1]OUT_TransportEnergyCons!E$4:E$10000))*1000</f>
        <v>5.293823740753046E-2</v>
      </c>
      <c r="H1958" s="1" cm="1">
        <f t="array" ref="H1958">(SUMPRODUCT(("Var_Cap"=[1]OUT_TransportEnergyCons!$B$4:$B$10000)*1,ISNUMBER(SEARCH("T_B_u*bev*s3",[1]OUT_TransportEnergyCons!$A$4:$A$10000))*1,[1]OUT_TransportEnergyCons!F$4:F$10000))*1000</f>
        <v>1.8946656260285344</v>
      </c>
      <c r="I1958" s="1" cm="1">
        <f t="array" ref="I1958">(SUMPRODUCT(("Var_Cap"=[1]OUT_TransportEnergyCons!$B$4:$B$10000)*1,ISNUMBER(SEARCH("T_B_u*bev*s3",[1]OUT_TransportEnergyCons!$A$4:$A$10000))*1,[1]OUT_TransportEnergyCons!G$4:G$10000))*1000</f>
        <v>3.1998331577926793</v>
      </c>
      <c r="J1958" s="1" cm="1">
        <f t="array" ref="J1958">(SUMPRODUCT(("Var_Cap"=[1]OUT_TransportEnergyCons!$B$4:$B$10000)*1,ISNUMBER(SEARCH("T_B_u*bev*s3",[1]OUT_TransportEnergyCons!$A$4:$A$10000))*1,[1]OUT_TransportEnergyCons!H$4:H$10000))*1000</f>
        <v>3.4177985684399403</v>
      </c>
      <c r="K1958" s="1" cm="1">
        <f t="array" ref="K1958">(SUMPRODUCT(("Var_Cap"=[1]OUT_TransportEnergyCons!$B$4:$B$10000)*1,ISNUMBER(SEARCH("T_B_u*bev*s3",[1]OUT_TransportEnergyCons!$A$4:$A$10000))*1,[1]OUT_TransportEnergyCons!I$4:I$10000))*1000</f>
        <v>3.5702528175617361</v>
      </c>
      <c r="L1958" s="1" cm="1">
        <f t="array" ref="L1958">(SUMPRODUCT(("Var_Cap"=[1]OUT_TransportEnergyCons!$B$4:$B$10000)*1,ISNUMBER(SEARCH("T_B_u*bev*s3",[1]OUT_TransportEnergyCons!$A$4:$A$10000))*1,[1]OUT_TransportEnergyCons!J$4:J$10000))*1000</f>
        <v>3.6952611279645118</v>
      </c>
      <c r="M1958" s="1" cm="1">
        <f t="array" ref="M1958">(SUMPRODUCT(("Var_Cap"=[1]OUT_TransportEnergyCons!$B$4:$B$10000)*1,ISNUMBER(SEARCH("T_B_u*bev*s3",[1]OUT_TransportEnergyCons!$A$4:$A$10000))*1,[1]OUT_TransportEnergyCons!K$4:K$10000))*1000</f>
        <v>3.8212531674545001</v>
      </c>
      <c r="N1958" s="1" cm="1">
        <f t="array" ref="N1958">(SUMPRODUCT(("Var_Cap"=[1]OUT_TransportEnergyCons!$B$4:$B$10000)*1,ISNUMBER(SEARCH("T_B_u*bev*s3",[1]OUT_TransportEnergyCons!$A$4:$A$10000))*1,[1]OUT_TransportEnergyCons!L$4:L$10000))*1000</f>
        <v>3.9275985802783859</v>
      </c>
      <c r="O1958" s="1" cm="1">
        <f t="array" ref="O1958">(SUMPRODUCT(("Var_Cap"=[1]OUT_TransportEnergyCons!$B$4:$B$10000)*1,ISNUMBER(SEARCH("T_B_u*bev*s3",[1]OUT_TransportEnergyCons!$A$4:$A$10000))*1,[1]OUT_TransportEnergyCons!M$4:M$10000))*1000</f>
        <v>4.0401864833553613</v>
      </c>
      <c r="P1958" s="1" cm="1">
        <f t="array" ref="P1958">(SUMPRODUCT(("Var_Cap"=[1]OUT_TransportEnergyCons!$B$4:$B$10000)*1,ISNUMBER(SEARCH("T_B_u*bev*s3",[1]OUT_TransportEnergyCons!$A$4:$A$10000))*1,[1]OUT_TransportEnergyCons!N$4:N$10000))*1000</f>
        <v>4.163368623672822</v>
      </c>
      <c r="Q1958" s="1" cm="1">
        <f t="array" ref="Q1958">(SUMPRODUCT(("Var_Cap"=[1]OUT_TransportEnergyCons!$B$4:$B$10000)*1,ISNUMBER(SEARCH("T_B_u*bev*s3",[1]OUT_TransportEnergyCons!$A$4:$A$10000))*1,[1]OUT_TransportEnergyCons!O$4:O$10000))*1000</f>
        <v>4.3068349190288089</v>
      </c>
      <c r="S1958" s="3"/>
    </row>
    <row r="1959" spans="2:19" x14ac:dyDescent="0.5">
      <c r="B1959" s="5" t="str">
        <f t="shared" si="2157"/>
        <v>SPS1</v>
      </c>
      <c r="C1959" s="5" t="str">
        <f t="shared" si="2158"/>
        <v>CH</v>
      </c>
      <c r="D1959" t="s">
        <v>1982</v>
      </c>
      <c r="E1959" t="s">
        <v>1999</v>
      </c>
      <c r="F1959" s="1" cm="1">
        <f t="array" ref="F1959">(SUMPRODUCT(("Var_Cap"=[1]OUT_TransportEnergyCons!$B$4:$B$10000)*1,ISNUMBER(SEARCH("T_B_u*bev*s4",[1]OUT_TransportEnergyCons!$A$4:$A$10000))*1,[1]OUT_TransportEnergyCons!D$4:D$10000))*1000</f>
        <v>4.2334739803094297E-4</v>
      </c>
      <c r="G1959" s="1" cm="1">
        <f t="array" ref="G1959">(SUMPRODUCT(("Var_Cap"=[1]OUT_TransportEnergyCons!$B$4:$B$10000)*1,ISNUMBER(SEARCH("T_B_u*bev*s4",[1]OUT_TransportEnergyCons!$A$4:$A$10000))*1,[1]OUT_TransportEnergyCons!E$4:E$10000))*1000</f>
        <v>8.5261171421446901E-4</v>
      </c>
      <c r="H1959" s="1" cm="1">
        <f t="array" ref="H1959">(SUMPRODUCT(("Var_Cap"=[1]OUT_TransportEnergyCons!$B$4:$B$10000)*1,ISNUMBER(SEARCH("T_B_u*bev*s4",[1]OUT_TransportEnergyCons!$A$4:$A$10000))*1,[1]OUT_TransportEnergyCons!F$4:F$10000))*1000</f>
        <v>1.7592758604704343E-3</v>
      </c>
      <c r="I1959" s="1" cm="1">
        <f t="array" ref="I1959">(SUMPRODUCT(("Var_Cap"=[1]OUT_TransportEnergyCons!$B$4:$B$10000)*1,ISNUMBER(SEARCH("T_B_u*bev*s4",[1]OUT_TransportEnergyCons!$A$4:$A$10000))*1,[1]OUT_TransportEnergyCons!G$4:G$10000))*1000</f>
        <v>6.2927628071415885E-4</v>
      </c>
      <c r="J1959" s="1" cm="1">
        <f t="array" ref="J1959">(SUMPRODUCT(("Var_Cap"=[1]OUT_TransportEnergyCons!$B$4:$B$10000)*1,ISNUMBER(SEARCH("T_B_u*bev*s4",[1]OUT_TransportEnergyCons!$A$4:$A$10000))*1,[1]OUT_TransportEnergyCons!H$4:H$10000))*1000</f>
        <v>1.6883085513298983E-3</v>
      </c>
      <c r="K1959" s="1" cm="1">
        <f t="array" ref="K1959">(SUMPRODUCT(("Var_Cap"=[1]OUT_TransportEnergyCons!$B$4:$B$10000)*1,ISNUMBER(SEARCH("T_B_u*bev*s4",[1]OUT_TransportEnergyCons!$A$4:$A$10000))*1,[1]OUT_TransportEnergyCons!I$4:I$10000))*1000</f>
        <v>1.7412254956829351E-3</v>
      </c>
      <c r="L1959" s="1" cm="1">
        <f t="array" ref="L1959">(SUMPRODUCT(("Var_Cap"=[1]OUT_TransportEnergyCons!$B$4:$B$10000)*1,ISNUMBER(SEARCH("T_B_u*bev*s4",[1]OUT_TransportEnergyCons!$A$4:$A$10000))*1,[1]OUT_TransportEnergyCons!J$4:J$10000))*1000</f>
        <v>1.9436365513644329E-3</v>
      </c>
      <c r="M1959" s="1" cm="1">
        <f t="array" ref="M1959">(SUMPRODUCT(("Var_Cap"=[1]OUT_TransportEnergyCons!$B$4:$B$10000)*1,ISNUMBER(SEARCH("T_B_u*bev*s4",[1]OUT_TransportEnergyCons!$A$4:$A$10000))*1,[1]OUT_TransportEnergyCons!K$4:K$10000))*1000</f>
        <v>3.2721595410869731E-3</v>
      </c>
      <c r="N1959" s="1" cm="1">
        <f t="array" ref="N1959">(SUMPRODUCT(("Var_Cap"=[1]OUT_TransportEnergyCons!$B$4:$B$10000)*1,ISNUMBER(SEARCH("T_B_u*bev*s4",[1]OUT_TransportEnergyCons!$A$4:$A$10000))*1,[1]OUT_TransportEnergyCons!L$4:L$10000))*1000</f>
        <v>2.4569940915705503E-3</v>
      </c>
      <c r="O1959" s="1" cm="1">
        <f t="array" ref="O1959">(SUMPRODUCT(("Var_Cap"=[1]OUT_TransportEnergyCons!$B$4:$B$10000)*1,ISNUMBER(SEARCH("T_B_u*bev*s4",[1]OUT_TransportEnergyCons!$A$4:$A$10000))*1,[1]OUT_TransportEnergyCons!M$4:M$10000))*1000</f>
        <v>3.4975248914573555E-3</v>
      </c>
      <c r="P1959" s="1" cm="1">
        <f t="array" ref="P1959">(SUMPRODUCT(("Var_Cap"=[1]OUT_TransportEnergyCons!$B$4:$B$10000)*1,ISNUMBER(SEARCH("T_B_u*bev*s4",[1]OUT_TransportEnergyCons!$A$4:$A$10000))*1,[1]OUT_TransportEnergyCons!N$4:N$10000))*1000</f>
        <v>3.6438649742456296E-3</v>
      </c>
      <c r="Q1959" s="1" cm="1">
        <f t="array" ref="Q1959">(SUMPRODUCT(("Var_Cap"=[1]OUT_TransportEnergyCons!$B$4:$B$10000)*1,ISNUMBER(SEARCH("T_B_u*bev*s4",[1]OUT_TransportEnergyCons!$A$4:$A$10000))*1,[1]OUT_TransportEnergyCons!O$4:O$10000))*1000</f>
        <v>6.2856336714141644E-3</v>
      </c>
      <c r="S1959" s="3"/>
    </row>
    <row r="1960" spans="2:19" x14ac:dyDescent="0.5">
      <c r="B1960" s="5" t="str">
        <f t="shared" si="2157"/>
        <v>SPS1</v>
      </c>
      <c r="C1960" s="5" t="str">
        <f t="shared" si="2158"/>
        <v>CH</v>
      </c>
      <c r="D1960" t="s">
        <v>1983</v>
      </c>
      <c r="E1960" t="s">
        <v>1999</v>
      </c>
      <c r="F1960" s="1" cm="1">
        <f t="array" ref="F1960">(SUMPRODUCT(("Var_Cap"=[1]OUT_TransportEnergyCons!$B$4:$B$10000)*1,ISNUMBER(SEARCH("T_B_u*h2o*s1",[1]OUT_TransportEnergyCons!$A$4:$A$10000))*1,[1]OUT_TransportEnergyCons!D$4:D$10000))*1000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(SUMPRODUCT(("Var_Cap"=[1]OUT_TransportEnergyCons!$B$4:$B$10000)*1,ISNUMBER(SEARCH("T_B_u*h2o*s1",[1]OUT_TransportEnergyCons!$A$4:$A$10000))*1,[1]OUT_TransportEnergyCons!E$4:E$10000))*1000</f>
        <v>0</v>
      </c>
      <c r="H1960" s="1" cm="1">
        <f t="array" ref="H1960">(SUMPRODUCT(("Var_Cap"=[1]OUT_TransportEnergyCons!$B$4:$B$10000)*1,ISNUMBER(SEARCH("T_B_u*h2o*s1",[1]OUT_TransportEnergyCons!$A$4:$A$10000))*1,[1]OUT_TransportEnergyCons!F$4:F$10000))*1000</f>
        <v>0</v>
      </c>
      <c r="I1960" s="1" cm="1">
        <f t="array" ref="I1960">(SUMPRODUCT(("Var_Cap"=[1]OUT_TransportEnergyCons!$B$4:$B$10000)*1,ISNUMBER(SEARCH("T_B_u*h2o*s1",[1]OUT_TransportEnergyCons!$A$4:$A$10000))*1,[1]OUT_TransportEnergyCons!G$4:G$10000))*1000</f>
        <v>1.8428544523236201E-4</v>
      </c>
      <c r="J1960" s="1" cm="1">
        <f t="array" ref="J1960">(SUMPRODUCT(("Var_Cap"=[1]OUT_TransportEnergyCons!$B$4:$B$10000)*1,ISNUMBER(SEARCH("T_B_u*h2o*s1",[1]OUT_TransportEnergyCons!$A$4:$A$10000))*1,[1]OUT_TransportEnergyCons!H$4:H$10000))*1000</f>
        <v>1.4982526839426203E-4</v>
      </c>
      <c r="K1960" s="1" cm="1">
        <f t="array" ref="K1960">(SUMPRODUCT(("Var_Cap"=[1]OUT_TransportEnergyCons!$B$4:$B$10000)*1,ISNUMBER(SEARCH("T_B_u*h2o*s1",[1]OUT_TransportEnergyCons!$A$4:$A$10000))*1,[1]OUT_TransportEnergyCons!I$4:I$10000))*1000</f>
        <v>2.096456300996484E-4</v>
      </c>
      <c r="L1960" s="1" cm="1">
        <f t="array" ref="L1960">(SUMPRODUCT(("Var_Cap"=[1]OUT_TransportEnergyCons!$B$4:$B$10000)*1,ISNUMBER(SEARCH("T_B_u*h2o*s1",[1]OUT_TransportEnergyCons!$A$4:$A$10000))*1,[1]OUT_TransportEnergyCons!J$4:J$10000))*1000</f>
        <v>2.0974124829232203E-4</v>
      </c>
      <c r="M1960" s="1" cm="1">
        <f t="array" ref="M1960">(SUMPRODUCT(("Var_Cap"=[1]OUT_TransportEnergyCons!$B$4:$B$10000)*1,ISNUMBER(SEARCH("T_B_u*h2o*s1",[1]OUT_TransportEnergyCons!$A$4:$A$10000))*1,[1]OUT_TransportEnergyCons!K$4:K$10000))*1000</f>
        <v>2.2506560537824849E-4</v>
      </c>
      <c r="N1960" s="1" cm="1">
        <f t="array" ref="N1960">(SUMPRODUCT(("Var_Cap"=[1]OUT_TransportEnergyCons!$B$4:$B$10000)*1,ISNUMBER(SEARCH("T_B_u*h2o*s1",[1]OUT_TransportEnergyCons!$A$4:$A$10000))*1,[1]OUT_TransportEnergyCons!L$4:L$10000))*1000</f>
        <v>1.8677134740162601E-4</v>
      </c>
      <c r="O1960" s="1" cm="1">
        <f t="array" ref="O1960">(SUMPRODUCT(("Var_Cap"=[1]OUT_TransportEnergyCons!$B$4:$B$10000)*1,ISNUMBER(SEARCH("T_B_u*h2o*s1",[1]OUT_TransportEnergyCons!$A$4:$A$10000))*1,[1]OUT_TransportEnergyCons!M$4:M$10000))*1000</f>
        <v>2.0066102672284099E-4</v>
      </c>
      <c r="P1960" s="1" cm="1">
        <f t="array" ref="P1960">(SUMPRODUCT(("Var_Cap"=[1]OUT_TransportEnergyCons!$B$4:$B$10000)*1,ISNUMBER(SEARCH("T_B_u*h2o*s1",[1]OUT_TransportEnergyCons!$A$4:$A$10000))*1,[1]OUT_TransportEnergyCons!N$4:N$10000))*1000</f>
        <v>2.0425176840531119E-4</v>
      </c>
      <c r="Q1960" s="1" cm="1">
        <f t="array" ref="Q1960">(SUMPRODUCT(("Var_Cap"=[1]OUT_TransportEnergyCons!$B$4:$B$10000)*1,ISNUMBER(SEARCH("T_B_u*h2o*s1",[1]OUT_TransportEnergyCons!$A$4:$A$10000))*1,[1]OUT_TransportEnergyCons!O$4:O$10000))*1000</f>
        <v>2.1113329133730401E-4</v>
      </c>
      <c r="S1960" s="3"/>
    </row>
    <row r="1961" spans="2:19" x14ac:dyDescent="0.5">
      <c r="B1961" s="5" t="str">
        <f t="shared" si="2157"/>
        <v>SPS1</v>
      </c>
      <c r="C1961" s="5" t="str">
        <f t="shared" si="2158"/>
        <v>CH</v>
      </c>
      <c r="D1961" t="s">
        <v>1984</v>
      </c>
      <c r="E1961" t="s">
        <v>1999</v>
      </c>
      <c r="F1961" s="1" cm="1">
        <f t="array" ref="F1961">IF((SUMPRODUCT(("Var_Cap"=[1]OUT_TransportEnergyCons!$B$4:$B$10000)*1,ISNUMBER(SEARCH("T_B_u*h2o*s2",[1]OUT_TransportEnergyCons!$A$4:$A$10000))*1,[1]OUT_TransportEnergyCons!D$4:D$10000))*1000&lt;0,0,(SUMPRODUCT(("Var_Cap"=[1]OUT_TransportEnergyCons!$B$4:$B$10000)*1,ISNUMBER(SEARCH("T_B_u*h2o*s2",[1]OUT_TransportEnergyCons!$A$4:$A$10000))*1,[1]OUT_TransportEnergyCons!D$4:D$10000))*1000)</f>
        <v>0</v>
      </c>
      <c r="G1961" s="1" cm="1">
        <f t="array" ref="G1961">IF((SUMPRODUCT(("Var_Cap"=[1]OUT_TransportEnergyCons!$B$4:$B$10000)*1,ISNUMBER(SEARCH("T_B_u*h2o*s2",[1]OUT_TransportEnergyCons!$A$4:$A$10000))*1,[1]OUT_TransportEnergyCons!E$4:E$10000))*1000&lt;0,0,(SUMPRODUCT(("Var_Cap"=[1]OUT_TransportEnergyCons!$B$4:$B$10000)*1,ISNUMBER(SEARCH("T_B_u*h2o*s2",[1]OUT_TransportEnergyCons!$A$4:$A$10000))*1,[1]OUT_TransportEnergyCons!E$4:E$10000))*1000)</f>
        <v>0</v>
      </c>
      <c r="H1961" s="1" cm="1">
        <f t="array" ref="H1961">IF((SUMPRODUCT(("Var_Cap"=[1]OUT_TransportEnergyCons!$B$4:$B$10000)*1,ISNUMBER(SEARCH("T_B_u*h2o*s2",[1]OUT_TransportEnergyCons!$A$4:$A$10000))*1,[1]OUT_TransportEnergyCons!F$4:F$10000))*1000&lt;0,0,(SUMPRODUCT(("Var_Cap"=[1]OUT_TransportEnergyCons!$B$4:$B$10000)*1,ISNUMBER(SEARCH("T_B_u*h2o*s2",[1]OUT_TransportEnergyCons!$A$4:$A$10000))*1,[1]OUT_TransportEnergyCons!F$4:F$10000))*1000)</f>
        <v>0</v>
      </c>
      <c r="I1961" s="1" cm="1">
        <f t="array" ref="I1961">IF((SUMPRODUCT(("Var_Cap"=[1]OUT_TransportEnergyCons!$B$4:$B$10000)*1,ISNUMBER(SEARCH("T_B_u*h2o*s2",[1]OUT_TransportEnergyCons!$A$4:$A$10000))*1,[1]OUT_TransportEnergyCons!G$4:G$10000))*1000&lt;0,0,(SUMPRODUCT(("Var_Cap"=[1]OUT_TransportEnergyCons!$B$4:$B$10000)*1,ISNUMBER(SEARCH("T_B_u*h2o*s2",[1]OUT_TransportEnergyCons!$A$4:$A$10000))*1,[1]OUT_TransportEnergyCons!G$4:G$10000))*1000)</f>
        <v>8.1031354671642306E-5</v>
      </c>
      <c r="J1961" s="1" cm="1">
        <f t="array" ref="J1961">IF((SUMPRODUCT(("Var_Cap"=[1]OUT_TransportEnergyCons!$B$4:$B$10000)*1,ISNUMBER(SEARCH("T_B_u*h2o*s2",[1]OUT_TransportEnergyCons!$A$4:$A$10000))*1,[1]OUT_TransportEnergyCons!H$4:H$10000))*1000&lt;0,0,(SUMPRODUCT(("Var_Cap"=[1]OUT_TransportEnergyCons!$B$4:$B$10000)*1,ISNUMBER(SEARCH("T_B_u*h2o*s2",[1]OUT_TransportEnergyCons!$A$4:$A$10000))*1,[1]OUT_TransportEnergyCons!H$4:H$10000))*1000)</f>
        <v>6.7108107281863008E-5</v>
      </c>
      <c r="K1961" s="1" cm="1">
        <f t="array" ref="K1961">IF((SUMPRODUCT(("Var_Cap"=[1]OUT_TransportEnergyCons!$B$4:$B$10000)*1,ISNUMBER(SEARCH("T_B_u*h2o*s2",[1]OUT_TransportEnergyCons!$A$4:$A$10000))*1,[1]OUT_TransportEnergyCons!I$4:I$10000))*1000&lt;0,0,(SUMPRODUCT(("Var_Cap"=[1]OUT_TransportEnergyCons!$B$4:$B$10000)*1,ISNUMBER(SEARCH("T_B_u*h2o*s2",[1]OUT_TransportEnergyCons!$A$4:$A$10000))*1,[1]OUT_TransportEnergyCons!I$4:I$10000))*1000)</f>
        <v>9.2784482904599593E-5</v>
      </c>
      <c r="L1961" s="1" cm="1">
        <f t="array" ref="L1961">IF((SUMPRODUCT(("Var_Cap"=[1]OUT_TransportEnergyCons!$B$4:$B$10000)*1,ISNUMBER(SEARCH("T_B_u*h2o*s2",[1]OUT_TransportEnergyCons!$A$4:$A$10000))*1,[1]OUT_TransportEnergyCons!J$4:J$10000))*1000&lt;0,0,(SUMPRODUCT(("Var_Cap"=[1]OUT_TransportEnergyCons!$B$4:$B$10000)*1,ISNUMBER(SEARCH("T_B_u*h2o*s2",[1]OUT_TransportEnergyCons!$A$4:$A$10000))*1,[1]OUT_TransportEnergyCons!J$4:J$10000))*1000)</f>
        <v>9.1798129058945379E-5</v>
      </c>
      <c r="M1961" s="1" cm="1">
        <f t="array" ref="M1961">IF((SUMPRODUCT(("Var_Cap"=[1]OUT_TransportEnergyCons!$B$4:$B$10000)*1,ISNUMBER(SEARCH("T_B_u*h2o*s2",[1]OUT_TransportEnergyCons!$A$4:$A$10000))*1,[1]OUT_TransportEnergyCons!K$4:K$10000))*1000&lt;0,0,(SUMPRODUCT(("Var_Cap"=[1]OUT_TransportEnergyCons!$B$4:$B$10000)*1,ISNUMBER(SEARCH("T_B_u*h2o*s2",[1]OUT_TransportEnergyCons!$A$4:$A$10000))*1,[1]OUT_TransportEnergyCons!K$4:K$10000))*1000)</f>
        <v>1.2014830349546119E-4</v>
      </c>
      <c r="N1961" s="1" cm="1">
        <f t="array" ref="N1961">IF((SUMPRODUCT(("Var_Cap"=[1]OUT_TransportEnergyCons!$B$4:$B$10000)*1,ISNUMBER(SEARCH("T_B_u*h2o*s2",[1]OUT_TransportEnergyCons!$A$4:$A$10000))*1,[1]OUT_TransportEnergyCons!L$4:L$10000))*1000&lt;0,0,(SUMPRODUCT(("Var_Cap"=[1]OUT_TransportEnergyCons!$B$4:$B$10000)*1,ISNUMBER(SEARCH("T_B_u*h2o*s2",[1]OUT_TransportEnergyCons!$A$4:$A$10000))*1,[1]OUT_TransportEnergyCons!L$4:L$10000))*1000)</f>
        <v>1.098179981120739E-4</v>
      </c>
      <c r="O1961" s="1" cm="1">
        <f t="array" ref="O1961">IF((SUMPRODUCT(("Var_Cap"=[1]OUT_TransportEnergyCons!$B$4:$B$10000)*1,ISNUMBER(SEARCH("T_B_u*h2o*s2",[1]OUT_TransportEnergyCons!$A$4:$A$10000))*1,[1]OUT_TransportEnergyCons!M$4:M$10000))*1000&lt;0,0,(SUMPRODUCT(("Var_Cap"=[1]OUT_TransportEnergyCons!$B$4:$B$10000)*1,ISNUMBER(SEARCH("T_B_u*h2o*s2",[1]OUT_TransportEnergyCons!$A$4:$A$10000))*1,[1]OUT_TransportEnergyCons!M$4:M$10000))*1000)</f>
        <v>1.1992361368393341E-4</v>
      </c>
      <c r="P1961" s="1" cm="1">
        <f t="array" ref="P1961">IF((SUMPRODUCT(("Var_Cap"=[1]OUT_TransportEnergyCons!$B$4:$B$10000)*1,ISNUMBER(SEARCH("T_B_u*h2o*s2",[1]OUT_TransportEnergyCons!$A$4:$A$10000))*1,[1]OUT_TransportEnergyCons!N$4:N$10000))*1000&lt;0,0,(SUMPRODUCT(("Var_Cap"=[1]OUT_TransportEnergyCons!$B$4:$B$10000)*1,ISNUMBER(SEARCH("T_B_u*h2o*s2",[1]OUT_TransportEnergyCons!$A$4:$A$10000))*1,[1]OUT_TransportEnergyCons!N$4:N$10000))*1000)</f>
        <v>1.3195491602812352E-4</v>
      </c>
      <c r="Q1961" s="1" cm="1">
        <f t="array" ref="Q1961">IF((SUMPRODUCT(("Var_Cap"=[1]OUT_TransportEnergyCons!$B$4:$B$10000)*1,ISNUMBER(SEARCH("T_B_u*h2o*s2",[1]OUT_TransportEnergyCons!$A$4:$A$10000))*1,[1]OUT_TransportEnergyCons!O$4:O$10000))*1000&lt;0,0,(SUMPRODUCT(("Var_Cap"=[1]OUT_TransportEnergyCons!$B$4:$B$10000)*1,ISNUMBER(SEARCH("T_B_u*h2o*s2",[1]OUT_TransportEnergyCons!$A$4:$A$10000))*1,[1]OUT_TransportEnergyCons!O$4:O$10000))*1000)</f>
        <v>1.5752694848930482E-4</v>
      </c>
      <c r="S1961" s="3"/>
    </row>
    <row r="1962" spans="2:19" x14ac:dyDescent="0.5">
      <c r="B1962" s="5" t="str">
        <f t="shared" si="2157"/>
        <v>SPS1</v>
      </c>
      <c r="C1962" s="5" t="str">
        <f t="shared" si="2158"/>
        <v>CH</v>
      </c>
      <c r="D1962" t="s">
        <v>1985</v>
      </c>
      <c r="E1962" t="s">
        <v>1999</v>
      </c>
      <c r="F1962" s="1" cm="1">
        <f t="array" ref="F1962">IF((SUMPRODUCT(("Var_Cap"=[1]OUT_TransportEnergyCons!$B$4:$B$10000)*1,ISNUMBER(SEARCH("T_B_u*h2o*s3",[1]OUT_TransportEnergyCons!$A$4:$A$10000))*1,[1]OUT_TransportEnergyCons!D$4:D$10000))*1000&lt;0,0,(SUMPRODUCT(("Var_Cap"=[1]OUT_TransportEnergyCons!$B$4:$B$10000)*1,ISNUMBER(SEARCH("T_B_u*h2o*s3",[1]OUT_TransportEnergyCons!$A$4:$A$10000))*1,[1]OUT_TransportEnergyCons!D$4:D$10000))*1000)</f>
        <v>0</v>
      </c>
      <c r="G1962" s="1" cm="1">
        <f t="array" ref="G1962">IF((SUMPRODUCT(("Var_Cap"=[1]OUT_TransportEnergyCons!$B$4:$B$10000)*1,ISNUMBER(SEARCH("T_B_u*h2o*s3",[1]OUT_TransportEnergyCons!$A$4:$A$10000))*1,[1]OUT_TransportEnergyCons!E$4:E$10000))*1000&lt;0,0,(SUMPRODUCT(("Var_Cap"=[1]OUT_TransportEnergyCons!$B$4:$B$10000)*1,ISNUMBER(SEARCH("T_B_u*h2o*s3",[1]OUT_TransportEnergyCons!$A$4:$A$10000))*1,[1]OUT_TransportEnergyCons!E$4:E$10000))*1000)</f>
        <v>0</v>
      </c>
      <c r="H1962" s="1" cm="1">
        <f t="array" ref="H1962">IF((SUMPRODUCT(("Var_Cap"=[1]OUT_TransportEnergyCons!$B$4:$B$10000)*1,ISNUMBER(SEARCH("T_B_u*h2o*s3",[1]OUT_TransportEnergyCons!$A$4:$A$10000))*1,[1]OUT_TransportEnergyCons!F$4:F$10000))*1000&lt;0,0,(SUMPRODUCT(("Var_Cap"=[1]OUT_TransportEnergyCons!$B$4:$B$10000)*1,ISNUMBER(SEARCH("T_B_u*h2o*s3",[1]OUT_TransportEnergyCons!$A$4:$A$10000))*1,[1]OUT_TransportEnergyCons!F$4:F$10000))*1000)</f>
        <v>0</v>
      </c>
      <c r="I1962" s="1" cm="1">
        <f t="array" ref="I1962">IF((SUMPRODUCT(("Var_Cap"=[1]OUT_TransportEnergyCons!$B$4:$B$10000)*1,ISNUMBER(SEARCH("T_B_u*h2o*s3",[1]OUT_TransportEnergyCons!$A$4:$A$10000))*1,[1]OUT_TransportEnergyCons!G$4:G$10000))*1000&lt;0,0,(SUMPRODUCT(("Var_Cap"=[1]OUT_TransportEnergyCons!$B$4:$B$10000)*1,ISNUMBER(SEARCH("T_B_u*h2o*s3",[1]OUT_TransportEnergyCons!$A$4:$A$10000))*1,[1]OUT_TransportEnergyCons!G$4:G$10000))*1000)</f>
        <v>4.5015924488082596E-4</v>
      </c>
      <c r="J1962" s="1" cm="1">
        <f t="array" ref="J1962">IF((SUMPRODUCT(("Var_Cap"=[1]OUT_TransportEnergyCons!$B$4:$B$10000)*1,ISNUMBER(SEARCH("T_B_u*h2o*s3",[1]OUT_TransportEnergyCons!$A$4:$A$10000))*1,[1]OUT_TransportEnergyCons!H$4:H$10000))*1000&lt;0,0,(SUMPRODUCT(("Var_Cap"=[1]OUT_TransportEnergyCons!$B$4:$B$10000)*1,ISNUMBER(SEARCH("T_B_u*h2o*s3",[1]OUT_TransportEnergyCons!$A$4:$A$10000))*1,[1]OUT_TransportEnergyCons!H$4:H$10000))*1000)</f>
        <v>4.1037475689642273E-4</v>
      </c>
      <c r="K1962" s="1" cm="1">
        <f t="array" ref="K1962">IF((SUMPRODUCT(("Var_Cap"=[1]OUT_TransportEnergyCons!$B$4:$B$10000)*1,ISNUMBER(SEARCH("T_B_u*h2o*s3",[1]OUT_TransportEnergyCons!$A$4:$A$10000))*1,[1]OUT_TransportEnergyCons!I$4:I$10000))*1000&lt;0,0,(SUMPRODUCT(("Var_Cap"=[1]OUT_TransportEnergyCons!$B$4:$B$10000)*1,ISNUMBER(SEARCH("T_B_u*h2o*s3",[1]OUT_TransportEnergyCons!$A$4:$A$10000))*1,[1]OUT_TransportEnergyCons!I$4:I$10000))*1000)</f>
        <v>2.38141024424321E-4</v>
      </c>
      <c r="L1962" s="1" cm="1">
        <f t="array" ref="L1962">IF((SUMPRODUCT(("Var_Cap"=[1]OUT_TransportEnergyCons!$B$4:$B$10000)*1,ISNUMBER(SEARCH("T_B_u*h2o*s3",[1]OUT_TransportEnergyCons!$A$4:$A$10000))*1,[1]OUT_TransportEnergyCons!J$4:J$10000))*1000&lt;0,0,(SUMPRODUCT(("Var_Cap"=[1]OUT_TransportEnergyCons!$B$4:$B$10000)*1,ISNUMBER(SEARCH("T_B_u*h2o*s3",[1]OUT_TransportEnergyCons!$A$4:$A$10000))*1,[1]OUT_TransportEnergyCons!J$4:J$10000))*1000)</f>
        <v>2.2299209287789261E-4</v>
      </c>
      <c r="M1962" s="1" cm="1">
        <f t="array" ref="M1962">IF((SUMPRODUCT(("Var_Cap"=[1]OUT_TransportEnergyCons!$B$4:$B$10000)*1,ISNUMBER(SEARCH("T_B_u*h2o*s3",[1]OUT_TransportEnergyCons!$A$4:$A$10000))*1,[1]OUT_TransportEnergyCons!K$4:K$10000))*1000&lt;0,0,(SUMPRODUCT(("Var_Cap"=[1]OUT_TransportEnergyCons!$B$4:$B$10000)*1,ISNUMBER(SEARCH("T_B_u*h2o*s3",[1]OUT_TransportEnergyCons!$A$4:$A$10000))*1,[1]OUT_TransportEnergyCons!K$4:K$10000))*1000)</f>
        <v>2.2807041763731902E-4</v>
      </c>
      <c r="N1962" s="1" cm="1">
        <f t="array" ref="N1962">IF((SUMPRODUCT(("Var_Cap"=[1]OUT_TransportEnergyCons!$B$4:$B$10000)*1,ISNUMBER(SEARCH("T_B_u*h2o*s3",[1]OUT_TransportEnergyCons!$A$4:$A$10000))*1,[1]OUT_TransportEnergyCons!L$4:L$10000))*1000&lt;0,0,(SUMPRODUCT(("Var_Cap"=[1]OUT_TransportEnergyCons!$B$4:$B$10000)*1,ISNUMBER(SEARCH("T_B_u*h2o*s3",[1]OUT_TransportEnergyCons!$A$4:$A$10000))*1,[1]OUT_TransportEnergyCons!L$4:L$10000))*1000)</f>
        <v>2.771789314922419E-4</v>
      </c>
      <c r="O1962" s="1" cm="1">
        <f t="array" ref="O1962">IF((SUMPRODUCT(("Var_Cap"=[1]OUT_TransportEnergyCons!$B$4:$B$10000)*1,ISNUMBER(SEARCH("T_B_u*h2o*s3",[1]OUT_TransportEnergyCons!$A$4:$A$10000))*1,[1]OUT_TransportEnergyCons!M$4:M$10000))*1000&lt;0,0,(SUMPRODUCT(("Var_Cap"=[1]OUT_TransportEnergyCons!$B$4:$B$10000)*1,ISNUMBER(SEARCH("T_B_u*h2o*s3",[1]OUT_TransportEnergyCons!$A$4:$A$10000))*1,[1]OUT_TransportEnergyCons!M$4:M$10000))*1000)</f>
        <v>2.59018773931223E-4</v>
      </c>
      <c r="P1962" s="1" cm="1">
        <f t="array" ref="P1962">IF((SUMPRODUCT(("Var_Cap"=[1]OUT_TransportEnergyCons!$B$4:$B$10000)*1,ISNUMBER(SEARCH("T_B_u*h2o*s3",[1]OUT_TransportEnergyCons!$A$4:$A$10000))*1,[1]OUT_TransportEnergyCons!N$4:N$10000))*1000&lt;0,0,(SUMPRODUCT(("Var_Cap"=[1]OUT_TransportEnergyCons!$B$4:$B$10000)*1,ISNUMBER(SEARCH("T_B_u*h2o*s3",[1]OUT_TransportEnergyCons!$A$4:$A$10000))*1,[1]OUT_TransportEnergyCons!N$4:N$10000))*1000)</f>
        <v>2.3854374040052957E-4</v>
      </c>
      <c r="Q1962" s="1" cm="1">
        <f t="array" ref="Q1962">IF((SUMPRODUCT(("Var_Cap"=[1]OUT_TransportEnergyCons!$B$4:$B$10000)*1,ISNUMBER(SEARCH("T_B_u*h2o*s3",[1]OUT_TransportEnergyCons!$A$4:$A$10000))*1,[1]OUT_TransportEnergyCons!O$4:O$10000))*1000&lt;0,0,(SUMPRODUCT(("Var_Cap"=[1]OUT_TransportEnergyCons!$B$4:$B$10000)*1,ISNUMBER(SEARCH("T_B_u*h2o*s3",[1]OUT_TransportEnergyCons!$A$4:$A$10000))*1,[1]OUT_TransportEnergyCons!O$4:O$10000))*1000)</f>
        <v>2.2985649614087371E-4</v>
      </c>
      <c r="S1962" s="3"/>
    </row>
    <row r="1963" spans="2:19" x14ac:dyDescent="0.5">
      <c r="B1963" s="5" t="str">
        <f t="shared" si="2157"/>
        <v>SPS1</v>
      </c>
      <c r="C1963" s="5" t="str">
        <f t="shared" si="2158"/>
        <v>CH</v>
      </c>
      <c r="D1963" t="s">
        <v>1986</v>
      </c>
      <c r="E1963" t="s">
        <v>1999</v>
      </c>
      <c r="F1963" s="1" cm="1">
        <f t="array" ref="F1963">IF((SUMPRODUCT(("Var_Cap"=[1]OUT_TransportEnergyCons!$B$4:$B$10000)*1,ISNUMBER(SEARCH("T_B_u*h2o*s4",[1]OUT_TransportEnergyCons!$A$4:$A$10000))*1,[1]OUT_TransportEnergyCons!D$4:D$10000))*1000&lt;0,0,(SUMPRODUCT(("Var_Cap"=[1]OUT_TransportEnergyCons!$B$4:$B$10000)*1,ISNUMBER(SEARCH("T_B_u*h2o*s4",[1]OUT_TransportEnergyCons!$A$4:$A$10000))*1,[1]OUT_TransportEnergyCons!D$4:D$10000))*1000)</f>
        <v>0</v>
      </c>
      <c r="G1963" s="1" cm="1">
        <f t="array" ref="G1963">IF((SUMPRODUCT(("Var_Cap"=[1]OUT_TransportEnergyCons!$B$4:$B$10000)*1,ISNUMBER(SEARCH("T_B_u*h2o*s4",[1]OUT_TransportEnergyCons!$A$4:$A$10000))*1,[1]OUT_TransportEnergyCons!E$4:E$10000))*1000&lt;0,0,(SUMPRODUCT(("Var_Cap"=[1]OUT_TransportEnergyCons!$B$4:$B$10000)*1,ISNUMBER(SEARCH("T_B_u*h2o*s4",[1]OUT_TransportEnergyCons!$A$4:$A$10000))*1,[1]OUT_TransportEnergyCons!E$4:E$10000))*1000)</f>
        <v>0</v>
      </c>
      <c r="H1963" s="1" cm="1">
        <f t="array" ref="H1963">IF((SUMPRODUCT(("Var_Cap"=[1]OUT_TransportEnergyCons!$B$4:$B$10000)*1,ISNUMBER(SEARCH("T_B_u*h2o*s4",[1]OUT_TransportEnergyCons!$A$4:$A$10000))*1,[1]OUT_TransportEnergyCons!F$4:F$10000))*1000&lt;0,0,(SUMPRODUCT(("Var_Cap"=[1]OUT_TransportEnergyCons!$B$4:$B$10000)*1,ISNUMBER(SEARCH("T_B_u*h2o*s4",[1]OUT_TransportEnergyCons!$A$4:$A$10000))*1,[1]OUT_TransportEnergyCons!F$4:F$10000))*1000)</f>
        <v>0</v>
      </c>
      <c r="I1963" s="1" cm="1">
        <f t="array" ref="I1963">IF((SUMPRODUCT(("Var_Cap"=[1]OUT_TransportEnergyCons!$B$4:$B$10000)*1,ISNUMBER(SEARCH("T_B_u*h2o*s4",[1]OUT_TransportEnergyCons!$A$4:$A$10000))*1,[1]OUT_TransportEnergyCons!G$4:G$10000))*1000&lt;0,0,(SUMPRODUCT(("Var_Cap"=[1]OUT_TransportEnergyCons!$B$4:$B$10000)*1,ISNUMBER(SEARCH("T_B_u*h2o*s4",[1]OUT_TransportEnergyCons!$A$4:$A$10000))*1,[1]OUT_TransportEnergyCons!G$4:G$10000))*1000)</f>
        <v>0</v>
      </c>
      <c r="J1963" s="1" cm="1">
        <f t="array" ref="J1963">IF((SUMPRODUCT(("Var_Cap"=[1]OUT_TransportEnergyCons!$B$4:$B$10000)*1,ISNUMBER(SEARCH("T_B_u*h2o*s4",[1]OUT_TransportEnergyCons!$A$4:$A$10000))*1,[1]OUT_TransportEnergyCons!H$4:H$10000))*1000&lt;0,0,(SUMPRODUCT(("Var_Cap"=[1]OUT_TransportEnergyCons!$B$4:$B$10000)*1,ISNUMBER(SEARCH("T_B_u*h2o*s4",[1]OUT_TransportEnergyCons!$A$4:$A$10000))*1,[1]OUT_TransportEnergyCons!H$4:H$10000))*1000)</f>
        <v>0</v>
      </c>
      <c r="K1963" s="1" cm="1">
        <f t="array" ref="K1963">IF((SUMPRODUCT(("Var_Cap"=[1]OUT_TransportEnergyCons!$B$4:$B$10000)*1,ISNUMBER(SEARCH("T_B_u*h2o*s4",[1]OUT_TransportEnergyCons!$A$4:$A$10000))*1,[1]OUT_TransportEnergyCons!I$4:I$10000))*1000&lt;0,0,(SUMPRODUCT(("Var_Cap"=[1]OUT_TransportEnergyCons!$B$4:$B$10000)*1,ISNUMBER(SEARCH("T_B_u*h2o*s4",[1]OUT_TransportEnergyCons!$A$4:$A$10000))*1,[1]OUT_TransportEnergyCons!I$4:I$10000))*1000)</f>
        <v>0</v>
      </c>
      <c r="L1963" s="1" cm="1">
        <f t="array" ref="L1963">IF((SUMPRODUCT(("Var_Cap"=[1]OUT_TransportEnergyCons!$B$4:$B$10000)*1,ISNUMBER(SEARCH("T_B_u*h2o*s4",[1]OUT_TransportEnergyCons!$A$4:$A$10000))*1,[1]OUT_TransportEnergyCons!J$4:J$10000))*1000&lt;0,0,(SUMPRODUCT(("Var_Cap"=[1]OUT_TransportEnergyCons!$B$4:$B$10000)*1,ISNUMBER(SEARCH("T_B_u*h2o*s4",[1]OUT_TransportEnergyCons!$A$4:$A$10000))*1,[1]OUT_TransportEnergyCons!J$4:J$10000))*1000)</f>
        <v>0</v>
      </c>
      <c r="M1963" s="1" cm="1">
        <f t="array" ref="M1963">IF((SUMPRODUCT(("Var_Cap"=[1]OUT_TransportEnergyCons!$B$4:$B$10000)*1,ISNUMBER(SEARCH("T_B_u*h2o*s4",[1]OUT_TransportEnergyCons!$A$4:$A$10000))*1,[1]OUT_TransportEnergyCons!K$4:K$10000))*1000&lt;0,0,(SUMPRODUCT(("Var_Cap"=[1]OUT_TransportEnergyCons!$B$4:$B$10000)*1,ISNUMBER(SEARCH("T_B_u*h2o*s4",[1]OUT_TransportEnergyCons!$A$4:$A$10000))*1,[1]OUT_TransportEnergyCons!K$4:K$10000))*1000)</f>
        <v>0</v>
      </c>
      <c r="N1963" s="1" cm="1">
        <f t="array" ref="N1963">IF((SUMPRODUCT(("Var_Cap"=[1]OUT_TransportEnergyCons!$B$4:$B$10000)*1,ISNUMBER(SEARCH("T_B_u*h2o*s4",[1]OUT_TransportEnergyCons!$A$4:$A$10000))*1,[1]OUT_TransportEnergyCons!L$4:L$10000))*1000&lt;0,0,(SUMPRODUCT(("Var_Cap"=[1]OUT_TransportEnergyCons!$B$4:$B$10000)*1,ISNUMBER(SEARCH("T_B_u*h2o*s4",[1]OUT_TransportEnergyCons!$A$4:$A$10000))*1,[1]OUT_TransportEnergyCons!L$4:L$10000))*1000)</f>
        <v>0</v>
      </c>
      <c r="O1963" s="1" cm="1">
        <f t="array" ref="O1963">IF((SUMPRODUCT(("Var_Cap"=[1]OUT_TransportEnergyCons!$B$4:$B$10000)*1,ISNUMBER(SEARCH("T_B_u*h2o*s4",[1]OUT_TransportEnergyCons!$A$4:$A$10000))*1,[1]OUT_TransportEnergyCons!M$4:M$10000))*1000&lt;0,0,(SUMPRODUCT(("Var_Cap"=[1]OUT_TransportEnergyCons!$B$4:$B$10000)*1,ISNUMBER(SEARCH("T_B_u*h2o*s4",[1]OUT_TransportEnergyCons!$A$4:$A$10000))*1,[1]OUT_TransportEnergyCons!M$4:M$10000))*1000)</f>
        <v>0</v>
      </c>
      <c r="P1963" s="1" cm="1">
        <f t="array" ref="P1963">IF((SUMPRODUCT(("Var_Cap"=[1]OUT_TransportEnergyCons!$B$4:$B$10000)*1,ISNUMBER(SEARCH("T_B_u*h2o*s4",[1]OUT_TransportEnergyCons!$A$4:$A$10000))*1,[1]OUT_TransportEnergyCons!N$4:N$10000))*1000&lt;0,0,(SUMPRODUCT(("Var_Cap"=[1]OUT_TransportEnergyCons!$B$4:$B$10000)*1,ISNUMBER(SEARCH("T_B_u*h2o*s4",[1]OUT_TransportEnergyCons!$A$4:$A$10000))*1,[1]OUT_TransportEnergyCons!N$4:N$10000))*1000)</f>
        <v>0</v>
      </c>
      <c r="Q1963" s="1" cm="1">
        <f t="array" ref="Q1963">IF((SUMPRODUCT(("Var_Cap"=[1]OUT_TransportEnergyCons!$B$4:$B$10000)*1,ISNUMBER(SEARCH("T_B_u*h2o*s4",[1]OUT_TransportEnergyCons!$A$4:$A$10000))*1,[1]OUT_TransportEnergyCons!O$4:O$10000))*1000&lt;0,0,(SUMPRODUCT(("Var_Cap"=[1]OUT_TransportEnergyCons!$B$4:$B$10000)*1,ISNUMBER(SEARCH("T_B_u*h2o*s4",[1]OUT_TransportEnergyCons!$A$4:$A$10000))*1,[1]OUT_TransportEnergyCons!O$4:O$10000))*1000)</f>
        <v>3.1742666532964991E-6</v>
      </c>
      <c r="S1963" s="3"/>
    </row>
    <row r="1964" spans="2:19" x14ac:dyDescent="0.5">
      <c r="B1964" s="5" t="str">
        <f t="shared" si="2157"/>
        <v>SPS1</v>
      </c>
      <c r="C1964" s="5" t="str">
        <f t="shared" si="2158"/>
        <v>CH</v>
      </c>
      <c r="D1964" t="s">
        <v>1987</v>
      </c>
      <c r="E1964" t="s">
        <v>1999</v>
      </c>
      <c r="F1964" s="1" cm="1">
        <f t="array" ref="F1964">(SUMPRODUCT(("Var_Cap"=[1]OUT_TransportEnergyCons!$B$4:$B$10000)*1,ISNUMBER(SEARCH("T_B_u*hyb*DSL*s1",[1]OUT_TransportEnergyCons!$A$4:$A$10000))*1,[1]OUT_TransportEnergyCons!D$4:D$10000))*1000</f>
        <v>0</v>
      </c>
      <c r="G1964" s="1" cm="1">
        <f t="array" ref="G1964">(SUMPRODUCT(("Var_Cap"=[1]OUT_TransportEnergyCons!$B$4:$B$10000)*1,ISNUMBER(SEARCH("T_B_u*hyb*DSL*s1",[1]OUT_TransportEnergyCons!$A$4:$A$10000))*1,[1]OUT_TransportEnergyCons!E$4:E$10000))*1000</f>
        <v>0.432241009380055</v>
      </c>
      <c r="H1964" s="1" cm="1">
        <f t="array" ref="H1964">(SUMPRODUCT(("Var_Cap"=[1]OUT_TransportEnergyCons!$B$4:$B$10000)*1,ISNUMBER(SEARCH("T_B_u*hyb*DSL*s1",[1]OUT_TransportEnergyCons!$A$4:$A$10000))*1,[1]OUT_TransportEnergyCons!F$4:F$10000))*1000</f>
        <v>1.2360267414001638E-4</v>
      </c>
      <c r="I1964" s="1" cm="1">
        <f t="array" ref="I1964">(SUMPRODUCT(("Var_Cap"=[1]OUT_TransportEnergyCons!$B$4:$B$10000)*1,ISNUMBER(SEARCH("T_B_u*hyb*DSL*s1",[1]OUT_TransportEnergyCons!$A$4:$A$10000))*1,[1]OUT_TransportEnergyCons!G$4:G$10000))*1000</f>
        <v>-4.8859374179996071E-6</v>
      </c>
      <c r="J1964" s="1" cm="1">
        <f t="array" ref="J1964">(SUMPRODUCT(("Var_Cap"=[1]OUT_TransportEnergyCons!$B$4:$B$10000)*1,ISNUMBER(SEARCH("T_B_u*hyb*DSL*s1",[1]OUT_TransportEnergyCons!$A$4:$A$10000))*1,[1]OUT_TransportEnergyCons!H$4:H$10000))*1000</f>
        <v>-1.9426109004314169E-4</v>
      </c>
      <c r="K1964" s="1" cm="1">
        <f t="array" ref="K1964">(SUMPRODUCT(("Var_Cap"=[1]OUT_TransportEnergyCons!$B$4:$B$10000)*1,ISNUMBER(SEARCH("T_B_u*hyb*DSL*s1",[1]OUT_TransportEnergyCons!$A$4:$A$10000))*1,[1]OUT_TransportEnergyCons!I$4:I$10000))*1000</f>
        <v>-2.237067172336252E-4</v>
      </c>
      <c r="L1964" s="1" cm="1">
        <f t="array" ref="L1964">(SUMPRODUCT(("Var_Cap"=[1]OUT_TransportEnergyCons!$B$4:$B$10000)*1,ISNUMBER(SEARCH("T_B_u*hyb*DSL*s1",[1]OUT_TransportEnergyCons!$A$4:$A$10000))*1,[1]OUT_TransportEnergyCons!J$4:J$10000))*1000</f>
        <v>-1.6204014488494948E-4</v>
      </c>
      <c r="M1964" s="1" cm="1">
        <f t="array" ref="M1964">(SUMPRODUCT(("Var_Cap"=[1]OUT_TransportEnergyCons!$B$4:$B$10000)*1,ISNUMBER(SEARCH("T_B_u*hyb*DSL*s1",[1]OUT_TransportEnergyCons!$A$4:$A$10000))*1,[1]OUT_TransportEnergyCons!K$4:K$10000))*1000</f>
        <v>-2.1434696870142449E-4</v>
      </c>
      <c r="N1964" s="1" cm="1">
        <f t="array" ref="N1964">(SUMPRODUCT(("Var_Cap"=[1]OUT_TransportEnergyCons!$B$4:$B$10000)*1,ISNUMBER(SEARCH("T_B_u*hyb*DSL*s1",[1]OUT_TransportEnergyCons!$A$4:$A$10000))*1,[1]OUT_TransportEnergyCons!L$4:L$10000))*1000</f>
        <v>0</v>
      </c>
      <c r="O1964" s="1" cm="1">
        <f t="array" ref="O1964">(SUMPRODUCT(("Var_Cap"=[1]OUT_TransportEnergyCons!$B$4:$B$10000)*1,ISNUMBER(SEARCH("T_B_u*hyb*DSL*s1",[1]OUT_TransportEnergyCons!$A$4:$A$10000))*1,[1]OUT_TransportEnergyCons!M$4:M$10000))*1000</f>
        <v>0</v>
      </c>
      <c r="P1964" s="1" cm="1">
        <f t="array" ref="P1964">(SUMPRODUCT(("Var_Cap"=[1]OUT_TransportEnergyCons!$B$4:$B$10000)*1,ISNUMBER(SEARCH("T_B_u*hyb*DSL*s1",[1]OUT_TransportEnergyCons!$A$4:$A$10000))*1,[1]OUT_TransportEnergyCons!N$4:N$10000))*1000</f>
        <v>0</v>
      </c>
      <c r="Q1964" s="1" cm="1">
        <f t="array" ref="Q1964">(SUMPRODUCT(("Var_Cap"=[1]OUT_TransportEnergyCons!$B$4:$B$10000)*1,ISNUMBER(SEARCH("T_B_u*hyb*DSL*s1",[1]OUT_TransportEnergyCons!$A$4:$A$10000))*1,[1]OUT_TransportEnergyCons!O$4:O$10000))*1000</f>
        <v>0</v>
      </c>
      <c r="S1964" s="3"/>
    </row>
    <row r="1965" spans="2:19" x14ac:dyDescent="0.5">
      <c r="B1965" s="5" t="str">
        <f t="shared" si="2157"/>
        <v>SPS1</v>
      </c>
      <c r="C1965" s="5" t="str">
        <f t="shared" si="2158"/>
        <v>CH</v>
      </c>
      <c r="D1965" t="s">
        <v>1988</v>
      </c>
      <c r="E1965" t="s">
        <v>1999</v>
      </c>
      <c r="F1965" s="1" cm="1">
        <f t="array" ref="F1965">IF((SUMPRODUCT(("Var_Cap"=[1]OUT_TransportEnergyCons!$B$4:$B$10000)*1,ISNUMBER(SEARCH("T_B_u*hyb*DSL*s2",[1]OUT_TransportEnergyCons!$A$4:$A$10000))*1,[1]OUT_TransportEnergyCons!D$4:D$10000))*1000&lt;0,0,(SUMPRODUCT(("Var_Cap"=[1]OUT_TransportEnergyCons!$B$4:$B$10000)*1,ISNUMBER(SEARCH("T_B_u*hyb*DSL*s2",[1]OUT_TransportEnergyCons!$A$4:$A$10000))*1,[1]OUT_TransportEnergyCons!D$4:D$10000))*1000)</f>
        <v>0</v>
      </c>
      <c r="G1965" s="1" cm="1">
        <f t="array" ref="G1965">IF((SUMPRODUCT(("Var_Cap"=[1]OUT_TransportEnergyCons!$B$4:$B$10000)*1,ISNUMBER(SEARCH("T_B_u*hyb*DSL*s2",[1]OUT_TransportEnergyCons!$A$4:$A$10000))*1,[1]OUT_TransportEnergyCons!E$4:E$10000))*1000&lt;0,0,(SUMPRODUCT(("Var_Cap"=[1]OUT_TransportEnergyCons!$B$4:$B$10000)*1,ISNUMBER(SEARCH("T_B_u*hyb*DSL*s2",[1]OUT_TransportEnergyCons!$A$4:$A$10000))*1,[1]OUT_TransportEnergyCons!E$4:E$10000))*1000)</f>
        <v>4.8923307128597099E-4</v>
      </c>
      <c r="H1965" s="1" cm="1">
        <f t="array" ref="H1965">IF((SUMPRODUCT(("Var_Cap"=[1]OUT_TransportEnergyCons!$B$4:$B$10000)*1,ISNUMBER(SEARCH("T_B_u*hyb*DSL*s2",[1]OUT_TransportEnergyCons!$A$4:$A$10000))*1,[1]OUT_TransportEnergyCons!F$4:F$10000))*1000&lt;0,0,(SUMPRODUCT(("Var_Cap"=[1]OUT_TransportEnergyCons!$B$4:$B$10000)*1,ISNUMBER(SEARCH("T_B_u*hyb*DSL*s2",[1]OUT_TransportEnergyCons!$A$4:$A$10000))*1,[1]OUT_TransportEnergyCons!F$4:F$10000))*1000)</f>
        <v>2.5496955884901602E-4</v>
      </c>
      <c r="I1965" s="1" cm="1">
        <f t="array" ref="I1965">IF((SUMPRODUCT(("Var_Cap"=[1]OUT_TransportEnergyCons!$B$4:$B$10000)*1,ISNUMBER(SEARCH("T_B_u*hyb*DSL*s2",[1]OUT_TransportEnergyCons!$A$4:$A$10000))*1,[1]OUT_TransportEnergyCons!G$4:G$10000))*1000&lt;0,0,(SUMPRODUCT(("Var_Cap"=[1]OUT_TransportEnergyCons!$B$4:$B$10000)*1,ISNUMBER(SEARCH("T_B_u*hyb*DSL*s2",[1]OUT_TransportEnergyCons!$A$4:$A$10000))*1,[1]OUT_TransportEnergyCons!G$4:G$10000))*1000)</f>
        <v>6.3927279123903206E-4</v>
      </c>
      <c r="J1965" s="1" cm="1">
        <f t="array" ref="J1965">IF((SUMPRODUCT(("Var_Cap"=[1]OUT_TransportEnergyCons!$B$4:$B$10000)*1,ISNUMBER(SEARCH("T_B_u*hyb*DSL*s2",[1]OUT_TransportEnergyCons!$A$4:$A$10000))*1,[1]OUT_TransportEnergyCons!H$4:H$10000))*1000&lt;0,0,(SUMPRODUCT(("Var_Cap"=[1]OUT_TransportEnergyCons!$B$4:$B$10000)*1,ISNUMBER(SEARCH("T_B_u*hyb*DSL*s2",[1]OUT_TransportEnergyCons!$A$4:$A$10000))*1,[1]OUT_TransportEnergyCons!H$4:H$10000))*1000)</f>
        <v>1.45717533782832E-4</v>
      </c>
      <c r="K1965" s="1" cm="1">
        <f t="array" ref="K1965">IF((SUMPRODUCT(("Var_Cap"=[1]OUT_TransportEnergyCons!$B$4:$B$10000)*1,ISNUMBER(SEARCH("T_B_u*hyb*DSL*s2",[1]OUT_TransportEnergyCons!$A$4:$A$10000))*1,[1]OUT_TransportEnergyCons!I$4:I$10000))*1000&lt;0,0,(SUMPRODUCT(("Var_Cap"=[1]OUT_TransportEnergyCons!$B$4:$B$10000)*1,ISNUMBER(SEARCH("T_B_u*hyb*DSL*s2",[1]OUT_TransportEnergyCons!$A$4:$A$10000))*1,[1]OUT_TransportEnergyCons!I$4:I$10000))*1000)</f>
        <v>0</v>
      </c>
      <c r="L1965" s="1" cm="1">
        <f t="array" ref="L1965">IF((SUMPRODUCT(("Var_Cap"=[1]OUT_TransportEnergyCons!$B$4:$B$10000)*1,ISNUMBER(SEARCH("T_B_u*hyb*DSL*s2",[1]OUT_TransportEnergyCons!$A$4:$A$10000))*1,[1]OUT_TransportEnergyCons!J$4:J$10000))*1000&lt;0,0,(SUMPRODUCT(("Var_Cap"=[1]OUT_TransportEnergyCons!$B$4:$B$10000)*1,ISNUMBER(SEARCH("T_B_u*hyb*DSL*s2",[1]OUT_TransportEnergyCons!$A$4:$A$10000))*1,[1]OUT_TransportEnergyCons!J$4:J$10000))*1000)</f>
        <v>9.9486933506819936E-6</v>
      </c>
      <c r="M1965" s="1" cm="1">
        <f t="array" ref="M1965">IF((SUMPRODUCT(("Var_Cap"=[1]OUT_TransportEnergyCons!$B$4:$B$10000)*1,ISNUMBER(SEARCH("T_B_u*hyb*DSL*s2",[1]OUT_TransportEnergyCons!$A$4:$A$10000))*1,[1]OUT_TransportEnergyCons!K$4:K$10000))*1000&lt;0,0,(SUMPRODUCT(("Var_Cap"=[1]OUT_TransportEnergyCons!$B$4:$B$10000)*1,ISNUMBER(SEARCH("T_B_u*hyb*DSL*s2",[1]OUT_TransportEnergyCons!$A$4:$A$10000))*1,[1]OUT_TransportEnergyCons!K$4:K$10000))*1000)</f>
        <v>0</v>
      </c>
      <c r="N1965" s="1" cm="1">
        <f t="array" ref="N1965">IF((SUMPRODUCT(("Var_Cap"=[1]OUT_TransportEnergyCons!$B$4:$B$10000)*1,ISNUMBER(SEARCH("T_B_u*hyb*DSL*s2",[1]OUT_TransportEnergyCons!$A$4:$A$10000))*1,[1]OUT_TransportEnergyCons!L$4:L$10000))*1000&lt;0,0,(SUMPRODUCT(("Var_Cap"=[1]OUT_TransportEnergyCons!$B$4:$B$10000)*1,ISNUMBER(SEARCH("T_B_u*hyb*DSL*s2",[1]OUT_TransportEnergyCons!$A$4:$A$10000))*1,[1]OUT_TransportEnergyCons!L$4:L$10000))*1000)</f>
        <v>0</v>
      </c>
      <c r="O1965" s="1" cm="1">
        <f t="array" ref="O1965">IF((SUMPRODUCT(("Var_Cap"=[1]OUT_TransportEnergyCons!$B$4:$B$10000)*1,ISNUMBER(SEARCH("T_B_u*hyb*DSL*s2",[1]OUT_TransportEnergyCons!$A$4:$A$10000))*1,[1]OUT_TransportEnergyCons!M$4:M$10000))*1000&lt;0,0,(SUMPRODUCT(("Var_Cap"=[1]OUT_TransportEnergyCons!$B$4:$B$10000)*1,ISNUMBER(SEARCH("T_B_u*hyb*DSL*s2",[1]OUT_TransportEnergyCons!$A$4:$A$10000))*1,[1]OUT_TransportEnergyCons!M$4:M$10000))*1000)</f>
        <v>0</v>
      </c>
      <c r="P1965" s="1" cm="1">
        <f t="array" ref="P1965">IF((SUMPRODUCT(("Var_Cap"=[1]OUT_TransportEnergyCons!$B$4:$B$10000)*1,ISNUMBER(SEARCH("T_B_u*hyb*DSL*s2",[1]OUT_TransportEnergyCons!$A$4:$A$10000))*1,[1]OUT_TransportEnergyCons!N$4:N$10000))*1000&lt;0,0,(SUMPRODUCT(("Var_Cap"=[1]OUT_TransportEnergyCons!$B$4:$B$10000)*1,ISNUMBER(SEARCH("T_B_u*hyb*DSL*s2",[1]OUT_TransportEnergyCons!$A$4:$A$10000))*1,[1]OUT_TransportEnergyCons!N$4:N$10000))*1000)</f>
        <v>0</v>
      </c>
      <c r="Q1965" s="1" cm="1">
        <f t="array" ref="Q1965">IF((SUMPRODUCT(("Var_Cap"=[1]OUT_TransportEnergyCons!$B$4:$B$10000)*1,ISNUMBER(SEARCH("T_B_u*hyb*DSL*s2",[1]OUT_TransportEnergyCons!$A$4:$A$10000))*1,[1]OUT_TransportEnergyCons!O$4:O$10000))*1000&lt;0,0,(SUMPRODUCT(("Var_Cap"=[1]OUT_TransportEnergyCons!$B$4:$B$10000)*1,ISNUMBER(SEARCH("T_B_u*hyb*DSL*s2",[1]OUT_TransportEnergyCons!$A$4:$A$10000))*1,[1]OUT_TransportEnergyCons!O$4:O$10000))*1000)</f>
        <v>0</v>
      </c>
      <c r="S1965" s="3"/>
    </row>
    <row r="1966" spans="2:19" x14ac:dyDescent="0.5">
      <c r="B1966" s="5" t="str">
        <f t="shared" si="2157"/>
        <v>SPS1</v>
      </c>
      <c r="C1966" s="5" t="str">
        <f t="shared" si="2158"/>
        <v>CH</v>
      </c>
      <c r="D1966" t="s">
        <v>1989</v>
      </c>
      <c r="E1966" t="s">
        <v>1999</v>
      </c>
      <c r="F1966" s="1" cm="1">
        <f t="array" ref="F1966">IF((SUMPRODUCT(("Var_Cap"=[1]OUT_TransportEnergyCons!$B$4:$B$10000)*1,ISNUMBER(SEARCH("T_B_u*hyb*DSL*s3",[1]OUT_TransportEnergyCons!$A$4:$A$10000))*1,[1]OUT_TransportEnergyCons!D$4:D$10000))*1000&lt;0,0,(SUMPRODUCT(("Var_Cap"=[1]OUT_TransportEnergyCons!$B$4:$B$10000)*1,ISNUMBER(SEARCH("T_B_u*hyb*DSL*s3",[1]OUT_TransportEnergyCons!$A$4:$A$10000))*1,[1]OUT_TransportEnergyCons!D$4:D$10000))*1000)</f>
        <v>0</v>
      </c>
      <c r="G1966" s="1" cm="1">
        <f t="array" ref="G1966">IF((SUMPRODUCT(("Var_Cap"=[1]OUT_TransportEnergyCons!$B$4:$B$10000)*1,ISNUMBER(SEARCH("T_B_u*hyb*DSL*s3",[1]OUT_TransportEnergyCons!$A$4:$A$10000))*1,[1]OUT_TransportEnergyCons!E$4:E$10000))*1000&lt;0,0,(SUMPRODUCT(("Var_Cap"=[1]OUT_TransportEnergyCons!$B$4:$B$10000)*1,ISNUMBER(SEARCH("T_B_u*hyb*DSL*s3",[1]OUT_TransportEnergyCons!$A$4:$A$10000))*1,[1]OUT_TransportEnergyCons!E$4:E$10000))*1000)</f>
        <v>8.5776382654705898E-4</v>
      </c>
      <c r="H1966" s="1" cm="1">
        <f t="array" ref="H1966">IF((SUMPRODUCT(("Var_Cap"=[1]OUT_TransportEnergyCons!$B$4:$B$10000)*1,ISNUMBER(SEARCH("T_B_u*hyb*DSL*s3",[1]OUT_TransportEnergyCons!$A$4:$A$10000))*1,[1]OUT_TransportEnergyCons!F$4:F$10000))*1000&lt;0,0,(SUMPRODUCT(("Var_Cap"=[1]OUT_TransportEnergyCons!$B$4:$B$10000)*1,ISNUMBER(SEARCH("T_B_u*hyb*DSL*s3",[1]OUT_TransportEnergyCons!$A$4:$A$10000))*1,[1]OUT_TransportEnergyCons!F$4:F$10000))*1000)</f>
        <v>9.0199813678332197E-4</v>
      </c>
      <c r="I1966" s="1" cm="1">
        <f t="array" ref="I1966">IF((SUMPRODUCT(("Var_Cap"=[1]OUT_TransportEnergyCons!$B$4:$B$10000)*1,ISNUMBER(SEARCH("T_B_u*hyb*DSL*s3",[1]OUT_TransportEnergyCons!$A$4:$A$10000))*1,[1]OUT_TransportEnergyCons!G$4:G$10000))*1000&lt;0,0,(SUMPRODUCT(("Var_Cap"=[1]OUT_TransportEnergyCons!$B$4:$B$10000)*1,ISNUMBER(SEARCH("T_B_u*hyb*DSL*s3",[1]OUT_TransportEnergyCons!$A$4:$A$10000))*1,[1]OUT_TransportEnergyCons!G$4:G$10000))*1000)</f>
        <v>3.6723608854217299E-2</v>
      </c>
      <c r="J1966" s="1" cm="1">
        <f t="array" ref="J1966">IF((SUMPRODUCT(("Var_Cap"=[1]OUT_TransportEnergyCons!$B$4:$B$10000)*1,ISNUMBER(SEARCH("T_B_u*hyb*DSL*s3",[1]OUT_TransportEnergyCons!$A$4:$A$10000))*1,[1]OUT_TransportEnergyCons!H$4:H$10000))*1000&lt;0,0,(SUMPRODUCT(("Var_Cap"=[1]OUT_TransportEnergyCons!$B$4:$B$10000)*1,ISNUMBER(SEARCH("T_B_u*hyb*DSL*s3",[1]OUT_TransportEnergyCons!$A$4:$A$10000))*1,[1]OUT_TransportEnergyCons!H$4:H$10000))*1000)</f>
        <v>8.0779398774460172E-4</v>
      </c>
      <c r="K1966" s="1" cm="1">
        <f t="array" ref="K1966">IF((SUMPRODUCT(("Var_Cap"=[1]OUT_TransportEnergyCons!$B$4:$B$10000)*1,ISNUMBER(SEARCH("T_B_u*hyb*DSL*s3",[1]OUT_TransportEnergyCons!$A$4:$A$10000))*1,[1]OUT_TransportEnergyCons!I$4:I$10000))*1000&lt;0,0,(SUMPRODUCT(("Var_Cap"=[1]OUT_TransportEnergyCons!$B$4:$B$10000)*1,ISNUMBER(SEARCH("T_B_u*hyb*DSL*s3",[1]OUT_TransportEnergyCons!$A$4:$A$10000))*1,[1]OUT_TransportEnergyCons!I$4:I$10000))*1000)</f>
        <v>1.352811250400366E-4</v>
      </c>
      <c r="L1966" s="1" cm="1">
        <f t="array" ref="L1966">IF((SUMPRODUCT(("Var_Cap"=[1]OUT_TransportEnergyCons!$B$4:$B$10000)*1,ISNUMBER(SEARCH("T_B_u*hyb*DSL*s3",[1]OUT_TransportEnergyCons!$A$4:$A$10000))*1,[1]OUT_TransportEnergyCons!J$4:J$10000))*1000&lt;0,0,(SUMPRODUCT(("Var_Cap"=[1]OUT_TransportEnergyCons!$B$4:$B$10000)*1,ISNUMBER(SEARCH("T_B_u*hyb*DSL*s3",[1]OUT_TransportEnergyCons!$A$4:$A$10000))*1,[1]OUT_TransportEnergyCons!J$4:J$10000))*1000)</f>
        <v>5.9918783431724704E-5</v>
      </c>
      <c r="M1966" s="1" cm="1">
        <f t="array" ref="M1966">IF((SUMPRODUCT(("Var_Cap"=[1]OUT_TransportEnergyCons!$B$4:$B$10000)*1,ISNUMBER(SEARCH("T_B_u*hyb*DSL*s3",[1]OUT_TransportEnergyCons!$A$4:$A$10000))*1,[1]OUT_TransportEnergyCons!K$4:K$10000))*1000&lt;0,0,(SUMPRODUCT(("Var_Cap"=[1]OUT_TransportEnergyCons!$B$4:$B$10000)*1,ISNUMBER(SEARCH("T_B_u*hyb*DSL*s3",[1]OUT_TransportEnergyCons!$A$4:$A$10000))*1,[1]OUT_TransportEnergyCons!K$4:K$10000))*1000)</f>
        <v>0</v>
      </c>
      <c r="N1966" s="1" cm="1">
        <f t="array" ref="N1966">IF((SUMPRODUCT(("Var_Cap"=[1]OUT_TransportEnergyCons!$B$4:$B$10000)*1,ISNUMBER(SEARCH("T_B_u*hyb*DSL*s3",[1]OUT_TransportEnergyCons!$A$4:$A$10000))*1,[1]OUT_TransportEnergyCons!L$4:L$10000))*1000&lt;0,0,(SUMPRODUCT(("Var_Cap"=[1]OUT_TransportEnergyCons!$B$4:$B$10000)*1,ISNUMBER(SEARCH("T_B_u*hyb*DSL*s3",[1]OUT_TransportEnergyCons!$A$4:$A$10000))*1,[1]OUT_TransportEnergyCons!L$4:L$10000))*1000)</f>
        <v>0</v>
      </c>
      <c r="O1966" s="1" cm="1">
        <f t="array" ref="O1966">IF((SUMPRODUCT(("Var_Cap"=[1]OUT_TransportEnergyCons!$B$4:$B$10000)*1,ISNUMBER(SEARCH("T_B_u*hyb*DSL*s3",[1]OUT_TransportEnergyCons!$A$4:$A$10000))*1,[1]OUT_TransportEnergyCons!M$4:M$10000))*1000&lt;0,0,(SUMPRODUCT(("Var_Cap"=[1]OUT_TransportEnergyCons!$B$4:$B$10000)*1,ISNUMBER(SEARCH("T_B_u*hyb*DSL*s3",[1]OUT_TransportEnergyCons!$A$4:$A$10000))*1,[1]OUT_TransportEnergyCons!M$4:M$10000))*1000)</f>
        <v>0</v>
      </c>
      <c r="P1966" s="1" cm="1">
        <f t="array" ref="P1966">IF((SUMPRODUCT(("Var_Cap"=[1]OUT_TransportEnergyCons!$B$4:$B$10000)*1,ISNUMBER(SEARCH("T_B_u*hyb*DSL*s3",[1]OUT_TransportEnergyCons!$A$4:$A$10000))*1,[1]OUT_TransportEnergyCons!N$4:N$10000))*1000&lt;0,0,(SUMPRODUCT(("Var_Cap"=[1]OUT_TransportEnergyCons!$B$4:$B$10000)*1,ISNUMBER(SEARCH("T_B_u*hyb*DSL*s3",[1]OUT_TransportEnergyCons!$A$4:$A$10000))*1,[1]OUT_TransportEnergyCons!N$4:N$10000))*1000)</f>
        <v>0</v>
      </c>
      <c r="Q1966" s="1" cm="1">
        <f t="array" ref="Q1966">IF((SUMPRODUCT(("Var_Cap"=[1]OUT_TransportEnergyCons!$B$4:$B$10000)*1,ISNUMBER(SEARCH("T_B_u*hyb*DSL*s3",[1]OUT_TransportEnergyCons!$A$4:$A$10000))*1,[1]OUT_TransportEnergyCons!O$4:O$10000))*1000&lt;0,0,(SUMPRODUCT(("Var_Cap"=[1]OUT_TransportEnergyCons!$B$4:$B$10000)*1,ISNUMBER(SEARCH("T_B_u*hyb*DSL*s3",[1]OUT_TransportEnergyCons!$A$4:$A$10000))*1,[1]OUT_TransportEnergyCons!O$4:O$10000))*1000)</f>
        <v>0</v>
      </c>
      <c r="S1966" s="3"/>
    </row>
    <row r="1967" spans="2:19" x14ac:dyDescent="0.5">
      <c r="B1967" s="5" t="str">
        <f t="shared" si="2157"/>
        <v>SPS1</v>
      </c>
      <c r="C1967" s="5" t="str">
        <f t="shared" si="2158"/>
        <v>CH</v>
      </c>
      <c r="D1967" t="s">
        <v>1990</v>
      </c>
      <c r="E1967" t="s">
        <v>1999</v>
      </c>
      <c r="F1967" s="1" cm="1">
        <f t="array" ref="F1967">IF((SUMPRODUCT(("Var_Cap"=[1]OUT_TransportEnergyCons!$B$4:$B$10000)*1,ISNUMBER(SEARCH("T_B_u*hyb*DSL*s4",[1]OUT_TransportEnergyCons!$A$4:$A$10000))*1,[1]OUT_TransportEnergyCons!D$4:D$10000))*1000&lt;0,0,(SUMPRODUCT(("Var_Cap"=[1]OUT_TransportEnergyCons!$B$4:$B$10000)*1,ISNUMBER(SEARCH("T_B_u*hyb*DSL*s4",[1]OUT_TransportEnergyCons!$A$4:$A$10000))*1,[1]OUT_TransportEnergyCons!D$4:D$10000))*1000)</f>
        <v>0</v>
      </c>
      <c r="G1967" s="1" cm="1">
        <f t="array" ref="G1967">IF((SUMPRODUCT(("Var_Cap"=[1]OUT_TransportEnergyCons!$B$4:$B$10000)*1,ISNUMBER(SEARCH("T_B_u*hyb*DSL*s4",[1]OUT_TransportEnergyCons!$A$4:$A$10000))*1,[1]OUT_TransportEnergyCons!E$4:E$10000))*1000&lt;0,0,(SUMPRODUCT(("Var_Cap"=[1]OUT_TransportEnergyCons!$B$4:$B$10000)*1,ISNUMBER(SEARCH("T_B_u*hyb*DSL*s4",[1]OUT_TransportEnergyCons!$A$4:$A$10000))*1,[1]OUT_TransportEnergyCons!E$4:E$10000))*1000)</f>
        <v>0</v>
      </c>
      <c r="H1967" s="1" cm="1">
        <f t="array" ref="H1967">IF((SUMPRODUCT(("Var_Cap"=[1]OUT_TransportEnergyCons!$B$4:$B$10000)*1,ISNUMBER(SEARCH("T_B_u*hyb*DSL*s4",[1]OUT_TransportEnergyCons!$A$4:$A$10000))*1,[1]OUT_TransportEnergyCons!F$4:F$10000))*1000&lt;0,0,(SUMPRODUCT(("Var_Cap"=[1]OUT_TransportEnergyCons!$B$4:$B$10000)*1,ISNUMBER(SEARCH("T_B_u*hyb*DSL*s4",[1]OUT_TransportEnergyCons!$A$4:$A$10000))*1,[1]OUT_TransportEnergyCons!F$4:F$10000))*1000)</f>
        <v>0</v>
      </c>
      <c r="I1967" s="1" cm="1">
        <f t="array" ref="I1967">IF((SUMPRODUCT(("Var_Cap"=[1]OUT_TransportEnergyCons!$B$4:$B$10000)*1,ISNUMBER(SEARCH("T_B_u*hyb*DSL*s4",[1]OUT_TransportEnergyCons!$A$4:$A$10000))*1,[1]OUT_TransportEnergyCons!G$4:G$10000))*1000&lt;0,0,(SUMPRODUCT(("Var_Cap"=[1]OUT_TransportEnergyCons!$B$4:$B$10000)*1,ISNUMBER(SEARCH("T_B_u*hyb*DSL*s4",[1]OUT_TransportEnergyCons!$A$4:$A$10000))*1,[1]OUT_TransportEnergyCons!G$4:G$10000))*1000)</f>
        <v>0</v>
      </c>
      <c r="J1967" s="1" cm="1">
        <f t="array" ref="J1967">IF((SUMPRODUCT(("Var_Cap"=[1]OUT_TransportEnergyCons!$B$4:$B$10000)*1,ISNUMBER(SEARCH("T_B_u*hyb*DSL*s4",[1]OUT_TransportEnergyCons!$A$4:$A$10000))*1,[1]OUT_TransportEnergyCons!H$4:H$10000))*1000&lt;0,0,(SUMPRODUCT(("Var_Cap"=[1]OUT_TransportEnergyCons!$B$4:$B$10000)*1,ISNUMBER(SEARCH("T_B_u*hyb*DSL*s4",[1]OUT_TransportEnergyCons!$A$4:$A$10000))*1,[1]OUT_TransportEnergyCons!H$4:H$10000))*1000)</f>
        <v>0</v>
      </c>
      <c r="K1967" s="1" cm="1">
        <f t="array" ref="K1967">IF((SUMPRODUCT(("Var_Cap"=[1]OUT_TransportEnergyCons!$B$4:$B$10000)*1,ISNUMBER(SEARCH("T_B_u*hyb*DSL*s4",[1]OUT_TransportEnergyCons!$A$4:$A$10000))*1,[1]OUT_TransportEnergyCons!I$4:I$10000))*1000&lt;0,0,(SUMPRODUCT(("Var_Cap"=[1]OUT_TransportEnergyCons!$B$4:$B$10000)*1,ISNUMBER(SEARCH("T_B_u*hyb*DSL*s4",[1]OUT_TransportEnergyCons!$A$4:$A$10000))*1,[1]OUT_TransportEnergyCons!I$4:I$10000))*1000)</f>
        <v>0</v>
      </c>
      <c r="L1967" s="1" cm="1">
        <f t="array" ref="L1967">IF((SUMPRODUCT(("Var_Cap"=[1]OUT_TransportEnergyCons!$B$4:$B$10000)*1,ISNUMBER(SEARCH("T_B_u*hyb*DSL*s4",[1]OUT_TransportEnergyCons!$A$4:$A$10000))*1,[1]OUT_TransportEnergyCons!J$4:J$10000))*1000&lt;0,0,(SUMPRODUCT(("Var_Cap"=[1]OUT_TransportEnergyCons!$B$4:$B$10000)*1,ISNUMBER(SEARCH("T_B_u*hyb*DSL*s4",[1]OUT_TransportEnergyCons!$A$4:$A$10000))*1,[1]OUT_TransportEnergyCons!J$4:J$10000))*1000)</f>
        <v>0</v>
      </c>
      <c r="M1967" s="1" cm="1">
        <f t="array" ref="M1967">IF((SUMPRODUCT(("Var_Cap"=[1]OUT_TransportEnergyCons!$B$4:$B$10000)*1,ISNUMBER(SEARCH("T_B_u*hyb*DSL*s4",[1]OUT_TransportEnergyCons!$A$4:$A$10000))*1,[1]OUT_TransportEnergyCons!K$4:K$10000))*1000&lt;0,0,(SUMPRODUCT(("Var_Cap"=[1]OUT_TransportEnergyCons!$B$4:$B$10000)*1,ISNUMBER(SEARCH("T_B_u*hyb*DSL*s4",[1]OUT_TransportEnergyCons!$A$4:$A$10000))*1,[1]OUT_TransportEnergyCons!K$4:K$10000))*1000)</f>
        <v>0</v>
      </c>
      <c r="N1967" s="1" cm="1">
        <f t="array" ref="N1967">IF((SUMPRODUCT(("Var_Cap"=[1]OUT_TransportEnergyCons!$B$4:$B$10000)*1,ISNUMBER(SEARCH("T_B_u*hyb*DSL*s4",[1]OUT_TransportEnergyCons!$A$4:$A$10000))*1,[1]OUT_TransportEnergyCons!L$4:L$10000))*1000&lt;0,0,(SUMPRODUCT(("Var_Cap"=[1]OUT_TransportEnergyCons!$B$4:$B$10000)*1,ISNUMBER(SEARCH("T_B_u*hyb*DSL*s4",[1]OUT_TransportEnergyCons!$A$4:$A$10000))*1,[1]OUT_TransportEnergyCons!L$4:L$10000))*1000)</f>
        <v>0</v>
      </c>
      <c r="O1967" s="1" cm="1">
        <f t="array" ref="O1967">IF((SUMPRODUCT(("Var_Cap"=[1]OUT_TransportEnergyCons!$B$4:$B$10000)*1,ISNUMBER(SEARCH("T_B_u*hyb*DSL*s4",[1]OUT_TransportEnergyCons!$A$4:$A$10000))*1,[1]OUT_TransportEnergyCons!M$4:M$10000))*1000&lt;0,0,(SUMPRODUCT(("Var_Cap"=[1]OUT_TransportEnergyCons!$B$4:$B$10000)*1,ISNUMBER(SEARCH("T_B_u*hyb*DSL*s4",[1]OUT_TransportEnergyCons!$A$4:$A$10000))*1,[1]OUT_TransportEnergyCons!M$4:M$10000))*1000)</f>
        <v>0</v>
      </c>
      <c r="P1967" s="1" cm="1">
        <f t="array" ref="P1967">IF((SUMPRODUCT(("Var_Cap"=[1]OUT_TransportEnergyCons!$B$4:$B$10000)*1,ISNUMBER(SEARCH("T_B_u*hyb*DSL*s4",[1]OUT_TransportEnergyCons!$A$4:$A$10000))*1,[1]OUT_TransportEnergyCons!N$4:N$10000))*1000&lt;0,0,(SUMPRODUCT(("Var_Cap"=[1]OUT_TransportEnergyCons!$B$4:$B$10000)*1,ISNUMBER(SEARCH("T_B_u*hyb*DSL*s4",[1]OUT_TransportEnergyCons!$A$4:$A$10000))*1,[1]OUT_TransportEnergyCons!N$4:N$10000))*1000)</f>
        <v>0</v>
      </c>
      <c r="Q1967" s="1" cm="1">
        <f t="array" ref="Q1967">IF((SUMPRODUCT(("Var_Cap"=[1]OUT_TransportEnergyCons!$B$4:$B$10000)*1,ISNUMBER(SEARCH("T_B_u*hyb*DSL*s4",[1]OUT_TransportEnergyCons!$A$4:$A$10000))*1,[1]OUT_TransportEnergyCons!O$4:O$10000))*1000&lt;0,0,(SUMPRODUCT(("Var_Cap"=[1]OUT_TransportEnergyCons!$B$4:$B$10000)*1,ISNUMBER(SEARCH("T_B_u*hyb*DSL*s4",[1]OUT_TransportEnergyCons!$A$4:$A$10000))*1,[1]OUT_TransportEnergyCons!O$4:O$10000))*1000)</f>
        <v>0</v>
      </c>
      <c r="S1967" s="3"/>
    </row>
    <row r="1968" spans="2:19" x14ac:dyDescent="0.5">
      <c r="B1968" s="5" t="str">
        <f t="shared" si="2157"/>
        <v>SPS1</v>
      </c>
      <c r="C1968" s="5" t="str">
        <f t="shared" si="2158"/>
        <v>CH</v>
      </c>
      <c r="D1968" t="s">
        <v>2003</v>
      </c>
      <c r="E1968" t="s">
        <v>1999</v>
      </c>
      <c r="F1968" s="1" cm="1">
        <f t="array" ref="F1968">(SUMPRODUCT(("Var_Cap"=[1]OUT_TransportEnergyCons!$B$4:$B$10000)*1,ISNUMBER(SEARCH("T_B_u*ICE*DSL*ext",[1]OUT_TransportEnergyCons!$A$4:$A$10000))*1,[1]OUT_TransportEnergyCons!D$4:D$10000))*1000</f>
        <v>4.5677966415825217</v>
      </c>
      <c r="G1968" s="1" cm="1">
        <f t="array" ref="G1968">(SUMPRODUCT(("Var_Cap"=[1]OUT_TransportEnergyCons!$B$4:$B$10000)*1,ISNUMBER(SEARCH("T_B_u*ICE*DSL*ext",[1]OUT_TransportEnergyCons!$A$4:$A$10000))*1,[1]OUT_TransportEnergyCons!E$4:E$10000))*1000</f>
        <v>3.65426897404202</v>
      </c>
      <c r="H1968" s="1" cm="1">
        <f t="array" ref="H1968">(SUMPRODUCT(("Var_Cap"=[1]OUT_TransportEnergyCons!$B$4:$B$10000)*1,ISNUMBER(SEARCH("T_B_u*ICE*DSL*ext",[1]OUT_TransportEnergyCons!$A$4:$A$10000))*1,[1]OUT_TransportEnergyCons!F$4:F$10000))*1000</f>
        <v>2.2838991327324329</v>
      </c>
      <c r="I1968" s="1" cm="1">
        <f t="array" ref="I1968">(SUMPRODUCT(("Var_Cap"=[1]OUT_TransportEnergyCons!$B$4:$B$10000)*1,ISNUMBER(SEARCH("T_B_u*ICE*DSL*ext",[1]OUT_TransportEnergyCons!$A$4:$A$10000))*1,[1]OUT_TransportEnergyCons!G$4:G$10000))*1000</f>
        <v>0</v>
      </c>
      <c r="J1968" s="1" cm="1">
        <f t="array" ref="J1968">(SUMPRODUCT(("Var_Cap"=[1]OUT_TransportEnergyCons!$B$4:$B$10000)*1,ISNUMBER(SEARCH("T_B_u*ICE*DSL*ext",[1]OUT_TransportEnergyCons!$A$4:$A$10000))*1,[1]OUT_TransportEnergyCons!H$4:H$10000))*1000</f>
        <v>0</v>
      </c>
      <c r="K1968" s="1" cm="1">
        <f t="array" ref="K1968">(SUMPRODUCT(("Var_Cap"=[1]OUT_TransportEnergyCons!$B$4:$B$10000)*1,ISNUMBER(SEARCH("T_B_u*ICE*DSL*ext",[1]OUT_TransportEnergyCons!$A$4:$A$10000))*1,[1]OUT_TransportEnergyCons!I$4:I$10000))*1000</f>
        <v>0</v>
      </c>
      <c r="L1968" s="1" cm="1">
        <f t="array" ref="L1968">(SUMPRODUCT(("Var_Cap"=[1]OUT_TransportEnergyCons!$B$4:$B$10000)*1,ISNUMBER(SEARCH("T_B_u*ICE*DSL*ext",[1]OUT_TransportEnergyCons!$A$4:$A$10000))*1,[1]OUT_TransportEnergyCons!J$4:J$10000))*1000</f>
        <v>0</v>
      </c>
      <c r="M1968" s="1" cm="1">
        <f t="array" ref="M1968">(SUMPRODUCT(("Var_Cap"=[1]OUT_TransportEnergyCons!$B$4:$B$10000)*1,ISNUMBER(SEARCH("T_B_u*ICE*DSL*ext",[1]OUT_TransportEnergyCons!$A$4:$A$10000))*1,[1]OUT_TransportEnergyCons!K$4:K$10000))*1000</f>
        <v>0</v>
      </c>
      <c r="N1968" s="1" cm="1">
        <f t="array" ref="N1968">(SUMPRODUCT(("Var_Cap"=[1]OUT_TransportEnergyCons!$B$4:$B$10000)*1,ISNUMBER(SEARCH("T_B_u*ICE*DSL*ext",[1]OUT_TransportEnergyCons!$A$4:$A$10000))*1,[1]OUT_TransportEnergyCons!L$4:L$10000))*1000</f>
        <v>0</v>
      </c>
      <c r="O1968" s="1" cm="1">
        <f t="array" ref="O1968">(SUMPRODUCT(("Var_Cap"=[1]OUT_TransportEnergyCons!$B$4:$B$10000)*1,ISNUMBER(SEARCH("T_B_u*ICE*DSL*ext",[1]OUT_TransportEnergyCons!$A$4:$A$10000))*1,[1]OUT_TransportEnergyCons!M$4:M$10000))*1000</f>
        <v>0</v>
      </c>
      <c r="P1968" s="1" cm="1">
        <f t="array" ref="P1968">(SUMPRODUCT(("Var_Cap"=[1]OUT_TransportEnergyCons!$B$4:$B$10000)*1,ISNUMBER(SEARCH("T_B_u*ICE*DSL*ext",[1]OUT_TransportEnergyCons!$A$4:$A$10000))*1,[1]OUT_TransportEnergyCons!N$4:N$10000))*1000</f>
        <v>0</v>
      </c>
      <c r="Q1968" s="1" cm="1">
        <f t="array" ref="Q1968">(SUMPRODUCT(("Var_Cap"=[1]OUT_TransportEnergyCons!$B$4:$B$10000)*1,ISNUMBER(SEARCH("T_B_u*ICE*DSL*ext",[1]OUT_TransportEnergyCons!$A$4:$A$10000))*1,[1]OUT_TransportEnergyCons!O$4:O$10000))*1000</f>
        <v>0</v>
      </c>
      <c r="S1968" s="3"/>
    </row>
    <row r="1969" spans="2:19" x14ac:dyDescent="0.5">
      <c r="B1969" s="5" t="str">
        <f t="shared" si="2157"/>
        <v>SPS1</v>
      </c>
      <c r="C1969" s="5" t="str">
        <f t="shared" si="2158"/>
        <v>CH</v>
      </c>
      <c r="D1969" t="s">
        <v>1991</v>
      </c>
      <c r="E1969" t="s">
        <v>1999</v>
      </c>
      <c r="F1969" s="1" cm="1">
        <f t="array" ref="F1969">(SUMPRODUCT(("Var_Cap"=[1]OUT_TransportEnergyCons!$B$4:$B$10000)*1,ISNUMBER(SEARCH("T_B_u*ICE*DSL*s1",[1]OUT_TransportEnergyCons!$A$4:$A$10000))*1,[1]OUT_TransportEnergyCons!D$4:D$10000))*1000</f>
        <v>7.0464135021097002E-4</v>
      </c>
      <c r="G1969" s="1" cm="1">
        <f t="array" ref="G1969">(SUMPRODUCT(("Var_Cap"=[1]OUT_TransportEnergyCons!$B$4:$B$10000)*1,ISNUMBER(SEARCH("T_B_u*ICE*DSL*s1",[1]OUT_TransportEnergyCons!$A$4:$A$10000))*1,[1]OUT_TransportEnergyCons!E$4:E$10000))*1000</f>
        <v>0.17543258145936344</v>
      </c>
      <c r="H1969" s="1" cm="1">
        <f t="array" ref="H1969">(SUMPRODUCT(("Var_Cap"=[1]OUT_TransportEnergyCons!$B$4:$B$10000)*1,ISNUMBER(SEARCH("T_B_u*ICE*DSL*s1",[1]OUT_TransportEnergyCons!$A$4:$A$10000))*1,[1]OUT_TransportEnergyCons!F$4:F$10000))*1000</f>
        <v>8.3634398103445574E-5</v>
      </c>
      <c r="I1969" s="1" cm="1">
        <f t="array" ref="I1969">(SUMPRODUCT(("Var_Cap"=[1]OUT_TransportEnergyCons!$B$4:$B$10000)*1,ISNUMBER(SEARCH("T_B_u*ICE*DSL*s1",[1]OUT_TransportEnergyCons!$A$4:$A$10000))*1,[1]OUT_TransportEnergyCons!G$4:G$10000))*1000</f>
        <v>8.8088953201361864E-5</v>
      </c>
      <c r="J1969" s="1" cm="1">
        <f t="array" ref="J1969">(SUMPRODUCT(("Var_Cap"=[1]OUT_TransportEnergyCons!$B$4:$B$10000)*1,ISNUMBER(SEARCH("T_B_u*ICE*DSL*s1",[1]OUT_TransportEnergyCons!$A$4:$A$10000))*1,[1]OUT_TransportEnergyCons!H$4:H$10000))*1000</f>
        <v>-9.1519826162198998E-5</v>
      </c>
      <c r="K1969" s="1" cm="1">
        <f t="array" ref="K1969">(SUMPRODUCT(("Var_Cap"=[1]OUT_TransportEnergyCons!$B$4:$B$10000)*1,ISNUMBER(SEARCH("T_B_u*ICE*DSL*s1",[1]OUT_TransportEnergyCons!$A$4:$A$10000))*1,[1]OUT_TransportEnergyCons!I$4:I$10000))*1000</f>
        <v>-1.6019991262095377E-4</v>
      </c>
      <c r="L1969" s="1" cm="1">
        <f t="array" ref="L1969">(SUMPRODUCT(("Var_Cap"=[1]OUT_TransportEnergyCons!$B$4:$B$10000)*1,ISNUMBER(SEARCH("T_B_u*ICE*DSL*s1",[1]OUT_TransportEnergyCons!$A$4:$A$10000))*1,[1]OUT_TransportEnergyCons!J$4:J$10000))*1000</f>
        <v>-1.0071679624732911E-4</v>
      </c>
      <c r="M1969" s="1" cm="1">
        <f t="array" ref="M1969">(SUMPRODUCT(("Var_Cap"=[1]OUT_TransportEnergyCons!$B$4:$B$10000)*1,ISNUMBER(SEARCH("T_B_u*ICE*DSL*s1",[1]OUT_TransportEnergyCons!$A$4:$A$10000))*1,[1]OUT_TransportEnergyCons!K$4:K$10000))*1000</f>
        <v>-1.9494460166785858E-4</v>
      </c>
      <c r="N1969" s="1" cm="1">
        <f t="array" ref="N1969">(SUMPRODUCT(("Var_Cap"=[1]OUT_TransportEnergyCons!$B$4:$B$10000)*1,ISNUMBER(SEARCH("T_B_u*ICE*DSL*s1",[1]OUT_TransportEnergyCons!$A$4:$A$10000))*1,[1]OUT_TransportEnergyCons!L$4:L$10000))*1000</f>
        <v>0</v>
      </c>
      <c r="O1969" s="1" cm="1">
        <f t="array" ref="O1969">(SUMPRODUCT(("Var_Cap"=[1]OUT_TransportEnergyCons!$B$4:$B$10000)*1,ISNUMBER(SEARCH("T_B_u*ICE*DSL*s1",[1]OUT_TransportEnergyCons!$A$4:$A$10000))*1,[1]OUT_TransportEnergyCons!M$4:M$10000))*1000</f>
        <v>0</v>
      </c>
      <c r="P1969" s="1" cm="1">
        <f t="array" ref="P1969">(SUMPRODUCT(("Var_Cap"=[1]OUT_TransportEnergyCons!$B$4:$B$10000)*1,ISNUMBER(SEARCH("T_B_u*ICE*DSL*s1",[1]OUT_TransportEnergyCons!$A$4:$A$10000))*1,[1]OUT_TransportEnergyCons!N$4:N$10000))*1000</f>
        <v>0</v>
      </c>
      <c r="Q1969" s="1" cm="1">
        <f t="array" ref="Q1969">(SUMPRODUCT(("Var_Cap"=[1]OUT_TransportEnergyCons!$B$4:$B$10000)*1,ISNUMBER(SEARCH("T_B_u*ICE*DSL*s1",[1]OUT_TransportEnergyCons!$A$4:$A$10000))*1,[1]OUT_TransportEnergyCons!O$4:O$10000))*1000</f>
        <v>0</v>
      </c>
      <c r="S1969" s="3"/>
    </row>
    <row r="1970" spans="2:19" x14ac:dyDescent="0.5">
      <c r="B1970" s="5" t="str">
        <f t="shared" si="2157"/>
        <v>SPS1</v>
      </c>
      <c r="C1970" s="5" t="str">
        <f t="shared" si="2158"/>
        <v>CH</v>
      </c>
      <c r="D1970" t="s">
        <v>1992</v>
      </c>
      <c r="E1970" t="s">
        <v>1999</v>
      </c>
      <c r="F1970" s="1" cm="1">
        <f t="array" ref="F1970">IF((SUMPRODUCT(("Var_Cap"=[1]OUT_TransportEnergyCons!$B$4:$B$10000)*1,ISNUMBER(SEARCH("T_B_u*ICE*DSL*s2",[1]OUT_TransportEnergyCons!$A$4:$A$10000))*1,[1]OUT_TransportEnergyCons!D$4:D$10000))*1000&lt;0,0,(SUMPRODUCT(("Var_Cap"=[1]OUT_TransportEnergyCons!$B$4:$B$10000)*1,ISNUMBER(SEARCH("T_B_u*ICE*DSL*s2",[1]OUT_TransportEnergyCons!$A$4:$A$10000))*1,[1]OUT_TransportEnergyCons!D$4:D$10000))*1000)</f>
        <v>0.18243638210432886</v>
      </c>
      <c r="G1970" s="1" cm="1">
        <f t="array" ref="G1970">IF((SUMPRODUCT(("Var_Cap"=[1]OUT_TransportEnergyCons!$B$4:$B$10000)*1,ISNUMBER(SEARCH("T_B_u*ICE*DSL*s2",[1]OUT_TransportEnergyCons!$A$4:$A$10000))*1,[1]OUT_TransportEnergyCons!E$4:E$10000))*1000&lt;0,0,(SUMPRODUCT(("Var_Cap"=[1]OUT_TransportEnergyCons!$B$4:$B$10000)*1,ISNUMBER(SEARCH("T_B_u*ICE*DSL*s2",[1]OUT_TransportEnergyCons!$A$4:$A$10000))*1,[1]OUT_TransportEnergyCons!E$4:E$10000))*1000)</f>
        <v>0.21647539191417511</v>
      </c>
      <c r="H1970" s="1" cm="1">
        <f t="array" ref="H1970">IF((SUMPRODUCT(("Var_Cap"=[1]OUT_TransportEnergyCons!$B$4:$B$10000)*1,ISNUMBER(SEARCH("T_B_u*ICE*DSL*s2",[1]OUT_TransportEnergyCons!$A$4:$A$10000))*1,[1]OUT_TransportEnergyCons!F$4:F$10000))*1000&lt;0,0,(SUMPRODUCT(("Var_Cap"=[1]OUT_TransportEnergyCons!$B$4:$B$10000)*1,ISNUMBER(SEARCH("T_B_u*ICE*DSL*s2",[1]OUT_TransportEnergyCons!$A$4:$A$10000))*1,[1]OUT_TransportEnergyCons!F$4:F$10000))*1000)</f>
        <v>3.0403582016420654E-4</v>
      </c>
      <c r="I1970" s="1" cm="1">
        <f t="array" ref="I1970">IF((SUMPRODUCT(("Var_Cap"=[1]OUT_TransportEnergyCons!$B$4:$B$10000)*1,ISNUMBER(SEARCH("T_B_u*ICE*DSL*s2",[1]OUT_TransportEnergyCons!$A$4:$A$10000))*1,[1]OUT_TransportEnergyCons!G$4:G$10000))*1000&lt;0,0,(SUMPRODUCT(("Var_Cap"=[1]OUT_TransportEnergyCons!$B$4:$B$10000)*1,ISNUMBER(SEARCH("T_B_u*ICE*DSL*s2",[1]OUT_TransportEnergyCons!$A$4:$A$10000))*1,[1]OUT_TransportEnergyCons!G$4:G$10000))*1000)</f>
        <v>1.337527509300175E-3</v>
      </c>
      <c r="J1970" s="1" cm="1">
        <f t="array" ref="J1970">IF((SUMPRODUCT(("Var_Cap"=[1]OUT_TransportEnergyCons!$B$4:$B$10000)*1,ISNUMBER(SEARCH("T_B_u*ICE*DSL*s2",[1]OUT_TransportEnergyCons!$A$4:$A$10000))*1,[1]OUT_TransportEnergyCons!H$4:H$10000))*1000&lt;0,0,(SUMPRODUCT(("Var_Cap"=[1]OUT_TransportEnergyCons!$B$4:$B$10000)*1,ISNUMBER(SEARCH("T_B_u*ICE*DSL*s2",[1]OUT_TransportEnergyCons!$A$4:$A$10000))*1,[1]OUT_TransportEnergyCons!H$4:H$10000))*1000)</f>
        <v>5.8424766820471094E-4</v>
      </c>
      <c r="K1970" s="1" cm="1">
        <f t="array" ref="K1970">IF((SUMPRODUCT(("Var_Cap"=[1]OUT_TransportEnergyCons!$B$4:$B$10000)*1,ISNUMBER(SEARCH("T_B_u*ICE*DSL*s2",[1]OUT_TransportEnergyCons!$A$4:$A$10000))*1,[1]OUT_TransportEnergyCons!I$4:I$10000))*1000&lt;0,0,(SUMPRODUCT(("Var_Cap"=[1]OUT_TransportEnergyCons!$B$4:$B$10000)*1,ISNUMBER(SEARCH("T_B_u*ICE*DSL*s2",[1]OUT_TransportEnergyCons!$A$4:$A$10000))*1,[1]OUT_TransportEnergyCons!I$4:I$10000))*1000)</f>
        <v>2.11360040834474E-4</v>
      </c>
      <c r="L1970" s="1" cm="1">
        <f t="array" ref="L1970">IF((SUMPRODUCT(("Var_Cap"=[1]OUT_TransportEnergyCons!$B$4:$B$10000)*1,ISNUMBER(SEARCH("T_B_u*ICE*DSL*s2",[1]OUT_TransportEnergyCons!$A$4:$A$10000))*1,[1]OUT_TransportEnergyCons!J$4:J$10000))*1000&lt;0,0,(SUMPRODUCT(("Var_Cap"=[1]OUT_TransportEnergyCons!$B$4:$B$10000)*1,ISNUMBER(SEARCH("T_B_u*ICE*DSL*s2",[1]OUT_TransportEnergyCons!$A$4:$A$10000))*1,[1]OUT_TransportEnergyCons!J$4:J$10000))*1000)</f>
        <v>1.3805254292231E-4</v>
      </c>
      <c r="M1970" s="1" cm="1">
        <f t="array" ref="M1970">IF((SUMPRODUCT(("Var_Cap"=[1]OUT_TransportEnergyCons!$B$4:$B$10000)*1,ISNUMBER(SEARCH("T_B_u*ICE*DSL*s2",[1]OUT_TransportEnergyCons!$A$4:$A$10000))*1,[1]OUT_TransportEnergyCons!K$4:K$10000))*1000&lt;0,0,(SUMPRODUCT(("Var_Cap"=[1]OUT_TransportEnergyCons!$B$4:$B$10000)*1,ISNUMBER(SEARCH("T_B_u*ICE*DSL*s2",[1]OUT_TransportEnergyCons!$A$4:$A$10000))*1,[1]OUT_TransportEnergyCons!K$4:K$10000))*1000)</f>
        <v>0</v>
      </c>
      <c r="N1970" s="1" cm="1">
        <f t="array" ref="N1970">IF((SUMPRODUCT(("Var_Cap"=[1]OUT_TransportEnergyCons!$B$4:$B$10000)*1,ISNUMBER(SEARCH("T_B_u*ICE*DSL*s2",[1]OUT_TransportEnergyCons!$A$4:$A$10000))*1,[1]OUT_TransportEnergyCons!L$4:L$10000))*1000&lt;0,0,(SUMPRODUCT(("Var_Cap"=[1]OUT_TransportEnergyCons!$B$4:$B$10000)*1,ISNUMBER(SEARCH("T_B_u*ICE*DSL*s2",[1]OUT_TransportEnergyCons!$A$4:$A$10000))*1,[1]OUT_TransportEnergyCons!L$4:L$10000))*1000)</f>
        <v>0</v>
      </c>
      <c r="O1970" s="1" cm="1">
        <f t="array" ref="O1970">IF((SUMPRODUCT(("Var_Cap"=[1]OUT_TransportEnergyCons!$B$4:$B$10000)*1,ISNUMBER(SEARCH("T_B_u*ICE*DSL*s2",[1]OUT_TransportEnergyCons!$A$4:$A$10000))*1,[1]OUT_TransportEnergyCons!M$4:M$10000))*1000&lt;0,0,(SUMPRODUCT(("Var_Cap"=[1]OUT_TransportEnergyCons!$B$4:$B$10000)*1,ISNUMBER(SEARCH("T_B_u*ICE*DSL*s2",[1]OUT_TransportEnergyCons!$A$4:$A$10000))*1,[1]OUT_TransportEnergyCons!M$4:M$10000))*1000)</f>
        <v>0</v>
      </c>
      <c r="P1970" s="1" cm="1">
        <f t="array" ref="P1970">IF((SUMPRODUCT(("Var_Cap"=[1]OUT_TransportEnergyCons!$B$4:$B$10000)*1,ISNUMBER(SEARCH("T_B_u*ICE*DSL*s2",[1]OUT_TransportEnergyCons!$A$4:$A$10000))*1,[1]OUT_TransportEnergyCons!N$4:N$10000))*1000&lt;0,0,(SUMPRODUCT(("Var_Cap"=[1]OUT_TransportEnergyCons!$B$4:$B$10000)*1,ISNUMBER(SEARCH("T_B_u*ICE*DSL*s2",[1]OUT_TransportEnergyCons!$A$4:$A$10000))*1,[1]OUT_TransportEnergyCons!N$4:N$10000))*1000)</f>
        <v>0</v>
      </c>
      <c r="Q1970" s="1" cm="1">
        <f t="array" ref="Q1970">IF((SUMPRODUCT(("Var_Cap"=[1]OUT_TransportEnergyCons!$B$4:$B$10000)*1,ISNUMBER(SEARCH("T_B_u*ICE*DSL*s2",[1]OUT_TransportEnergyCons!$A$4:$A$10000))*1,[1]OUT_TransportEnergyCons!O$4:O$10000))*1000&lt;0,0,(SUMPRODUCT(("Var_Cap"=[1]OUT_TransportEnergyCons!$B$4:$B$10000)*1,ISNUMBER(SEARCH("T_B_u*ICE*DSL*s2",[1]OUT_TransportEnergyCons!$A$4:$A$10000))*1,[1]OUT_TransportEnergyCons!O$4:O$10000))*1000)</f>
        <v>0</v>
      </c>
      <c r="S1970" s="3"/>
    </row>
    <row r="1971" spans="2:19" x14ac:dyDescent="0.5">
      <c r="B1971" s="5" t="str">
        <f t="shared" si="2157"/>
        <v>SPS1</v>
      </c>
      <c r="C1971" s="5" t="str">
        <f t="shared" si="2158"/>
        <v>CH</v>
      </c>
      <c r="D1971" t="s">
        <v>1993</v>
      </c>
      <c r="E1971" t="s">
        <v>1999</v>
      </c>
      <c r="F1971" s="1" cm="1">
        <f t="array" ref="F1971">IF((SUMPRODUCT(("Var_Cap"=[1]OUT_TransportEnergyCons!$B$4:$B$10000)*1,ISNUMBER(SEARCH("T_B_u*ICE*DSL*s3",[1]OUT_TransportEnergyCons!$A$4:$A$10000))*1,[1]OUT_TransportEnergyCons!D$4:D$10000))*1000&lt;0,0,(SUMPRODUCT(("Var_Cap"=[1]OUT_TransportEnergyCons!$B$4:$B$10000)*1,ISNUMBER(SEARCH("T_B_u*ICE*DSL*s3",[1]OUT_TransportEnergyCons!$A$4:$A$10000))*1,[1]OUT_TransportEnergyCons!D$4:D$10000))*1000)</f>
        <v>0.80641723855890102</v>
      </c>
      <c r="G1971" s="1" cm="1">
        <f t="array" ref="G1971">IF((SUMPRODUCT(("Var_Cap"=[1]OUT_TransportEnergyCons!$B$4:$B$10000)*1,ISNUMBER(SEARCH("T_B_u*ICE*DSL*s3",[1]OUT_TransportEnergyCons!$A$4:$A$10000))*1,[1]OUT_TransportEnergyCons!E$4:E$10000))*1000&lt;0,0,(SUMPRODUCT(("Var_Cap"=[1]OUT_TransportEnergyCons!$B$4:$B$10000)*1,ISNUMBER(SEARCH("T_B_u*ICE*DSL*s3",[1]OUT_TransportEnergyCons!$A$4:$A$10000))*1,[1]OUT_TransportEnergyCons!E$4:E$10000))*1000)</f>
        <v>0.9778137893177441</v>
      </c>
      <c r="H1971" s="1" cm="1">
        <f t="array" ref="H1971">IF((SUMPRODUCT(("Var_Cap"=[1]OUT_TransportEnergyCons!$B$4:$B$10000)*1,ISNUMBER(SEARCH("T_B_u*ICE*DSL*s3",[1]OUT_TransportEnergyCons!$A$4:$A$10000))*1,[1]OUT_TransportEnergyCons!F$4:F$10000))*1000&lt;0,0,(SUMPRODUCT(("Var_Cap"=[1]OUT_TransportEnergyCons!$B$4:$B$10000)*1,ISNUMBER(SEARCH("T_B_u*ICE*DSL*s3",[1]OUT_TransportEnergyCons!$A$4:$A$10000))*1,[1]OUT_TransportEnergyCons!F$4:F$10000))*1000)</f>
        <v>2.089697980396394E-4</v>
      </c>
      <c r="I1971" s="1" cm="1">
        <f t="array" ref="I1971">IF((SUMPRODUCT(("Var_Cap"=[1]OUT_TransportEnergyCons!$B$4:$B$10000)*1,ISNUMBER(SEARCH("T_B_u*ICE*DSL*s3",[1]OUT_TransportEnergyCons!$A$4:$A$10000))*1,[1]OUT_TransportEnergyCons!G$4:G$10000))*1000&lt;0,0,(SUMPRODUCT(("Var_Cap"=[1]OUT_TransportEnergyCons!$B$4:$B$10000)*1,ISNUMBER(SEARCH("T_B_u*ICE*DSL*s3",[1]OUT_TransportEnergyCons!$A$4:$A$10000))*1,[1]OUT_TransportEnergyCons!G$4:G$10000))*1000)</f>
        <v>3.87336145661136E-2</v>
      </c>
      <c r="J1971" s="1" cm="1">
        <f t="array" ref="J1971">IF((SUMPRODUCT(("Var_Cap"=[1]OUT_TransportEnergyCons!$B$4:$B$10000)*1,ISNUMBER(SEARCH("T_B_u*ICE*DSL*s3",[1]OUT_TransportEnergyCons!$A$4:$A$10000))*1,[1]OUT_TransportEnergyCons!H$4:H$10000))*1000&lt;0,0,(SUMPRODUCT(("Var_Cap"=[1]OUT_TransportEnergyCons!$B$4:$B$10000)*1,ISNUMBER(SEARCH("T_B_u*ICE*DSL*s3",[1]OUT_TransportEnergyCons!$A$4:$A$10000))*1,[1]OUT_TransportEnergyCons!H$4:H$10000))*1000)</f>
        <v>6.4577007899344029E-3</v>
      </c>
      <c r="K1971" s="1" cm="1">
        <f t="array" ref="K1971">IF((SUMPRODUCT(("Var_Cap"=[1]OUT_TransportEnergyCons!$B$4:$B$10000)*1,ISNUMBER(SEARCH("T_B_u*ICE*DSL*s3",[1]OUT_TransportEnergyCons!$A$4:$A$10000))*1,[1]OUT_TransportEnergyCons!I$4:I$10000))*1000&lt;0,0,(SUMPRODUCT(("Var_Cap"=[1]OUT_TransportEnergyCons!$B$4:$B$10000)*1,ISNUMBER(SEARCH("T_B_u*ICE*DSL*s3",[1]OUT_TransportEnergyCons!$A$4:$A$10000))*1,[1]OUT_TransportEnergyCons!I$4:I$10000))*1000)</f>
        <v>4.7864123466288008E-4</v>
      </c>
      <c r="L1971" s="1" cm="1">
        <f t="array" ref="L1971">IF((SUMPRODUCT(("Var_Cap"=[1]OUT_TransportEnergyCons!$B$4:$B$10000)*1,ISNUMBER(SEARCH("T_B_u*ICE*DSL*s3",[1]OUT_TransportEnergyCons!$A$4:$A$10000))*1,[1]OUT_TransportEnergyCons!J$4:J$10000))*1000&lt;0,0,(SUMPRODUCT(("Var_Cap"=[1]OUT_TransportEnergyCons!$B$4:$B$10000)*1,ISNUMBER(SEARCH("T_B_u*ICE*DSL*s3",[1]OUT_TransportEnergyCons!$A$4:$A$10000))*1,[1]OUT_TransportEnergyCons!J$4:J$10000))*1000)</f>
        <v>2.7480396503171291E-4</v>
      </c>
      <c r="M1971" s="1" cm="1">
        <f t="array" ref="M1971">IF((SUMPRODUCT(("Var_Cap"=[1]OUT_TransportEnergyCons!$B$4:$B$10000)*1,ISNUMBER(SEARCH("T_B_u*ICE*DSL*s3",[1]OUT_TransportEnergyCons!$A$4:$A$10000))*1,[1]OUT_TransportEnergyCons!K$4:K$10000))*1000&lt;0,0,(SUMPRODUCT(("Var_Cap"=[1]OUT_TransportEnergyCons!$B$4:$B$10000)*1,ISNUMBER(SEARCH("T_B_u*ICE*DSL*s3",[1]OUT_TransportEnergyCons!$A$4:$A$10000))*1,[1]OUT_TransportEnergyCons!K$4:K$10000))*1000)</f>
        <v>0</v>
      </c>
      <c r="N1971" s="1" cm="1">
        <f t="array" ref="N1971">IF((SUMPRODUCT(("Var_Cap"=[1]OUT_TransportEnergyCons!$B$4:$B$10000)*1,ISNUMBER(SEARCH("T_B_u*ICE*DSL*s3",[1]OUT_TransportEnergyCons!$A$4:$A$10000))*1,[1]OUT_TransportEnergyCons!L$4:L$10000))*1000&lt;0,0,(SUMPRODUCT(("Var_Cap"=[1]OUT_TransportEnergyCons!$B$4:$B$10000)*1,ISNUMBER(SEARCH("T_B_u*ICE*DSL*s3",[1]OUT_TransportEnergyCons!$A$4:$A$10000))*1,[1]OUT_TransportEnergyCons!L$4:L$10000))*1000)</f>
        <v>0</v>
      </c>
      <c r="O1971" s="1" cm="1">
        <f t="array" ref="O1971">IF((SUMPRODUCT(("Var_Cap"=[1]OUT_TransportEnergyCons!$B$4:$B$10000)*1,ISNUMBER(SEARCH("T_B_u*ICE*DSL*s3",[1]OUT_TransportEnergyCons!$A$4:$A$10000))*1,[1]OUT_TransportEnergyCons!M$4:M$10000))*1000&lt;0,0,(SUMPRODUCT(("Var_Cap"=[1]OUT_TransportEnergyCons!$B$4:$B$10000)*1,ISNUMBER(SEARCH("T_B_u*ICE*DSL*s3",[1]OUT_TransportEnergyCons!$A$4:$A$10000))*1,[1]OUT_TransportEnergyCons!M$4:M$10000))*1000)</f>
        <v>0</v>
      </c>
      <c r="P1971" s="1" cm="1">
        <f t="array" ref="P1971">IF((SUMPRODUCT(("Var_Cap"=[1]OUT_TransportEnergyCons!$B$4:$B$10000)*1,ISNUMBER(SEARCH("T_B_u*ICE*DSL*s3",[1]OUT_TransportEnergyCons!$A$4:$A$10000))*1,[1]OUT_TransportEnergyCons!N$4:N$10000))*1000&lt;0,0,(SUMPRODUCT(("Var_Cap"=[1]OUT_TransportEnergyCons!$B$4:$B$10000)*1,ISNUMBER(SEARCH("T_B_u*ICE*DSL*s3",[1]OUT_TransportEnergyCons!$A$4:$A$10000))*1,[1]OUT_TransportEnergyCons!N$4:N$10000))*1000)</f>
        <v>0</v>
      </c>
      <c r="Q1971" s="1" cm="1">
        <f t="array" ref="Q1971">IF((SUMPRODUCT(("Var_Cap"=[1]OUT_TransportEnergyCons!$B$4:$B$10000)*1,ISNUMBER(SEARCH("T_B_u*ICE*DSL*s3",[1]OUT_TransportEnergyCons!$A$4:$A$10000))*1,[1]OUT_TransportEnergyCons!O$4:O$10000))*1000&lt;0,0,(SUMPRODUCT(("Var_Cap"=[1]OUT_TransportEnergyCons!$B$4:$B$10000)*1,ISNUMBER(SEARCH("T_B_u*ICE*DSL*s3",[1]OUT_TransportEnergyCons!$A$4:$A$10000))*1,[1]OUT_TransportEnergyCons!O$4:O$10000))*1000)</f>
        <v>0</v>
      </c>
      <c r="S1971" s="3"/>
    </row>
    <row r="1972" spans="2:19" x14ac:dyDescent="0.5">
      <c r="B1972" s="5" t="str">
        <f t="shared" si="2157"/>
        <v>SPS1</v>
      </c>
      <c r="C1972" s="5" t="str">
        <f t="shared" si="2158"/>
        <v>CH</v>
      </c>
      <c r="D1972" t="s">
        <v>1994</v>
      </c>
      <c r="E1972" t="s">
        <v>1999</v>
      </c>
      <c r="F1972" s="1" cm="1">
        <f t="array" ref="F1972">IF((SUMPRODUCT(("Var_Cap"=[1]OUT_TransportEnergyCons!$B$4:$B$10000)*1,ISNUMBER(SEARCH("T_B_u*ICE*DSL*s4",[1]OUT_TransportEnergyCons!$A$4:$A$10000))*1,[1]OUT_TransportEnergyCons!D$4:D$10000))*1000&lt;0,0,(SUMPRODUCT(("Var_Cap"=[1]OUT_TransportEnergyCons!$B$4:$B$10000)*1,ISNUMBER(SEARCH("T_B_u*ICE*DSL*s4",[1]OUT_TransportEnergyCons!$A$4:$A$10000))*1,[1]OUT_TransportEnergyCons!D$4:D$10000))*1000)</f>
        <v>3.3693679622068587E-3</v>
      </c>
      <c r="G1972" s="1" cm="1">
        <f t="array" ref="G1972">IF((SUMPRODUCT(("Var_Cap"=[1]OUT_TransportEnergyCons!$B$4:$B$10000)*1,ISNUMBER(SEARCH("T_B_u*ICE*DSL*s4",[1]OUT_TransportEnergyCons!$A$4:$A$10000))*1,[1]OUT_TransportEnergyCons!E$4:E$10000))*1000&lt;0,0,(SUMPRODUCT(("Var_Cap"=[1]OUT_TransportEnergyCons!$B$4:$B$10000)*1,ISNUMBER(SEARCH("T_B_u*ICE*DSL*s4",[1]OUT_TransportEnergyCons!$A$4:$A$10000))*1,[1]OUT_TransportEnergyCons!E$4:E$10000))*1000)</f>
        <v>0</v>
      </c>
      <c r="H1972" s="1" cm="1">
        <f t="array" ref="H1972">IF((SUMPRODUCT(("Var_Cap"=[1]OUT_TransportEnergyCons!$B$4:$B$10000)*1,ISNUMBER(SEARCH("T_B_u*ICE*DSL*s4",[1]OUT_TransportEnergyCons!$A$4:$A$10000))*1,[1]OUT_TransportEnergyCons!F$4:F$10000))*1000&lt;0,0,(SUMPRODUCT(("Var_Cap"=[1]OUT_TransportEnergyCons!$B$4:$B$10000)*1,ISNUMBER(SEARCH("T_B_u*ICE*DSL*s4",[1]OUT_TransportEnergyCons!$A$4:$A$10000))*1,[1]OUT_TransportEnergyCons!F$4:F$10000))*1000)</f>
        <v>0</v>
      </c>
      <c r="I1972" s="1" cm="1">
        <f t="array" ref="I1972">IF((SUMPRODUCT(("Var_Cap"=[1]OUT_TransportEnergyCons!$B$4:$B$10000)*1,ISNUMBER(SEARCH("T_B_u*ICE*DSL*s4",[1]OUT_TransportEnergyCons!$A$4:$A$10000))*1,[1]OUT_TransportEnergyCons!G$4:G$10000))*1000&lt;0,0,(SUMPRODUCT(("Var_Cap"=[1]OUT_TransportEnergyCons!$B$4:$B$10000)*1,ISNUMBER(SEARCH("T_B_u*ICE*DSL*s4",[1]OUT_TransportEnergyCons!$A$4:$A$10000))*1,[1]OUT_TransportEnergyCons!G$4:G$10000))*1000)</f>
        <v>0</v>
      </c>
      <c r="J1972" s="1" cm="1">
        <f t="array" ref="J1972">IF((SUMPRODUCT(("Var_Cap"=[1]OUT_TransportEnergyCons!$B$4:$B$10000)*1,ISNUMBER(SEARCH("T_B_u*ICE*DSL*s4",[1]OUT_TransportEnergyCons!$A$4:$A$10000))*1,[1]OUT_TransportEnergyCons!H$4:H$10000))*1000&lt;0,0,(SUMPRODUCT(("Var_Cap"=[1]OUT_TransportEnergyCons!$B$4:$B$10000)*1,ISNUMBER(SEARCH("T_B_u*ICE*DSL*s4",[1]OUT_TransportEnergyCons!$A$4:$A$10000))*1,[1]OUT_TransportEnergyCons!H$4:H$10000))*1000)</f>
        <v>1.390690816795016E-5</v>
      </c>
      <c r="K1972" s="1" cm="1">
        <f t="array" ref="K1972">IF((SUMPRODUCT(("Var_Cap"=[1]OUT_TransportEnergyCons!$B$4:$B$10000)*1,ISNUMBER(SEARCH("T_B_u*ICE*DSL*s4",[1]OUT_TransportEnergyCons!$A$4:$A$10000))*1,[1]OUT_TransportEnergyCons!I$4:I$10000))*1000&lt;0,0,(SUMPRODUCT(("Var_Cap"=[1]OUT_TransportEnergyCons!$B$4:$B$10000)*1,ISNUMBER(SEARCH("T_B_u*ICE*DSL*s4",[1]OUT_TransportEnergyCons!$A$4:$A$10000))*1,[1]OUT_TransportEnergyCons!I$4:I$10000))*1000)</f>
        <v>1.3411544498856899E-5</v>
      </c>
      <c r="L1972" s="1" cm="1">
        <f t="array" ref="L1972">IF((SUMPRODUCT(("Var_Cap"=[1]OUT_TransportEnergyCons!$B$4:$B$10000)*1,ISNUMBER(SEARCH("T_B_u*ICE*DSL*s4",[1]OUT_TransportEnergyCons!$A$4:$A$10000))*1,[1]OUT_TransportEnergyCons!J$4:J$10000))*1000&lt;0,0,(SUMPRODUCT(("Var_Cap"=[1]OUT_TransportEnergyCons!$B$4:$B$10000)*1,ISNUMBER(SEARCH("T_B_u*ICE*DSL*s4",[1]OUT_TransportEnergyCons!$A$4:$A$10000))*1,[1]OUT_TransportEnergyCons!J$4:J$10000))*1000)</f>
        <v>0</v>
      </c>
      <c r="M1972" s="1" cm="1">
        <f t="array" ref="M1972">IF((SUMPRODUCT(("Var_Cap"=[1]OUT_TransportEnergyCons!$B$4:$B$10000)*1,ISNUMBER(SEARCH("T_B_u*ICE*DSL*s4",[1]OUT_TransportEnergyCons!$A$4:$A$10000))*1,[1]OUT_TransportEnergyCons!K$4:K$10000))*1000&lt;0,0,(SUMPRODUCT(("Var_Cap"=[1]OUT_TransportEnergyCons!$B$4:$B$10000)*1,ISNUMBER(SEARCH("T_B_u*ICE*DSL*s4",[1]OUT_TransportEnergyCons!$A$4:$A$10000))*1,[1]OUT_TransportEnergyCons!K$4:K$10000))*1000)</f>
        <v>0</v>
      </c>
      <c r="N1972" s="1" cm="1">
        <f t="array" ref="N1972">IF((SUMPRODUCT(("Var_Cap"=[1]OUT_TransportEnergyCons!$B$4:$B$10000)*1,ISNUMBER(SEARCH("T_B_u*ICE*DSL*s4",[1]OUT_TransportEnergyCons!$A$4:$A$10000))*1,[1]OUT_TransportEnergyCons!L$4:L$10000))*1000&lt;0,0,(SUMPRODUCT(("Var_Cap"=[1]OUT_TransportEnergyCons!$B$4:$B$10000)*1,ISNUMBER(SEARCH("T_B_u*ICE*DSL*s4",[1]OUT_TransportEnergyCons!$A$4:$A$10000))*1,[1]OUT_TransportEnergyCons!L$4:L$10000))*1000)</f>
        <v>0</v>
      </c>
      <c r="O1972" s="1" cm="1">
        <f t="array" ref="O1972">IF((SUMPRODUCT(("Var_Cap"=[1]OUT_TransportEnergyCons!$B$4:$B$10000)*1,ISNUMBER(SEARCH("T_B_u*ICE*DSL*s4",[1]OUT_TransportEnergyCons!$A$4:$A$10000))*1,[1]OUT_TransportEnergyCons!M$4:M$10000))*1000&lt;0,0,(SUMPRODUCT(("Var_Cap"=[1]OUT_TransportEnergyCons!$B$4:$B$10000)*1,ISNUMBER(SEARCH("T_B_u*ICE*DSL*s4",[1]OUT_TransportEnergyCons!$A$4:$A$10000))*1,[1]OUT_TransportEnergyCons!M$4:M$10000))*1000)</f>
        <v>0</v>
      </c>
      <c r="P1972" s="1" cm="1">
        <f t="array" ref="P1972">IF((SUMPRODUCT(("Var_Cap"=[1]OUT_TransportEnergyCons!$B$4:$B$10000)*1,ISNUMBER(SEARCH("T_B_u*ICE*DSL*s4",[1]OUT_TransportEnergyCons!$A$4:$A$10000))*1,[1]OUT_TransportEnergyCons!N$4:N$10000))*1000&lt;0,0,(SUMPRODUCT(("Var_Cap"=[1]OUT_TransportEnergyCons!$B$4:$B$10000)*1,ISNUMBER(SEARCH("T_B_u*ICE*DSL*s4",[1]OUT_TransportEnergyCons!$A$4:$A$10000))*1,[1]OUT_TransportEnergyCons!N$4:N$10000))*1000)</f>
        <v>0</v>
      </c>
      <c r="Q1972" s="1" cm="1">
        <f t="array" ref="Q1972">IF((SUMPRODUCT(("Var_Cap"=[1]OUT_TransportEnergyCons!$B$4:$B$10000)*1,ISNUMBER(SEARCH("T_B_u*ICE*DSL*s4",[1]OUT_TransportEnergyCons!$A$4:$A$10000))*1,[1]OUT_TransportEnergyCons!O$4:O$10000))*1000&lt;0,0,(SUMPRODUCT(("Var_Cap"=[1]OUT_TransportEnergyCons!$B$4:$B$10000)*1,ISNUMBER(SEARCH("T_B_u*ICE*DSL*s4",[1]OUT_TransportEnergyCons!$A$4:$A$10000))*1,[1]OUT_TransportEnergyCons!O$4:O$10000))*1000)</f>
        <v>0</v>
      </c>
      <c r="S1972" s="3"/>
    </row>
    <row r="1973" spans="2:19" x14ac:dyDescent="0.5">
      <c r="B1973" s="5" t="str">
        <f t="shared" si="2157"/>
        <v>SPS1</v>
      </c>
      <c r="C1973" s="5" t="str">
        <f t="shared" si="2158"/>
        <v>CH</v>
      </c>
      <c r="D1973" t="s">
        <v>2007</v>
      </c>
      <c r="E1973" t="s">
        <v>1999</v>
      </c>
      <c r="F1973" s="1" cm="1">
        <f t="array" ref="F1973">(SUMPRODUCT(("Var_Cap"=[1]OUT_TransportEnergyCons!$B$4:$B$10000)*1,ISNUMBER(SEARCH("T_B_u*ICE*nga*ext",[1]OUT_TransportEnergyCons!$A$4:$A$10000))*1,[1]OUT_TransportEnergyCons!D$4:D$10000))*1000</f>
        <v>8.3573535787944367E-2</v>
      </c>
      <c r="G1973" s="1" cm="1">
        <f t="array" ref="G1973">(SUMPRODUCT(("Var_Cap"=[1]OUT_TransportEnergyCons!$B$4:$B$10000)*1,ISNUMBER(SEARCH("T_B_u*ICE*nga*ext",[1]OUT_TransportEnergyCons!$A$4:$A$10000))*1,[1]OUT_TransportEnergyCons!E$4:E$10000))*1000</f>
        <v>6.68603213844252E-2</v>
      </c>
      <c r="H1973" s="1" cm="1">
        <f t="array" ref="H1973">(SUMPRODUCT(("Var_Cap"=[1]OUT_TransportEnergyCons!$B$4:$B$10000)*1,ISNUMBER(SEARCH("T_B_u*ICE*nga*ext",[1]OUT_TransportEnergyCons!$A$4:$A$10000))*1,[1]OUT_TransportEnergyCons!F$4:F$10000))*1000</f>
        <v>5.9682909359559579E-4</v>
      </c>
      <c r="I1973" s="1" cm="1">
        <f t="array" ref="I1973">(SUMPRODUCT(("Var_Cap"=[1]OUT_TransportEnergyCons!$B$4:$B$10000)*1,ISNUMBER(SEARCH("T_B_u*ICE*nga*ext",[1]OUT_TransportEnergyCons!$A$4:$A$10000))*1,[1]OUT_TransportEnergyCons!G$4:G$10000))*1000</f>
        <v>0</v>
      </c>
      <c r="J1973" s="1" cm="1">
        <f t="array" ref="J1973">(SUMPRODUCT(("Var_Cap"=[1]OUT_TransportEnergyCons!$B$4:$B$10000)*1,ISNUMBER(SEARCH("T_B_u*ICE*nga*ext",[1]OUT_TransportEnergyCons!$A$4:$A$10000))*1,[1]OUT_TransportEnergyCons!H$4:H$10000))*1000</f>
        <v>0</v>
      </c>
      <c r="K1973" s="1" cm="1">
        <f t="array" ref="K1973">(SUMPRODUCT(("Var_Cap"=[1]OUT_TransportEnergyCons!$B$4:$B$10000)*1,ISNUMBER(SEARCH("T_B_u*ICE*nga*ext",[1]OUT_TransportEnergyCons!$A$4:$A$10000))*1,[1]OUT_TransportEnergyCons!I$4:I$10000))*1000</f>
        <v>0</v>
      </c>
      <c r="L1973" s="1" cm="1">
        <f t="array" ref="L1973">(SUMPRODUCT(("Var_Cap"=[1]OUT_TransportEnergyCons!$B$4:$B$10000)*1,ISNUMBER(SEARCH("T_B_u*ICE*nga*ext",[1]OUT_TransportEnergyCons!$A$4:$A$10000))*1,[1]OUT_TransportEnergyCons!J$4:J$10000))*1000</f>
        <v>0</v>
      </c>
      <c r="M1973" s="1" cm="1">
        <f t="array" ref="M1973">(SUMPRODUCT(("Var_Cap"=[1]OUT_TransportEnergyCons!$B$4:$B$10000)*1,ISNUMBER(SEARCH("T_B_u*ICE*nga*ext",[1]OUT_TransportEnergyCons!$A$4:$A$10000))*1,[1]OUT_TransportEnergyCons!K$4:K$10000))*1000</f>
        <v>0</v>
      </c>
      <c r="N1973" s="1" cm="1">
        <f t="array" ref="N1973">(SUMPRODUCT(("Var_Cap"=[1]OUT_TransportEnergyCons!$B$4:$B$10000)*1,ISNUMBER(SEARCH("T_B_u*ICE*nga*ext",[1]OUT_TransportEnergyCons!$A$4:$A$10000))*1,[1]OUT_TransportEnergyCons!L$4:L$10000))*1000</f>
        <v>0</v>
      </c>
      <c r="O1973" s="1" cm="1">
        <f t="array" ref="O1973">(SUMPRODUCT(("Var_Cap"=[1]OUT_TransportEnergyCons!$B$4:$B$10000)*1,ISNUMBER(SEARCH("T_B_u*ICE*nga*ext",[1]OUT_TransportEnergyCons!$A$4:$A$10000))*1,[1]OUT_TransportEnergyCons!M$4:M$10000))*1000</f>
        <v>0</v>
      </c>
      <c r="P1973" s="1" cm="1">
        <f t="array" ref="P1973">(SUMPRODUCT(("Var_Cap"=[1]OUT_TransportEnergyCons!$B$4:$B$10000)*1,ISNUMBER(SEARCH("T_B_u*ICE*nga*ext",[1]OUT_TransportEnergyCons!$A$4:$A$10000))*1,[1]OUT_TransportEnergyCons!N$4:N$10000))*1000</f>
        <v>0</v>
      </c>
      <c r="Q1973" s="1" cm="1">
        <f t="array" ref="Q1973">(SUMPRODUCT(("Var_Cap"=[1]OUT_TransportEnergyCons!$B$4:$B$10000)*1,ISNUMBER(SEARCH("T_B_u*ICE*nga*ext",[1]OUT_TransportEnergyCons!$A$4:$A$10000))*1,[1]OUT_TransportEnergyCons!O$4:O$10000))*1000</f>
        <v>0</v>
      </c>
      <c r="S1973" s="3"/>
    </row>
    <row r="1974" spans="2:19" x14ac:dyDescent="0.5">
      <c r="B1974" s="5" t="str">
        <f t="shared" si="2157"/>
        <v>SPS1</v>
      </c>
      <c r="C1974" s="5" t="str">
        <f t="shared" si="2158"/>
        <v>CH</v>
      </c>
      <c r="D1974" t="s">
        <v>1995</v>
      </c>
      <c r="E1974" t="s">
        <v>1999</v>
      </c>
      <c r="F1974" s="1" cm="1">
        <f t="array" ref="F1974">(SUMPRODUCT(("Var_Cap"=[1]OUT_TransportEnergyCons!$B$4:$B$10000)*1,ISNUMBER(SEARCH("T_B_u*ICE*nga*s1",[1]OUT_TransportEnergyCons!$A$4:$A$10000))*1,[1]OUT_TransportEnergyCons!D$4:D$10000))*1000</f>
        <v>0</v>
      </c>
      <c r="G1974" s="1" cm="1">
        <f t="array" ref="G1974">(SUMPRODUCT(("Var_Cap"=[1]OUT_TransportEnergyCons!$B$4:$B$10000)*1,ISNUMBER(SEARCH("T_B_u*ICE*nga*s1",[1]OUT_TransportEnergyCons!$A$4:$A$10000))*1,[1]OUT_TransportEnergyCons!E$4:E$10000))*1000</f>
        <v>1.29044368549125E-2</v>
      </c>
      <c r="H1974" s="1" cm="1">
        <f t="array" ref="H1974">(SUMPRODUCT(("Var_Cap"=[1]OUT_TransportEnergyCons!$B$4:$B$10000)*1,ISNUMBER(SEARCH("T_B_u*ICE*nga*s1",[1]OUT_TransportEnergyCons!$A$4:$A$10000))*1,[1]OUT_TransportEnergyCons!F$4:F$10000))*1000</f>
        <v>4.1427929117995209E-6</v>
      </c>
      <c r="I1974" s="1" cm="1">
        <f t="array" ref="I1974">(SUMPRODUCT(("Var_Cap"=[1]OUT_TransportEnergyCons!$B$4:$B$10000)*1,ISNUMBER(SEARCH("T_B_u*ICE*nga*s1",[1]OUT_TransportEnergyCons!$A$4:$A$10000))*1,[1]OUT_TransportEnergyCons!G$4:G$10000))*1000</f>
        <v>-4.4302080559798643E-5</v>
      </c>
      <c r="J1974" s="1" cm="1">
        <f t="array" ref="J1974">(SUMPRODUCT(("Var_Cap"=[1]OUT_TransportEnergyCons!$B$4:$B$10000)*1,ISNUMBER(SEARCH("T_B_u*ICE*nga*s1",[1]OUT_TransportEnergyCons!$A$4:$A$10000))*1,[1]OUT_TransportEnergyCons!H$4:H$10000))*1000</f>
        <v>-1.8271680717815901E-4</v>
      </c>
      <c r="K1974" s="1" cm="1">
        <f t="array" ref="K1974">(SUMPRODUCT(("Var_Cap"=[1]OUT_TransportEnergyCons!$B$4:$B$10000)*1,ISNUMBER(SEARCH("T_B_u*ICE*nga*s1",[1]OUT_TransportEnergyCons!$A$4:$A$10000))*1,[1]OUT_TransportEnergyCons!I$4:I$10000))*1000</f>
        <v>-1.5996037604347851E-4</v>
      </c>
      <c r="L1974" s="1" cm="1">
        <f t="array" ref="L1974">(SUMPRODUCT(("Var_Cap"=[1]OUT_TransportEnergyCons!$B$4:$B$10000)*1,ISNUMBER(SEARCH("T_B_u*ICE*nga*s1",[1]OUT_TransportEnergyCons!$A$4:$A$10000))*1,[1]OUT_TransportEnergyCons!J$4:J$10000))*1000</f>
        <v>-1.240993359897025E-4</v>
      </c>
      <c r="M1974" s="1" cm="1">
        <f t="array" ref="M1974">(SUMPRODUCT(("Var_Cap"=[1]OUT_TransportEnergyCons!$B$4:$B$10000)*1,ISNUMBER(SEARCH("T_B_u*ICE*nga*s1",[1]OUT_TransportEnergyCons!$A$4:$A$10000))*1,[1]OUT_TransportEnergyCons!K$4:K$10000))*1000</f>
        <v>8.3671057606810963E-6</v>
      </c>
      <c r="N1974" s="1" cm="1">
        <f t="array" ref="N1974">(SUMPRODUCT(("Var_Cap"=[1]OUT_TransportEnergyCons!$B$4:$B$10000)*1,ISNUMBER(SEARCH("T_B_u*ICE*nga*s1",[1]OUT_TransportEnergyCons!$A$4:$A$10000))*1,[1]OUT_TransportEnergyCons!L$4:L$10000))*1000</f>
        <v>0</v>
      </c>
      <c r="O1974" s="1" cm="1">
        <f t="array" ref="O1974">(SUMPRODUCT(("Var_Cap"=[1]OUT_TransportEnergyCons!$B$4:$B$10000)*1,ISNUMBER(SEARCH("T_B_u*ICE*nga*s1",[1]OUT_TransportEnergyCons!$A$4:$A$10000))*1,[1]OUT_TransportEnergyCons!M$4:M$10000))*1000</f>
        <v>0</v>
      </c>
      <c r="P1974" s="1" cm="1">
        <f t="array" ref="P1974">(SUMPRODUCT(("Var_Cap"=[1]OUT_TransportEnergyCons!$B$4:$B$10000)*1,ISNUMBER(SEARCH("T_B_u*ICE*nga*s1",[1]OUT_TransportEnergyCons!$A$4:$A$10000))*1,[1]OUT_TransportEnergyCons!N$4:N$10000))*1000</f>
        <v>0</v>
      </c>
      <c r="Q1974" s="1" cm="1">
        <f t="array" ref="Q1974">(SUMPRODUCT(("Var_Cap"=[1]OUT_TransportEnergyCons!$B$4:$B$10000)*1,ISNUMBER(SEARCH("T_B_u*ICE*nga*s1",[1]OUT_TransportEnergyCons!$A$4:$A$10000))*1,[1]OUT_TransportEnergyCons!O$4:O$10000))*1000</f>
        <v>0</v>
      </c>
      <c r="S1974" s="3"/>
    </row>
    <row r="1975" spans="2:19" x14ac:dyDescent="0.5">
      <c r="B1975" s="5" t="str">
        <f t="shared" si="2157"/>
        <v>SPS1</v>
      </c>
      <c r="C1975" s="5" t="str">
        <f t="shared" si="2158"/>
        <v>CH</v>
      </c>
      <c r="D1975" t="s">
        <v>1996</v>
      </c>
      <c r="E1975" t="s">
        <v>1999</v>
      </c>
      <c r="F1975" s="1" cm="1">
        <f t="array" ref="F1975">(SUMPRODUCT(("Var_Cap"=[1]OUT_TransportEnergyCons!$B$4:$B$10000)*1,ISNUMBER(SEARCH("T_B_u*ICE*nga*s2",[1]OUT_TransportEnergyCons!$A$4:$A$10000))*1,[1]OUT_TransportEnergyCons!D$4:D$10000))*1000</f>
        <v>0</v>
      </c>
      <c r="G1975" s="1" cm="1">
        <f t="array" ref="G1975">(SUMPRODUCT(("Var_Cap"=[1]OUT_TransportEnergyCons!$B$4:$B$10000)*1,ISNUMBER(SEARCH("T_B_u*ICE*nga*s2",[1]OUT_TransportEnergyCons!$A$4:$A$10000))*1,[1]OUT_TransportEnergyCons!E$4:E$10000))*1000</f>
        <v>2.2191623176797599E-4</v>
      </c>
      <c r="H1975" s="1" cm="1">
        <f t="array" ref="H1975">(SUMPRODUCT(("Var_Cap"=[1]OUT_TransportEnergyCons!$B$4:$B$10000)*1,ISNUMBER(SEARCH("T_B_u*ICE*nga*s2",[1]OUT_TransportEnergyCons!$A$4:$A$10000))*1,[1]OUT_TransportEnergyCons!F$4:F$10000))*1000</f>
        <v>8.2650885705736011E-5</v>
      </c>
      <c r="I1975" s="1" cm="1">
        <f t="array" ref="I1975">(SUMPRODUCT(("Var_Cap"=[1]OUT_TransportEnergyCons!$B$4:$B$10000)*1,ISNUMBER(SEARCH("T_B_u*ICE*nga*s2",[1]OUT_TransportEnergyCons!$A$4:$A$10000))*1,[1]OUT_TransportEnergyCons!G$4:G$10000))*1000</f>
        <v>3.5999596653554696E-4</v>
      </c>
      <c r="J1975" s="1" cm="1">
        <f t="array" ref="J1975">(SUMPRODUCT(("Var_Cap"=[1]OUT_TransportEnergyCons!$B$4:$B$10000)*1,ISNUMBER(SEARCH("T_B_u*ICE*nga*s2",[1]OUT_TransportEnergyCons!$A$4:$A$10000))*1,[1]OUT_TransportEnergyCons!H$4:H$10000))*1000</f>
        <v>1.2668360083730197E-4</v>
      </c>
      <c r="K1975" s="1" cm="1">
        <f t="array" ref="K1975">(SUMPRODUCT(("Var_Cap"=[1]OUT_TransportEnergyCons!$B$4:$B$10000)*1,ISNUMBER(SEARCH("T_B_u*ICE*nga*s2",[1]OUT_TransportEnergyCons!$A$4:$A$10000))*1,[1]OUT_TransportEnergyCons!I$4:I$10000))*1000</f>
        <v>1.2311689811414888E-4</v>
      </c>
      <c r="L1975" s="1" cm="1">
        <f t="array" ref="L1975">(SUMPRODUCT(("Var_Cap"=[1]OUT_TransportEnergyCons!$B$4:$B$10000)*1,ISNUMBER(SEARCH("T_B_u*ICE*nga*s2",[1]OUT_TransportEnergyCons!$A$4:$A$10000))*1,[1]OUT_TransportEnergyCons!J$4:J$10000))*1000</f>
        <v>1.2028479408573497E-4</v>
      </c>
      <c r="M1975" s="1" cm="1">
        <f t="array" ref="M1975">(SUMPRODUCT(("Var_Cap"=[1]OUT_TransportEnergyCons!$B$4:$B$10000)*1,ISNUMBER(SEARCH("T_B_u*ICE*nga*s2",[1]OUT_TransportEnergyCons!$A$4:$A$10000))*1,[1]OUT_TransportEnergyCons!K$4:K$10000))*1000</f>
        <v>1.4412658516117479E-4</v>
      </c>
      <c r="N1975" s="1" cm="1">
        <f t="array" ref="N1975">(SUMPRODUCT(("Var_Cap"=[1]OUT_TransportEnergyCons!$B$4:$B$10000)*1,ISNUMBER(SEARCH("T_B_u*ICE*nga*s2",[1]OUT_TransportEnergyCons!$A$4:$A$10000))*1,[1]OUT_TransportEnergyCons!L$4:L$10000))*1000</f>
        <v>0</v>
      </c>
      <c r="O1975" s="1" cm="1">
        <f t="array" ref="O1975">(SUMPRODUCT(("Var_Cap"=[1]OUT_TransportEnergyCons!$B$4:$B$10000)*1,ISNUMBER(SEARCH("T_B_u*ICE*nga*s2",[1]OUT_TransportEnergyCons!$A$4:$A$10000))*1,[1]OUT_TransportEnergyCons!M$4:M$10000))*1000</f>
        <v>0</v>
      </c>
      <c r="P1975" s="1" cm="1">
        <f t="array" ref="P1975">(SUMPRODUCT(("Var_Cap"=[1]OUT_TransportEnergyCons!$B$4:$B$10000)*1,ISNUMBER(SEARCH("T_B_u*ICE*nga*s2",[1]OUT_TransportEnergyCons!$A$4:$A$10000))*1,[1]OUT_TransportEnergyCons!N$4:N$10000))*1000</f>
        <v>0</v>
      </c>
      <c r="Q1975" s="1" cm="1">
        <f t="array" ref="Q1975">(SUMPRODUCT(("Var_Cap"=[1]OUT_TransportEnergyCons!$B$4:$B$10000)*1,ISNUMBER(SEARCH("T_B_u*ICE*nga*s2",[1]OUT_TransportEnergyCons!$A$4:$A$10000))*1,[1]OUT_TransportEnergyCons!O$4:O$10000))*1000</f>
        <v>0</v>
      </c>
      <c r="S1975" s="3"/>
    </row>
    <row r="1976" spans="2:19" x14ac:dyDescent="0.5">
      <c r="B1976" s="5" t="str">
        <f t="shared" si="2157"/>
        <v>SPS1</v>
      </c>
      <c r="C1976" s="5" t="str">
        <f t="shared" si="2158"/>
        <v>CH</v>
      </c>
      <c r="D1976" t="s">
        <v>1997</v>
      </c>
      <c r="E1976" t="s">
        <v>1999</v>
      </c>
      <c r="F1976" s="1" cm="1">
        <f t="array" ref="F1976">IF((SUMPRODUCT(("Var_Cap"=[1]OUT_TransportEnergyCons!$B$4:$B$10000)*1,ISNUMBER(SEARCH("T_B_u*ICE*nga*s3",[1]OUT_TransportEnergyCons!$A$4:$A$10000))*1,[1]OUT_TransportEnergyCons!D$4:D$10000))*1000&lt;0,0,(SUMPRODUCT(("Var_Cap"=[1]OUT_TransportEnergyCons!$B$4:$B$10000)*1,ISNUMBER(SEARCH("T_B_u*ICE*nga*s3",[1]OUT_TransportEnergyCons!$A$4:$A$10000))*1,[1]OUT_TransportEnergyCons!D$4:D$10000))*1000)</f>
        <v>0</v>
      </c>
      <c r="G1976" s="1" cm="1">
        <f t="array" ref="G1976">IF((SUMPRODUCT(("Var_Cap"=[1]OUT_TransportEnergyCons!$B$4:$B$10000)*1,ISNUMBER(SEARCH("T_B_u*ICE*nga*s3",[1]OUT_TransportEnergyCons!$A$4:$A$10000))*1,[1]OUT_TransportEnergyCons!E$4:E$10000))*1000&lt;0,0,(SUMPRODUCT(("Var_Cap"=[1]OUT_TransportEnergyCons!$B$4:$B$10000)*1,ISNUMBER(SEARCH("T_B_u*ICE*nga*s3",[1]OUT_TransportEnergyCons!$A$4:$A$10000))*1,[1]OUT_TransportEnergyCons!E$4:E$10000))*1000)</f>
        <v>1.30577491295123E-3</v>
      </c>
      <c r="H1976" s="1" cm="1">
        <f t="array" ref="H1976">IF((SUMPRODUCT(("Var_Cap"=[1]OUT_TransportEnergyCons!$B$4:$B$10000)*1,ISNUMBER(SEARCH("T_B_u*ICE*nga*s3",[1]OUT_TransportEnergyCons!$A$4:$A$10000))*1,[1]OUT_TransportEnergyCons!F$4:F$10000))*1000&lt;0,0,(SUMPRODUCT(("Var_Cap"=[1]OUT_TransportEnergyCons!$B$4:$B$10000)*1,ISNUMBER(SEARCH("T_B_u*ICE*nga*s3",[1]OUT_TransportEnergyCons!$A$4:$A$10000))*1,[1]OUT_TransportEnergyCons!F$4:F$10000))*1000)</f>
        <v>2.9738016485570951E-3</v>
      </c>
      <c r="I1976" s="1" cm="1">
        <f t="array" ref="I1976">IF((SUMPRODUCT(("Var_Cap"=[1]OUT_TransportEnergyCons!$B$4:$B$10000)*1,ISNUMBER(SEARCH("T_B_u*ICE*nga*s3",[1]OUT_TransportEnergyCons!$A$4:$A$10000))*1,[1]OUT_TransportEnergyCons!G$4:G$10000))*1000&lt;0,0,(SUMPRODUCT(("Var_Cap"=[1]OUT_TransportEnergyCons!$B$4:$B$10000)*1,ISNUMBER(SEARCH("T_B_u*ICE*nga*s3",[1]OUT_TransportEnergyCons!$A$4:$A$10000))*1,[1]OUT_TransportEnergyCons!G$4:G$10000))*1000)</f>
        <v>5.7481750426849002E-3</v>
      </c>
      <c r="J1976" s="1" cm="1">
        <f t="array" ref="J1976">IF((SUMPRODUCT(("Var_Cap"=[1]OUT_TransportEnergyCons!$B$4:$B$10000)*1,ISNUMBER(SEARCH("T_B_u*ICE*nga*s3",[1]OUT_TransportEnergyCons!$A$4:$A$10000))*1,[1]OUT_TransportEnergyCons!H$4:H$10000))*1000&lt;0,0,(SUMPRODUCT(("Var_Cap"=[1]OUT_TransportEnergyCons!$B$4:$B$10000)*1,ISNUMBER(SEARCH("T_B_u*ICE*nga*s3",[1]OUT_TransportEnergyCons!$A$4:$A$10000))*1,[1]OUT_TransportEnergyCons!H$4:H$10000))*1000)</f>
        <v>5.7505639454287971E-4</v>
      </c>
      <c r="K1976" s="1" cm="1">
        <f t="array" ref="K1976">IF((SUMPRODUCT(("Var_Cap"=[1]OUT_TransportEnergyCons!$B$4:$B$10000)*1,ISNUMBER(SEARCH("T_B_u*ICE*nga*s3",[1]OUT_TransportEnergyCons!$A$4:$A$10000))*1,[1]OUT_TransportEnergyCons!I$4:I$10000))*1000&lt;0,0,(SUMPRODUCT(("Var_Cap"=[1]OUT_TransportEnergyCons!$B$4:$B$10000)*1,ISNUMBER(SEARCH("T_B_u*ICE*nga*s3",[1]OUT_TransportEnergyCons!$A$4:$A$10000))*1,[1]OUT_TransportEnergyCons!I$4:I$10000))*1000)</f>
        <v>2.0869118057007999E-4</v>
      </c>
      <c r="L1976" s="1" cm="1">
        <f t="array" ref="L1976">IF((SUMPRODUCT(("Var_Cap"=[1]OUT_TransportEnergyCons!$B$4:$B$10000)*1,ISNUMBER(SEARCH("T_B_u*ICE*nga*s3",[1]OUT_TransportEnergyCons!$A$4:$A$10000))*1,[1]OUT_TransportEnergyCons!J$4:J$10000))*1000&lt;0,0,(SUMPRODUCT(("Var_Cap"=[1]OUT_TransportEnergyCons!$B$4:$B$10000)*1,ISNUMBER(SEARCH("T_B_u*ICE*nga*s3",[1]OUT_TransportEnergyCons!$A$4:$A$10000))*1,[1]OUT_TransportEnergyCons!J$4:J$10000))*1000)</f>
        <v>1.0538347436186919E-4</v>
      </c>
      <c r="M1976" s="1" cm="1">
        <f t="array" ref="M1976">IF((SUMPRODUCT(("Var_Cap"=[1]OUT_TransportEnergyCons!$B$4:$B$10000)*1,ISNUMBER(SEARCH("T_B_u*ICE*nga*s3",[1]OUT_TransportEnergyCons!$A$4:$A$10000))*1,[1]OUT_TransportEnergyCons!K$4:K$10000))*1000&lt;0,0,(SUMPRODUCT(("Var_Cap"=[1]OUT_TransportEnergyCons!$B$4:$B$10000)*1,ISNUMBER(SEARCH("T_B_u*ICE*nga*s3",[1]OUT_TransportEnergyCons!$A$4:$A$10000))*1,[1]OUT_TransportEnergyCons!K$4:K$10000))*1000)</f>
        <v>0</v>
      </c>
      <c r="N1976" s="1" cm="1">
        <f t="array" ref="N1976">IF((SUMPRODUCT(("Var_Cap"=[1]OUT_TransportEnergyCons!$B$4:$B$10000)*1,ISNUMBER(SEARCH("T_B_u*ICE*nga*s3",[1]OUT_TransportEnergyCons!$A$4:$A$10000))*1,[1]OUT_TransportEnergyCons!L$4:L$10000))*1000&lt;0,0,(SUMPRODUCT(("Var_Cap"=[1]OUT_TransportEnergyCons!$B$4:$B$10000)*1,ISNUMBER(SEARCH("T_B_u*ICE*nga*s3",[1]OUT_TransportEnergyCons!$A$4:$A$10000))*1,[1]OUT_TransportEnergyCons!L$4:L$10000))*1000)</f>
        <v>0</v>
      </c>
      <c r="O1976" s="1" cm="1">
        <f t="array" ref="O1976">IF((SUMPRODUCT(("Var_Cap"=[1]OUT_TransportEnergyCons!$B$4:$B$10000)*1,ISNUMBER(SEARCH("T_B_u*ICE*nga*s3",[1]OUT_TransportEnergyCons!$A$4:$A$10000))*1,[1]OUT_TransportEnergyCons!M$4:M$10000))*1000&lt;0,0,(SUMPRODUCT(("Var_Cap"=[1]OUT_TransportEnergyCons!$B$4:$B$10000)*1,ISNUMBER(SEARCH("T_B_u*ICE*nga*s3",[1]OUT_TransportEnergyCons!$A$4:$A$10000))*1,[1]OUT_TransportEnergyCons!M$4:M$10000))*1000)</f>
        <v>0</v>
      </c>
      <c r="P1976" s="1" cm="1">
        <f t="array" ref="P1976">IF((SUMPRODUCT(("Var_Cap"=[1]OUT_TransportEnergyCons!$B$4:$B$10000)*1,ISNUMBER(SEARCH("T_B_u*ICE*nga*s3",[1]OUT_TransportEnergyCons!$A$4:$A$10000))*1,[1]OUT_TransportEnergyCons!N$4:N$10000))*1000&lt;0,0,(SUMPRODUCT(("Var_Cap"=[1]OUT_TransportEnergyCons!$B$4:$B$10000)*1,ISNUMBER(SEARCH("T_B_u*ICE*nga*s3",[1]OUT_TransportEnergyCons!$A$4:$A$10000))*1,[1]OUT_TransportEnergyCons!N$4:N$10000))*1000)</f>
        <v>0</v>
      </c>
      <c r="Q1976" s="1" cm="1">
        <f t="array" ref="Q1976">IF((SUMPRODUCT(("Var_Cap"=[1]OUT_TransportEnergyCons!$B$4:$B$10000)*1,ISNUMBER(SEARCH("T_B_u*ICE*nga*s3",[1]OUT_TransportEnergyCons!$A$4:$A$10000))*1,[1]OUT_TransportEnergyCons!O$4:O$10000))*1000&lt;0,0,(SUMPRODUCT(("Var_Cap"=[1]OUT_TransportEnergyCons!$B$4:$B$10000)*1,ISNUMBER(SEARCH("T_B_u*ICE*nga*s3",[1]OUT_TransportEnergyCons!$A$4:$A$10000))*1,[1]OUT_TransportEnergyCons!O$4:O$10000))*1000)</f>
        <v>0</v>
      </c>
      <c r="S1976" s="3"/>
    </row>
    <row r="1977" spans="2:19" x14ac:dyDescent="0.5">
      <c r="B1977" s="5" t="str">
        <f t="shared" si="2157"/>
        <v>SPS1</v>
      </c>
      <c r="C1977" s="5" t="str">
        <f t="shared" si="2158"/>
        <v>CH</v>
      </c>
      <c r="D1977" t="s">
        <v>1998</v>
      </c>
      <c r="E1977" t="s">
        <v>1999</v>
      </c>
      <c r="F1977" s="1" cm="1">
        <f t="array" ref="F1977">IF((SUMPRODUCT(("Var_Cap"=[1]OUT_TransportEnergyCons!$B$4:$B$10000)*1,ISNUMBER(SEARCH("T_B_u*ICE*nga*s4",[1]OUT_TransportEnergyCons!$A$4:$A$10000))*1,[1]OUT_TransportEnergyCons!D$4:D$10000))*1000&lt;0,0,(SUMPRODUCT(("Var_Cap"=[1]OUT_TransportEnergyCons!$B$4:$B$10000)*1,ISNUMBER(SEARCH("T_B_u*ICE*nga*s4",[1]OUT_TransportEnergyCons!$A$4:$A$10000))*1,[1]OUT_TransportEnergyCons!D$4:D$10000))*1000)</f>
        <v>0</v>
      </c>
      <c r="G1977" s="1" cm="1">
        <f t="array" ref="G1977">IF((SUMPRODUCT(("Var_Cap"=[1]OUT_TransportEnergyCons!$B$4:$B$10000)*1,ISNUMBER(SEARCH("T_B_u*ICE*nga*s4",[1]OUT_TransportEnergyCons!$A$4:$A$10000))*1,[1]OUT_TransportEnergyCons!E$4:E$10000))*1000&lt;0,0,(SUMPRODUCT(("Var_Cap"=[1]OUT_TransportEnergyCons!$B$4:$B$10000)*1,ISNUMBER(SEARCH("T_B_u*ICE*nga*s4",[1]OUT_TransportEnergyCons!$A$4:$A$10000))*1,[1]OUT_TransportEnergyCons!E$4:E$10000))*1000)</f>
        <v>0</v>
      </c>
      <c r="H1977" s="1" cm="1">
        <f t="array" ref="H1977">IF((SUMPRODUCT(("Var_Cap"=[1]OUT_TransportEnergyCons!$B$4:$B$10000)*1,ISNUMBER(SEARCH("T_B_u*ICE*nga*s4",[1]OUT_TransportEnergyCons!$A$4:$A$10000))*1,[1]OUT_TransportEnergyCons!F$4:F$10000))*1000&lt;0,0,(SUMPRODUCT(("Var_Cap"=[1]OUT_TransportEnergyCons!$B$4:$B$10000)*1,ISNUMBER(SEARCH("T_B_u*ICE*nga*s4",[1]OUT_TransportEnergyCons!$A$4:$A$10000))*1,[1]OUT_TransportEnergyCons!F$4:F$10000))*1000)</f>
        <v>0</v>
      </c>
      <c r="I1977" s="1" cm="1">
        <f t="array" ref="I1977">IF((SUMPRODUCT(("Var_Cap"=[1]OUT_TransportEnergyCons!$B$4:$B$10000)*1,ISNUMBER(SEARCH("T_B_u*ICE*nga*s4",[1]OUT_TransportEnergyCons!$A$4:$A$10000))*1,[1]OUT_TransportEnergyCons!G$4:G$10000))*1000&lt;0,0,(SUMPRODUCT(("Var_Cap"=[1]OUT_TransportEnergyCons!$B$4:$B$10000)*1,ISNUMBER(SEARCH("T_B_u*ICE*nga*s4",[1]OUT_TransportEnergyCons!$A$4:$A$10000))*1,[1]OUT_TransportEnergyCons!G$4:G$10000))*1000)</f>
        <v>0</v>
      </c>
      <c r="J1977" s="1" cm="1">
        <f t="array" ref="J1977">IF((SUMPRODUCT(("Var_Cap"=[1]OUT_TransportEnergyCons!$B$4:$B$10000)*1,ISNUMBER(SEARCH("T_B_u*ICE*nga*s4",[1]OUT_TransportEnergyCons!$A$4:$A$10000))*1,[1]OUT_TransportEnergyCons!H$4:H$10000))*1000&lt;0,0,(SUMPRODUCT(("Var_Cap"=[1]OUT_TransportEnergyCons!$B$4:$B$10000)*1,ISNUMBER(SEARCH("T_B_u*ICE*nga*s4",[1]OUT_TransportEnergyCons!$A$4:$A$10000))*1,[1]OUT_TransportEnergyCons!H$4:H$10000))*1000)</f>
        <v>3.9039639948100503E-5</v>
      </c>
      <c r="K1977" s="1" cm="1">
        <f t="array" ref="K1977">IF((SUMPRODUCT(("Var_Cap"=[1]OUT_TransportEnergyCons!$B$4:$B$10000)*1,ISNUMBER(SEARCH("T_B_u*ICE*nga*s4",[1]OUT_TransportEnergyCons!$A$4:$A$10000))*1,[1]OUT_TransportEnergyCons!I$4:I$10000))*1000&lt;0,0,(SUMPRODUCT(("Var_Cap"=[1]OUT_TransportEnergyCons!$B$4:$B$10000)*1,ISNUMBER(SEARCH("T_B_u*ICE*nga*s4",[1]OUT_TransportEnergyCons!$A$4:$A$10000))*1,[1]OUT_TransportEnergyCons!I$4:I$10000))*1000)</f>
        <v>3.1612471056389596E-5</v>
      </c>
      <c r="L1977" s="1" cm="1">
        <f t="array" ref="L1977">IF((SUMPRODUCT(("Var_Cap"=[1]OUT_TransportEnergyCons!$B$4:$B$10000)*1,ISNUMBER(SEARCH("T_B_u*ICE*nga*s4",[1]OUT_TransportEnergyCons!$A$4:$A$10000))*1,[1]OUT_TransportEnergyCons!J$4:J$10000))*1000&lt;0,0,(SUMPRODUCT(("Var_Cap"=[1]OUT_TransportEnergyCons!$B$4:$B$10000)*1,ISNUMBER(SEARCH("T_B_u*ICE*nga*s4",[1]OUT_TransportEnergyCons!$A$4:$A$10000))*1,[1]OUT_TransportEnergyCons!J$4:J$10000))*1000)</f>
        <v>0</v>
      </c>
      <c r="M1977" s="1" cm="1">
        <f t="array" ref="M1977">IF((SUMPRODUCT(("Var_Cap"=[1]OUT_TransportEnergyCons!$B$4:$B$10000)*1,ISNUMBER(SEARCH("T_B_u*ICE*nga*s4",[1]OUT_TransportEnergyCons!$A$4:$A$10000))*1,[1]OUT_TransportEnergyCons!K$4:K$10000))*1000&lt;0,0,(SUMPRODUCT(("Var_Cap"=[1]OUT_TransportEnergyCons!$B$4:$B$10000)*1,ISNUMBER(SEARCH("T_B_u*ICE*nga*s4",[1]OUT_TransportEnergyCons!$A$4:$A$10000))*1,[1]OUT_TransportEnergyCons!K$4:K$10000))*1000)</f>
        <v>0</v>
      </c>
      <c r="N1977" s="1" cm="1">
        <f t="array" ref="N1977">IF((SUMPRODUCT(("Var_Cap"=[1]OUT_TransportEnergyCons!$B$4:$B$10000)*1,ISNUMBER(SEARCH("T_B_u*ICE*nga*s4",[1]OUT_TransportEnergyCons!$A$4:$A$10000))*1,[1]OUT_TransportEnergyCons!L$4:L$10000))*1000&lt;0,0,(SUMPRODUCT(("Var_Cap"=[1]OUT_TransportEnergyCons!$B$4:$B$10000)*1,ISNUMBER(SEARCH("T_B_u*ICE*nga*s4",[1]OUT_TransportEnergyCons!$A$4:$A$10000))*1,[1]OUT_TransportEnergyCons!L$4:L$10000))*1000)</f>
        <v>0</v>
      </c>
      <c r="O1977" s="1" cm="1">
        <f t="array" ref="O1977">IF((SUMPRODUCT(("Var_Cap"=[1]OUT_TransportEnergyCons!$B$4:$B$10000)*1,ISNUMBER(SEARCH("T_B_u*ICE*nga*s4",[1]OUT_TransportEnergyCons!$A$4:$A$10000))*1,[1]OUT_TransportEnergyCons!M$4:M$10000))*1000&lt;0,0,(SUMPRODUCT(("Var_Cap"=[1]OUT_TransportEnergyCons!$B$4:$B$10000)*1,ISNUMBER(SEARCH("T_B_u*ICE*nga*s4",[1]OUT_TransportEnergyCons!$A$4:$A$10000))*1,[1]OUT_TransportEnergyCons!M$4:M$10000))*1000)</f>
        <v>0</v>
      </c>
      <c r="P1977" s="1" cm="1">
        <f t="array" ref="P1977">IF((SUMPRODUCT(("Var_Cap"=[1]OUT_TransportEnergyCons!$B$4:$B$10000)*1,ISNUMBER(SEARCH("T_B_u*ICE*nga*s4",[1]OUT_TransportEnergyCons!$A$4:$A$10000))*1,[1]OUT_TransportEnergyCons!N$4:N$10000))*1000&lt;0,0,(SUMPRODUCT(("Var_Cap"=[1]OUT_TransportEnergyCons!$B$4:$B$10000)*1,ISNUMBER(SEARCH("T_B_u*ICE*nga*s4",[1]OUT_TransportEnergyCons!$A$4:$A$10000))*1,[1]OUT_TransportEnergyCons!N$4:N$10000))*1000)</f>
        <v>0</v>
      </c>
      <c r="Q1977" s="1" cm="1">
        <f t="array" ref="Q1977">IF((SUMPRODUCT(("Var_Cap"=[1]OUT_TransportEnergyCons!$B$4:$B$10000)*1,ISNUMBER(SEARCH("T_B_u*ICE*nga*s4",[1]OUT_TransportEnergyCons!$A$4:$A$10000))*1,[1]OUT_TransportEnergyCons!O$4:O$10000))*1000&lt;0,0,(SUMPRODUCT(("Var_Cap"=[1]OUT_TransportEnergyCons!$B$4:$B$10000)*1,ISNUMBER(SEARCH("T_B_u*ICE*nga*s4",[1]OUT_TransportEnergyCons!$A$4:$A$10000))*1,[1]OUT_TransportEnergyCons!O$4:O$10000))*1000)</f>
        <v>0</v>
      </c>
      <c r="S1977" s="3"/>
    </row>
    <row r="1978" spans="2:19" x14ac:dyDescent="0.5">
      <c r="B1978" s="5" t="str">
        <f>B1977</f>
        <v>SPS1</v>
      </c>
      <c r="C1978" s="5" t="str">
        <f>C1977</f>
        <v>CH</v>
      </c>
      <c r="D1978" s="2" t="s">
        <v>1977</v>
      </c>
      <c r="E1978" s="2" t="s">
        <v>1999</v>
      </c>
      <c r="F1978" s="3">
        <f>SUM(F1979:F2001)</f>
        <v>2.8492308767767862</v>
      </c>
      <c r="G1978" s="3">
        <f t="shared" ref="G1978" si="2159">SUM(G1979:G2001)</f>
        <v>2.8676185305305188</v>
      </c>
      <c r="H1978" s="3">
        <f t="shared" ref="H1978" si="2160">SUM(H1979:H2001)</f>
        <v>3.0798360789720385</v>
      </c>
      <c r="I1978" s="3">
        <f t="shared" ref="I1978" si="2161">SUM(I1979:I2001)</f>
        <v>3.210608929951281</v>
      </c>
      <c r="J1978" s="3">
        <f t="shared" ref="J1978" si="2162">SUM(J1979:J2001)</f>
        <v>2.9812295596788418</v>
      </c>
      <c r="K1978" s="3">
        <f t="shared" ref="K1978" si="2163">SUM(K1979:K2001)</f>
        <v>2.9285068744519394</v>
      </c>
      <c r="L1978" s="3">
        <f t="shared" ref="L1978:O1978" si="2164">SUM(L1979:L2001)</f>
        <v>2.9408860458838899</v>
      </c>
      <c r="M1978" s="3">
        <f t="shared" si="2164"/>
        <v>2.9406043996726345</v>
      </c>
      <c r="N1978" s="3">
        <f t="shared" si="2164"/>
        <v>3.0344382229848477</v>
      </c>
      <c r="O1978" s="3">
        <f t="shared" si="2164"/>
        <v>3.1244430979176352</v>
      </c>
      <c r="P1978" s="3">
        <f>SUM(P1979:P2001)</f>
        <v>3.2108858610587712</v>
      </c>
      <c r="Q1978" s="3">
        <f>SUM(Q1979:Q2001)</f>
        <v>3.2937674654672224</v>
      </c>
      <c r="S1978" s="3"/>
    </row>
    <row r="1979" spans="2:19" x14ac:dyDescent="0.5">
      <c r="B1979" s="5" t="str">
        <f t="shared" ref="B1979:B2001" si="2165">B1978</f>
        <v>SPS1</v>
      </c>
      <c r="C1979" s="5" t="str">
        <f t="shared" ref="C1979:C2001" si="2166">C1978</f>
        <v>CH</v>
      </c>
      <c r="D1979" t="s">
        <v>2008</v>
      </c>
      <c r="E1979" t="s">
        <v>1999</v>
      </c>
      <c r="F1979" s="1" cm="1">
        <f t="array" ref="F1979">(SUMPRODUCT(("Var_Cap"=[1]OUT_TransportEnergyCons!$B$4:$B$10000)*1,ISNUMBER(SEARCH("T_b_c*bev*ext",[1]OUT_TransportEnergyCons!$A$4:$A$10000))*1,[1]OUT_TransportEnergyCons!D$4:D$10000))*1000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(SUMPRODUCT(("Var_Cap"=[1]OUT_TransportEnergyCons!$B$4:$B$10000)*1,ISNUMBER(SEARCH("T_b_c*bev*ext",[1]OUT_TransportEnergyCons!$A$4:$A$10000))*1,[1]OUT_TransportEnergyCons!E$4:E$10000))*1000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(SUMPRODUCT(("Var_Cap"=[1]OUT_TransportEnergyCons!$B$4:$B$10000)*1,ISNUMBER(SEARCH("T_b_c*bev*ext",[1]OUT_TransportEnergyCons!$A$4:$A$10000))*1,[1]OUT_TransportEnergyCons!F$4:F$10000))*1000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(SUMPRODUCT(("Var_Cap"=[1]OUT_TransportEnergyCons!$B$4:$B$10000)*1,ISNUMBER(SEARCH("T_b_c*bev*ext",[1]OUT_TransportEnergyCons!$A$4:$A$10000))*1,[1]OUT_TransportEnergyCons!G$4:G$10000))*1000</f>
        <v>0</v>
      </c>
      <c r="J1979" s="1" cm="1">
        <f t="array" ref="J1979">(SUMPRODUCT(("Var_Cap"=[1]OUT_TransportEnergyCons!$B$4:$B$10000)*1,ISNUMBER(SEARCH("T_b_c*bev*ext",[1]OUT_TransportEnergyCons!$A$4:$A$10000))*1,[1]OUT_TransportEnergyCons!H$4:H$10000))*1000</f>
        <v>0</v>
      </c>
      <c r="K1979" s="1" cm="1">
        <f t="array" ref="K1979">(SUMPRODUCT(("Var_Cap"=[1]OUT_TransportEnergyCons!$B$4:$B$10000)*1,ISNUMBER(SEARCH("T_b_c*bev*ext",[1]OUT_TransportEnergyCons!$A$4:$A$10000))*1,[1]OUT_TransportEnergyCons!I$4:I$10000))*1000</f>
        <v>0</v>
      </c>
      <c r="L1979" s="1" cm="1">
        <f t="array" ref="L1979">(SUMPRODUCT(("Var_Cap"=[1]OUT_TransportEnergyCons!$B$4:$B$10000)*1,ISNUMBER(SEARCH("T_b_c*bev*ext",[1]OUT_TransportEnergyCons!$A$4:$A$10000))*1,[1]OUT_TransportEnergyCons!J$4:J$10000))*1000</f>
        <v>0</v>
      </c>
      <c r="M1979" s="1" cm="1">
        <f t="array" ref="M1979">(SUMPRODUCT(("Var_Cap"=[1]OUT_TransportEnergyCons!$B$4:$B$10000)*1,ISNUMBER(SEARCH("T_b_c*bev*ext",[1]OUT_TransportEnergyCons!$A$4:$A$10000))*1,[1]OUT_TransportEnergyCons!K$4:K$10000))*1000</f>
        <v>0</v>
      </c>
      <c r="N1979" s="1" cm="1">
        <f t="array" ref="N1979">(SUMPRODUCT(("Var_Cap"=[1]OUT_TransportEnergyCons!$B$4:$B$10000)*1,ISNUMBER(SEARCH("T_b_c*bev*ext",[1]OUT_TransportEnergyCons!$A$4:$A$10000))*1,[1]OUT_TransportEnergyCons!L$4:L$10000))*1000</f>
        <v>0</v>
      </c>
      <c r="O1979" s="1" cm="1">
        <f t="array" ref="O1979">(SUMPRODUCT(("Var_Cap"=[1]OUT_TransportEnergyCons!$B$4:$B$10000)*1,ISNUMBER(SEARCH("T_b_c*bev*ext",[1]OUT_TransportEnergyCons!$A$4:$A$10000))*1,[1]OUT_TransportEnergyCons!M$4:M$10000))*1000</f>
        <v>0</v>
      </c>
      <c r="P1979" s="1" cm="1">
        <f t="array" ref="P1979">(SUMPRODUCT(("Var_Cap"=[1]OUT_TransportEnergyCons!$B$4:$B$10000)*1,ISNUMBER(SEARCH("T_b_c*bev*ext",[1]OUT_TransportEnergyCons!$A$4:$A$10000))*1,[1]OUT_TransportEnergyCons!N$4:N$10000))*1000</f>
        <v>0</v>
      </c>
      <c r="Q1979" s="1" cm="1">
        <f t="array" ref="Q1979">(SUMPRODUCT(("Var_Cap"=[1]OUT_TransportEnergyCons!$B$4:$B$10000)*1,ISNUMBER(SEARCH("T_b_c*bev*ext",[1]OUT_TransportEnergyCons!$A$4:$A$10000))*1,[1]OUT_TransportEnergyCons!O$4:O$10000))*1000</f>
        <v>0</v>
      </c>
      <c r="S1979" s="3"/>
    </row>
    <row r="1980" spans="2:19" x14ac:dyDescent="0.5">
      <c r="B1980" s="5" t="str">
        <f t="shared" si="2165"/>
        <v>SPS1</v>
      </c>
      <c r="C1980" s="5" t="str">
        <f t="shared" si="2166"/>
        <v>CH</v>
      </c>
      <c r="D1980" t="s">
        <v>2009</v>
      </c>
      <c r="E1980" t="s">
        <v>1999</v>
      </c>
      <c r="F1980" s="1" cm="1">
        <f t="array" ref="F1980">(SUMPRODUCT(("Var_Cap"=[1]OUT_TransportEnergyCons!$B$4:$B$10000)*1,ISNUMBER(SEARCH("T_b_c*bev*s1",[1]OUT_TransportEnergyCons!$A$4:$A$10000))*1,[1]OUT_TransportEnergyCons!D$4:D$10000))*1000</f>
        <v>3.3713942307692299E-3</v>
      </c>
      <c r="G1980" s="1" cm="1">
        <f t="array" ref="G1980">(SUMPRODUCT(("Var_Cap"=[1]OUT_TransportEnergyCons!$B$4:$B$10000)*1,ISNUMBER(SEARCH("T_b_c*bev*s1",[1]OUT_TransportEnergyCons!$A$4:$A$10000))*1,[1]OUT_TransportEnergyCons!E$4:E$10000))*1000</f>
        <v>1.1881999111437332E-2</v>
      </c>
      <c r="H1980" s="1" cm="1">
        <f t="array" ref="H1980">(SUMPRODUCT(("Var_Cap"=[1]OUT_TransportEnergyCons!$B$4:$B$10000)*1,ISNUMBER(SEARCH("T_b_c*bev*s1",[1]OUT_TransportEnergyCons!$A$4:$A$10000))*1,[1]OUT_TransportEnergyCons!F$4:F$10000))*1000</f>
        <v>0.68559476729580293</v>
      </c>
      <c r="I1980" s="1" cm="1">
        <f t="array" ref="I1980">(SUMPRODUCT(("Var_Cap"=[1]OUT_TransportEnergyCons!$B$4:$B$10000)*1,ISNUMBER(SEARCH("T_b_c*bev*s1",[1]OUT_TransportEnergyCons!$A$4:$A$10000))*1,[1]OUT_TransportEnergyCons!G$4:G$10000))*1000</f>
        <v>1.6974894785628452</v>
      </c>
      <c r="J1980" s="1" cm="1">
        <f t="array" ref="J1980">(SUMPRODUCT(("Var_Cap"=[1]OUT_TransportEnergyCons!$B$4:$B$10000)*1,ISNUMBER(SEARCH("T_b_c*bev*s1",[1]OUT_TransportEnergyCons!$A$4:$A$10000))*1,[1]OUT_TransportEnergyCons!H$4:H$10000))*1000</f>
        <v>1.4540123859845102</v>
      </c>
      <c r="K1980" s="1" cm="1">
        <f t="array" ref="K1980">(SUMPRODUCT(("Var_Cap"=[1]OUT_TransportEnergyCons!$B$4:$B$10000)*1,ISNUMBER(SEARCH("T_b_c*bev*s1",[1]OUT_TransportEnergyCons!$A$4:$A$10000))*1,[1]OUT_TransportEnergyCons!I$4:I$10000))*1000</f>
        <v>1.4103420279331131</v>
      </c>
      <c r="L1980" s="1" cm="1">
        <f t="array" ref="L1980">(SUMPRODUCT(("Var_Cap"=[1]OUT_TransportEnergyCons!$B$4:$B$10000)*1,ISNUMBER(SEARCH("T_b_c*bev*s1",[1]OUT_TransportEnergyCons!$A$4:$A$10000))*1,[1]OUT_TransportEnergyCons!J$4:J$10000))*1000</f>
        <v>1.4179408103431268</v>
      </c>
      <c r="M1980" s="1" cm="1">
        <f t="array" ref="M1980">(SUMPRODUCT(("Var_Cap"=[1]OUT_TransportEnergyCons!$B$4:$B$10000)*1,ISNUMBER(SEARCH("T_b_c*bev*s1",[1]OUT_TransportEnergyCons!$A$4:$A$10000))*1,[1]OUT_TransportEnergyCons!K$4:K$10000))*1000</f>
        <v>1.41315297359103</v>
      </c>
      <c r="N1980" s="1" cm="1">
        <f t="array" ref="N1980">(SUMPRODUCT(("Var_Cap"=[1]OUT_TransportEnergyCons!$B$4:$B$10000)*1,ISNUMBER(SEARCH("T_b_c*bev*s1",[1]OUT_TransportEnergyCons!$A$4:$A$10000))*1,[1]OUT_TransportEnergyCons!L$4:L$10000))*1000</f>
        <v>1.4595117981257717</v>
      </c>
      <c r="O1980" s="1" cm="1">
        <f t="array" ref="O1980">(SUMPRODUCT(("Var_Cap"=[1]OUT_TransportEnergyCons!$B$4:$B$10000)*1,ISNUMBER(SEARCH("T_b_c*bev*s1",[1]OUT_TransportEnergyCons!$A$4:$A$10000))*1,[1]OUT_TransportEnergyCons!M$4:M$10000))*1000</f>
        <v>1.5018873587316566</v>
      </c>
      <c r="P1980" s="1" cm="1">
        <f t="array" ref="P1980">(SUMPRODUCT(("Var_Cap"=[1]OUT_TransportEnergyCons!$B$4:$B$10000)*1,ISNUMBER(SEARCH("T_b_c*bev*s1",[1]OUT_TransportEnergyCons!$A$4:$A$10000))*1,[1]OUT_TransportEnergyCons!N$4:N$10000))*1000</f>
        <v>1.5435241435754492</v>
      </c>
      <c r="Q1980" s="1" cm="1">
        <f t="array" ref="Q1980">(SUMPRODUCT(("Var_Cap"=[1]OUT_TransportEnergyCons!$B$4:$B$10000)*1,ISNUMBER(SEARCH("T_b_c*bev*s1",[1]OUT_TransportEnergyCons!$A$4:$A$10000))*1,[1]OUT_TransportEnergyCons!O$4:O$10000))*1000</f>
        <v>1.5814332731285397</v>
      </c>
      <c r="S1980" s="3"/>
    </row>
    <row r="1981" spans="2:19" x14ac:dyDescent="0.5">
      <c r="B1981" s="5" t="str">
        <f t="shared" si="2165"/>
        <v>SPS1</v>
      </c>
      <c r="C1981" s="5" t="str">
        <f t="shared" si="2166"/>
        <v>CH</v>
      </c>
      <c r="D1981" t="s">
        <v>2010</v>
      </c>
      <c r="E1981" t="s">
        <v>1999</v>
      </c>
      <c r="F1981" s="1" cm="1">
        <f t="array" ref="F1981">(SUMPRODUCT(("Var_Cap"=[1]OUT_TransportEnergyCons!$B$4:$B$10000)*1,ISNUMBER(SEARCH("T_b_c*bev*s2",[1]OUT_TransportEnergyCons!$A$4:$A$10000))*1,[1]OUT_TransportEnergyCons!D$4:D$10000))*1000</f>
        <v>1.0801881786281128E-2</v>
      </c>
      <c r="G1981" s="1" cm="1">
        <f t="array" ref="G1981">(SUMPRODUCT(("Var_Cap"=[1]OUT_TransportEnergyCons!$B$4:$B$10000)*1,ISNUMBER(SEARCH("T_b_c*bev*s2",[1]OUT_TransportEnergyCons!$A$4:$A$10000))*1,[1]OUT_TransportEnergyCons!E$4:E$10000))*1000</f>
        <v>2.339885208478238E-2</v>
      </c>
      <c r="H1981" s="1" cm="1">
        <f t="array" ref="H1981">(SUMPRODUCT(("Var_Cap"=[1]OUT_TransportEnergyCons!$B$4:$B$10000)*1,ISNUMBER(SEARCH("T_b_c*bev*s2",[1]OUT_TransportEnergyCons!$A$4:$A$10000))*1,[1]OUT_TransportEnergyCons!F$4:F$10000))*1000</f>
        <v>0.89559048405047148</v>
      </c>
      <c r="I1981" s="1" cm="1">
        <f t="array" ref="I1981">(SUMPRODUCT(("Var_Cap"=[1]OUT_TransportEnergyCons!$B$4:$B$10000)*1,ISNUMBER(SEARCH("T_b_c*bev*s2",[1]OUT_TransportEnergyCons!$A$4:$A$10000))*1,[1]OUT_TransportEnergyCons!G$4:G$10000))*1000</f>
        <v>1.2172483094364197</v>
      </c>
      <c r="J1981" s="1" cm="1">
        <f t="array" ref="J1981">(SUMPRODUCT(("Var_Cap"=[1]OUT_TransportEnergyCons!$B$4:$B$10000)*1,ISNUMBER(SEARCH("T_b_c*bev*s2",[1]OUT_TransportEnergyCons!$A$4:$A$10000))*1,[1]OUT_TransportEnergyCons!H$4:H$10000))*1000</f>
        <v>1.257973604457207</v>
      </c>
      <c r="K1981" s="1" cm="1">
        <f t="array" ref="K1981">(SUMPRODUCT(("Var_Cap"=[1]OUT_TransportEnergyCons!$B$4:$B$10000)*1,ISNUMBER(SEARCH("T_b_c*bev*s2",[1]OUT_TransportEnergyCons!$A$4:$A$10000))*1,[1]OUT_TransportEnergyCons!I$4:I$10000))*1000</f>
        <v>1.2502635074638853</v>
      </c>
      <c r="L1981" s="1" cm="1">
        <f t="array" ref="L1981">(SUMPRODUCT(("Var_Cap"=[1]OUT_TransportEnergyCons!$B$4:$B$10000)*1,ISNUMBER(SEARCH("T_b_c*bev*s2",[1]OUT_TransportEnergyCons!$A$4:$A$10000))*1,[1]OUT_TransportEnergyCons!J$4:J$10000))*1000</f>
        <v>1.2410027215313801</v>
      </c>
      <c r="M1981" s="1" cm="1">
        <f t="array" ref="M1981">(SUMPRODUCT(("Var_Cap"=[1]OUT_TransportEnergyCons!$B$4:$B$10000)*1,ISNUMBER(SEARCH("T_b_c*bev*s2",[1]OUT_TransportEnergyCons!$A$4:$A$10000))*1,[1]OUT_TransportEnergyCons!K$4:K$10000))*1000</f>
        <v>1.2429936137993138</v>
      </c>
      <c r="N1981" s="1" cm="1">
        <f t="array" ref="N1981">(SUMPRODUCT(("Var_Cap"=[1]OUT_TransportEnergyCons!$B$4:$B$10000)*1,ISNUMBER(SEARCH("T_b_c*bev*s2",[1]OUT_TransportEnergyCons!$A$4:$A$10000))*1,[1]OUT_TransportEnergyCons!L$4:L$10000))*1000</f>
        <v>1.2957891637391263</v>
      </c>
      <c r="O1981" s="1" cm="1">
        <f t="array" ref="O1981">(SUMPRODUCT(("Var_Cap"=[1]OUT_TransportEnergyCons!$B$4:$B$10000)*1,ISNUMBER(SEARCH("T_b_c*bev*s2",[1]OUT_TransportEnergyCons!$A$4:$A$10000))*1,[1]OUT_TransportEnergyCons!M$4:M$10000))*1000</f>
        <v>1.3341625397051029</v>
      </c>
      <c r="P1981" s="1" cm="1">
        <f t="array" ref="P1981">(SUMPRODUCT(("Var_Cap"=[1]OUT_TransportEnergyCons!$B$4:$B$10000)*1,ISNUMBER(SEARCH("T_b_c*bev*s2",[1]OUT_TransportEnergyCons!$A$4:$A$10000))*1,[1]OUT_TransportEnergyCons!N$4:N$10000))*1000</f>
        <v>1.371156587514305</v>
      </c>
      <c r="Q1981" s="1" cm="1">
        <f t="array" ref="Q1981">(SUMPRODUCT(("Var_Cap"=[1]OUT_TransportEnergyCons!$B$4:$B$10000)*1,ISNUMBER(SEARCH("T_b_c*bev*s2",[1]OUT_TransportEnergyCons!$A$4:$A$10000))*1,[1]OUT_TransportEnergyCons!O$4:O$10000))*1000</f>
        <v>1.406545150200788</v>
      </c>
      <c r="S1981" s="3"/>
    </row>
    <row r="1982" spans="2:19" x14ac:dyDescent="0.5">
      <c r="B1982" s="5" t="str">
        <f t="shared" si="2165"/>
        <v>SPS1</v>
      </c>
      <c r="C1982" s="5" t="str">
        <f t="shared" si="2166"/>
        <v>CH</v>
      </c>
      <c r="D1982" t="s">
        <v>2011</v>
      </c>
      <c r="E1982" t="s">
        <v>1999</v>
      </c>
      <c r="F1982" s="1" cm="1">
        <f t="array" ref="F1982">(SUMPRODUCT(("Var_Cap"=[1]OUT_TransportEnergyCons!$B$4:$B$10000)*1,ISNUMBER(SEARCH("T_b_c*bev*s3",[1]OUT_TransportEnergyCons!$A$4:$A$10000))*1,[1]OUT_TransportEnergyCons!D$4:D$10000))*1000</f>
        <v>2.1075472936122209E-3</v>
      </c>
      <c r="G1982" s="1" cm="1">
        <f t="array" ref="G1982">(SUMPRODUCT(("Var_Cap"=[1]OUT_TransportEnergyCons!$B$4:$B$10000)*1,ISNUMBER(SEARCH("T_b_c*bev*s3",[1]OUT_TransportEnergyCons!$A$4:$A$10000))*1,[1]OUT_TransportEnergyCons!E$4:E$10000))*1000</f>
        <v>5.4713110567929961E-3</v>
      </c>
      <c r="H1982" s="1" cm="1">
        <f t="array" ref="H1982">(SUMPRODUCT(("Var_Cap"=[1]OUT_TransportEnergyCons!$B$4:$B$10000)*1,ISNUMBER(SEARCH("T_b_c*bev*s3",[1]OUT_TransportEnergyCons!$A$4:$A$10000))*1,[1]OUT_TransportEnergyCons!F$4:F$10000))*1000</f>
        <v>8.7837250244080286E-3</v>
      </c>
      <c r="I1982" s="1" cm="1">
        <f t="array" ref="I1982">(SUMPRODUCT(("Var_Cap"=[1]OUT_TransportEnergyCons!$B$4:$B$10000)*1,ISNUMBER(SEARCH("T_b_c*bev*s3",[1]OUT_TransportEnergyCons!$A$4:$A$10000))*1,[1]OUT_TransportEnergyCons!G$4:G$10000))*1000</f>
        <v>1.086165398156084E-2</v>
      </c>
      <c r="J1982" s="1" cm="1">
        <f t="array" ref="J1982">(SUMPRODUCT(("Var_Cap"=[1]OUT_TransportEnergyCons!$B$4:$B$10000)*1,ISNUMBER(SEARCH("T_b_c*bev*s3",[1]OUT_TransportEnergyCons!$A$4:$A$10000))*1,[1]OUT_TransportEnergyCons!H$4:H$10000))*1000</f>
        <v>0.21374391704750753</v>
      </c>
      <c r="K1982" s="1" cm="1">
        <f t="array" ref="K1982">(SUMPRODUCT(("Var_Cap"=[1]OUT_TransportEnergyCons!$B$4:$B$10000)*1,ISNUMBER(SEARCH("T_b_c*bev*s3",[1]OUT_TransportEnergyCons!$A$4:$A$10000))*1,[1]OUT_TransportEnergyCons!I$4:I$10000))*1000</f>
        <v>0.26511891012247768</v>
      </c>
      <c r="L1982" s="1" cm="1">
        <f t="array" ref="L1982">(SUMPRODUCT(("Var_Cap"=[1]OUT_TransportEnergyCons!$B$4:$B$10000)*1,ISNUMBER(SEARCH("T_b_c*bev*s3",[1]OUT_TransportEnergyCons!$A$4:$A$10000))*1,[1]OUT_TransportEnergyCons!J$4:J$10000))*1000</f>
        <v>0.26658119521844503</v>
      </c>
      <c r="M1982" s="1" cm="1">
        <f t="array" ref="M1982">(SUMPRODUCT(("Var_Cap"=[1]OUT_TransportEnergyCons!$B$4:$B$10000)*1,ISNUMBER(SEARCH("T_b_c*bev*s3",[1]OUT_TransportEnergyCons!$A$4:$A$10000))*1,[1]OUT_TransportEnergyCons!K$4:K$10000))*1000</f>
        <v>0.26845610001272069</v>
      </c>
      <c r="N1982" s="1" cm="1">
        <f t="array" ref="N1982">(SUMPRODUCT(("Var_Cap"=[1]OUT_TransportEnergyCons!$B$4:$B$10000)*1,ISNUMBER(SEARCH("T_b_c*bev*s3",[1]OUT_TransportEnergyCons!$A$4:$A$10000))*1,[1]OUT_TransportEnergyCons!L$4:L$10000))*1000</f>
        <v>0.27689496214908688</v>
      </c>
      <c r="O1982" s="1" cm="1">
        <f t="array" ref="O1982">(SUMPRODUCT(("Var_Cap"=[1]OUT_TransportEnergyCons!$B$4:$B$10000)*1,ISNUMBER(SEARCH("T_b_c*bev*s3",[1]OUT_TransportEnergyCons!$A$4:$A$10000))*1,[1]OUT_TransportEnergyCons!M$4:M$10000))*1000</f>
        <v>0.28518328423993156</v>
      </c>
      <c r="P1982" s="1" cm="1">
        <f t="array" ref="P1982">(SUMPRODUCT(("Var_Cap"=[1]OUT_TransportEnergyCons!$B$4:$B$10000)*1,ISNUMBER(SEARCH("T_b_c*bev*s3",[1]OUT_TransportEnergyCons!$A$4:$A$10000))*1,[1]OUT_TransportEnergyCons!N$4:N$10000))*1000</f>
        <v>0.29307502465676938</v>
      </c>
      <c r="Q1982" s="1" cm="1">
        <f t="array" ref="Q1982">(SUMPRODUCT(("Var_Cap"=[1]OUT_TransportEnergyCons!$B$4:$B$10000)*1,ISNUMBER(SEARCH("T_b_c*bev*s3",[1]OUT_TransportEnergyCons!$A$4:$A$10000))*1,[1]OUT_TransportEnergyCons!O$4:O$10000))*1000</f>
        <v>0.30066736205566408</v>
      </c>
      <c r="S1982" s="3"/>
    </row>
    <row r="1983" spans="2:19" x14ac:dyDescent="0.5">
      <c r="B1983" s="5" t="str">
        <f t="shared" si="2165"/>
        <v>SPS1</v>
      </c>
      <c r="C1983" s="5" t="str">
        <f t="shared" si="2166"/>
        <v>CH</v>
      </c>
      <c r="D1983" t="s">
        <v>2012</v>
      </c>
      <c r="E1983" t="s">
        <v>1999</v>
      </c>
      <c r="F1983" s="1" cm="1">
        <f t="array" ref="F1983">(SUMPRODUCT(("Var_Cap"=[1]OUT_TransportEnergyCons!$B$4:$B$10000)*1,ISNUMBER(SEARCH("T_b_c*bev*s4",[1]OUT_TransportEnergyCons!$A$4:$A$10000))*1,[1]OUT_TransportEnergyCons!D$4:D$10000))*1000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(SUMPRODUCT(("Var_Cap"=[1]OUT_TransportEnergyCons!$B$4:$B$10000)*1,ISNUMBER(SEARCH("T_b_c*bev*s4",[1]OUT_TransportEnergyCons!$A$4:$A$10000))*1,[1]OUT_TransportEnergyCons!E$4:E$10000))*1000</f>
        <v>5.3027391913067299E-4</v>
      </c>
      <c r="H1983" s="1" cm="1">
        <f t="array" ref="H1983">(SUMPRODUCT(("Var_Cap"=[1]OUT_TransportEnergyCons!$B$4:$B$10000)*1,ISNUMBER(SEARCH("T_b_c*bev*s4",[1]OUT_TransportEnergyCons!$A$4:$A$10000))*1,[1]OUT_TransportEnergyCons!F$4:F$10000))*1000</f>
        <v>1.0246496255047271E-3</v>
      </c>
      <c r="I1983" s="1" cm="1">
        <f t="array" ref="I1983">(SUMPRODUCT(("Var_Cap"=[1]OUT_TransportEnergyCons!$B$4:$B$10000)*1,ISNUMBER(SEARCH("T_b_c*bev*s4",[1]OUT_TransportEnergyCons!$A$4:$A$10000))*1,[1]OUT_TransportEnergyCons!G$4:G$10000))*1000</f>
        <v>1.5835700112475993E-4</v>
      </c>
      <c r="J1983" s="1" cm="1">
        <f t="array" ref="J1983">(SUMPRODUCT(("Var_Cap"=[1]OUT_TransportEnergyCons!$B$4:$B$10000)*1,ISNUMBER(SEARCH("T_b_c*bev*s4",[1]OUT_TransportEnergyCons!$A$4:$A$10000))*1,[1]OUT_TransportEnergyCons!H$4:H$10000))*1000</f>
        <v>1.0148786525053599E-3</v>
      </c>
      <c r="K1983" s="1" cm="1">
        <f t="array" ref="K1983">(SUMPRODUCT(("Var_Cap"=[1]OUT_TransportEnergyCons!$B$4:$B$10000)*1,ISNUMBER(SEARCH("T_b_c*bev*s4",[1]OUT_TransportEnergyCons!$A$4:$A$10000))*1,[1]OUT_TransportEnergyCons!I$4:I$10000))*1000</f>
        <v>1.0513565756968049E-3</v>
      </c>
      <c r="L1983" s="1" cm="1">
        <f t="array" ref="L1983">(SUMPRODUCT(("Var_Cap"=[1]OUT_TransportEnergyCons!$B$4:$B$10000)*1,ISNUMBER(SEARCH("T_b_c*bev*s4",[1]OUT_TransportEnergyCons!$A$4:$A$10000))*1,[1]OUT_TransportEnergyCons!J$4:J$10000))*1000</f>
        <v>1.2335204157848409E-3</v>
      </c>
      <c r="M1983" s="1" cm="1">
        <f t="array" ref="M1983">(SUMPRODUCT(("Var_Cap"=[1]OUT_TransportEnergyCons!$B$4:$B$10000)*1,ISNUMBER(SEARCH("T_b_c*bev*s4",[1]OUT_TransportEnergyCons!$A$4:$A$10000))*1,[1]OUT_TransportEnergyCons!K$4:K$10000))*1000</f>
        <v>2.1270693595418521E-3</v>
      </c>
      <c r="N1983" s="1" cm="1">
        <f t="array" ref="N1983">(SUMPRODUCT(("Var_Cap"=[1]OUT_TransportEnergyCons!$B$4:$B$10000)*1,ISNUMBER(SEARCH("T_b_c*bev*s4",[1]OUT_TransportEnergyCons!$A$4:$A$10000))*1,[1]OUT_TransportEnergyCons!L$4:L$10000))*1000</f>
        <v>1.62693281258213E-3</v>
      </c>
      <c r="O1983" s="1" cm="1">
        <f t="array" ref="O1983">(SUMPRODUCT(("Var_Cap"=[1]OUT_TransportEnergyCons!$B$4:$B$10000)*1,ISNUMBER(SEARCH("T_b_c*bev*s4",[1]OUT_TransportEnergyCons!$A$4:$A$10000))*1,[1]OUT_TransportEnergyCons!M$4:M$10000))*1000</f>
        <v>2.5958375542955211E-3</v>
      </c>
      <c r="P1983" s="1" cm="1">
        <f t="array" ref="P1983">(SUMPRODUCT(("Var_Cap"=[1]OUT_TransportEnergyCons!$B$4:$B$10000)*1,ISNUMBER(SEARCH("T_b_c*bev*s4",[1]OUT_TransportEnergyCons!$A$4:$A$10000))*1,[1]OUT_TransportEnergyCons!N$4:N$10000))*1000</f>
        <v>2.5143969518698094E-3</v>
      </c>
      <c r="Q1983" s="1" cm="1">
        <f t="array" ref="Q1983">(SUMPRODUCT(("Var_Cap"=[1]OUT_TransportEnergyCons!$B$4:$B$10000)*1,ISNUMBER(SEARCH("T_b_c*bev*s4",[1]OUT_TransportEnergyCons!$A$4:$A$10000))*1,[1]OUT_TransportEnergyCons!O$4:O$10000))*1000</f>
        <v>4.4913314742927859E-3</v>
      </c>
      <c r="S1983" s="3"/>
    </row>
    <row r="1984" spans="2:19" x14ac:dyDescent="0.5">
      <c r="B1984" s="5" t="str">
        <f t="shared" si="2165"/>
        <v>SPS1</v>
      </c>
      <c r="C1984" s="5" t="str">
        <f t="shared" si="2166"/>
        <v>CH</v>
      </c>
      <c r="D1984" t="s">
        <v>2013</v>
      </c>
      <c r="E1984" t="s">
        <v>1999</v>
      </c>
      <c r="F1984" s="1" cm="1">
        <f t="array" ref="F1984">IF((SUMPRODUCT(("Var_Cap"=[1]OUT_TransportEnergyCons!$B$4:$B$10000)*1,ISNUMBER(SEARCH("T_b_c*h2o*s1",[1]OUT_TransportEnergyCons!$A$4:$A$10000))*1,[1]OUT_TransportEnergyCons!D$4:D$10000))*1000&lt;0,0,(SUMPRODUCT(("Var_Cap"=[1]OUT_TransportEnergyCons!$B$4:$B$10000)*1,ISNUMBER(SEARCH("T_b_c*h2o*s1",[1]OUT_TransportEnergyCons!$A$4:$A$10000))*1,[1]OUT_TransportEnergyCons!D$4:D$10000))*1000)</f>
        <v>0</v>
      </c>
      <c r="G1984" s="1" cm="1">
        <f t="array" ref="G1984">IF((SUMPRODUCT(("Var_Cap"=[1]OUT_TransportEnergyCons!$B$4:$B$10000)*1,ISNUMBER(SEARCH("T_b_c*h2o*s1",[1]OUT_TransportEnergyCons!$A$4:$A$10000))*1,[1]OUT_TransportEnergyCons!E$4:E$10000))*1000&lt;0,0,(SUMPRODUCT(("Var_Cap"=[1]OUT_TransportEnergyCons!$B$4:$B$10000)*1,ISNUMBER(SEARCH("T_b_c*h2o*s1",[1]OUT_TransportEnergyCons!$A$4:$A$10000))*1,[1]OUT_TransportEnergyCons!E$4:E$10000))*1000)</f>
        <v>0</v>
      </c>
      <c r="H1984" s="1" cm="1">
        <f t="array" ref="H1984">IF((SUMPRODUCT(("Var_Cap"=[1]OUT_TransportEnergyCons!$B$4:$B$10000)*1,ISNUMBER(SEARCH("T_b_c*h2o*s1",[1]OUT_TransportEnergyCons!$A$4:$A$10000))*1,[1]OUT_TransportEnergyCons!F$4:F$10000))*1000&lt;0,0,(SUMPRODUCT(("Var_Cap"=[1]OUT_TransportEnergyCons!$B$4:$B$10000)*1,ISNUMBER(SEARCH("T_b_c*h2o*s1",[1]OUT_TransportEnergyCons!$A$4:$A$10000))*1,[1]OUT_TransportEnergyCons!F$4:F$10000))*1000)</f>
        <v>0</v>
      </c>
      <c r="I1984" s="1" cm="1">
        <f t="array" ref="I1984">IF((SUMPRODUCT(("Var_Cap"=[1]OUT_TransportEnergyCons!$B$4:$B$10000)*1,ISNUMBER(SEARCH("T_b_c*h2o*s1",[1]OUT_TransportEnergyCons!$A$4:$A$10000))*1,[1]OUT_TransportEnergyCons!G$4:G$10000))*1000&lt;0,0,(SUMPRODUCT(("Var_Cap"=[1]OUT_TransportEnergyCons!$B$4:$B$10000)*1,ISNUMBER(SEARCH("T_b_c*h2o*s1",[1]OUT_TransportEnergyCons!$A$4:$A$10000))*1,[1]OUT_TransportEnergyCons!G$4:G$10000))*1000)</f>
        <v>3.30323187599858E-4</v>
      </c>
      <c r="J1984" s="1" cm="1">
        <f t="array" ref="J1984">IF((SUMPRODUCT(("Var_Cap"=[1]OUT_TransportEnergyCons!$B$4:$B$10000)*1,ISNUMBER(SEARCH("T_b_c*h2o*s1",[1]OUT_TransportEnergyCons!$A$4:$A$10000))*1,[1]OUT_TransportEnergyCons!H$4:H$10000))*1000&lt;0,0,(SUMPRODUCT(("Var_Cap"=[1]OUT_TransportEnergyCons!$B$4:$B$10000)*1,ISNUMBER(SEARCH("T_b_c*h2o*s1",[1]OUT_TransportEnergyCons!$A$4:$A$10000))*1,[1]OUT_TransportEnergyCons!H$4:H$10000))*1000)</f>
        <v>1.7737926770753699E-4</v>
      </c>
      <c r="K1984" s="1" cm="1">
        <f t="array" ref="K1984">IF((SUMPRODUCT(("Var_Cap"=[1]OUT_TransportEnergyCons!$B$4:$B$10000)*1,ISNUMBER(SEARCH("T_b_c*h2o*s1",[1]OUT_TransportEnergyCons!$A$4:$A$10000))*1,[1]OUT_TransportEnergyCons!I$4:I$10000))*1000&lt;0,0,(SUMPRODUCT(("Var_Cap"=[1]OUT_TransportEnergyCons!$B$4:$B$10000)*1,ISNUMBER(SEARCH("T_b_c*h2o*s1",[1]OUT_TransportEnergyCons!$A$4:$A$10000))*1,[1]OUT_TransportEnergyCons!I$4:I$10000))*1000)</f>
        <v>1.6522808211356102E-4</v>
      </c>
      <c r="L1984" s="1" cm="1">
        <f t="array" ref="L1984">IF((SUMPRODUCT(("Var_Cap"=[1]OUT_TransportEnergyCons!$B$4:$B$10000)*1,ISNUMBER(SEARCH("T_b_c*h2o*s1",[1]OUT_TransportEnergyCons!$A$4:$A$10000))*1,[1]OUT_TransportEnergyCons!J$4:J$10000))*1000&lt;0,0,(SUMPRODUCT(("Var_Cap"=[1]OUT_TransportEnergyCons!$B$4:$B$10000)*1,ISNUMBER(SEARCH("T_b_c*h2o*s1",[1]OUT_TransportEnergyCons!$A$4:$A$10000))*1,[1]OUT_TransportEnergyCons!J$4:J$10000))*1000)</f>
        <v>2.1780783679967411E-4</v>
      </c>
      <c r="M1984" s="1" cm="1">
        <f t="array" ref="M1984">IF((SUMPRODUCT(("Var_Cap"=[1]OUT_TransportEnergyCons!$B$4:$B$10000)*1,ISNUMBER(SEARCH("T_b_c*h2o*s1",[1]OUT_TransportEnergyCons!$A$4:$A$10000))*1,[1]OUT_TransportEnergyCons!K$4:K$10000))*1000&lt;0,0,(SUMPRODUCT(("Var_Cap"=[1]OUT_TransportEnergyCons!$B$4:$B$10000)*1,ISNUMBER(SEARCH("T_b_c*h2o*s1",[1]OUT_TransportEnergyCons!$A$4:$A$10000))*1,[1]OUT_TransportEnergyCons!K$4:K$10000))*1000)</f>
        <v>2.3857464489440925E-4</v>
      </c>
      <c r="N1984" s="1" cm="1">
        <f t="array" ref="N1984">IF((SUMPRODUCT(("Var_Cap"=[1]OUT_TransportEnergyCons!$B$4:$B$10000)*1,ISNUMBER(SEARCH("T_b_c*h2o*s1",[1]OUT_TransportEnergyCons!$A$4:$A$10000))*1,[1]OUT_TransportEnergyCons!L$4:L$10000))*1000&lt;0,0,(SUMPRODUCT(("Var_Cap"=[1]OUT_TransportEnergyCons!$B$4:$B$10000)*1,ISNUMBER(SEARCH("T_b_c*h2o*s1",[1]OUT_TransportEnergyCons!$A$4:$A$10000))*1,[1]OUT_TransportEnergyCons!L$4:L$10000))*1000)</f>
        <v>2.0404015922025003E-4</v>
      </c>
      <c r="O1984" s="1" cm="1">
        <f t="array" ref="O1984">IF((SUMPRODUCT(("Var_Cap"=[1]OUT_TransportEnergyCons!$B$4:$B$10000)*1,ISNUMBER(SEARCH("T_b_c*h2o*s1",[1]OUT_TransportEnergyCons!$A$4:$A$10000))*1,[1]OUT_TransportEnergyCons!M$4:M$10000))*1000&lt;0,0,(SUMPRODUCT(("Var_Cap"=[1]OUT_TransportEnergyCons!$B$4:$B$10000)*1,ISNUMBER(SEARCH("T_b_c*h2o*s1",[1]OUT_TransportEnergyCons!$A$4:$A$10000))*1,[1]OUT_TransportEnergyCons!M$4:M$10000))*1000)</f>
        <v>2.1157483550395998E-4</v>
      </c>
      <c r="P1984" s="1" cm="1">
        <f t="array" ref="P1984">IF((SUMPRODUCT(("Var_Cap"=[1]OUT_TransportEnergyCons!$B$4:$B$10000)*1,ISNUMBER(SEARCH("T_b_c*h2o*s1",[1]OUT_TransportEnergyCons!$A$4:$A$10000))*1,[1]OUT_TransportEnergyCons!N$4:N$10000))*1000&lt;0,0,(SUMPRODUCT(("Var_Cap"=[1]OUT_TransportEnergyCons!$B$4:$B$10000)*1,ISNUMBER(SEARCH("T_b_c*h2o*s1",[1]OUT_TransportEnergyCons!$A$4:$A$10000))*1,[1]OUT_TransportEnergyCons!N$4:N$10000))*1000)</f>
        <v>2.169819092851814E-4</v>
      </c>
      <c r="Q1984" s="1" cm="1">
        <f t="array" ref="Q1984">IF((SUMPRODUCT(("Var_Cap"=[1]OUT_TransportEnergyCons!$B$4:$B$10000)*1,ISNUMBER(SEARCH("T_b_c*h2o*s1",[1]OUT_TransportEnergyCons!$A$4:$A$10000))*1,[1]OUT_TransportEnergyCons!O$4:O$10000))*1000&lt;0,0,(SUMPRODUCT(("Var_Cap"=[1]OUT_TransportEnergyCons!$B$4:$B$10000)*1,ISNUMBER(SEARCH("T_b_c*h2o*s1",[1]OUT_TransportEnergyCons!$A$4:$A$10000))*1,[1]OUT_TransportEnergyCons!O$4:O$10000))*1000)</f>
        <v>2.06925984747682E-4</v>
      </c>
      <c r="S1984" s="3"/>
    </row>
    <row r="1985" spans="2:19" x14ac:dyDescent="0.5">
      <c r="B1985" s="5" t="str">
        <f t="shared" si="2165"/>
        <v>SPS1</v>
      </c>
      <c r="C1985" s="5" t="str">
        <f t="shared" si="2166"/>
        <v>CH</v>
      </c>
      <c r="D1985" t="s">
        <v>2014</v>
      </c>
      <c r="E1985" t="s">
        <v>1999</v>
      </c>
      <c r="F1985" s="1" cm="1">
        <f t="array" ref="F1985">IF((SUMPRODUCT(("Var_Cap"=[1]OUT_TransportEnergyCons!$B$4:$B$10000)*1,ISNUMBER(SEARCH("T_b_c*h2o*s2",[1]OUT_TransportEnergyCons!$A$4:$A$10000))*1,[1]OUT_TransportEnergyCons!D$4:D$10000))*1000&lt;0,0,(SUMPRODUCT(("Var_Cap"=[1]OUT_TransportEnergyCons!$B$4:$B$10000)*1,ISNUMBER(SEARCH("T_b_c*h2o*s2",[1]OUT_TransportEnergyCons!$A$4:$A$10000))*1,[1]OUT_TransportEnergyCons!D$4:D$10000))*1000)</f>
        <v>0</v>
      </c>
      <c r="G1985" s="1" cm="1">
        <f t="array" ref="G1985">IF((SUMPRODUCT(("Var_Cap"=[1]OUT_TransportEnergyCons!$B$4:$B$10000)*1,ISNUMBER(SEARCH("T_b_c*h2o*s2",[1]OUT_TransportEnergyCons!$A$4:$A$10000))*1,[1]OUT_TransportEnergyCons!E$4:E$10000))*1000&lt;0,0,(SUMPRODUCT(("Var_Cap"=[1]OUT_TransportEnergyCons!$B$4:$B$10000)*1,ISNUMBER(SEARCH("T_b_c*h2o*s2",[1]OUT_TransportEnergyCons!$A$4:$A$10000))*1,[1]OUT_TransportEnergyCons!E$4:E$10000))*1000)</f>
        <v>0</v>
      </c>
      <c r="H1985" s="1" cm="1">
        <f t="array" ref="H1985">IF((SUMPRODUCT(("Var_Cap"=[1]OUT_TransportEnergyCons!$B$4:$B$10000)*1,ISNUMBER(SEARCH("T_b_c*h2o*s2",[1]OUT_TransportEnergyCons!$A$4:$A$10000))*1,[1]OUT_TransportEnergyCons!F$4:F$10000))*1000&lt;0,0,(SUMPRODUCT(("Var_Cap"=[1]OUT_TransportEnergyCons!$B$4:$B$10000)*1,ISNUMBER(SEARCH("T_b_c*h2o*s2",[1]OUT_TransportEnergyCons!$A$4:$A$10000))*1,[1]OUT_TransportEnergyCons!F$4:F$10000))*1000)</f>
        <v>0</v>
      </c>
      <c r="I1985" s="1" cm="1">
        <f t="array" ref="I1985">IF((SUMPRODUCT(("Var_Cap"=[1]OUT_TransportEnergyCons!$B$4:$B$10000)*1,ISNUMBER(SEARCH("T_b_c*h2o*s2",[1]OUT_TransportEnergyCons!$A$4:$A$10000))*1,[1]OUT_TransportEnergyCons!G$4:G$10000))*1000&lt;0,0,(SUMPRODUCT(("Var_Cap"=[1]OUT_TransportEnergyCons!$B$4:$B$10000)*1,ISNUMBER(SEARCH("T_b_c*h2o*s2",[1]OUT_TransportEnergyCons!$A$4:$A$10000))*1,[1]OUT_TransportEnergyCons!G$4:G$10000))*1000)</f>
        <v>2.9864472746088004E-4</v>
      </c>
      <c r="J1985" s="1" cm="1">
        <f t="array" ref="J1985">IF((SUMPRODUCT(("Var_Cap"=[1]OUT_TransportEnergyCons!$B$4:$B$10000)*1,ISNUMBER(SEARCH("T_b_c*h2o*s2",[1]OUT_TransportEnergyCons!$A$4:$A$10000))*1,[1]OUT_TransportEnergyCons!H$4:H$10000))*1000&lt;0,0,(SUMPRODUCT(("Var_Cap"=[1]OUT_TransportEnergyCons!$B$4:$B$10000)*1,ISNUMBER(SEARCH("T_b_c*h2o*s2",[1]OUT_TransportEnergyCons!$A$4:$A$10000))*1,[1]OUT_TransportEnergyCons!H$4:H$10000))*1000)</f>
        <v>2.8264956583837404E-4</v>
      </c>
      <c r="K1985" s="1" cm="1">
        <f t="array" ref="K1985">IF((SUMPRODUCT(("Var_Cap"=[1]OUT_TransportEnergyCons!$B$4:$B$10000)*1,ISNUMBER(SEARCH("T_b_c*h2o*s2",[1]OUT_TransportEnergyCons!$A$4:$A$10000))*1,[1]OUT_TransportEnergyCons!I$4:I$10000))*1000&lt;0,0,(SUMPRODUCT(("Var_Cap"=[1]OUT_TransportEnergyCons!$B$4:$B$10000)*1,ISNUMBER(SEARCH("T_b_c*h2o*s2",[1]OUT_TransportEnergyCons!$A$4:$A$10000))*1,[1]OUT_TransportEnergyCons!I$4:I$10000))*1000)</f>
        <v>2.6398834800696601E-4</v>
      </c>
      <c r="L1985" s="1" cm="1">
        <f t="array" ref="L1985">IF((SUMPRODUCT(("Var_Cap"=[1]OUT_TransportEnergyCons!$B$4:$B$10000)*1,ISNUMBER(SEARCH("T_b_c*h2o*s2",[1]OUT_TransportEnergyCons!$A$4:$A$10000))*1,[1]OUT_TransportEnergyCons!J$4:J$10000))*1000&lt;0,0,(SUMPRODUCT(("Var_Cap"=[1]OUT_TransportEnergyCons!$B$4:$B$10000)*1,ISNUMBER(SEARCH("T_b_c*h2o*s2",[1]OUT_TransportEnergyCons!$A$4:$A$10000))*1,[1]OUT_TransportEnergyCons!J$4:J$10000))*1000)</f>
        <v>2.455485335154375E-4</v>
      </c>
      <c r="M1985" s="1" cm="1">
        <f t="array" ref="M1985">IF((SUMPRODUCT(("Var_Cap"=[1]OUT_TransportEnergyCons!$B$4:$B$10000)*1,ISNUMBER(SEARCH("T_b_c*h2o*s2",[1]OUT_TransportEnergyCons!$A$4:$A$10000))*1,[1]OUT_TransportEnergyCons!K$4:K$10000))*1000&lt;0,0,(SUMPRODUCT(("Var_Cap"=[1]OUT_TransportEnergyCons!$B$4:$B$10000)*1,ISNUMBER(SEARCH("T_b_c*h2o*s2",[1]OUT_TransportEnergyCons!$A$4:$A$10000))*1,[1]OUT_TransportEnergyCons!K$4:K$10000))*1000)</f>
        <v>2.6171583499923153E-4</v>
      </c>
      <c r="N1985" s="1" cm="1">
        <f t="array" ref="N1985">IF((SUMPRODUCT(("Var_Cap"=[1]OUT_TransportEnergyCons!$B$4:$B$10000)*1,ISNUMBER(SEARCH("T_b_c*h2o*s2",[1]OUT_TransportEnergyCons!$A$4:$A$10000))*1,[1]OUT_TransportEnergyCons!L$4:L$10000))*1000&lt;0,0,(SUMPRODUCT(("Var_Cap"=[1]OUT_TransportEnergyCons!$B$4:$B$10000)*1,ISNUMBER(SEARCH("T_b_c*h2o*s2",[1]OUT_TransportEnergyCons!$A$4:$A$10000))*1,[1]OUT_TransportEnergyCons!L$4:L$10000))*1000)</f>
        <v>2.7961151639069196E-4</v>
      </c>
      <c r="O1985" s="1" cm="1">
        <f t="array" ref="O1985">IF((SUMPRODUCT(("Var_Cap"=[1]OUT_TransportEnergyCons!$B$4:$B$10000)*1,ISNUMBER(SEARCH("T_b_c*h2o*s2",[1]OUT_TransportEnergyCons!$A$4:$A$10000))*1,[1]OUT_TransportEnergyCons!M$4:M$10000))*1000&lt;0,0,(SUMPRODUCT(("Var_Cap"=[1]OUT_TransportEnergyCons!$B$4:$B$10000)*1,ISNUMBER(SEARCH("T_b_c*h2o*s2",[1]OUT_TransportEnergyCons!$A$4:$A$10000))*1,[1]OUT_TransportEnergyCons!M$4:M$10000))*1000)</f>
        <v>2.7712347369976089E-4</v>
      </c>
      <c r="P1985" s="1" cm="1">
        <f t="array" ref="P1985">IF((SUMPRODUCT(("Var_Cap"=[1]OUT_TransportEnergyCons!$B$4:$B$10000)*1,ISNUMBER(SEARCH("T_b_c*h2o*s2",[1]OUT_TransportEnergyCons!$A$4:$A$10000))*1,[1]OUT_TransportEnergyCons!N$4:N$10000))*1000&lt;0,0,(SUMPRODUCT(("Var_Cap"=[1]OUT_TransportEnergyCons!$B$4:$B$10000)*1,ISNUMBER(SEARCH("T_b_c*h2o*s2",[1]OUT_TransportEnergyCons!$A$4:$A$10000))*1,[1]OUT_TransportEnergyCons!N$4:N$10000))*1000)</f>
        <v>2.8249406736943652E-4</v>
      </c>
      <c r="Q1985" s="1" cm="1">
        <f t="array" ref="Q1985">IF((SUMPRODUCT(("Var_Cap"=[1]OUT_TransportEnergyCons!$B$4:$B$10000)*1,ISNUMBER(SEARCH("T_b_c*h2o*s2",[1]OUT_TransportEnergyCons!$A$4:$A$10000))*1,[1]OUT_TransportEnergyCons!O$4:O$10000))*1000&lt;0,0,(SUMPRODUCT(("Var_Cap"=[1]OUT_TransportEnergyCons!$B$4:$B$10000)*1,ISNUMBER(SEARCH("T_b_c*h2o*s2",[1]OUT_TransportEnergyCons!$A$4:$A$10000))*1,[1]OUT_TransportEnergyCons!O$4:O$10000))*1000)</f>
        <v>2.8308125836895597E-4</v>
      </c>
      <c r="S1985" s="3"/>
    </row>
    <row r="1986" spans="2:19" x14ac:dyDescent="0.5">
      <c r="B1986" s="5" t="str">
        <f t="shared" si="2165"/>
        <v>SPS1</v>
      </c>
      <c r="C1986" s="5" t="str">
        <f t="shared" si="2166"/>
        <v>CH</v>
      </c>
      <c r="D1986" t="s">
        <v>2015</v>
      </c>
      <c r="E1986" t="s">
        <v>1999</v>
      </c>
      <c r="F1986" s="1" cm="1">
        <f t="array" ref="F1986">IF((SUMPRODUCT(("Var_Cap"=[1]OUT_TransportEnergyCons!$B$4:$B$10000)*1,ISNUMBER(SEARCH("T_b_c*h2o*s3",[1]OUT_TransportEnergyCons!$A$4:$A$10000))*1,[1]OUT_TransportEnergyCons!D$4:D$10000))*1000&lt;0,0,(SUMPRODUCT(("Var_Cap"=[1]OUT_TransportEnergyCons!$B$4:$B$10000)*1,ISNUMBER(SEARCH("T_b_c*h2o*s3",[1]OUT_TransportEnergyCons!$A$4:$A$10000))*1,[1]OUT_TransportEnergyCons!D$4:D$10000))*1000)</f>
        <v>0</v>
      </c>
      <c r="G1986" s="1" cm="1">
        <f t="array" ref="G1986">IF((SUMPRODUCT(("Var_Cap"=[1]OUT_TransportEnergyCons!$B$4:$B$10000)*1,ISNUMBER(SEARCH("T_b_c*h2o*s3",[1]OUT_TransportEnergyCons!$A$4:$A$10000))*1,[1]OUT_TransportEnergyCons!E$4:E$10000))*1000&lt;0,0,(SUMPRODUCT(("Var_Cap"=[1]OUT_TransportEnergyCons!$B$4:$B$10000)*1,ISNUMBER(SEARCH("T_b_c*h2o*s3",[1]OUT_TransportEnergyCons!$A$4:$A$10000))*1,[1]OUT_TransportEnergyCons!E$4:E$10000))*1000)</f>
        <v>0</v>
      </c>
      <c r="H1986" s="1" cm="1">
        <f t="array" ref="H1986">IF((SUMPRODUCT(("Var_Cap"=[1]OUT_TransportEnergyCons!$B$4:$B$10000)*1,ISNUMBER(SEARCH("T_b_c*h2o*s3",[1]OUT_TransportEnergyCons!$A$4:$A$10000))*1,[1]OUT_TransportEnergyCons!F$4:F$10000))*1000&lt;0,0,(SUMPRODUCT(("Var_Cap"=[1]OUT_TransportEnergyCons!$B$4:$B$10000)*1,ISNUMBER(SEARCH("T_b_c*h2o*s3",[1]OUT_TransportEnergyCons!$A$4:$A$10000))*1,[1]OUT_TransportEnergyCons!F$4:F$10000))*1000)</f>
        <v>0</v>
      </c>
      <c r="I1986" s="1" cm="1">
        <f t="array" ref="I1986">IF((SUMPRODUCT(("Var_Cap"=[1]OUT_TransportEnergyCons!$B$4:$B$10000)*1,ISNUMBER(SEARCH("T_b_c*h2o*s3",[1]OUT_TransportEnergyCons!$A$4:$A$10000))*1,[1]OUT_TransportEnergyCons!G$4:G$10000))*1000&lt;0,0,(SUMPRODUCT(("Var_Cap"=[1]OUT_TransportEnergyCons!$B$4:$B$10000)*1,ISNUMBER(SEARCH("T_b_c*h2o*s3",[1]OUT_TransportEnergyCons!$A$4:$A$10000))*1,[1]OUT_TransportEnergyCons!G$4:G$10000))*1000)</f>
        <v>1.5102639283532499E-4</v>
      </c>
      <c r="J1986" s="1" cm="1">
        <f t="array" ref="J1986">IF((SUMPRODUCT(("Var_Cap"=[1]OUT_TransportEnergyCons!$B$4:$B$10000)*1,ISNUMBER(SEARCH("T_b_c*h2o*s3",[1]OUT_TransportEnergyCons!$A$4:$A$10000))*1,[1]OUT_TransportEnergyCons!H$4:H$10000))*1000&lt;0,0,(SUMPRODUCT(("Var_Cap"=[1]OUT_TransportEnergyCons!$B$4:$B$10000)*1,ISNUMBER(SEARCH("T_b_c*h2o*s3",[1]OUT_TransportEnergyCons!$A$4:$A$10000))*1,[1]OUT_TransportEnergyCons!H$4:H$10000))*1000)</f>
        <v>2.2761227748420781E-4</v>
      </c>
      <c r="K1986" s="1" cm="1">
        <f t="array" ref="K1986">IF((SUMPRODUCT(("Var_Cap"=[1]OUT_TransportEnergyCons!$B$4:$B$10000)*1,ISNUMBER(SEARCH("T_b_c*h2o*s3",[1]OUT_TransportEnergyCons!$A$4:$A$10000))*1,[1]OUT_TransportEnergyCons!I$4:I$10000))*1000&lt;0,0,(SUMPRODUCT(("Var_Cap"=[1]OUT_TransportEnergyCons!$B$4:$B$10000)*1,ISNUMBER(SEARCH("T_b_c*h2o*s3",[1]OUT_TransportEnergyCons!$A$4:$A$10000))*1,[1]OUT_TransportEnergyCons!I$4:I$10000))*1000)</f>
        <v>1.6255761800279263E-4</v>
      </c>
      <c r="L1986" s="1" cm="1">
        <f t="array" ref="L1986">IF((SUMPRODUCT(("Var_Cap"=[1]OUT_TransportEnergyCons!$B$4:$B$10000)*1,ISNUMBER(SEARCH("T_b_c*h2o*s3",[1]OUT_TransportEnergyCons!$A$4:$A$10000))*1,[1]OUT_TransportEnergyCons!J$4:J$10000))*1000&lt;0,0,(SUMPRODUCT(("Var_Cap"=[1]OUT_TransportEnergyCons!$B$4:$B$10000)*1,ISNUMBER(SEARCH("T_b_c*h2o*s3",[1]OUT_TransportEnergyCons!$A$4:$A$10000))*1,[1]OUT_TransportEnergyCons!J$4:J$10000))*1000)</f>
        <v>1.2579784696505368E-4</v>
      </c>
      <c r="M1986" s="1" cm="1">
        <f t="array" ref="M1986">IF((SUMPRODUCT(("Var_Cap"=[1]OUT_TransportEnergyCons!$B$4:$B$10000)*1,ISNUMBER(SEARCH("T_b_c*h2o*s3",[1]OUT_TransportEnergyCons!$A$4:$A$10000))*1,[1]OUT_TransportEnergyCons!K$4:K$10000))*1000&lt;0,0,(SUMPRODUCT(("Var_Cap"=[1]OUT_TransportEnergyCons!$B$4:$B$10000)*1,ISNUMBER(SEARCH("T_b_c*h2o*s3",[1]OUT_TransportEnergyCons!$A$4:$A$10000))*1,[1]OUT_TransportEnergyCons!K$4:K$10000))*1000)</f>
        <v>1.146081303192561E-4</v>
      </c>
      <c r="N1986" s="1" cm="1">
        <f t="array" ref="N1986">IF((SUMPRODUCT(("Var_Cap"=[1]OUT_TransportEnergyCons!$B$4:$B$10000)*1,ISNUMBER(SEARCH("T_b_c*h2o*s3",[1]OUT_TransportEnergyCons!$A$4:$A$10000))*1,[1]OUT_TransportEnergyCons!L$4:L$10000))*1000&lt;0,0,(SUMPRODUCT(("Var_Cap"=[1]OUT_TransportEnergyCons!$B$4:$B$10000)*1,ISNUMBER(SEARCH("T_b_c*h2o*s3",[1]OUT_TransportEnergyCons!$A$4:$A$10000))*1,[1]OUT_TransportEnergyCons!L$4:L$10000))*1000)</f>
        <v>1.3171448266967469E-4</v>
      </c>
      <c r="O1986" s="1" cm="1">
        <f t="array" ref="O1986">IF((SUMPRODUCT(("Var_Cap"=[1]OUT_TransportEnergyCons!$B$4:$B$10000)*1,ISNUMBER(SEARCH("T_b_c*h2o*s3",[1]OUT_TransportEnergyCons!$A$4:$A$10000))*1,[1]OUT_TransportEnergyCons!M$4:M$10000))*1000&lt;0,0,(SUMPRODUCT(("Var_Cap"=[1]OUT_TransportEnergyCons!$B$4:$B$10000)*1,ISNUMBER(SEARCH("T_b_c*h2o*s3",[1]OUT_TransportEnergyCons!$A$4:$A$10000))*1,[1]OUT_TransportEnergyCons!M$4:M$10000))*1000)</f>
        <v>1.25379377444921E-4</v>
      </c>
      <c r="P1986" s="1" cm="1">
        <f t="array" ref="P1986">IF((SUMPRODUCT(("Var_Cap"=[1]OUT_TransportEnergyCons!$B$4:$B$10000)*1,ISNUMBER(SEARCH("T_b_c*h2o*s3",[1]OUT_TransportEnergyCons!$A$4:$A$10000))*1,[1]OUT_TransportEnergyCons!N$4:N$10000))*1000&lt;0,0,(SUMPRODUCT(("Var_Cap"=[1]OUT_TransportEnergyCons!$B$4:$B$10000)*1,ISNUMBER(SEARCH("T_b_c*h2o*s3",[1]OUT_TransportEnergyCons!$A$4:$A$10000))*1,[1]OUT_TransportEnergyCons!N$4:N$10000))*1000)</f>
        <v>1.162323837231752E-4</v>
      </c>
      <c r="Q1986" s="1" cm="1">
        <f t="array" ref="Q1986">IF((SUMPRODUCT(("Var_Cap"=[1]OUT_TransportEnergyCons!$B$4:$B$10000)*1,ISNUMBER(SEARCH("T_b_c*h2o*s3",[1]OUT_TransportEnergyCons!$A$4:$A$10000))*1,[1]OUT_TransportEnergyCons!O$4:O$10000))*1000&lt;0,0,(SUMPRODUCT(("Var_Cap"=[1]OUT_TransportEnergyCons!$B$4:$B$10000)*1,ISNUMBER(SEARCH("T_b_c*h2o*s3",[1]OUT_TransportEnergyCons!$A$4:$A$10000))*1,[1]OUT_TransportEnergyCons!O$4:O$10000))*1000)</f>
        <v>1.3903430881163868E-4</v>
      </c>
      <c r="S1986" s="3"/>
    </row>
    <row r="1987" spans="2:19" x14ac:dyDescent="0.5">
      <c r="B1987" s="5" t="str">
        <f t="shared" si="2165"/>
        <v>SPS1</v>
      </c>
      <c r="C1987" s="5" t="str">
        <f t="shared" si="2166"/>
        <v>CH</v>
      </c>
      <c r="D1987" t="s">
        <v>2016</v>
      </c>
      <c r="E1987" t="s">
        <v>1999</v>
      </c>
      <c r="F1987" s="1" cm="1">
        <f t="array" ref="F1987">IF((SUMPRODUCT(("Var_Cap"=[1]OUT_TransportEnergyCons!$B$4:$B$10000)*1,ISNUMBER(SEARCH("T_b_c*h2o*s4",[1]OUT_TransportEnergyCons!$A$4:$A$10000))*1,[1]OUT_TransportEnergyCons!D$4:D$10000))*1000&lt;0,0,(SUMPRODUCT(("Var_Cap"=[1]OUT_TransportEnergyCons!$B$4:$B$10000)*1,ISNUMBER(SEARCH("T_b_c*h2o*s4",[1]OUT_TransportEnergyCons!$A$4:$A$10000))*1,[1]OUT_TransportEnergyCons!D$4:D$10000))*1000)</f>
        <v>0</v>
      </c>
      <c r="G1987" s="1" cm="1">
        <f t="array" ref="G1987">IF((SUMPRODUCT(("Var_Cap"=[1]OUT_TransportEnergyCons!$B$4:$B$10000)*1,ISNUMBER(SEARCH("T_b_c*h2o*s4",[1]OUT_TransportEnergyCons!$A$4:$A$10000))*1,[1]OUT_TransportEnergyCons!E$4:E$10000))*1000&lt;0,0,(SUMPRODUCT(("Var_Cap"=[1]OUT_TransportEnergyCons!$B$4:$B$10000)*1,ISNUMBER(SEARCH("T_b_c*h2o*s4",[1]OUT_TransportEnergyCons!$A$4:$A$10000))*1,[1]OUT_TransportEnergyCons!E$4:E$10000))*1000)</f>
        <v>0</v>
      </c>
      <c r="H1987" s="1" cm="1">
        <f t="array" ref="H1987">IF((SUMPRODUCT(("Var_Cap"=[1]OUT_TransportEnergyCons!$B$4:$B$10000)*1,ISNUMBER(SEARCH("T_b_c*h2o*s4",[1]OUT_TransportEnergyCons!$A$4:$A$10000))*1,[1]OUT_TransportEnergyCons!F$4:F$10000))*1000&lt;0,0,(SUMPRODUCT(("Var_Cap"=[1]OUT_TransportEnergyCons!$B$4:$B$10000)*1,ISNUMBER(SEARCH("T_b_c*h2o*s4",[1]OUT_TransportEnergyCons!$A$4:$A$10000))*1,[1]OUT_TransportEnergyCons!F$4:F$10000))*1000)</f>
        <v>0</v>
      </c>
      <c r="I1987" s="1" cm="1">
        <f t="array" ref="I1987">IF((SUMPRODUCT(("Var_Cap"=[1]OUT_TransportEnergyCons!$B$4:$B$10000)*1,ISNUMBER(SEARCH("T_b_c*h2o*s4",[1]OUT_TransportEnergyCons!$A$4:$A$10000))*1,[1]OUT_TransportEnergyCons!G$4:G$10000))*1000&lt;0,0,(SUMPRODUCT(("Var_Cap"=[1]OUT_TransportEnergyCons!$B$4:$B$10000)*1,ISNUMBER(SEARCH("T_b_c*h2o*s4",[1]OUT_TransportEnergyCons!$A$4:$A$10000))*1,[1]OUT_TransportEnergyCons!G$4:G$10000))*1000)</f>
        <v>0</v>
      </c>
      <c r="J1987" s="1" cm="1">
        <f t="array" ref="J1987">IF((SUMPRODUCT(("Var_Cap"=[1]OUT_TransportEnergyCons!$B$4:$B$10000)*1,ISNUMBER(SEARCH("T_b_c*h2o*s4",[1]OUT_TransportEnergyCons!$A$4:$A$10000))*1,[1]OUT_TransportEnergyCons!H$4:H$10000))*1000&lt;0,0,(SUMPRODUCT(("Var_Cap"=[1]OUT_TransportEnergyCons!$B$4:$B$10000)*1,ISNUMBER(SEARCH("T_b_c*h2o*s4",[1]OUT_TransportEnergyCons!$A$4:$A$10000))*1,[1]OUT_TransportEnergyCons!H$4:H$10000))*1000)</f>
        <v>0</v>
      </c>
      <c r="K1987" s="1" cm="1">
        <f t="array" ref="K1987">IF((SUMPRODUCT(("Var_Cap"=[1]OUT_TransportEnergyCons!$B$4:$B$10000)*1,ISNUMBER(SEARCH("T_b_c*h2o*s4",[1]OUT_TransportEnergyCons!$A$4:$A$10000))*1,[1]OUT_TransportEnergyCons!I$4:I$10000))*1000&lt;0,0,(SUMPRODUCT(("Var_Cap"=[1]OUT_TransportEnergyCons!$B$4:$B$10000)*1,ISNUMBER(SEARCH("T_b_c*h2o*s4",[1]OUT_TransportEnergyCons!$A$4:$A$10000))*1,[1]OUT_TransportEnergyCons!I$4:I$10000))*1000)</f>
        <v>0</v>
      </c>
      <c r="L1987" s="1" cm="1">
        <f t="array" ref="L1987">IF((SUMPRODUCT(("Var_Cap"=[1]OUT_TransportEnergyCons!$B$4:$B$10000)*1,ISNUMBER(SEARCH("T_b_c*h2o*s4",[1]OUT_TransportEnergyCons!$A$4:$A$10000))*1,[1]OUT_TransportEnergyCons!J$4:J$10000))*1000&lt;0,0,(SUMPRODUCT(("Var_Cap"=[1]OUT_TransportEnergyCons!$B$4:$B$10000)*1,ISNUMBER(SEARCH("T_b_c*h2o*s4",[1]OUT_TransportEnergyCons!$A$4:$A$10000))*1,[1]OUT_TransportEnergyCons!J$4:J$10000))*1000)</f>
        <v>0</v>
      </c>
      <c r="M1987" s="1" cm="1">
        <f t="array" ref="M1987">IF((SUMPRODUCT(("Var_Cap"=[1]OUT_TransportEnergyCons!$B$4:$B$10000)*1,ISNUMBER(SEARCH("T_b_c*h2o*s4",[1]OUT_TransportEnergyCons!$A$4:$A$10000))*1,[1]OUT_TransportEnergyCons!K$4:K$10000))*1000&lt;0,0,(SUMPRODUCT(("Var_Cap"=[1]OUT_TransportEnergyCons!$B$4:$B$10000)*1,ISNUMBER(SEARCH("T_b_c*h2o*s4",[1]OUT_TransportEnergyCons!$A$4:$A$10000))*1,[1]OUT_TransportEnergyCons!K$4:K$10000))*1000)</f>
        <v>0</v>
      </c>
      <c r="N1987" s="1" cm="1">
        <f t="array" ref="N1987">IF((SUMPRODUCT(("Var_Cap"=[1]OUT_TransportEnergyCons!$B$4:$B$10000)*1,ISNUMBER(SEARCH("T_b_c*h2o*s4",[1]OUT_TransportEnergyCons!$A$4:$A$10000))*1,[1]OUT_TransportEnergyCons!L$4:L$10000))*1000&lt;0,0,(SUMPRODUCT(("Var_Cap"=[1]OUT_TransportEnergyCons!$B$4:$B$10000)*1,ISNUMBER(SEARCH("T_b_c*h2o*s4",[1]OUT_TransportEnergyCons!$A$4:$A$10000))*1,[1]OUT_TransportEnergyCons!L$4:L$10000))*1000)</f>
        <v>0</v>
      </c>
      <c r="O1987" s="1" cm="1">
        <f t="array" ref="O1987">IF((SUMPRODUCT(("Var_Cap"=[1]OUT_TransportEnergyCons!$B$4:$B$10000)*1,ISNUMBER(SEARCH("T_b_c*h2o*s4",[1]OUT_TransportEnergyCons!$A$4:$A$10000))*1,[1]OUT_TransportEnergyCons!M$4:M$10000))*1000&lt;0,0,(SUMPRODUCT(("Var_Cap"=[1]OUT_TransportEnergyCons!$B$4:$B$10000)*1,ISNUMBER(SEARCH("T_b_c*h2o*s4",[1]OUT_TransportEnergyCons!$A$4:$A$10000))*1,[1]OUT_TransportEnergyCons!M$4:M$10000))*1000)</f>
        <v>0</v>
      </c>
      <c r="P1987" s="1" cm="1">
        <f t="array" ref="P1987">IF((SUMPRODUCT(("Var_Cap"=[1]OUT_TransportEnergyCons!$B$4:$B$10000)*1,ISNUMBER(SEARCH("T_b_c*h2o*s4",[1]OUT_TransportEnergyCons!$A$4:$A$10000))*1,[1]OUT_TransportEnergyCons!N$4:N$10000))*1000&lt;0,0,(SUMPRODUCT(("Var_Cap"=[1]OUT_TransportEnergyCons!$B$4:$B$10000)*1,ISNUMBER(SEARCH("T_b_c*h2o*s4",[1]OUT_TransportEnergyCons!$A$4:$A$10000))*1,[1]OUT_TransportEnergyCons!N$4:N$10000))*1000)</f>
        <v>0</v>
      </c>
      <c r="Q1987" s="1" cm="1">
        <f t="array" ref="Q1987">IF((SUMPRODUCT(("Var_Cap"=[1]OUT_TransportEnergyCons!$B$4:$B$10000)*1,ISNUMBER(SEARCH("T_b_c*h2o*s4",[1]OUT_TransportEnergyCons!$A$4:$A$10000))*1,[1]OUT_TransportEnergyCons!O$4:O$10000))*1000&lt;0,0,(SUMPRODUCT(("Var_Cap"=[1]OUT_TransportEnergyCons!$B$4:$B$10000)*1,ISNUMBER(SEARCH("T_b_c*h2o*s4",[1]OUT_TransportEnergyCons!$A$4:$A$10000))*1,[1]OUT_TransportEnergyCons!O$4:O$10000))*1000)</f>
        <v>1.307056010175699E-6</v>
      </c>
      <c r="S1987" s="3"/>
    </row>
    <row r="1988" spans="2:19" x14ac:dyDescent="0.5">
      <c r="B1988" s="5" t="str">
        <f t="shared" si="2165"/>
        <v>SPS1</v>
      </c>
      <c r="C1988" s="5" t="str">
        <f t="shared" si="2166"/>
        <v>CH</v>
      </c>
      <c r="D1988" t="s">
        <v>2017</v>
      </c>
      <c r="E1988" t="s">
        <v>1999</v>
      </c>
      <c r="F1988" s="1" cm="1">
        <f t="array" ref="F1988">(SUMPRODUCT(("Var_Cap"=[1]OUT_TransportEnergyCons!$B$4:$B$10000)*1,ISNUMBER(SEARCH("T_b_c*hyb*DSL*s1",[1]OUT_TransportEnergyCons!$A$4:$A$10000))*1,[1]OUT_TransportEnergyCons!D$4:D$10000))*1000</f>
        <v>0</v>
      </c>
      <c r="G1988" s="1" cm="1">
        <f t="array" ref="G1988">(SUMPRODUCT(("Var_Cap"=[1]OUT_TransportEnergyCons!$B$4:$B$10000)*1,ISNUMBER(SEARCH("T_b_c*hyb*DSL*s1",[1]OUT_TransportEnergyCons!$A$4:$A$10000))*1,[1]OUT_TransportEnergyCons!E$4:E$10000))*1000</f>
        <v>0.47836939002651702</v>
      </c>
      <c r="H1988" s="1" cm="1">
        <f t="array" ref="H1988">(SUMPRODUCT(("Var_Cap"=[1]OUT_TransportEnergyCons!$B$4:$B$10000)*1,ISNUMBER(SEARCH("T_b_c*hyb*DSL*s1",[1]OUT_TransportEnergyCons!$A$4:$A$10000))*1,[1]OUT_TransportEnergyCons!F$4:F$10000))*1000</f>
        <v>0.48567220791569843</v>
      </c>
      <c r="I1988" s="1" cm="1">
        <f t="array" ref="I1988">(SUMPRODUCT(("Var_Cap"=[1]OUT_TransportEnergyCons!$B$4:$B$10000)*1,ISNUMBER(SEARCH("T_b_c*hyb*DSL*s1",[1]OUT_TransportEnergyCons!$A$4:$A$10000))*1,[1]OUT_TransportEnergyCons!G$4:G$10000))*1000</f>
        <v>1.1659183891396053E-4</v>
      </c>
      <c r="J1988" s="1" cm="1">
        <f t="array" ref="J1988">(SUMPRODUCT(("Var_Cap"=[1]OUT_TransportEnergyCons!$B$4:$B$10000)*1,ISNUMBER(SEARCH("T_b_c*hyb*DSL*s1",[1]OUT_TransportEnergyCons!$A$4:$A$10000))*1,[1]OUT_TransportEnergyCons!H$4:H$10000))*1000</f>
        <v>-3.0476572643155946E-4</v>
      </c>
      <c r="K1988" s="1" cm="1">
        <f t="array" ref="K1988">(SUMPRODUCT(("Var_Cap"=[1]OUT_TransportEnergyCons!$B$4:$B$10000)*1,ISNUMBER(SEARCH("T_b_c*hyb*DSL*s1",[1]OUT_TransportEnergyCons!$A$4:$A$10000))*1,[1]OUT_TransportEnergyCons!I$4:I$10000))*1000</f>
        <v>-3.1889447837242258E-4</v>
      </c>
      <c r="L1988" s="1" cm="1">
        <f t="array" ref="L1988">(SUMPRODUCT(("Var_Cap"=[1]OUT_TransportEnergyCons!$B$4:$B$10000)*1,ISNUMBER(SEARCH("T_b_c*hyb*DSL*s1",[1]OUT_TransportEnergyCons!$A$4:$A$10000))*1,[1]OUT_TransportEnergyCons!J$4:J$10000))*1000</f>
        <v>-2.0751367682843723E-4</v>
      </c>
      <c r="M1988" s="1" cm="1">
        <f t="array" ref="M1988">(SUMPRODUCT(("Var_Cap"=[1]OUT_TransportEnergyCons!$B$4:$B$10000)*1,ISNUMBER(SEARCH("T_b_c*hyb*DSL*s1",[1]OUT_TransportEnergyCons!$A$4:$A$10000))*1,[1]OUT_TransportEnergyCons!K$4:K$10000))*1000</f>
        <v>5.0445574101180978E-6</v>
      </c>
      <c r="N1988" s="1" cm="1">
        <f t="array" ref="N1988">(SUMPRODUCT(("Var_Cap"=[1]OUT_TransportEnergyCons!$B$4:$B$10000)*1,ISNUMBER(SEARCH("T_b_c*hyb*DSL*s1",[1]OUT_TransportEnergyCons!$A$4:$A$10000))*1,[1]OUT_TransportEnergyCons!L$4:L$10000))*1000</f>
        <v>0</v>
      </c>
      <c r="O1988" s="1" cm="1">
        <f t="array" ref="O1988">(SUMPRODUCT(("Var_Cap"=[1]OUT_TransportEnergyCons!$B$4:$B$10000)*1,ISNUMBER(SEARCH("T_b_c*hyb*DSL*s1",[1]OUT_TransportEnergyCons!$A$4:$A$10000))*1,[1]OUT_TransportEnergyCons!M$4:M$10000))*1000</f>
        <v>0</v>
      </c>
      <c r="P1988" s="1" cm="1">
        <f t="array" ref="P1988">(SUMPRODUCT(("Var_Cap"=[1]OUT_TransportEnergyCons!$B$4:$B$10000)*1,ISNUMBER(SEARCH("T_b_c*hyb*DSL*s1",[1]OUT_TransportEnergyCons!$A$4:$A$10000))*1,[1]OUT_TransportEnergyCons!N$4:N$10000))*1000</f>
        <v>0</v>
      </c>
      <c r="Q1988" s="1" cm="1">
        <f t="array" ref="Q1988">(SUMPRODUCT(("Var_Cap"=[1]OUT_TransportEnergyCons!$B$4:$B$10000)*1,ISNUMBER(SEARCH("T_b_c*hyb*DSL*s1",[1]OUT_TransportEnergyCons!$A$4:$A$10000))*1,[1]OUT_TransportEnergyCons!O$4:O$10000))*1000</f>
        <v>0</v>
      </c>
      <c r="S1988" s="3"/>
    </row>
    <row r="1989" spans="2:19" x14ac:dyDescent="0.5">
      <c r="B1989" s="5" t="str">
        <f t="shared" si="2165"/>
        <v>SPS1</v>
      </c>
      <c r="C1989" s="5" t="str">
        <f t="shared" si="2166"/>
        <v>CH</v>
      </c>
      <c r="D1989" t="s">
        <v>2018</v>
      </c>
      <c r="E1989" t="s">
        <v>1999</v>
      </c>
      <c r="F1989" s="1" cm="1">
        <f t="array" ref="F1989">(SUMPRODUCT(("Var_Cap"=[1]OUT_TransportEnergyCons!$B$4:$B$10000)*1,ISNUMBER(SEARCH("T_b_c*hyb*DSL*s2",[1]OUT_TransportEnergyCons!$A$4:$A$10000))*1,[1]OUT_TransportEnergyCons!D$4:D$10000))*1000</f>
        <v>0</v>
      </c>
      <c r="G1989" s="1" cm="1">
        <f t="array" ref="G1989">(SUMPRODUCT(("Var_Cap"=[1]OUT_TransportEnergyCons!$B$4:$B$10000)*1,ISNUMBER(SEARCH("T_b_c*hyb*DSL*s2",[1]OUT_TransportEnergyCons!$A$4:$A$10000))*1,[1]OUT_TransportEnergyCons!E$4:E$10000))*1000</f>
        <v>2.2422326843258302E-3</v>
      </c>
      <c r="H1989" s="1" cm="1">
        <f t="array" ref="H1989">(SUMPRODUCT(("Var_Cap"=[1]OUT_TransportEnergyCons!$B$4:$B$10000)*1,ISNUMBER(SEARCH("T_b_c*hyb*DSL*s2",[1]OUT_TransportEnergyCons!$A$4:$A$10000))*1,[1]OUT_TransportEnergyCons!F$4:F$10000))*1000</f>
        <v>6.5439780049443797E-3</v>
      </c>
      <c r="I1989" s="1" cm="1">
        <f t="array" ref="I1989">(SUMPRODUCT(("Var_Cap"=[1]OUT_TransportEnergyCons!$B$4:$B$10000)*1,ISNUMBER(SEARCH("T_b_c*hyb*DSL*s2",[1]OUT_TransportEnergyCons!$A$4:$A$10000))*1,[1]OUT_TransportEnergyCons!G$4:G$10000))*1000</f>
        <v>6.6834507373833849E-3</v>
      </c>
      <c r="J1989" s="1" cm="1">
        <f t="array" ref="J1989">(SUMPRODUCT(("Var_Cap"=[1]OUT_TransportEnergyCons!$B$4:$B$10000)*1,ISNUMBER(SEARCH("T_b_c*hyb*DSL*s2",[1]OUT_TransportEnergyCons!$A$4:$A$10000))*1,[1]OUT_TransportEnergyCons!H$4:H$10000))*1000</f>
        <v>-1.6568253031918988E-4</v>
      </c>
      <c r="K1989" s="1" cm="1">
        <f t="array" ref="K1989">(SUMPRODUCT(("Var_Cap"=[1]OUT_TransportEnergyCons!$B$4:$B$10000)*1,ISNUMBER(SEARCH("T_b_c*hyb*DSL*s2",[1]OUT_TransportEnergyCons!$A$4:$A$10000))*1,[1]OUT_TransportEnergyCons!I$4:I$10000))*1000</f>
        <v>-1.8729471126526398E-4</v>
      </c>
      <c r="L1989" s="1" cm="1">
        <f t="array" ref="L1989">(SUMPRODUCT(("Var_Cap"=[1]OUT_TransportEnergyCons!$B$4:$B$10000)*1,ISNUMBER(SEARCH("T_b_c*hyb*DSL*s2",[1]OUT_TransportEnergyCons!$A$4:$A$10000))*1,[1]OUT_TransportEnergyCons!J$4:J$10000))*1000</f>
        <v>8.6874317006594012E-5</v>
      </c>
      <c r="M1989" s="1" cm="1">
        <f t="array" ref="M1989">(SUMPRODUCT(("Var_Cap"=[1]OUT_TransportEnergyCons!$B$4:$B$10000)*1,ISNUMBER(SEARCH("T_b_c*hyb*DSL*s2",[1]OUT_TransportEnergyCons!$A$4:$A$10000))*1,[1]OUT_TransportEnergyCons!K$4:K$10000))*1000</f>
        <v>1.7434912975235843E-4</v>
      </c>
      <c r="N1989" s="1" cm="1">
        <f t="array" ref="N1989">(SUMPRODUCT(("Var_Cap"=[1]OUT_TransportEnergyCons!$B$4:$B$10000)*1,ISNUMBER(SEARCH("T_b_c*hyb*DSL*s2",[1]OUT_TransportEnergyCons!$A$4:$A$10000))*1,[1]OUT_TransportEnergyCons!L$4:L$10000))*1000</f>
        <v>0</v>
      </c>
      <c r="O1989" s="1" cm="1">
        <f t="array" ref="O1989">(SUMPRODUCT(("Var_Cap"=[1]OUT_TransportEnergyCons!$B$4:$B$10000)*1,ISNUMBER(SEARCH("T_b_c*hyb*DSL*s2",[1]OUT_TransportEnergyCons!$A$4:$A$10000))*1,[1]OUT_TransportEnergyCons!M$4:M$10000))*1000</f>
        <v>0</v>
      </c>
      <c r="P1989" s="1" cm="1">
        <f t="array" ref="P1989">(SUMPRODUCT(("Var_Cap"=[1]OUT_TransportEnergyCons!$B$4:$B$10000)*1,ISNUMBER(SEARCH("T_b_c*hyb*DSL*s2",[1]OUT_TransportEnergyCons!$A$4:$A$10000))*1,[1]OUT_TransportEnergyCons!N$4:N$10000))*1000</f>
        <v>0</v>
      </c>
      <c r="Q1989" s="1" cm="1">
        <f t="array" ref="Q1989">(SUMPRODUCT(("Var_Cap"=[1]OUT_TransportEnergyCons!$B$4:$B$10000)*1,ISNUMBER(SEARCH("T_b_c*hyb*DSL*s2",[1]OUT_TransportEnergyCons!$A$4:$A$10000))*1,[1]OUT_TransportEnergyCons!O$4:O$10000))*1000</f>
        <v>0</v>
      </c>
      <c r="S1989" s="3"/>
    </row>
    <row r="1990" spans="2:19" x14ac:dyDescent="0.5">
      <c r="B1990" s="5" t="str">
        <f t="shared" si="2165"/>
        <v>SPS1</v>
      </c>
      <c r="C1990" s="5" t="str">
        <f t="shared" si="2166"/>
        <v>CH</v>
      </c>
      <c r="D1990" t="s">
        <v>2019</v>
      </c>
      <c r="E1990" t="s">
        <v>1999</v>
      </c>
      <c r="F1990" s="1" cm="1">
        <f t="array" ref="F1990">(SUMPRODUCT(("Var_Cap"=[1]OUT_TransportEnergyCons!$B$4:$B$10000)*1,ISNUMBER(SEARCH("T_b_c*hyb*DSL*s3",[1]OUT_TransportEnergyCons!$A$4:$A$10000))*1,[1]OUT_TransportEnergyCons!D$4:D$10000))*1000</f>
        <v>0</v>
      </c>
      <c r="G1990" s="1" cm="1">
        <f t="array" ref="G1990">(SUMPRODUCT(("Var_Cap"=[1]OUT_TransportEnergyCons!$B$4:$B$10000)*1,ISNUMBER(SEARCH("T_b_c*hyb*DSL*s3",[1]OUT_TransportEnergyCons!$A$4:$A$10000))*1,[1]OUT_TransportEnergyCons!E$4:E$10000))*1000</f>
        <v>6.9171248798772296E-4</v>
      </c>
      <c r="H1990" s="1" cm="1">
        <f t="array" ref="H1990">(SUMPRODUCT(("Var_Cap"=[1]OUT_TransportEnergyCons!$B$4:$B$10000)*1,ISNUMBER(SEARCH("T_b_c*hyb*DSL*s3",[1]OUT_TransportEnergyCons!$A$4:$A$10000))*1,[1]OUT_TransportEnergyCons!F$4:F$10000))*1000</f>
        <v>3.3483215972414201E-2</v>
      </c>
      <c r="I1990" s="1" cm="1">
        <f t="array" ref="I1990">(SUMPRODUCT(("Var_Cap"=[1]OUT_TransportEnergyCons!$B$4:$B$10000)*1,ISNUMBER(SEARCH("T_b_c*hyb*DSL*s3",[1]OUT_TransportEnergyCons!$A$4:$A$10000))*1,[1]OUT_TransportEnergyCons!G$4:G$10000))*1000</f>
        <v>4.7391764020150093E-2</v>
      </c>
      <c r="J1990" s="1" cm="1">
        <f t="array" ref="J1990">(SUMPRODUCT(("Var_Cap"=[1]OUT_TransportEnergyCons!$B$4:$B$10000)*1,ISNUMBER(SEARCH("T_b_c*hyb*DSL*s3",[1]OUT_TransportEnergyCons!$A$4:$A$10000))*1,[1]OUT_TransportEnergyCons!H$4:H$10000))*1000</f>
        <v>2.0215987535605398E-3</v>
      </c>
      <c r="K1990" s="1" cm="1">
        <f t="array" ref="K1990">(SUMPRODUCT(("Var_Cap"=[1]OUT_TransportEnergyCons!$B$4:$B$10000)*1,ISNUMBER(SEARCH("T_b_c*hyb*DSL*s3",[1]OUT_TransportEnergyCons!$A$4:$A$10000))*1,[1]OUT_TransportEnergyCons!I$4:I$10000))*1000</f>
        <v>1.9295531155058221E-4</v>
      </c>
      <c r="L1990" s="1" cm="1">
        <f t="array" ref="L1990">(SUMPRODUCT(("Var_Cap"=[1]OUT_TransportEnergyCons!$B$4:$B$10000)*1,ISNUMBER(SEARCH("T_b_c*hyb*DSL*s3",[1]OUT_TransportEnergyCons!$A$4:$A$10000))*1,[1]OUT_TransportEnergyCons!J$4:J$10000))*1000</f>
        <v>1.0051293155730009E-4</v>
      </c>
      <c r="M1990" s="1" cm="1">
        <f t="array" ref="M1990">(SUMPRODUCT(("Var_Cap"=[1]OUT_TransportEnergyCons!$B$4:$B$10000)*1,ISNUMBER(SEARCH("T_b_c*hyb*DSL*s3",[1]OUT_TransportEnergyCons!$A$4:$A$10000))*1,[1]OUT_TransportEnergyCons!K$4:K$10000))*1000</f>
        <v>0</v>
      </c>
      <c r="N1990" s="1" cm="1">
        <f t="array" ref="N1990">(SUMPRODUCT(("Var_Cap"=[1]OUT_TransportEnergyCons!$B$4:$B$10000)*1,ISNUMBER(SEARCH("T_b_c*hyb*DSL*s3",[1]OUT_TransportEnergyCons!$A$4:$A$10000))*1,[1]OUT_TransportEnergyCons!L$4:L$10000))*1000</f>
        <v>0</v>
      </c>
      <c r="O1990" s="1" cm="1">
        <f t="array" ref="O1990">(SUMPRODUCT(("Var_Cap"=[1]OUT_TransportEnergyCons!$B$4:$B$10000)*1,ISNUMBER(SEARCH("T_b_c*hyb*DSL*s3",[1]OUT_TransportEnergyCons!$A$4:$A$10000))*1,[1]OUT_TransportEnergyCons!M$4:M$10000))*1000</f>
        <v>0</v>
      </c>
      <c r="P1990" s="1" cm="1">
        <f t="array" ref="P1990">(SUMPRODUCT(("Var_Cap"=[1]OUT_TransportEnergyCons!$B$4:$B$10000)*1,ISNUMBER(SEARCH("T_b_c*hyb*DSL*s3",[1]OUT_TransportEnergyCons!$A$4:$A$10000))*1,[1]OUT_TransportEnergyCons!N$4:N$10000))*1000</f>
        <v>0</v>
      </c>
      <c r="Q1990" s="1" cm="1">
        <f t="array" ref="Q1990">(SUMPRODUCT(("Var_Cap"=[1]OUT_TransportEnergyCons!$B$4:$B$10000)*1,ISNUMBER(SEARCH("T_b_c*hyb*DSL*s3",[1]OUT_TransportEnergyCons!$A$4:$A$10000))*1,[1]OUT_TransportEnergyCons!O$4:O$10000))*1000</f>
        <v>0</v>
      </c>
      <c r="S1990" s="3"/>
    </row>
    <row r="1991" spans="2:19" x14ac:dyDescent="0.5">
      <c r="B1991" s="5" t="str">
        <f t="shared" si="2165"/>
        <v>SPS1</v>
      </c>
      <c r="C1991" s="5" t="str">
        <f t="shared" si="2166"/>
        <v>CH</v>
      </c>
      <c r="D1991" t="s">
        <v>2020</v>
      </c>
      <c r="E1991" t="s">
        <v>1999</v>
      </c>
      <c r="F1991" s="1" cm="1">
        <f t="array" ref="F1991">IF((SUMPRODUCT(("Var_Cap"=[1]OUT_TransportEnergyCons!$B$4:$B$10000)*1,ISNUMBER(SEARCH("T_b_c*hyb*DSL*s4",[1]OUT_TransportEnergyCons!$A$4:$A$10000))*1,[1]OUT_TransportEnergyCons!D$4:D$10000))*1000&lt;0,0,(SUMPRODUCT(("Var_Cap"=[1]OUT_TransportEnergyCons!$B$4:$B$10000)*1,ISNUMBER(SEARCH("T_b_c*hyb*DSL*s4",[1]OUT_TransportEnergyCons!$A$4:$A$10000))*1,[1]OUT_TransportEnergyCons!D$4:D$10000))*1000)</f>
        <v>0</v>
      </c>
      <c r="G1991" s="1" cm="1">
        <f t="array" ref="G1991">IF((SUMPRODUCT(("Var_Cap"=[1]OUT_TransportEnergyCons!$B$4:$B$10000)*1,ISNUMBER(SEARCH("T_b_c*hyb*DSL*s4",[1]OUT_TransportEnergyCons!$A$4:$A$10000))*1,[1]OUT_TransportEnergyCons!E$4:E$10000))*1000&lt;0,0,(SUMPRODUCT(("Var_Cap"=[1]OUT_TransportEnergyCons!$B$4:$B$10000)*1,ISNUMBER(SEARCH("T_b_c*hyb*DSL*s4",[1]OUT_TransportEnergyCons!$A$4:$A$10000))*1,[1]OUT_TransportEnergyCons!E$4:E$10000))*1000)</f>
        <v>0</v>
      </c>
      <c r="H1991" s="1" cm="1">
        <f t="array" ref="H1991">IF((SUMPRODUCT(("Var_Cap"=[1]OUT_TransportEnergyCons!$B$4:$B$10000)*1,ISNUMBER(SEARCH("T_b_c*hyb*DSL*s4",[1]OUT_TransportEnergyCons!$A$4:$A$10000))*1,[1]OUT_TransportEnergyCons!F$4:F$10000))*1000&lt;0,0,(SUMPRODUCT(("Var_Cap"=[1]OUT_TransportEnergyCons!$B$4:$B$10000)*1,ISNUMBER(SEARCH("T_b_c*hyb*DSL*s4",[1]OUT_TransportEnergyCons!$A$4:$A$10000))*1,[1]OUT_TransportEnergyCons!F$4:F$10000))*1000)</f>
        <v>0</v>
      </c>
      <c r="I1991" s="1" cm="1">
        <f t="array" ref="I1991">IF((SUMPRODUCT(("Var_Cap"=[1]OUT_TransportEnergyCons!$B$4:$B$10000)*1,ISNUMBER(SEARCH("T_b_c*hyb*DSL*s4",[1]OUT_TransportEnergyCons!$A$4:$A$10000))*1,[1]OUT_TransportEnergyCons!G$4:G$10000))*1000&lt;0,0,(SUMPRODUCT(("Var_Cap"=[1]OUT_TransportEnergyCons!$B$4:$B$10000)*1,ISNUMBER(SEARCH("T_b_c*hyb*DSL*s4",[1]OUT_TransportEnergyCons!$A$4:$A$10000))*1,[1]OUT_TransportEnergyCons!G$4:G$10000))*1000)</f>
        <v>0</v>
      </c>
      <c r="J1991" s="1" cm="1">
        <f t="array" ref="J1991">IF((SUMPRODUCT(("Var_Cap"=[1]OUT_TransportEnergyCons!$B$4:$B$10000)*1,ISNUMBER(SEARCH("T_b_c*hyb*DSL*s4",[1]OUT_TransportEnergyCons!$A$4:$A$10000))*1,[1]OUT_TransportEnergyCons!H$4:H$10000))*1000&lt;0,0,(SUMPRODUCT(("Var_Cap"=[1]OUT_TransportEnergyCons!$B$4:$B$10000)*1,ISNUMBER(SEARCH("T_b_c*hyb*DSL*s4",[1]OUT_TransportEnergyCons!$A$4:$A$10000))*1,[1]OUT_TransportEnergyCons!H$4:H$10000))*1000)</f>
        <v>0</v>
      </c>
      <c r="K1991" s="1" cm="1">
        <f t="array" ref="K1991">IF((SUMPRODUCT(("Var_Cap"=[1]OUT_TransportEnergyCons!$B$4:$B$10000)*1,ISNUMBER(SEARCH("T_b_c*hyb*DSL*s4",[1]OUT_TransportEnergyCons!$A$4:$A$10000))*1,[1]OUT_TransportEnergyCons!I$4:I$10000))*1000&lt;0,0,(SUMPRODUCT(("Var_Cap"=[1]OUT_TransportEnergyCons!$B$4:$B$10000)*1,ISNUMBER(SEARCH("T_b_c*hyb*DSL*s4",[1]OUT_TransportEnergyCons!$A$4:$A$10000))*1,[1]OUT_TransportEnergyCons!I$4:I$10000))*1000)</f>
        <v>0</v>
      </c>
      <c r="L1991" s="1" cm="1">
        <f t="array" ref="L1991">IF((SUMPRODUCT(("Var_Cap"=[1]OUT_TransportEnergyCons!$B$4:$B$10000)*1,ISNUMBER(SEARCH("T_b_c*hyb*DSL*s4",[1]OUT_TransportEnergyCons!$A$4:$A$10000))*1,[1]OUT_TransportEnergyCons!J$4:J$10000))*1000&lt;0,0,(SUMPRODUCT(("Var_Cap"=[1]OUT_TransportEnergyCons!$B$4:$B$10000)*1,ISNUMBER(SEARCH("T_b_c*hyb*DSL*s4",[1]OUT_TransportEnergyCons!$A$4:$A$10000))*1,[1]OUT_TransportEnergyCons!J$4:J$10000))*1000)</f>
        <v>0</v>
      </c>
      <c r="M1991" s="1" cm="1">
        <f t="array" ref="M1991">IF((SUMPRODUCT(("Var_Cap"=[1]OUT_TransportEnergyCons!$B$4:$B$10000)*1,ISNUMBER(SEARCH("T_b_c*hyb*DSL*s4",[1]OUT_TransportEnergyCons!$A$4:$A$10000))*1,[1]OUT_TransportEnergyCons!K$4:K$10000))*1000&lt;0,0,(SUMPRODUCT(("Var_Cap"=[1]OUT_TransportEnergyCons!$B$4:$B$10000)*1,ISNUMBER(SEARCH("T_b_c*hyb*DSL*s4",[1]OUT_TransportEnergyCons!$A$4:$A$10000))*1,[1]OUT_TransportEnergyCons!K$4:K$10000))*1000)</f>
        <v>0</v>
      </c>
      <c r="N1991" s="1" cm="1">
        <f t="array" ref="N1991">IF((SUMPRODUCT(("Var_Cap"=[1]OUT_TransportEnergyCons!$B$4:$B$10000)*1,ISNUMBER(SEARCH("T_b_c*hyb*DSL*s4",[1]OUT_TransportEnergyCons!$A$4:$A$10000))*1,[1]OUT_TransportEnergyCons!L$4:L$10000))*1000&lt;0,0,(SUMPRODUCT(("Var_Cap"=[1]OUT_TransportEnergyCons!$B$4:$B$10000)*1,ISNUMBER(SEARCH("T_b_c*hyb*DSL*s4",[1]OUT_TransportEnergyCons!$A$4:$A$10000))*1,[1]OUT_TransportEnergyCons!L$4:L$10000))*1000)</f>
        <v>0</v>
      </c>
      <c r="O1991" s="1" cm="1">
        <f t="array" ref="O1991">IF((SUMPRODUCT(("Var_Cap"=[1]OUT_TransportEnergyCons!$B$4:$B$10000)*1,ISNUMBER(SEARCH("T_b_c*hyb*DSL*s4",[1]OUT_TransportEnergyCons!$A$4:$A$10000))*1,[1]OUT_TransportEnergyCons!M$4:M$10000))*1000&lt;0,0,(SUMPRODUCT(("Var_Cap"=[1]OUT_TransportEnergyCons!$B$4:$B$10000)*1,ISNUMBER(SEARCH("T_b_c*hyb*DSL*s4",[1]OUT_TransportEnergyCons!$A$4:$A$10000))*1,[1]OUT_TransportEnergyCons!M$4:M$10000))*1000)</f>
        <v>0</v>
      </c>
      <c r="P1991" s="1" cm="1">
        <f t="array" ref="P1991">IF((SUMPRODUCT(("Var_Cap"=[1]OUT_TransportEnergyCons!$B$4:$B$10000)*1,ISNUMBER(SEARCH("T_b_c*hyb*DSL*s4",[1]OUT_TransportEnergyCons!$A$4:$A$10000))*1,[1]OUT_TransportEnergyCons!N$4:N$10000))*1000&lt;0,0,(SUMPRODUCT(("Var_Cap"=[1]OUT_TransportEnergyCons!$B$4:$B$10000)*1,ISNUMBER(SEARCH("T_b_c*hyb*DSL*s4",[1]OUT_TransportEnergyCons!$A$4:$A$10000))*1,[1]OUT_TransportEnergyCons!N$4:N$10000))*1000)</f>
        <v>0</v>
      </c>
      <c r="Q1991" s="1" cm="1">
        <f t="array" ref="Q1991">IF((SUMPRODUCT(("Var_Cap"=[1]OUT_TransportEnergyCons!$B$4:$B$10000)*1,ISNUMBER(SEARCH("T_b_c*hyb*DSL*s4",[1]OUT_TransportEnergyCons!$A$4:$A$10000))*1,[1]OUT_TransportEnergyCons!O$4:O$10000))*1000&lt;0,0,(SUMPRODUCT(("Var_Cap"=[1]OUT_TransportEnergyCons!$B$4:$B$10000)*1,ISNUMBER(SEARCH("T_b_c*hyb*DSL*s4",[1]OUT_TransportEnergyCons!$A$4:$A$10000))*1,[1]OUT_TransportEnergyCons!O$4:O$10000))*1000)</f>
        <v>0</v>
      </c>
      <c r="S1991" s="3"/>
    </row>
    <row r="1992" spans="2:19" x14ac:dyDescent="0.5">
      <c r="B1992" s="5" t="str">
        <f t="shared" si="2165"/>
        <v>SPS1</v>
      </c>
      <c r="C1992" s="5" t="str">
        <f t="shared" si="2166"/>
        <v>CH</v>
      </c>
      <c r="D1992" t="s">
        <v>2021</v>
      </c>
      <c r="E1992" t="s">
        <v>1999</v>
      </c>
      <c r="F1992" s="1" cm="1">
        <f t="array" ref="F1992">(SUMPRODUCT(("Var_Cap"=[1]OUT_TransportEnergyCons!$B$4:$B$10000)*1,ISNUMBER(SEARCH("T_b_c*ICE*DSL*ext",[1]OUT_TransportEnergyCons!$A$4:$A$10000))*1,[1]OUT_TransportEnergyCons!D$4:D$10000))*1000</f>
        <v>1.3032977976544957</v>
      </c>
      <c r="G1992" s="1" cm="1">
        <f t="array" ref="G1992">(SUMPRODUCT(("Var_Cap"=[1]OUT_TransportEnergyCons!$B$4:$B$10000)*1,ISNUMBER(SEARCH("T_b_c*ICE*DSL*ext",[1]OUT_TransportEnergyCons!$A$4:$A$10000))*1,[1]OUT_TransportEnergyCons!E$4:E$10000))*1000</f>
        <v>1.0426563801701401</v>
      </c>
      <c r="H1992" s="1" cm="1">
        <f t="array" ref="H1992">(SUMPRODUCT(("Var_Cap"=[1]OUT_TransportEnergyCons!$B$4:$B$10000)*1,ISNUMBER(SEARCH("T_b_c*ICE*DSL*ext",[1]OUT_TransportEnergyCons!$A$4:$A$10000))*1,[1]OUT_TransportEnergyCons!F$4:F$10000))*1000</f>
        <v>0.65166023760633496</v>
      </c>
      <c r="I1992" s="1" cm="1">
        <f t="array" ref="I1992">(SUMPRODUCT(("Var_Cap"=[1]OUT_TransportEnergyCons!$B$4:$B$10000)*1,ISNUMBER(SEARCH("T_b_c*ICE*DSL*ext",[1]OUT_TransportEnergyCons!$A$4:$A$10000))*1,[1]OUT_TransportEnergyCons!G$4:G$10000))*1000</f>
        <v>0</v>
      </c>
      <c r="J1992" s="1" cm="1">
        <f t="array" ref="J1992">(SUMPRODUCT(("Var_Cap"=[1]OUT_TransportEnergyCons!$B$4:$B$10000)*1,ISNUMBER(SEARCH("T_b_c*ICE*DSL*ext",[1]OUT_TransportEnergyCons!$A$4:$A$10000))*1,[1]OUT_TransportEnergyCons!H$4:H$10000))*1000</f>
        <v>0</v>
      </c>
      <c r="K1992" s="1" cm="1">
        <f t="array" ref="K1992">(SUMPRODUCT(("Var_Cap"=[1]OUT_TransportEnergyCons!$B$4:$B$10000)*1,ISNUMBER(SEARCH("T_b_c*ICE*DSL*ext",[1]OUT_TransportEnergyCons!$A$4:$A$10000))*1,[1]OUT_TransportEnergyCons!I$4:I$10000))*1000</f>
        <v>0</v>
      </c>
      <c r="L1992" s="1" cm="1">
        <f t="array" ref="L1992">(SUMPRODUCT(("Var_Cap"=[1]OUT_TransportEnergyCons!$B$4:$B$10000)*1,ISNUMBER(SEARCH("T_b_c*ICE*DSL*ext",[1]OUT_TransportEnergyCons!$A$4:$A$10000))*1,[1]OUT_TransportEnergyCons!J$4:J$10000))*1000</f>
        <v>0</v>
      </c>
      <c r="M1992" s="1" cm="1">
        <f t="array" ref="M1992">(SUMPRODUCT(("Var_Cap"=[1]OUT_TransportEnergyCons!$B$4:$B$10000)*1,ISNUMBER(SEARCH("T_b_c*ICE*DSL*ext",[1]OUT_TransportEnergyCons!$A$4:$A$10000))*1,[1]OUT_TransportEnergyCons!K$4:K$10000))*1000</f>
        <v>0</v>
      </c>
      <c r="N1992" s="1" cm="1">
        <f t="array" ref="N1992">(SUMPRODUCT(("Var_Cap"=[1]OUT_TransportEnergyCons!$B$4:$B$10000)*1,ISNUMBER(SEARCH("T_b_c*ICE*DSL*ext",[1]OUT_TransportEnergyCons!$A$4:$A$10000))*1,[1]OUT_TransportEnergyCons!L$4:L$10000))*1000</f>
        <v>0</v>
      </c>
      <c r="O1992" s="1" cm="1">
        <f t="array" ref="O1992">(SUMPRODUCT(("Var_Cap"=[1]OUT_TransportEnergyCons!$B$4:$B$10000)*1,ISNUMBER(SEARCH("T_b_c*ICE*DSL*ext",[1]OUT_TransportEnergyCons!$A$4:$A$10000))*1,[1]OUT_TransportEnergyCons!M$4:M$10000))*1000</f>
        <v>0</v>
      </c>
      <c r="P1992" s="1" cm="1">
        <f t="array" ref="P1992">(SUMPRODUCT(("Var_Cap"=[1]OUT_TransportEnergyCons!$B$4:$B$10000)*1,ISNUMBER(SEARCH("T_b_c*ICE*DSL*ext",[1]OUT_TransportEnergyCons!$A$4:$A$10000))*1,[1]OUT_TransportEnergyCons!N$4:N$10000))*1000</f>
        <v>0</v>
      </c>
      <c r="Q1992" s="1" cm="1">
        <f t="array" ref="Q1992">(SUMPRODUCT(("Var_Cap"=[1]OUT_TransportEnergyCons!$B$4:$B$10000)*1,ISNUMBER(SEARCH("T_b_c*ICE*DSL*ext",[1]OUT_TransportEnergyCons!$A$4:$A$10000))*1,[1]OUT_TransportEnergyCons!O$4:O$10000))*1000</f>
        <v>0</v>
      </c>
      <c r="S1992" s="3"/>
    </row>
    <row r="1993" spans="2:19" x14ac:dyDescent="0.5">
      <c r="B1993" s="5" t="str">
        <f t="shared" si="2165"/>
        <v>SPS1</v>
      </c>
      <c r="C1993" s="5" t="str">
        <f t="shared" si="2166"/>
        <v>CH</v>
      </c>
      <c r="D1993" t="s">
        <v>2022</v>
      </c>
      <c r="E1993" t="s">
        <v>1999</v>
      </c>
      <c r="F1993" s="1" cm="1">
        <f t="array" ref="F1993">IF((SUMPRODUCT(("Var_Cap"=[1]OUT_TransportEnergyCons!$B$4:$B$10000)*1,ISNUMBER(SEARCH("T_b_c*ICE*DSL*s1",[1]OUT_TransportEnergyCons!$A$4:$A$10000))*1,[1]OUT_TransportEnergyCons!D$4:D$10000))*1000&lt;0,0,(SUMPRODUCT(("Var_Cap"=[1]OUT_TransportEnergyCons!$B$4:$B$10000)*1,ISNUMBER(SEARCH("T_b_c*ICE*DSL*s1",[1]OUT_TransportEnergyCons!$A$4:$A$10000))*1,[1]OUT_TransportEnergyCons!D$4:D$10000))*1000)</f>
        <v>0.30580528846153798</v>
      </c>
      <c r="G1993" s="1" cm="1">
        <f t="array" ref="G1993">IF((SUMPRODUCT(("Var_Cap"=[1]OUT_TransportEnergyCons!$B$4:$B$10000)*1,ISNUMBER(SEARCH("T_b_c*ICE*DSL*s1",[1]OUT_TransportEnergyCons!$A$4:$A$10000))*1,[1]OUT_TransportEnergyCons!E$4:E$10000))*1000&lt;0,0,(SUMPRODUCT(("Var_Cap"=[1]OUT_TransportEnergyCons!$B$4:$B$10000)*1,ISNUMBER(SEARCH("T_b_c*ICE*DSL*s1",[1]OUT_TransportEnergyCons!$A$4:$A$10000))*1,[1]OUT_TransportEnergyCons!E$4:E$10000))*1000)</f>
        <v>0.37121085026749573</v>
      </c>
      <c r="H1993" s="1" cm="1">
        <f t="array" ref="H1993">IF((SUMPRODUCT(("Var_Cap"=[1]OUT_TransportEnergyCons!$B$4:$B$10000)*1,ISNUMBER(SEARCH("T_b_c*ICE*DSL*s1",[1]OUT_TransportEnergyCons!$A$4:$A$10000))*1,[1]OUT_TransportEnergyCons!F$4:F$10000))*1000&lt;0,0,(SUMPRODUCT(("Var_Cap"=[1]OUT_TransportEnergyCons!$B$4:$B$10000)*1,ISNUMBER(SEARCH("T_b_c*ICE*DSL*s1",[1]OUT_TransportEnergyCons!$A$4:$A$10000))*1,[1]OUT_TransportEnergyCons!F$4:F$10000))*1000)</f>
        <v>3.0322601283123876E-2</v>
      </c>
      <c r="I1993" s="1" cm="1">
        <f t="array" ref="I1993">IF((SUMPRODUCT(("Var_Cap"=[1]OUT_TransportEnergyCons!$B$4:$B$10000)*1,ISNUMBER(SEARCH("T_b_c*ICE*DSL*s1",[1]OUT_TransportEnergyCons!$A$4:$A$10000))*1,[1]OUT_TransportEnergyCons!G$4:G$10000))*1000&lt;0,0,(SUMPRODUCT(("Var_Cap"=[1]OUT_TransportEnergyCons!$B$4:$B$10000)*1,ISNUMBER(SEARCH("T_b_c*ICE*DSL*s1",[1]OUT_TransportEnergyCons!$A$4:$A$10000))*1,[1]OUT_TransportEnergyCons!G$4:G$10000))*1000)</f>
        <v>3.1291740190781086E-4</v>
      </c>
      <c r="J1993" s="1" cm="1">
        <f t="array" ref="J1993">IF((SUMPRODUCT(("Var_Cap"=[1]OUT_TransportEnergyCons!$B$4:$B$10000)*1,ISNUMBER(SEARCH("T_b_c*ICE*DSL*s1",[1]OUT_TransportEnergyCons!$A$4:$A$10000))*1,[1]OUT_TransportEnergyCons!H$4:H$10000))*1000&lt;0,0,(SUMPRODUCT(("Var_Cap"=[1]OUT_TransportEnergyCons!$B$4:$B$10000)*1,ISNUMBER(SEARCH("T_b_c*ICE*DSL*s1",[1]OUT_TransportEnergyCons!$A$4:$A$10000))*1,[1]OUT_TransportEnergyCons!H$4:H$10000))*1000)</f>
        <v>0</v>
      </c>
      <c r="K1993" s="1" cm="1">
        <f t="array" ref="K1993">IF((SUMPRODUCT(("Var_Cap"=[1]OUT_TransportEnergyCons!$B$4:$B$10000)*1,ISNUMBER(SEARCH("T_b_c*ICE*DSL*s1",[1]OUT_TransportEnergyCons!$A$4:$A$10000))*1,[1]OUT_TransportEnergyCons!I$4:I$10000))*1000&lt;0,0,(SUMPRODUCT(("Var_Cap"=[1]OUT_TransportEnergyCons!$B$4:$B$10000)*1,ISNUMBER(SEARCH("T_b_c*ICE*DSL*s1",[1]OUT_TransportEnergyCons!$A$4:$A$10000))*1,[1]OUT_TransportEnergyCons!I$4:I$10000))*1000)</f>
        <v>0</v>
      </c>
      <c r="L1993" s="1" cm="1">
        <f t="array" ref="L1993">IF((SUMPRODUCT(("Var_Cap"=[1]OUT_TransportEnergyCons!$B$4:$B$10000)*1,ISNUMBER(SEARCH("T_b_c*ICE*DSL*s1",[1]OUT_TransportEnergyCons!$A$4:$A$10000))*1,[1]OUT_TransportEnergyCons!J$4:J$10000))*1000&lt;0,0,(SUMPRODUCT(("Var_Cap"=[1]OUT_TransportEnergyCons!$B$4:$B$10000)*1,ISNUMBER(SEARCH("T_b_c*ICE*DSL*s1",[1]OUT_TransportEnergyCons!$A$4:$A$10000))*1,[1]OUT_TransportEnergyCons!J$4:J$10000))*1000)</f>
        <v>0</v>
      </c>
      <c r="M1993" s="1" cm="1">
        <f t="array" ref="M1993">IF((SUMPRODUCT(("Var_Cap"=[1]OUT_TransportEnergyCons!$B$4:$B$10000)*1,ISNUMBER(SEARCH("T_b_c*ICE*DSL*s1",[1]OUT_TransportEnergyCons!$A$4:$A$10000))*1,[1]OUT_TransportEnergyCons!K$4:K$10000))*1000&lt;0,0,(SUMPRODUCT(("Var_Cap"=[1]OUT_TransportEnergyCons!$B$4:$B$10000)*1,ISNUMBER(SEARCH("T_b_c*ICE*DSL*s1",[1]OUT_TransportEnergyCons!$A$4:$A$10000))*1,[1]OUT_TransportEnergyCons!K$4:K$10000))*1000)</f>
        <v>8.0834417585220287E-5</v>
      </c>
      <c r="N1993" s="1" cm="1">
        <f t="array" ref="N1993">IF((SUMPRODUCT(("Var_Cap"=[1]OUT_TransportEnergyCons!$B$4:$B$10000)*1,ISNUMBER(SEARCH("T_b_c*ICE*DSL*s1",[1]OUT_TransportEnergyCons!$A$4:$A$10000))*1,[1]OUT_TransportEnergyCons!L$4:L$10000))*1000&lt;0,0,(SUMPRODUCT(("Var_Cap"=[1]OUT_TransportEnergyCons!$B$4:$B$10000)*1,ISNUMBER(SEARCH("T_b_c*ICE*DSL*s1",[1]OUT_TransportEnergyCons!$A$4:$A$10000))*1,[1]OUT_TransportEnergyCons!L$4:L$10000))*1000)</f>
        <v>0</v>
      </c>
      <c r="O1993" s="1" cm="1">
        <f t="array" ref="O1993">IF((SUMPRODUCT(("Var_Cap"=[1]OUT_TransportEnergyCons!$B$4:$B$10000)*1,ISNUMBER(SEARCH("T_b_c*ICE*DSL*s1",[1]OUT_TransportEnergyCons!$A$4:$A$10000))*1,[1]OUT_TransportEnergyCons!M$4:M$10000))*1000&lt;0,0,(SUMPRODUCT(("Var_Cap"=[1]OUT_TransportEnergyCons!$B$4:$B$10000)*1,ISNUMBER(SEARCH("T_b_c*ICE*DSL*s1",[1]OUT_TransportEnergyCons!$A$4:$A$10000))*1,[1]OUT_TransportEnergyCons!M$4:M$10000))*1000)</f>
        <v>0</v>
      </c>
      <c r="P1993" s="1" cm="1">
        <f t="array" ref="P1993">IF((SUMPRODUCT(("Var_Cap"=[1]OUT_TransportEnergyCons!$B$4:$B$10000)*1,ISNUMBER(SEARCH("T_b_c*ICE*DSL*s1",[1]OUT_TransportEnergyCons!$A$4:$A$10000))*1,[1]OUT_TransportEnergyCons!N$4:N$10000))*1000&lt;0,0,(SUMPRODUCT(("Var_Cap"=[1]OUT_TransportEnergyCons!$B$4:$B$10000)*1,ISNUMBER(SEARCH("T_b_c*ICE*DSL*s1",[1]OUT_TransportEnergyCons!$A$4:$A$10000))*1,[1]OUT_TransportEnergyCons!N$4:N$10000))*1000)</f>
        <v>0</v>
      </c>
      <c r="Q1993" s="1" cm="1">
        <f t="array" ref="Q1993">IF((SUMPRODUCT(("Var_Cap"=[1]OUT_TransportEnergyCons!$B$4:$B$10000)*1,ISNUMBER(SEARCH("T_b_c*ICE*DSL*s1",[1]OUT_TransportEnergyCons!$A$4:$A$10000))*1,[1]OUT_TransportEnergyCons!O$4:O$10000))*1000&lt;0,0,(SUMPRODUCT(("Var_Cap"=[1]OUT_TransportEnergyCons!$B$4:$B$10000)*1,ISNUMBER(SEARCH("T_b_c*ICE*DSL*s1",[1]OUT_TransportEnergyCons!$A$4:$A$10000))*1,[1]OUT_TransportEnergyCons!O$4:O$10000))*1000)</f>
        <v>0</v>
      </c>
      <c r="S1993" s="3"/>
    </row>
    <row r="1994" spans="2:19" x14ac:dyDescent="0.5">
      <c r="B1994" s="5" t="str">
        <f t="shared" si="2165"/>
        <v>SPS1</v>
      </c>
      <c r="C1994" s="5" t="str">
        <f t="shared" si="2166"/>
        <v>CH</v>
      </c>
      <c r="D1994" t="s">
        <v>2023</v>
      </c>
      <c r="E1994" t="s">
        <v>1999</v>
      </c>
      <c r="F1994" s="1" cm="1">
        <f t="array" ref="F1994">IF((SUMPRODUCT(("Var_Cap"=[1]OUT_TransportEnergyCons!$B$4:$B$10000)*1,ISNUMBER(SEARCH("T_b_c*ICE*DSL*s2",[1]OUT_TransportEnergyCons!$A$4:$A$10000))*1,[1]OUT_TransportEnergyCons!D$4:D$10000))*1000&lt;0,0,(SUMPRODUCT(("Var_Cap"=[1]OUT_TransportEnergyCons!$B$4:$B$10000)*1,ISNUMBER(SEARCH("T_b_c*ICE*DSL*s2",[1]OUT_TransportEnergyCons!$A$4:$A$10000))*1,[1]OUT_TransportEnergyCons!D$4:D$10000))*1000)</f>
        <v>0.98779721219676153</v>
      </c>
      <c r="G1994" s="1" cm="1">
        <f t="array" ref="G1994">IF((SUMPRODUCT(("Var_Cap"=[1]OUT_TransportEnergyCons!$B$4:$B$10000)*1,ISNUMBER(SEARCH("T_b_c*ICE*DSL*s2",[1]OUT_TransportEnergyCons!$A$4:$A$10000))*1,[1]OUT_TransportEnergyCons!E$4:E$10000))*1000&lt;0,0,(SUMPRODUCT(("Var_Cap"=[1]OUT_TransportEnergyCons!$B$4:$B$10000)*1,ISNUMBER(SEARCH("T_b_c*ICE*DSL*s2",[1]OUT_TransportEnergyCons!$A$4:$A$10000))*1,[1]OUT_TransportEnergyCons!E$4:E$10000))*1000)</f>
        <v>0.74172197018277719</v>
      </c>
      <c r="H1994" s="1" cm="1">
        <f t="array" ref="H1994">IF((SUMPRODUCT(("Var_Cap"=[1]OUT_TransportEnergyCons!$B$4:$B$10000)*1,ISNUMBER(SEARCH("T_b_c*ICE*DSL*s2",[1]OUT_TransportEnergyCons!$A$4:$A$10000))*1,[1]OUT_TransportEnergyCons!F$4:F$10000))*1000&lt;0,0,(SUMPRODUCT(("Var_Cap"=[1]OUT_TransportEnergyCons!$B$4:$B$10000)*1,ISNUMBER(SEARCH("T_b_c*ICE*DSL*s2",[1]OUT_TransportEnergyCons!$A$4:$A$10000))*1,[1]OUT_TransportEnergyCons!F$4:F$10000))*1000)</f>
        <v>9.1336212839306097E-2</v>
      </c>
      <c r="I1994" s="1" cm="1">
        <f t="array" ref="I1994">IF((SUMPRODUCT(("Var_Cap"=[1]OUT_TransportEnergyCons!$B$4:$B$10000)*1,ISNUMBER(SEARCH("T_b_c*ICE*DSL*s2",[1]OUT_TransportEnergyCons!$A$4:$A$10000))*1,[1]OUT_TransportEnergyCons!G$4:G$10000))*1000&lt;0,0,(SUMPRODUCT(("Var_Cap"=[1]OUT_TransportEnergyCons!$B$4:$B$10000)*1,ISNUMBER(SEARCH("T_b_c*ICE*DSL*s2",[1]OUT_TransportEnergyCons!$A$4:$A$10000))*1,[1]OUT_TransportEnergyCons!G$4:G$10000))*1000)</f>
        <v>2.083598665917339E-2</v>
      </c>
      <c r="J1994" s="1" cm="1">
        <f t="array" ref="J1994">IF((SUMPRODUCT(("Var_Cap"=[1]OUT_TransportEnergyCons!$B$4:$B$10000)*1,ISNUMBER(SEARCH("T_b_c*ICE*DSL*s2",[1]OUT_TransportEnergyCons!$A$4:$A$10000))*1,[1]OUT_TransportEnergyCons!H$4:H$10000))*1000&lt;0,0,(SUMPRODUCT(("Var_Cap"=[1]OUT_TransportEnergyCons!$B$4:$B$10000)*1,ISNUMBER(SEARCH("T_b_c*ICE*DSL*s2",[1]OUT_TransportEnergyCons!$A$4:$A$10000))*1,[1]OUT_TransportEnergyCons!H$4:H$10000))*1000)</f>
        <v>0</v>
      </c>
      <c r="K1994" s="1" cm="1">
        <f t="array" ref="K1994">IF((SUMPRODUCT(("Var_Cap"=[1]OUT_TransportEnergyCons!$B$4:$B$10000)*1,ISNUMBER(SEARCH("T_b_c*ICE*DSL*s2",[1]OUT_TransportEnergyCons!$A$4:$A$10000))*1,[1]OUT_TransportEnergyCons!I$4:I$10000))*1000&lt;0,0,(SUMPRODUCT(("Var_Cap"=[1]OUT_TransportEnergyCons!$B$4:$B$10000)*1,ISNUMBER(SEARCH("T_b_c*ICE*DSL*s2",[1]OUT_TransportEnergyCons!$A$4:$A$10000))*1,[1]OUT_TransportEnergyCons!I$4:I$10000))*1000)</f>
        <v>0</v>
      </c>
      <c r="L1994" s="1" cm="1">
        <f t="array" ref="L1994">IF((SUMPRODUCT(("Var_Cap"=[1]OUT_TransportEnergyCons!$B$4:$B$10000)*1,ISNUMBER(SEARCH("T_b_c*ICE*DSL*s2",[1]OUT_TransportEnergyCons!$A$4:$A$10000))*1,[1]OUT_TransportEnergyCons!J$4:J$10000))*1000&lt;0,0,(SUMPRODUCT(("Var_Cap"=[1]OUT_TransportEnergyCons!$B$4:$B$10000)*1,ISNUMBER(SEARCH("T_b_c*ICE*DSL*s2",[1]OUT_TransportEnergyCons!$A$4:$A$10000))*1,[1]OUT_TransportEnergyCons!J$4:J$10000))*1000)</f>
        <v>6.4471038214593973E-4</v>
      </c>
      <c r="M1994" s="1" cm="1">
        <f t="array" ref="M1994">IF((SUMPRODUCT(("Var_Cap"=[1]OUT_TransportEnergyCons!$B$4:$B$10000)*1,ISNUMBER(SEARCH("T_b_c*ICE*DSL*s2",[1]OUT_TransportEnergyCons!$A$4:$A$10000))*1,[1]OUT_TransportEnergyCons!K$4:K$10000))*1000&lt;0,0,(SUMPRODUCT(("Var_Cap"=[1]OUT_TransportEnergyCons!$B$4:$B$10000)*1,ISNUMBER(SEARCH("T_b_c*ICE*DSL*s2",[1]OUT_TransportEnergyCons!$A$4:$A$10000))*1,[1]OUT_TransportEnergyCons!K$4:K$10000))*1000)</f>
        <v>6.7127625155066848E-4</v>
      </c>
      <c r="N1994" s="1" cm="1">
        <f t="array" ref="N1994">IF((SUMPRODUCT(("Var_Cap"=[1]OUT_TransportEnergyCons!$B$4:$B$10000)*1,ISNUMBER(SEARCH("T_b_c*ICE*DSL*s2",[1]OUT_TransportEnergyCons!$A$4:$A$10000))*1,[1]OUT_TransportEnergyCons!L$4:L$10000))*1000&lt;0,0,(SUMPRODUCT(("Var_Cap"=[1]OUT_TransportEnergyCons!$B$4:$B$10000)*1,ISNUMBER(SEARCH("T_b_c*ICE*DSL*s2",[1]OUT_TransportEnergyCons!$A$4:$A$10000))*1,[1]OUT_TransportEnergyCons!L$4:L$10000))*1000)</f>
        <v>0</v>
      </c>
      <c r="O1994" s="1" cm="1">
        <f t="array" ref="O1994">IF((SUMPRODUCT(("Var_Cap"=[1]OUT_TransportEnergyCons!$B$4:$B$10000)*1,ISNUMBER(SEARCH("T_b_c*ICE*DSL*s2",[1]OUT_TransportEnergyCons!$A$4:$A$10000))*1,[1]OUT_TransportEnergyCons!M$4:M$10000))*1000&lt;0,0,(SUMPRODUCT(("Var_Cap"=[1]OUT_TransportEnergyCons!$B$4:$B$10000)*1,ISNUMBER(SEARCH("T_b_c*ICE*DSL*s2",[1]OUT_TransportEnergyCons!$A$4:$A$10000))*1,[1]OUT_TransportEnergyCons!M$4:M$10000))*1000)</f>
        <v>0</v>
      </c>
      <c r="P1994" s="1" cm="1">
        <f t="array" ref="P1994">IF((SUMPRODUCT(("Var_Cap"=[1]OUT_TransportEnergyCons!$B$4:$B$10000)*1,ISNUMBER(SEARCH("T_b_c*ICE*DSL*s2",[1]OUT_TransportEnergyCons!$A$4:$A$10000))*1,[1]OUT_TransportEnergyCons!N$4:N$10000))*1000&lt;0,0,(SUMPRODUCT(("Var_Cap"=[1]OUT_TransportEnergyCons!$B$4:$B$10000)*1,ISNUMBER(SEARCH("T_b_c*ICE*DSL*s2",[1]OUT_TransportEnergyCons!$A$4:$A$10000))*1,[1]OUT_TransportEnergyCons!N$4:N$10000))*1000)</f>
        <v>0</v>
      </c>
      <c r="Q1994" s="1" cm="1">
        <f t="array" ref="Q1994">IF((SUMPRODUCT(("Var_Cap"=[1]OUT_TransportEnergyCons!$B$4:$B$10000)*1,ISNUMBER(SEARCH("T_b_c*ICE*DSL*s2",[1]OUT_TransportEnergyCons!$A$4:$A$10000))*1,[1]OUT_TransportEnergyCons!O$4:O$10000))*1000&lt;0,0,(SUMPRODUCT(("Var_Cap"=[1]OUT_TransportEnergyCons!$B$4:$B$10000)*1,ISNUMBER(SEARCH("T_b_c*ICE*DSL*s2",[1]OUT_TransportEnergyCons!$A$4:$A$10000))*1,[1]OUT_TransportEnergyCons!O$4:O$10000))*1000)</f>
        <v>0</v>
      </c>
      <c r="S1994" s="3"/>
    </row>
    <row r="1995" spans="2:19" x14ac:dyDescent="0.5">
      <c r="B1995" s="5" t="str">
        <f t="shared" si="2165"/>
        <v>SPS1</v>
      </c>
      <c r="C1995" s="5" t="str">
        <f t="shared" si="2166"/>
        <v>CH</v>
      </c>
      <c r="D1995" t="s">
        <v>2024</v>
      </c>
      <c r="E1995" t="s">
        <v>1999</v>
      </c>
      <c r="F1995" s="1" cm="1">
        <f t="array" ref="F1995">IF((SUMPRODUCT(("Var_Cap"=[1]OUT_TransportEnergyCons!$B$4:$B$10000)*1,ISNUMBER(SEARCH("T_b_c*ICE*DSL*s3",[1]OUT_TransportEnergyCons!$A$4:$A$10000))*1,[1]OUT_TransportEnergyCons!D$4:D$10000))*1000&lt;0,0,(SUMPRODUCT(("Var_Cap"=[1]OUT_TransportEnergyCons!$B$4:$B$10000)*1,ISNUMBER(SEARCH("T_b_c*ICE*DSL*s3",[1]OUT_TransportEnergyCons!$A$4:$A$10000))*1,[1]OUT_TransportEnergyCons!D$4:D$10000))*1000)</f>
        <v>0.1936220630964583</v>
      </c>
      <c r="G1995" s="1" cm="1">
        <f t="array" ref="G1995">IF((SUMPRODUCT(("Var_Cap"=[1]OUT_TransportEnergyCons!$B$4:$B$10000)*1,ISNUMBER(SEARCH("T_b_c*ICE*DSL*s3",[1]OUT_TransportEnergyCons!$A$4:$A$10000))*1,[1]OUT_TransportEnergyCons!E$4:E$10000))*1000&lt;0,0,(SUMPRODUCT(("Var_Cap"=[1]OUT_TransportEnergyCons!$B$4:$B$10000)*1,ISNUMBER(SEARCH("T_b_c*ICE*DSL*s3",[1]OUT_TransportEnergyCons!$A$4:$A$10000))*1,[1]OUT_TransportEnergyCons!E$4:E$10000))*1000)</f>
        <v>0.15655629484027431</v>
      </c>
      <c r="H1995" s="1" cm="1">
        <f t="array" ref="H1995">IF((SUMPRODUCT(("Var_Cap"=[1]OUT_TransportEnergyCons!$B$4:$B$10000)*1,ISNUMBER(SEARCH("T_b_c*ICE*DSL*s3",[1]OUT_TransportEnergyCons!$A$4:$A$10000))*1,[1]OUT_TransportEnergyCons!F$4:F$10000))*1000&lt;0,0,(SUMPRODUCT(("Var_Cap"=[1]OUT_TransportEnergyCons!$B$4:$B$10000)*1,ISNUMBER(SEARCH("T_b_c*ICE*DSL*s3",[1]OUT_TransportEnergyCons!$A$4:$A$10000))*1,[1]OUT_TransportEnergyCons!F$4:F$10000))*1000)</f>
        <v>7.9198131595398638E-2</v>
      </c>
      <c r="I1995" s="1" cm="1">
        <f t="array" ref="I1995">IF((SUMPRODUCT(("Var_Cap"=[1]OUT_TransportEnergyCons!$B$4:$B$10000)*1,ISNUMBER(SEARCH("T_b_c*ICE*DSL*s3",[1]OUT_TransportEnergyCons!$A$4:$A$10000))*1,[1]OUT_TransportEnergyCons!G$4:G$10000))*1000&lt;0,0,(SUMPRODUCT(("Var_Cap"=[1]OUT_TransportEnergyCons!$B$4:$B$10000)*1,ISNUMBER(SEARCH("T_b_c*ICE*DSL*s3",[1]OUT_TransportEnergyCons!$A$4:$A$10000))*1,[1]OUT_TransportEnergyCons!G$4:G$10000))*1000)</f>
        <v>0.10811026235996882</v>
      </c>
      <c r="J1995" s="1" cm="1">
        <f t="array" ref="J1995">IF((SUMPRODUCT(("Var_Cap"=[1]OUT_TransportEnergyCons!$B$4:$B$10000)*1,ISNUMBER(SEARCH("T_b_c*ICE*DSL*s3",[1]OUT_TransportEnergyCons!$A$4:$A$10000))*1,[1]OUT_TransportEnergyCons!H$4:H$10000))*1000&lt;0,0,(SUMPRODUCT(("Var_Cap"=[1]OUT_TransportEnergyCons!$B$4:$B$10000)*1,ISNUMBER(SEARCH("T_b_c*ICE*DSL*s3",[1]OUT_TransportEnergyCons!$A$4:$A$10000))*1,[1]OUT_TransportEnergyCons!H$4:H$10000))*1000)</f>
        <v>5.1857350226022045E-2</v>
      </c>
      <c r="K1995" s="1" cm="1">
        <f t="array" ref="K1995">IF((SUMPRODUCT(("Var_Cap"=[1]OUT_TransportEnergyCons!$B$4:$B$10000)*1,ISNUMBER(SEARCH("T_b_c*ICE*DSL*s3",[1]OUT_TransportEnergyCons!$A$4:$A$10000))*1,[1]OUT_TransportEnergyCons!I$4:I$10000))*1000&lt;0,0,(SUMPRODUCT(("Var_Cap"=[1]OUT_TransportEnergyCons!$B$4:$B$10000)*1,ISNUMBER(SEARCH("T_b_c*ICE*DSL*s3",[1]OUT_TransportEnergyCons!$A$4:$A$10000))*1,[1]OUT_TransportEnergyCons!I$4:I$10000))*1000)</f>
        <v>1.2161242642670786E-3</v>
      </c>
      <c r="L1995" s="1" cm="1">
        <f t="array" ref="L1995">IF((SUMPRODUCT(("Var_Cap"=[1]OUT_TransportEnergyCons!$B$4:$B$10000)*1,ISNUMBER(SEARCH("T_b_c*ICE*DSL*s3",[1]OUT_TransportEnergyCons!$A$4:$A$10000))*1,[1]OUT_TransportEnergyCons!J$4:J$10000))*1000&lt;0,0,(SUMPRODUCT(("Var_Cap"=[1]OUT_TransportEnergyCons!$B$4:$B$10000)*1,ISNUMBER(SEARCH("T_b_c*ICE*DSL*s3",[1]OUT_TransportEnergyCons!$A$4:$A$10000))*1,[1]OUT_TransportEnergyCons!J$4:J$10000))*1000)</f>
        <v>6.8230672129870266E-4</v>
      </c>
      <c r="M1995" s="1" cm="1">
        <f t="array" ref="M1995">IF((SUMPRODUCT(("Var_Cap"=[1]OUT_TransportEnergyCons!$B$4:$B$10000)*1,ISNUMBER(SEARCH("T_b_c*ICE*DSL*s3",[1]OUT_TransportEnergyCons!$A$4:$A$10000))*1,[1]OUT_TransportEnergyCons!K$4:K$10000))*1000&lt;0,0,(SUMPRODUCT(("Var_Cap"=[1]OUT_TransportEnergyCons!$B$4:$B$10000)*1,ISNUMBER(SEARCH("T_b_c*ICE*DSL*s3",[1]OUT_TransportEnergyCons!$A$4:$A$10000))*1,[1]OUT_TransportEnergyCons!K$4:K$10000))*1000)</f>
        <v>0</v>
      </c>
      <c r="N1995" s="1" cm="1">
        <f t="array" ref="N1995">IF((SUMPRODUCT(("Var_Cap"=[1]OUT_TransportEnergyCons!$B$4:$B$10000)*1,ISNUMBER(SEARCH("T_b_c*ICE*DSL*s3",[1]OUT_TransportEnergyCons!$A$4:$A$10000))*1,[1]OUT_TransportEnergyCons!L$4:L$10000))*1000&lt;0,0,(SUMPRODUCT(("Var_Cap"=[1]OUT_TransportEnergyCons!$B$4:$B$10000)*1,ISNUMBER(SEARCH("T_b_c*ICE*DSL*s3",[1]OUT_TransportEnergyCons!$A$4:$A$10000))*1,[1]OUT_TransportEnergyCons!L$4:L$10000))*1000)</f>
        <v>0</v>
      </c>
      <c r="O1995" s="1" cm="1">
        <f t="array" ref="O1995">IF((SUMPRODUCT(("Var_Cap"=[1]OUT_TransportEnergyCons!$B$4:$B$10000)*1,ISNUMBER(SEARCH("T_b_c*ICE*DSL*s3",[1]OUT_TransportEnergyCons!$A$4:$A$10000))*1,[1]OUT_TransportEnergyCons!M$4:M$10000))*1000&lt;0,0,(SUMPRODUCT(("Var_Cap"=[1]OUT_TransportEnergyCons!$B$4:$B$10000)*1,ISNUMBER(SEARCH("T_b_c*ICE*DSL*s3",[1]OUT_TransportEnergyCons!$A$4:$A$10000))*1,[1]OUT_TransportEnergyCons!M$4:M$10000))*1000)</f>
        <v>0</v>
      </c>
      <c r="P1995" s="1" cm="1">
        <f t="array" ref="P1995">IF((SUMPRODUCT(("Var_Cap"=[1]OUT_TransportEnergyCons!$B$4:$B$10000)*1,ISNUMBER(SEARCH("T_b_c*ICE*DSL*s3",[1]OUT_TransportEnergyCons!$A$4:$A$10000))*1,[1]OUT_TransportEnergyCons!N$4:N$10000))*1000&lt;0,0,(SUMPRODUCT(("Var_Cap"=[1]OUT_TransportEnergyCons!$B$4:$B$10000)*1,ISNUMBER(SEARCH("T_b_c*ICE*DSL*s3",[1]OUT_TransportEnergyCons!$A$4:$A$10000))*1,[1]OUT_TransportEnergyCons!N$4:N$10000))*1000)</f>
        <v>0</v>
      </c>
      <c r="Q1995" s="1" cm="1">
        <f t="array" ref="Q1995">IF((SUMPRODUCT(("Var_Cap"=[1]OUT_TransportEnergyCons!$B$4:$B$10000)*1,ISNUMBER(SEARCH("T_b_c*ICE*DSL*s3",[1]OUT_TransportEnergyCons!$A$4:$A$10000))*1,[1]OUT_TransportEnergyCons!O$4:O$10000))*1000&lt;0,0,(SUMPRODUCT(("Var_Cap"=[1]OUT_TransportEnergyCons!$B$4:$B$10000)*1,ISNUMBER(SEARCH("T_b_c*ICE*DSL*s3",[1]OUT_TransportEnergyCons!$A$4:$A$10000))*1,[1]OUT_TransportEnergyCons!O$4:O$10000))*1000)</f>
        <v>0</v>
      </c>
      <c r="S1995" s="3"/>
    </row>
    <row r="1996" spans="2:19" x14ac:dyDescent="0.5">
      <c r="B1996" s="5" t="str">
        <f t="shared" si="2165"/>
        <v>SPS1</v>
      </c>
      <c r="C1996" s="5" t="str">
        <f t="shared" si="2166"/>
        <v>CH</v>
      </c>
      <c r="D1996" t="s">
        <v>2025</v>
      </c>
      <c r="E1996" t="s">
        <v>1999</v>
      </c>
      <c r="F1996" s="1" cm="1">
        <f t="array" ref="F1996">IF((SUMPRODUCT(("Var_Cap"=[1]OUT_TransportEnergyCons!$B$4:$B$10000)*1,ISNUMBER(SEARCH("T_b_c*ICE*DSL*s4",[1]OUT_TransportEnergyCons!$A$4:$A$10000))*1,[1]OUT_TransportEnergyCons!D$4:D$10000))*1000&lt;0,0,(SUMPRODUCT(("Var_Cap"=[1]OUT_TransportEnergyCons!$B$4:$B$10000)*1,ISNUMBER(SEARCH("T_b_c*ICE*DSL*s4",[1]OUT_TransportEnergyCons!$A$4:$A$10000))*1,[1]OUT_TransportEnergyCons!D$4:D$10000))*1000)</f>
        <v>1.2706792543446904E-2</v>
      </c>
      <c r="G1996" s="1" cm="1">
        <f t="array" ref="G1996">IF((SUMPRODUCT(("Var_Cap"=[1]OUT_TransportEnergyCons!$B$4:$B$10000)*1,ISNUMBER(SEARCH("T_b_c*ICE*DSL*s4",[1]OUT_TransportEnergyCons!$A$4:$A$10000))*1,[1]OUT_TransportEnergyCons!E$4:E$10000))*1000&lt;0,0,(SUMPRODUCT(("Var_Cap"=[1]OUT_TransportEnergyCons!$B$4:$B$10000)*1,ISNUMBER(SEARCH("T_b_c*ICE*DSL*s4",[1]OUT_TransportEnergyCons!$A$4:$A$10000))*1,[1]OUT_TransportEnergyCons!E$4:E$10000))*1000)</f>
        <v>0</v>
      </c>
      <c r="H1996" s="1" cm="1">
        <f t="array" ref="H1996">IF((SUMPRODUCT(("Var_Cap"=[1]OUT_TransportEnergyCons!$B$4:$B$10000)*1,ISNUMBER(SEARCH("T_b_c*ICE*DSL*s4",[1]OUT_TransportEnergyCons!$A$4:$A$10000))*1,[1]OUT_TransportEnergyCons!F$4:F$10000))*1000&lt;0,0,(SUMPRODUCT(("Var_Cap"=[1]OUT_TransportEnergyCons!$B$4:$B$10000)*1,ISNUMBER(SEARCH("T_b_c*ICE*DSL*s4",[1]OUT_TransportEnergyCons!$A$4:$A$10000))*1,[1]OUT_TransportEnergyCons!F$4:F$10000))*1000)</f>
        <v>0</v>
      </c>
      <c r="I1996" s="1" cm="1">
        <f t="array" ref="I1996">IF((SUMPRODUCT(("Var_Cap"=[1]OUT_TransportEnergyCons!$B$4:$B$10000)*1,ISNUMBER(SEARCH("T_b_c*ICE*DSL*s4",[1]OUT_TransportEnergyCons!$A$4:$A$10000))*1,[1]OUT_TransportEnergyCons!G$4:G$10000))*1000&lt;0,0,(SUMPRODUCT(("Var_Cap"=[1]OUT_TransportEnergyCons!$B$4:$B$10000)*1,ISNUMBER(SEARCH("T_b_c*ICE*DSL*s4",[1]OUT_TransportEnergyCons!$A$4:$A$10000))*1,[1]OUT_TransportEnergyCons!G$4:G$10000))*1000)</f>
        <v>0</v>
      </c>
      <c r="J1996" s="1" cm="1">
        <f t="array" ref="J1996">IF((SUMPRODUCT(("Var_Cap"=[1]OUT_TransportEnergyCons!$B$4:$B$10000)*1,ISNUMBER(SEARCH("T_b_c*ICE*DSL*s4",[1]OUT_TransportEnergyCons!$A$4:$A$10000))*1,[1]OUT_TransportEnergyCons!H$4:H$10000))*1000&lt;0,0,(SUMPRODUCT(("Var_Cap"=[1]OUT_TransportEnergyCons!$B$4:$B$10000)*1,ISNUMBER(SEARCH("T_b_c*ICE*DSL*s4",[1]OUT_TransportEnergyCons!$A$4:$A$10000))*1,[1]OUT_TransportEnergyCons!H$4:H$10000))*1000)</f>
        <v>1.7513991885902941E-5</v>
      </c>
      <c r="K1996" s="1" cm="1">
        <f t="array" ref="K1996">IF((SUMPRODUCT(("Var_Cap"=[1]OUT_TransportEnergyCons!$B$4:$B$10000)*1,ISNUMBER(SEARCH("T_b_c*ICE*DSL*s4",[1]OUT_TransportEnergyCons!$A$4:$A$10000))*1,[1]OUT_TransportEnergyCons!I$4:I$10000))*1000&lt;0,0,(SUMPRODUCT(("Var_Cap"=[1]OUT_TransportEnergyCons!$B$4:$B$10000)*1,ISNUMBER(SEARCH("T_b_c*ICE*DSL*s4",[1]OUT_TransportEnergyCons!$A$4:$A$10000))*1,[1]OUT_TransportEnergyCons!I$4:I$10000))*1000)</f>
        <v>6.045910352394101E-6</v>
      </c>
      <c r="L1996" s="1" cm="1">
        <f t="array" ref="L1996">IF((SUMPRODUCT(("Var_Cap"=[1]OUT_TransportEnergyCons!$B$4:$B$10000)*1,ISNUMBER(SEARCH("T_b_c*ICE*DSL*s4",[1]OUT_TransportEnergyCons!$A$4:$A$10000))*1,[1]OUT_TransportEnergyCons!J$4:J$10000))*1000&lt;0,0,(SUMPRODUCT(("Var_Cap"=[1]OUT_TransportEnergyCons!$B$4:$B$10000)*1,ISNUMBER(SEARCH("T_b_c*ICE*DSL*s4",[1]OUT_TransportEnergyCons!$A$4:$A$10000))*1,[1]OUT_TransportEnergyCons!J$4:J$10000))*1000)</f>
        <v>0</v>
      </c>
      <c r="M1996" s="1" cm="1">
        <f t="array" ref="M1996">IF((SUMPRODUCT(("Var_Cap"=[1]OUT_TransportEnergyCons!$B$4:$B$10000)*1,ISNUMBER(SEARCH("T_b_c*ICE*DSL*s4",[1]OUT_TransportEnergyCons!$A$4:$A$10000))*1,[1]OUT_TransportEnergyCons!K$4:K$10000))*1000&lt;0,0,(SUMPRODUCT(("Var_Cap"=[1]OUT_TransportEnergyCons!$B$4:$B$10000)*1,ISNUMBER(SEARCH("T_b_c*ICE*DSL*s4",[1]OUT_TransportEnergyCons!$A$4:$A$10000))*1,[1]OUT_TransportEnergyCons!K$4:K$10000))*1000)</f>
        <v>0</v>
      </c>
      <c r="N1996" s="1" cm="1">
        <f t="array" ref="N1996">IF((SUMPRODUCT(("Var_Cap"=[1]OUT_TransportEnergyCons!$B$4:$B$10000)*1,ISNUMBER(SEARCH("T_b_c*ICE*DSL*s4",[1]OUT_TransportEnergyCons!$A$4:$A$10000))*1,[1]OUT_TransportEnergyCons!L$4:L$10000))*1000&lt;0,0,(SUMPRODUCT(("Var_Cap"=[1]OUT_TransportEnergyCons!$B$4:$B$10000)*1,ISNUMBER(SEARCH("T_b_c*ICE*DSL*s4",[1]OUT_TransportEnergyCons!$A$4:$A$10000))*1,[1]OUT_TransportEnergyCons!L$4:L$10000))*1000)</f>
        <v>0</v>
      </c>
      <c r="O1996" s="1" cm="1">
        <f t="array" ref="O1996">IF((SUMPRODUCT(("Var_Cap"=[1]OUT_TransportEnergyCons!$B$4:$B$10000)*1,ISNUMBER(SEARCH("T_b_c*ICE*DSL*s4",[1]OUT_TransportEnergyCons!$A$4:$A$10000))*1,[1]OUT_TransportEnergyCons!M$4:M$10000))*1000&lt;0,0,(SUMPRODUCT(("Var_Cap"=[1]OUT_TransportEnergyCons!$B$4:$B$10000)*1,ISNUMBER(SEARCH("T_b_c*ICE*DSL*s4",[1]OUT_TransportEnergyCons!$A$4:$A$10000))*1,[1]OUT_TransportEnergyCons!M$4:M$10000))*1000)</f>
        <v>0</v>
      </c>
      <c r="P1996" s="1" cm="1">
        <f t="array" ref="P1996">IF((SUMPRODUCT(("Var_Cap"=[1]OUT_TransportEnergyCons!$B$4:$B$10000)*1,ISNUMBER(SEARCH("T_b_c*ICE*DSL*s4",[1]OUT_TransportEnergyCons!$A$4:$A$10000))*1,[1]OUT_TransportEnergyCons!N$4:N$10000))*1000&lt;0,0,(SUMPRODUCT(("Var_Cap"=[1]OUT_TransportEnergyCons!$B$4:$B$10000)*1,ISNUMBER(SEARCH("T_b_c*ICE*DSL*s4",[1]OUT_TransportEnergyCons!$A$4:$A$10000))*1,[1]OUT_TransportEnergyCons!N$4:N$10000))*1000)</f>
        <v>0</v>
      </c>
      <c r="Q1996" s="1" cm="1">
        <f t="array" ref="Q1996">IF((SUMPRODUCT(("Var_Cap"=[1]OUT_TransportEnergyCons!$B$4:$B$10000)*1,ISNUMBER(SEARCH("T_b_c*ICE*DSL*s4",[1]OUT_TransportEnergyCons!$A$4:$A$10000))*1,[1]OUT_TransportEnergyCons!O$4:O$10000))*1000&lt;0,0,(SUMPRODUCT(("Var_Cap"=[1]OUT_TransportEnergyCons!$B$4:$B$10000)*1,ISNUMBER(SEARCH("T_b_c*ICE*DSL*s4",[1]OUT_TransportEnergyCons!$A$4:$A$10000))*1,[1]OUT_TransportEnergyCons!O$4:O$10000))*1000)</f>
        <v>0</v>
      </c>
      <c r="S1996" s="3"/>
    </row>
    <row r="1997" spans="2:19" x14ac:dyDescent="0.5">
      <c r="B1997" s="5" t="str">
        <f t="shared" si="2165"/>
        <v>SPS1</v>
      </c>
      <c r="C1997" s="5" t="str">
        <f t="shared" si="2166"/>
        <v>CH</v>
      </c>
      <c r="D1997" t="s">
        <v>2026</v>
      </c>
      <c r="E1997" t="s">
        <v>1999</v>
      </c>
      <c r="F1997" s="1" cm="1">
        <f t="array" ref="F1997">(SUMPRODUCT(("Var_Cap"=[1]OUT_TransportEnergyCons!$B$4:$B$10000)*1,ISNUMBER(SEARCH("T_b_c*ICE*nga*ext",[1]OUT_TransportEnergyCons!$A$4:$A$10000))*1,[1]OUT_TransportEnergyCons!D$4:D$10000))*1000</f>
        <v>2.9720899513422952E-2</v>
      </c>
      <c r="G1997" s="1" cm="1">
        <f t="array" ref="G1997">(SUMPRODUCT(("Var_Cap"=[1]OUT_TransportEnergyCons!$B$4:$B$10000)*1,ISNUMBER(SEARCH("T_b_c*ICE*nga*ext",[1]OUT_TransportEnergyCons!$A$4:$A$10000))*1,[1]OUT_TransportEnergyCons!E$4:E$10000))*1000</f>
        <v>2.37782340862423E-2</v>
      </c>
      <c r="H1997" s="1" cm="1">
        <f t="array" ref="H1997">(SUMPRODUCT(("Var_Cap"=[1]OUT_TransportEnergyCons!$B$4:$B$10000)*1,ISNUMBER(SEARCH("T_b_c*ICE*nga*ext",[1]OUT_TransportEnergyCons!$A$4:$A$10000))*1,[1]OUT_TransportEnergyCons!F$4:F$10000))*1000</f>
        <v>1.011726623046369E-2</v>
      </c>
      <c r="I1997" s="1" cm="1">
        <f t="array" ref="I1997">(SUMPRODUCT(("Var_Cap"=[1]OUT_TransportEnergyCons!$B$4:$B$10000)*1,ISNUMBER(SEARCH("T_b_c*ICE*nga*ext",[1]OUT_TransportEnergyCons!$A$4:$A$10000))*1,[1]OUT_TransportEnergyCons!G$4:G$10000))*1000</f>
        <v>0</v>
      </c>
      <c r="J1997" s="1" cm="1">
        <f t="array" ref="J1997">(SUMPRODUCT(("Var_Cap"=[1]OUT_TransportEnergyCons!$B$4:$B$10000)*1,ISNUMBER(SEARCH("T_b_c*ICE*nga*ext",[1]OUT_TransportEnergyCons!$A$4:$A$10000))*1,[1]OUT_TransportEnergyCons!H$4:H$10000))*1000</f>
        <v>0</v>
      </c>
      <c r="K1997" s="1" cm="1">
        <f t="array" ref="K1997">(SUMPRODUCT(("Var_Cap"=[1]OUT_TransportEnergyCons!$B$4:$B$10000)*1,ISNUMBER(SEARCH("T_b_c*ICE*nga*ext",[1]OUT_TransportEnergyCons!$A$4:$A$10000))*1,[1]OUT_TransportEnergyCons!I$4:I$10000))*1000</f>
        <v>0</v>
      </c>
      <c r="L1997" s="1" cm="1">
        <f t="array" ref="L1997">(SUMPRODUCT(("Var_Cap"=[1]OUT_TransportEnergyCons!$B$4:$B$10000)*1,ISNUMBER(SEARCH("T_b_c*ICE*nga*ext",[1]OUT_TransportEnergyCons!$A$4:$A$10000))*1,[1]OUT_TransportEnergyCons!J$4:J$10000))*1000</f>
        <v>0</v>
      </c>
      <c r="M1997" s="1" cm="1">
        <f t="array" ref="M1997">(SUMPRODUCT(("Var_Cap"=[1]OUT_TransportEnergyCons!$B$4:$B$10000)*1,ISNUMBER(SEARCH("T_b_c*ICE*nga*ext",[1]OUT_TransportEnergyCons!$A$4:$A$10000))*1,[1]OUT_TransportEnergyCons!K$4:K$10000))*1000</f>
        <v>0</v>
      </c>
      <c r="N1997" s="1" cm="1">
        <f t="array" ref="N1997">(SUMPRODUCT(("Var_Cap"=[1]OUT_TransportEnergyCons!$B$4:$B$10000)*1,ISNUMBER(SEARCH("T_b_c*ICE*nga*ext",[1]OUT_TransportEnergyCons!$A$4:$A$10000))*1,[1]OUT_TransportEnergyCons!L$4:L$10000))*1000</f>
        <v>0</v>
      </c>
      <c r="O1997" s="1" cm="1">
        <f t="array" ref="O1997">(SUMPRODUCT(("Var_Cap"=[1]OUT_TransportEnergyCons!$B$4:$B$10000)*1,ISNUMBER(SEARCH("T_b_c*ICE*nga*ext",[1]OUT_TransportEnergyCons!$A$4:$A$10000))*1,[1]OUT_TransportEnergyCons!M$4:M$10000))*1000</f>
        <v>0</v>
      </c>
      <c r="P1997" s="1" cm="1">
        <f t="array" ref="P1997">(SUMPRODUCT(("Var_Cap"=[1]OUT_TransportEnergyCons!$B$4:$B$10000)*1,ISNUMBER(SEARCH("T_b_c*ICE*nga*ext",[1]OUT_TransportEnergyCons!$A$4:$A$10000))*1,[1]OUT_TransportEnergyCons!N$4:N$10000))*1000</f>
        <v>0</v>
      </c>
      <c r="Q1997" s="1" cm="1">
        <f t="array" ref="Q1997">(SUMPRODUCT(("Var_Cap"=[1]OUT_TransportEnergyCons!$B$4:$B$10000)*1,ISNUMBER(SEARCH("T_b_c*ICE*nga*ext",[1]OUT_TransportEnergyCons!$A$4:$A$10000))*1,[1]OUT_TransportEnergyCons!O$4:O$10000))*1000</f>
        <v>0</v>
      </c>
      <c r="S1997" s="3"/>
    </row>
    <row r="1998" spans="2:19" x14ac:dyDescent="0.5">
      <c r="B1998" s="5" t="str">
        <f t="shared" si="2165"/>
        <v>SPS1</v>
      </c>
      <c r="C1998" s="5" t="str">
        <f t="shared" si="2166"/>
        <v>CH</v>
      </c>
      <c r="D1998" t="s">
        <v>2027</v>
      </c>
      <c r="E1998" t="s">
        <v>1999</v>
      </c>
      <c r="F1998" s="1" cm="1">
        <f t="array" ref="F1998">(SUMPRODUCT(("Var_Cap"=[1]OUT_TransportEnergyCons!$B$4:$B$10000)*1,ISNUMBER(SEARCH("T_b_c*ICE*nga*s1",[1]OUT_TransportEnergyCons!$A$4:$A$10000))*1,[1]OUT_TransportEnergyCons!D$4:D$10000))*1000</f>
        <v>0</v>
      </c>
      <c r="G1998" s="1" cm="1">
        <f t="array" ref="G1998">(SUMPRODUCT(("Var_Cap"=[1]OUT_TransportEnergyCons!$B$4:$B$10000)*1,ISNUMBER(SEARCH("T_b_c*ICE*nga*s1",[1]OUT_TransportEnergyCons!$A$4:$A$10000))*1,[1]OUT_TransportEnergyCons!E$4:E$10000))*1000</f>
        <v>7.6690919208252306E-3</v>
      </c>
      <c r="H1998" s="1" cm="1">
        <f t="array" ref="H1998">(SUMPRODUCT(("Var_Cap"=[1]OUT_TransportEnergyCons!$B$4:$B$10000)*1,ISNUMBER(SEARCH("T_b_c*ICE*nga*s1",[1]OUT_TransportEnergyCons!$A$4:$A$10000))*1,[1]OUT_TransportEnergyCons!F$4:F$10000))*1000</f>
        <v>1.806328441356402E-4</v>
      </c>
      <c r="I1998" s="1" cm="1">
        <f t="array" ref="I1998">(SUMPRODUCT(("Var_Cap"=[1]OUT_TransportEnergyCons!$B$4:$B$10000)*1,ISNUMBER(SEARCH("T_b_c*ICE*nga*s1",[1]OUT_TransportEnergyCons!$A$4:$A$10000))*1,[1]OUT_TransportEnergyCons!G$4:G$10000))*1000</f>
        <v>1.8111682353109939E-5</v>
      </c>
      <c r="J1998" s="1" cm="1">
        <f t="array" ref="J1998">(SUMPRODUCT(("Var_Cap"=[1]OUT_TransportEnergyCons!$B$4:$B$10000)*1,ISNUMBER(SEARCH("T_b_c*ICE*nga*s1",[1]OUT_TransportEnergyCons!$A$4:$A$10000))*1,[1]OUT_TransportEnergyCons!H$4:H$10000))*1000</f>
        <v>-2.9744067487601445E-4</v>
      </c>
      <c r="K1998" s="1" cm="1">
        <f t="array" ref="K1998">(SUMPRODUCT(("Var_Cap"=[1]OUT_TransportEnergyCons!$B$4:$B$10000)*1,ISNUMBER(SEARCH("T_b_c*ICE*nga*s1",[1]OUT_TransportEnergyCons!$A$4:$A$10000))*1,[1]OUT_TransportEnergyCons!I$4:I$10000))*1000</f>
        <v>-2.865610208360034E-4</v>
      </c>
      <c r="L1998" s="1" cm="1">
        <f t="array" ref="L1998">(SUMPRODUCT(("Var_Cap"=[1]OUT_TransportEnergyCons!$B$4:$B$10000)*1,ISNUMBER(SEARCH("T_b_c*ICE*nga*s1",[1]OUT_TransportEnergyCons!$A$4:$A$10000))*1,[1]OUT_TransportEnergyCons!J$4:J$10000))*1000</f>
        <v>2.544187908151E-4</v>
      </c>
      <c r="M1998" s="1" cm="1">
        <f t="array" ref="M1998">(SUMPRODUCT(("Var_Cap"=[1]OUT_TransportEnergyCons!$B$4:$B$10000)*1,ISNUMBER(SEARCH("T_b_c*ICE*nga*s1",[1]OUT_TransportEnergyCons!$A$4:$A$10000))*1,[1]OUT_TransportEnergyCons!K$4:K$10000))*1000</f>
        <v>4.8226824580772178E-4</v>
      </c>
      <c r="N1998" s="1" cm="1">
        <f t="array" ref="N1998">(SUMPRODUCT(("Var_Cap"=[1]OUT_TransportEnergyCons!$B$4:$B$10000)*1,ISNUMBER(SEARCH("T_b_c*ICE*nga*s1",[1]OUT_TransportEnergyCons!$A$4:$A$10000))*1,[1]OUT_TransportEnergyCons!L$4:L$10000))*1000</f>
        <v>0</v>
      </c>
      <c r="O1998" s="1" cm="1">
        <f t="array" ref="O1998">(SUMPRODUCT(("Var_Cap"=[1]OUT_TransportEnergyCons!$B$4:$B$10000)*1,ISNUMBER(SEARCH("T_b_c*ICE*nga*s1",[1]OUT_TransportEnergyCons!$A$4:$A$10000))*1,[1]OUT_TransportEnergyCons!M$4:M$10000))*1000</f>
        <v>0</v>
      </c>
      <c r="P1998" s="1" cm="1">
        <f t="array" ref="P1998">(SUMPRODUCT(("Var_Cap"=[1]OUT_TransportEnergyCons!$B$4:$B$10000)*1,ISNUMBER(SEARCH("T_b_c*ICE*nga*s1",[1]OUT_TransportEnergyCons!$A$4:$A$10000))*1,[1]OUT_TransportEnergyCons!N$4:N$10000))*1000</f>
        <v>0</v>
      </c>
      <c r="Q1998" s="1" cm="1">
        <f t="array" ref="Q1998">(SUMPRODUCT(("Var_Cap"=[1]OUT_TransportEnergyCons!$B$4:$B$10000)*1,ISNUMBER(SEARCH("T_b_c*ICE*nga*s1",[1]OUT_TransportEnergyCons!$A$4:$A$10000))*1,[1]OUT_TransportEnergyCons!O$4:O$10000))*1000</f>
        <v>0</v>
      </c>
      <c r="S1998" s="3"/>
    </row>
    <row r="1999" spans="2:19" x14ac:dyDescent="0.5">
      <c r="B1999" s="5" t="str">
        <f t="shared" si="2165"/>
        <v>SPS1</v>
      </c>
      <c r="C1999" s="5" t="str">
        <f t="shared" si="2166"/>
        <v>CH</v>
      </c>
      <c r="D1999" t="s">
        <v>2028</v>
      </c>
      <c r="E1999" t="s">
        <v>1999</v>
      </c>
      <c r="F1999" s="1" cm="1">
        <f t="array" ref="F1999">IF((SUMPRODUCT(("Var_Cap"=[1]OUT_TransportEnergyCons!$B$4:$B$10000)*1,ISNUMBER(SEARCH("T_b_c*ICE*nga*s2",[1]OUT_TransportEnergyCons!$A$4:$A$10000))*1,[1]OUT_TransportEnergyCons!D$4:D$10000))*1000&lt;0,0,(SUMPRODUCT(("Var_Cap"=[1]OUT_TransportEnergyCons!$B$4:$B$10000)*1,ISNUMBER(SEARCH("T_b_c*ICE*nga*s2",[1]OUT_TransportEnergyCons!$A$4:$A$10000))*1,[1]OUT_TransportEnergyCons!D$4:D$10000))*1000)</f>
        <v>0</v>
      </c>
      <c r="G1999" s="1" cm="1">
        <f t="array" ref="G1999">IF((SUMPRODUCT(("Var_Cap"=[1]OUT_TransportEnergyCons!$B$4:$B$10000)*1,ISNUMBER(SEARCH("T_b_c*ICE*nga*s2",[1]OUT_TransportEnergyCons!$A$4:$A$10000))*1,[1]OUT_TransportEnergyCons!E$4:E$10000))*1000&lt;0,0,(SUMPRODUCT(("Var_Cap"=[1]OUT_TransportEnergyCons!$B$4:$B$10000)*1,ISNUMBER(SEARCH("T_b_c*ICE*nga*s2",[1]OUT_TransportEnergyCons!$A$4:$A$10000))*1,[1]OUT_TransportEnergyCons!E$4:E$10000))*1000)</f>
        <v>7.7727662334482902E-4</v>
      </c>
      <c r="H1999" s="1" cm="1">
        <f t="array" ref="H1999">IF((SUMPRODUCT(("Var_Cap"=[1]OUT_TransportEnergyCons!$B$4:$B$10000)*1,ISNUMBER(SEARCH("T_b_c*ICE*nga*s2",[1]OUT_TransportEnergyCons!$A$4:$A$10000))*1,[1]OUT_TransportEnergyCons!F$4:F$10000))*1000&lt;0,0,(SUMPRODUCT(("Var_Cap"=[1]OUT_TransportEnergyCons!$B$4:$B$10000)*1,ISNUMBER(SEARCH("T_b_c*ICE*nga*s2",[1]OUT_TransportEnergyCons!$A$4:$A$10000))*1,[1]OUT_TransportEnergyCons!F$4:F$10000))*1000)</f>
        <v>1.4954827742565901E-3</v>
      </c>
      <c r="I1999" s="1" cm="1">
        <f t="array" ref="I1999">IF((SUMPRODUCT(("Var_Cap"=[1]OUT_TransportEnergyCons!$B$4:$B$10000)*1,ISNUMBER(SEARCH("T_b_c*ICE*nga*s2",[1]OUT_TransportEnergyCons!$A$4:$A$10000))*1,[1]OUT_TransportEnergyCons!G$4:G$10000))*1000&lt;0,0,(SUMPRODUCT(("Var_Cap"=[1]OUT_TransportEnergyCons!$B$4:$B$10000)*1,ISNUMBER(SEARCH("T_b_c*ICE*nga*s2",[1]OUT_TransportEnergyCons!$A$4:$A$10000))*1,[1]OUT_TransportEnergyCons!G$4:G$10000))*1000)</f>
        <v>1.5801310087830869E-3</v>
      </c>
      <c r="J1999" s="1" cm="1">
        <f t="array" ref="J1999">IF((SUMPRODUCT(("Var_Cap"=[1]OUT_TransportEnergyCons!$B$4:$B$10000)*1,ISNUMBER(SEARCH("T_b_c*ICE*nga*s2",[1]OUT_TransportEnergyCons!$A$4:$A$10000))*1,[1]OUT_TransportEnergyCons!H$4:H$10000))*1000&lt;0,0,(SUMPRODUCT(("Var_Cap"=[1]OUT_TransportEnergyCons!$B$4:$B$10000)*1,ISNUMBER(SEARCH("T_b_c*ICE*nga*s2",[1]OUT_TransportEnergyCons!$A$4:$A$10000))*1,[1]OUT_TransportEnergyCons!H$4:H$10000))*1000)</f>
        <v>0</v>
      </c>
      <c r="K1999" s="1" cm="1">
        <f t="array" ref="K1999">IF((SUMPRODUCT(("Var_Cap"=[1]OUT_TransportEnergyCons!$B$4:$B$10000)*1,ISNUMBER(SEARCH("T_b_c*ICE*nga*s2",[1]OUT_TransportEnergyCons!$A$4:$A$10000))*1,[1]OUT_TransportEnergyCons!I$4:I$10000))*1000&lt;0,0,(SUMPRODUCT(("Var_Cap"=[1]OUT_TransportEnergyCons!$B$4:$B$10000)*1,ISNUMBER(SEARCH("T_b_c*ICE*nga*s2",[1]OUT_TransportEnergyCons!$A$4:$A$10000))*1,[1]OUT_TransportEnergyCons!I$4:I$10000))*1000)</f>
        <v>0</v>
      </c>
      <c r="L1999" s="1" cm="1">
        <f t="array" ref="L1999">IF((SUMPRODUCT(("Var_Cap"=[1]OUT_TransportEnergyCons!$B$4:$B$10000)*1,ISNUMBER(SEARCH("T_b_c*ICE*nga*s2",[1]OUT_TransportEnergyCons!$A$4:$A$10000))*1,[1]OUT_TransportEnergyCons!J$4:J$10000))*1000&lt;0,0,(SUMPRODUCT(("Var_Cap"=[1]OUT_TransportEnergyCons!$B$4:$B$10000)*1,ISNUMBER(SEARCH("T_b_c*ICE*nga*s2",[1]OUT_TransportEnergyCons!$A$4:$A$10000))*1,[1]OUT_TransportEnergyCons!J$4:J$10000))*1000)</f>
        <v>1.171604226927842E-2</v>
      </c>
      <c r="M1999" s="1" cm="1">
        <f t="array" ref="M1999">IF((SUMPRODUCT(("Var_Cap"=[1]OUT_TransportEnergyCons!$B$4:$B$10000)*1,ISNUMBER(SEARCH("T_b_c*ICE*nga*s2",[1]OUT_TransportEnergyCons!$A$4:$A$10000))*1,[1]OUT_TransportEnergyCons!K$4:K$10000))*1000&lt;0,0,(SUMPRODUCT(("Var_Cap"=[1]OUT_TransportEnergyCons!$B$4:$B$10000)*1,ISNUMBER(SEARCH("T_b_c*ICE*nga*s2",[1]OUT_TransportEnergyCons!$A$4:$A$10000))*1,[1]OUT_TransportEnergyCons!K$4:K$10000))*1000)</f>
        <v>1.184597169770843E-2</v>
      </c>
      <c r="N1999" s="1" cm="1">
        <f t="array" ref="N1999">IF((SUMPRODUCT(("Var_Cap"=[1]OUT_TransportEnergyCons!$B$4:$B$10000)*1,ISNUMBER(SEARCH("T_b_c*ICE*nga*s2",[1]OUT_TransportEnergyCons!$A$4:$A$10000))*1,[1]OUT_TransportEnergyCons!L$4:L$10000))*1000&lt;0,0,(SUMPRODUCT(("Var_Cap"=[1]OUT_TransportEnergyCons!$B$4:$B$10000)*1,ISNUMBER(SEARCH("T_b_c*ICE*nga*s2",[1]OUT_TransportEnergyCons!$A$4:$A$10000))*1,[1]OUT_TransportEnergyCons!L$4:L$10000))*1000)</f>
        <v>0</v>
      </c>
      <c r="O1999" s="1" cm="1">
        <f t="array" ref="O1999">IF((SUMPRODUCT(("Var_Cap"=[1]OUT_TransportEnergyCons!$B$4:$B$10000)*1,ISNUMBER(SEARCH("T_b_c*ICE*nga*s2",[1]OUT_TransportEnergyCons!$A$4:$A$10000))*1,[1]OUT_TransportEnergyCons!M$4:M$10000))*1000&lt;0,0,(SUMPRODUCT(("Var_Cap"=[1]OUT_TransportEnergyCons!$B$4:$B$10000)*1,ISNUMBER(SEARCH("T_b_c*ICE*nga*s2",[1]OUT_TransportEnergyCons!$A$4:$A$10000))*1,[1]OUT_TransportEnergyCons!M$4:M$10000))*1000)</f>
        <v>0</v>
      </c>
      <c r="P1999" s="1" cm="1">
        <f t="array" ref="P1999">IF((SUMPRODUCT(("Var_Cap"=[1]OUT_TransportEnergyCons!$B$4:$B$10000)*1,ISNUMBER(SEARCH("T_b_c*ICE*nga*s2",[1]OUT_TransportEnergyCons!$A$4:$A$10000))*1,[1]OUT_TransportEnergyCons!N$4:N$10000))*1000&lt;0,0,(SUMPRODUCT(("Var_Cap"=[1]OUT_TransportEnergyCons!$B$4:$B$10000)*1,ISNUMBER(SEARCH("T_b_c*ICE*nga*s2",[1]OUT_TransportEnergyCons!$A$4:$A$10000))*1,[1]OUT_TransportEnergyCons!N$4:N$10000))*1000)</f>
        <v>0</v>
      </c>
      <c r="Q1999" s="1" cm="1">
        <f t="array" ref="Q1999">IF((SUMPRODUCT(("Var_Cap"=[1]OUT_TransportEnergyCons!$B$4:$B$10000)*1,ISNUMBER(SEARCH("T_b_c*ICE*nga*s2",[1]OUT_TransportEnergyCons!$A$4:$A$10000))*1,[1]OUT_TransportEnergyCons!O$4:O$10000))*1000&lt;0,0,(SUMPRODUCT(("Var_Cap"=[1]OUT_TransportEnergyCons!$B$4:$B$10000)*1,ISNUMBER(SEARCH("T_b_c*ICE*nga*s2",[1]OUT_TransportEnergyCons!$A$4:$A$10000))*1,[1]OUT_TransportEnergyCons!O$4:O$10000))*1000)</f>
        <v>0</v>
      </c>
      <c r="S1999" s="3"/>
    </row>
    <row r="2000" spans="2:19" x14ac:dyDescent="0.5">
      <c r="B2000" s="5" t="str">
        <f t="shared" si="2165"/>
        <v>SPS1</v>
      </c>
      <c r="C2000" s="5" t="str">
        <f t="shared" si="2166"/>
        <v>CH</v>
      </c>
      <c r="D2000" t="s">
        <v>2029</v>
      </c>
      <c r="E2000" t="s">
        <v>1999</v>
      </c>
      <c r="F2000" s="1" cm="1">
        <f t="array" ref="F2000">(SUMPRODUCT(("Var_Cap"=[1]OUT_TransportEnergyCons!$B$4:$B$10000)*1,ISNUMBER(SEARCH("T_b_c*ICE*nga*s3",[1]OUT_TransportEnergyCons!$A$4:$A$10000))*1,[1]OUT_TransportEnergyCons!D$4:D$10000))*1000</f>
        <v>0</v>
      </c>
      <c r="G2000" s="1" cm="1">
        <f t="array" ref="G2000">(SUMPRODUCT(("Var_Cap"=[1]OUT_TransportEnergyCons!$B$4:$B$10000)*1,ISNUMBER(SEARCH("T_b_c*ICE*nga*s3",[1]OUT_TransportEnergyCons!$A$4:$A$10000))*1,[1]OUT_TransportEnergyCons!E$4:E$10000))*1000</f>
        <v>6.6266106844555602E-4</v>
      </c>
      <c r="H2000" s="1" cm="1">
        <f t="array" ref="H2000">(SUMPRODUCT(("Var_Cap"=[1]OUT_TransportEnergyCons!$B$4:$B$10000)*1,ISNUMBER(SEARCH("T_b_c*ICE*nga*s3",[1]OUT_TransportEnergyCons!$A$4:$A$10000))*1,[1]OUT_TransportEnergyCons!F$4:F$10000))*1000</f>
        <v>9.88324859097756E-2</v>
      </c>
      <c r="I2000" s="1" cm="1">
        <f t="array" ref="I2000">(SUMPRODUCT(("Var_Cap"=[1]OUT_TransportEnergyCons!$B$4:$B$10000)*1,ISNUMBER(SEARCH("T_b_c*ICE*nga*s3",[1]OUT_TransportEnergyCons!$A$4:$A$10000))*1,[1]OUT_TransportEnergyCons!G$4:G$10000))*1000</f>
        <v>9.90219209528021E-2</v>
      </c>
      <c r="J2000" s="1" cm="1">
        <f t="array" ref="J2000">(SUMPRODUCT(("Var_Cap"=[1]OUT_TransportEnergyCons!$B$4:$B$10000)*1,ISNUMBER(SEARCH("T_b_c*ICE*nga*s3",[1]OUT_TransportEnergyCons!$A$4:$A$10000))*1,[1]OUT_TransportEnergyCons!H$4:H$10000))*1000</f>
        <v>6.3842379165285779E-4</v>
      </c>
      <c r="K2000" s="1" cm="1">
        <f t="array" ref="K2000">(SUMPRODUCT(("Var_Cap"=[1]OUT_TransportEnergyCons!$B$4:$B$10000)*1,ISNUMBER(SEARCH("T_b_c*ICE*nga*s3",[1]OUT_TransportEnergyCons!$A$4:$A$10000))*1,[1]OUT_TransportEnergyCons!I$4:I$10000))*1000</f>
        <v>4.7767166056343499E-4</v>
      </c>
      <c r="L2000" s="1" cm="1">
        <f t="array" ref="L2000">(SUMPRODUCT(("Var_Cap"=[1]OUT_TransportEnergyCons!$B$4:$B$10000)*1,ISNUMBER(SEARCH("T_b_c*ICE*nga*s3",[1]OUT_TransportEnergyCons!$A$4:$A$10000))*1,[1]OUT_TransportEnergyCons!J$4:J$10000))*1000</f>
        <v>2.6129242259918453E-4</v>
      </c>
      <c r="M2000" s="1" cm="1">
        <f t="array" ref="M2000">(SUMPRODUCT(("Var_Cap"=[1]OUT_TransportEnergyCons!$B$4:$B$10000)*1,ISNUMBER(SEARCH("T_b_c*ICE*nga*s3",[1]OUT_TransportEnergyCons!$A$4:$A$10000))*1,[1]OUT_TransportEnergyCons!K$4:K$10000))*1000</f>
        <v>0</v>
      </c>
      <c r="N2000" s="1" cm="1">
        <f t="array" ref="N2000">(SUMPRODUCT(("Var_Cap"=[1]OUT_TransportEnergyCons!$B$4:$B$10000)*1,ISNUMBER(SEARCH("T_b_c*ICE*nga*s3",[1]OUT_TransportEnergyCons!$A$4:$A$10000))*1,[1]OUT_TransportEnergyCons!L$4:L$10000))*1000</f>
        <v>0</v>
      </c>
      <c r="O2000" s="1" cm="1">
        <f t="array" ref="O2000">(SUMPRODUCT(("Var_Cap"=[1]OUT_TransportEnergyCons!$B$4:$B$10000)*1,ISNUMBER(SEARCH("T_b_c*ICE*nga*s3",[1]OUT_TransportEnergyCons!$A$4:$A$10000))*1,[1]OUT_TransportEnergyCons!M$4:M$10000))*1000</f>
        <v>0</v>
      </c>
      <c r="P2000" s="1" cm="1">
        <f t="array" ref="P2000">(SUMPRODUCT(("Var_Cap"=[1]OUT_TransportEnergyCons!$B$4:$B$10000)*1,ISNUMBER(SEARCH("T_b_c*ICE*nga*s3",[1]OUT_TransportEnergyCons!$A$4:$A$10000))*1,[1]OUT_TransportEnergyCons!N$4:N$10000))*1000</f>
        <v>0</v>
      </c>
      <c r="Q2000" s="1" cm="1">
        <f t="array" ref="Q2000">(SUMPRODUCT(("Var_Cap"=[1]OUT_TransportEnergyCons!$B$4:$B$10000)*1,ISNUMBER(SEARCH("T_b_c*ICE*nga*s3",[1]OUT_TransportEnergyCons!$A$4:$A$10000))*1,[1]OUT_TransportEnergyCons!O$4:O$10000))*1000</f>
        <v>0</v>
      </c>
      <c r="S2000" s="3"/>
    </row>
    <row r="2001" spans="2:19" x14ac:dyDescent="0.5">
      <c r="B2001" s="5" t="str">
        <f t="shared" si="2165"/>
        <v>SPS1</v>
      </c>
      <c r="C2001" s="5" t="str">
        <f t="shared" si="2166"/>
        <v>CH</v>
      </c>
      <c r="D2001" t="s">
        <v>2030</v>
      </c>
      <c r="E2001" t="s">
        <v>1999</v>
      </c>
      <c r="F2001" s="1" cm="1">
        <f t="array" ref="F2001">IF((SUMPRODUCT(("Var_Cap"=[1]OUT_TransportEnergyCons!$B$4:$B$10000)*1,ISNUMBER(SEARCH("T_b_c*ICE*nga*s4",[1]OUT_TransportEnergyCons!$A$4:$A$10000))*1,[1]OUT_TransportEnergyCons!D$4:D$10000))*1000&lt;0,0,(SUMPRODUCT(("Var_Cap"=[1]OUT_TransportEnergyCons!$B$4:$B$10000)*1,ISNUMBER(SEARCH("T_b_c*ICE*nga*s4",[1]OUT_TransportEnergyCons!$A$4:$A$10000))*1,[1]OUT_TransportEnergyCons!D$4:D$10000))*1000)</f>
        <v>0</v>
      </c>
      <c r="G2001" s="1" cm="1">
        <f t="array" ref="G2001">IF((SUMPRODUCT(("Var_Cap"=[1]OUT_TransportEnergyCons!$B$4:$B$10000)*1,ISNUMBER(SEARCH("T_b_c*ICE*nga*s4",[1]OUT_TransportEnergyCons!$A$4:$A$10000))*1,[1]OUT_TransportEnergyCons!E$4:E$10000))*1000&lt;0,0,(SUMPRODUCT(("Var_Cap"=[1]OUT_TransportEnergyCons!$B$4:$B$10000)*1,ISNUMBER(SEARCH("T_b_c*ICE*nga*s4",[1]OUT_TransportEnergyCons!$A$4:$A$10000))*1,[1]OUT_TransportEnergyCons!E$4:E$10000))*1000)</f>
        <v>0</v>
      </c>
      <c r="H2001" s="1" cm="1">
        <f t="array" ref="H2001">IF((SUMPRODUCT(("Var_Cap"=[1]OUT_TransportEnergyCons!$B$4:$B$10000)*1,ISNUMBER(SEARCH("T_b_c*ICE*nga*s4",[1]OUT_TransportEnergyCons!$A$4:$A$10000))*1,[1]OUT_TransportEnergyCons!F$4:F$10000))*1000&lt;0,0,(SUMPRODUCT(("Var_Cap"=[1]OUT_TransportEnergyCons!$B$4:$B$10000)*1,ISNUMBER(SEARCH("T_b_c*ICE*nga*s4",[1]OUT_TransportEnergyCons!$A$4:$A$10000))*1,[1]OUT_TransportEnergyCons!F$4:F$10000))*1000)</f>
        <v>0</v>
      </c>
      <c r="I2001" s="1" cm="1">
        <f t="array" ref="I2001">IF((SUMPRODUCT(("Var_Cap"=[1]OUT_TransportEnergyCons!$B$4:$B$10000)*1,ISNUMBER(SEARCH("T_b_c*ICE*nga*s4",[1]OUT_TransportEnergyCons!$A$4:$A$10000))*1,[1]OUT_TransportEnergyCons!G$4:G$10000))*1000&lt;0,0,(SUMPRODUCT(("Var_Cap"=[1]OUT_TransportEnergyCons!$B$4:$B$10000)*1,ISNUMBER(SEARCH("T_b_c*ICE*nga*s4",[1]OUT_TransportEnergyCons!$A$4:$A$10000))*1,[1]OUT_TransportEnergyCons!G$4:G$10000))*1000)</f>
        <v>0</v>
      </c>
      <c r="J2001" s="1" cm="1">
        <f t="array" ref="J2001">IF((SUMPRODUCT(("Var_Cap"=[1]OUT_TransportEnergyCons!$B$4:$B$10000)*1,ISNUMBER(SEARCH("T_b_c*ICE*nga*s4",[1]OUT_TransportEnergyCons!$A$4:$A$10000))*1,[1]OUT_TransportEnergyCons!H$4:H$10000))*1000&lt;0,0,(SUMPRODUCT(("Var_Cap"=[1]OUT_TransportEnergyCons!$B$4:$B$10000)*1,ISNUMBER(SEARCH("T_b_c*ICE*nga*s4",[1]OUT_TransportEnergyCons!$A$4:$A$10000))*1,[1]OUT_TransportEnergyCons!H$4:H$10000))*1000)</f>
        <v>3.0134594586960661E-5</v>
      </c>
      <c r="K2001" s="1" cm="1">
        <f t="array" ref="K2001">IF((SUMPRODUCT(("Var_Cap"=[1]OUT_TransportEnergyCons!$B$4:$B$10000)*1,ISNUMBER(SEARCH("T_b_c*ICE*nga*s4",[1]OUT_TransportEnergyCons!$A$4:$A$10000))*1,[1]OUT_TransportEnergyCons!I$4:I$10000))*1000&lt;0,0,(SUMPRODUCT(("Var_Cap"=[1]OUT_TransportEnergyCons!$B$4:$B$10000)*1,ISNUMBER(SEARCH("T_b_c*ICE*nga*s4",[1]OUT_TransportEnergyCons!$A$4:$A$10000))*1,[1]OUT_TransportEnergyCons!I$4:I$10000))*1000)</f>
        <v>3.9251372383547095E-5</v>
      </c>
      <c r="L2001" s="1" cm="1">
        <f t="array" ref="L2001">IF((SUMPRODUCT(("Var_Cap"=[1]OUT_TransportEnergyCons!$B$4:$B$10000)*1,ISNUMBER(SEARCH("T_b_c*ICE*nga*s4",[1]OUT_TransportEnergyCons!$A$4:$A$10000))*1,[1]OUT_TransportEnergyCons!J$4:J$10000))*1000&lt;0,0,(SUMPRODUCT(("Var_Cap"=[1]OUT_TransportEnergyCons!$B$4:$B$10000)*1,ISNUMBER(SEARCH("T_b_c*ICE*nga*s4",[1]OUT_TransportEnergyCons!$A$4:$A$10000))*1,[1]OUT_TransportEnergyCons!J$4:J$10000))*1000)</f>
        <v>0</v>
      </c>
      <c r="M2001" s="1" cm="1">
        <f t="array" ref="M2001">IF((SUMPRODUCT(("Var_Cap"=[1]OUT_TransportEnergyCons!$B$4:$B$10000)*1,ISNUMBER(SEARCH("T_b_c*ICE*nga*s4",[1]OUT_TransportEnergyCons!$A$4:$A$10000))*1,[1]OUT_TransportEnergyCons!K$4:K$10000))*1000&lt;0,0,(SUMPRODUCT(("Var_Cap"=[1]OUT_TransportEnergyCons!$B$4:$B$10000)*1,ISNUMBER(SEARCH("T_b_c*ICE*nga*s4",[1]OUT_TransportEnergyCons!$A$4:$A$10000))*1,[1]OUT_TransportEnergyCons!K$4:K$10000))*1000)</f>
        <v>0</v>
      </c>
      <c r="N2001" s="1" cm="1">
        <f t="array" ref="N2001">IF((SUMPRODUCT(("Var_Cap"=[1]OUT_TransportEnergyCons!$B$4:$B$10000)*1,ISNUMBER(SEARCH("T_b_c*ICE*nga*s4",[1]OUT_TransportEnergyCons!$A$4:$A$10000))*1,[1]OUT_TransportEnergyCons!L$4:L$10000))*1000&lt;0,0,(SUMPRODUCT(("Var_Cap"=[1]OUT_TransportEnergyCons!$B$4:$B$10000)*1,ISNUMBER(SEARCH("T_b_c*ICE*nga*s4",[1]OUT_TransportEnergyCons!$A$4:$A$10000))*1,[1]OUT_TransportEnergyCons!L$4:L$10000))*1000)</f>
        <v>0</v>
      </c>
      <c r="O2001" s="1" cm="1">
        <f t="array" ref="O2001">IF((SUMPRODUCT(("Var_Cap"=[1]OUT_TransportEnergyCons!$B$4:$B$10000)*1,ISNUMBER(SEARCH("T_b_c*ICE*nga*s4",[1]OUT_TransportEnergyCons!$A$4:$A$10000))*1,[1]OUT_TransportEnergyCons!M$4:M$10000))*1000&lt;0,0,(SUMPRODUCT(("Var_Cap"=[1]OUT_TransportEnergyCons!$B$4:$B$10000)*1,ISNUMBER(SEARCH("T_b_c*ICE*nga*s4",[1]OUT_TransportEnergyCons!$A$4:$A$10000))*1,[1]OUT_TransportEnergyCons!M$4:M$10000))*1000)</f>
        <v>0</v>
      </c>
      <c r="P2001" s="1" cm="1">
        <f t="array" ref="P2001">IF((SUMPRODUCT(("Var_Cap"=[1]OUT_TransportEnergyCons!$B$4:$B$10000)*1,ISNUMBER(SEARCH("T_b_c*ICE*nga*s4",[1]OUT_TransportEnergyCons!$A$4:$A$10000))*1,[1]OUT_TransportEnergyCons!N$4:N$10000))*1000&lt;0,0,(SUMPRODUCT(("Var_Cap"=[1]OUT_TransportEnergyCons!$B$4:$B$10000)*1,ISNUMBER(SEARCH("T_b_c*ICE*nga*s4",[1]OUT_TransportEnergyCons!$A$4:$A$10000))*1,[1]OUT_TransportEnergyCons!N$4:N$10000))*1000)</f>
        <v>0</v>
      </c>
      <c r="Q2001" s="1" cm="1">
        <f t="array" ref="Q2001">IF((SUMPRODUCT(("Var_Cap"=[1]OUT_TransportEnergyCons!$B$4:$B$10000)*1,ISNUMBER(SEARCH("T_b_c*ICE*nga*s4",[1]OUT_TransportEnergyCons!$A$4:$A$10000))*1,[1]OUT_TransportEnergyCons!O$4:O$10000))*1000&lt;0,0,(SUMPRODUCT(("Var_Cap"=[1]OUT_TransportEnergyCons!$B$4:$B$10000)*1,ISNUMBER(SEARCH("T_b_c*ICE*nga*s4",[1]OUT_TransportEnergyCons!$A$4:$A$10000))*1,[1]OUT_TransportEnergyCons!O$4:O$10000))*1000)</f>
        <v>0</v>
      </c>
      <c r="S2001" s="3"/>
    </row>
    <row r="2002" spans="2:19" x14ac:dyDescent="0.5">
      <c r="B2002" s="5" t="str">
        <f>B2001</f>
        <v>SPS1</v>
      </c>
      <c r="C2002" s="5" t="str">
        <f>C2001</f>
        <v>CH</v>
      </c>
      <c r="D2002" s="2" t="s">
        <v>2121</v>
      </c>
      <c r="E2002" s="2" t="s">
        <v>1999</v>
      </c>
      <c r="F2002" s="3">
        <f>SUM(F2003:F2011)</f>
        <v>393.46233981082986</v>
      </c>
      <c r="G2002" s="3">
        <f t="shared" ref="G2002:K2002" si="2167">SUM(G2003:G2011)</f>
        <v>399.4000048158855</v>
      </c>
      <c r="H2002" s="3">
        <f t="shared" si="2167"/>
        <v>407.0776940519176</v>
      </c>
      <c r="I2002" s="3">
        <f t="shared" si="2167"/>
        <v>419.87397769363963</v>
      </c>
      <c r="J2002" s="3">
        <f t="shared" si="2167"/>
        <v>443.91364848415537</v>
      </c>
      <c r="K2002" s="3">
        <f t="shared" si="2167"/>
        <v>470.60293188480637</v>
      </c>
      <c r="L2002" s="3">
        <f t="shared" ref="L2002:O2002" si="2168">SUM(L2003:L2011)</f>
        <v>502.05312316444554</v>
      </c>
      <c r="M2002" s="3">
        <f t="shared" si="2168"/>
        <v>536.76014631448436</v>
      </c>
      <c r="N2002" s="3">
        <f t="shared" si="2168"/>
        <v>556.42888854815737</v>
      </c>
      <c r="O2002" s="3">
        <f t="shared" si="2168"/>
        <v>572.89765939923939</v>
      </c>
      <c r="P2002" s="3">
        <f>SUM(P2003:P2011)</f>
        <v>588.75647318893652</v>
      </c>
      <c r="Q2002" s="3">
        <f>SUM(Q2003:Q2011)</f>
        <v>603.95524596483142</v>
      </c>
      <c r="S2002" s="3"/>
    </row>
    <row r="2003" spans="2:19" x14ac:dyDescent="0.5">
      <c r="B2003" s="5" t="str">
        <f t="shared" ref="B2003:B2011" si="2169">B2002</f>
        <v>SPS1</v>
      </c>
      <c r="C2003" s="5" t="str">
        <f t="shared" ref="C2003:C2011" si="2170">C2002</f>
        <v>CH</v>
      </c>
      <c r="D2003" t="s">
        <v>2122</v>
      </c>
      <c r="E2003" t="s">
        <v>1999</v>
      </c>
      <c r="F2003" s="1" cm="1">
        <f t="array" ref="F2003">(SUMPRODUCT(("Var_Cap"=[1]OUT_TransportEnergyCons!$B$4:$B$10000)*1,("-"=[1]OUT_TransportEnergyCons!$C$4:$C$10000)*1,ISNUMBER(SEARCH("tfl*bev*ext",[1]OUT_TransportEnergyCons!$A$4:$A$10000))*1,[1]OUT_TransportEnergyCons!D$4:D$10000))*1000</f>
        <v>1.9498749855370925</v>
      </c>
      <c r="G2003" s="1" cm="1">
        <f t="array" ref="G2003">(SUMPRODUCT(("Var_Cap"=[1]OUT_TransportEnergyCons!$B$4:$B$10000)*1,("-"=[1]OUT_TransportEnergyCons!$C$4:$C$10000)*1,ISNUMBER(SEARCH("tfl*bev*ext",[1]OUT_TransportEnergyCons!$A$4:$A$10000))*1,[1]OUT_TransportEnergyCons!E$4:E$10000))*1000</f>
        <v>1.6899604171340965</v>
      </c>
      <c r="H2003" s="1" cm="1">
        <f t="array" ref="H2003">(SUMPRODUCT(("Var_Cap"=[1]OUT_TransportEnergyCons!$B$4:$B$10000)*1,("-"=[1]OUT_TransportEnergyCons!$C$4:$C$10000)*1,ISNUMBER(SEARCH("tfl*bev*ext",[1]OUT_TransportEnergyCons!$A$4:$A$10000))*1,[1]OUT_TransportEnergyCons!F$4:F$10000))*1000</f>
        <v>1.2999863049216887</v>
      </c>
      <c r="I2003" s="1" cm="1">
        <f t="array" ref="I2003">(SUMPRODUCT(("Var_Cap"=[1]OUT_TransportEnergyCons!$B$4:$B$10000)*1,("-"=[1]OUT_TransportEnergyCons!$C$4:$C$10000)*1,ISNUMBER(SEARCH("tfl*bev*ext",[1]OUT_TransportEnergyCons!$A$4:$A$10000))*1,[1]OUT_TransportEnergyCons!G$4:G$10000))*1000</f>
        <v>0.64998924323987539</v>
      </c>
      <c r="J2003" s="1" cm="1">
        <f t="array" ref="J2003">(SUMPRODUCT(("Var_Cap"=[1]OUT_TransportEnergyCons!$B$4:$B$10000)*1,("-"=[1]OUT_TransportEnergyCons!$C$4:$C$10000)*1,ISNUMBER(SEARCH("tfl*bev*ext",[1]OUT_TransportEnergyCons!$A$4:$A$10000))*1,[1]OUT_TransportEnergyCons!H$4:H$10000))*1000</f>
        <v>0</v>
      </c>
      <c r="K2003" s="1" cm="1">
        <f t="array" ref="K2003">(SUMPRODUCT(("Var_Cap"=[1]OUT_TransportEnergyCons!$B$4:$B$10000)*1,("-"=[1]OUT_TransportEnergyCons!$C$4:$C$10000)*1,ISNUMBER(SEARCH("tfl*bev*ext",[1]OUT_TransportEnergyCons!$A$4:$A$10000))*1,[1]OUT_TransportEnergyCons!I$4:I$10000))*1000</f>
        <v>0</v>
      </c>
      <c r="L2003" s="1" cm="1">
        <f t="array" ref="L2003">(SUMPRODUCT(("Var_Cap"=[1]OUT_TransportEnergyCons!$B$4:$B$10000)*1,("-"=[1]OUT_TransportEnergyCons!$C$4:$C$10000)*1,ISNUMBER(SEARCH("tfl*bev*ext",[1]OUT_TransportEnergyCons!$A$4:$A$10000))*1,[1]OUT_TransportEnergyCons!J$4:J$10000))*1000</f>
        <v>0</v>
      </c>
      <c r="M2003" s="1" cm="1">
        <f t="array" ref="M2003">(SUMPRODUCT(("Var_Cap"=[1]OUT_TransportEnergyCons!$B$4:$B$10000)*1,("-"=[1]OUT_TransportEnergyCons!$C$4:$C$10000)*1,ISNUMBER(SEARCH("tfl*bev*ext",[1]OUT_TransportEnergyCons!$A$4:$A$10000))*1,[1]OUT_TransportEnergyCons!K$4:K$10000))*1000</f>
        <v>0</v>
      </c>
      <c r="N2003" s="1" cm="1">
        <f t="array" ref="N2003">(SUMPRODUCT(("Var_Cap"=[1]OUT_TransportEnergyCons!$B$4:$B$10000)*1,("-"=[1]OUT_TransportEnergyCons!$C$4:$C$10000)*1,ISNUMBER(SEARCH("tfl*bev*ext",[1]OUT_TransportEnergyCons!$A$4:$A$10000))*1,[1]OUT_TransportEnergyCons!L$4:L$10000))*1000</f>
        <v>0</v>
      </c>
      <c r="O2003" s="1" cm="1">
        <f t="array" ref="O2003">(SUMPRODUCT(("Var_Cap"=[1]OUT_TransportEnergyCons!$B$4:$B$10000)*1,("-"=[1]OUT_TransportEnergyCons!$C$4:$C$10000)*1,ISNUMBER(SEARCH("tfl*bev*ext",[1]OUT_TransportEnergyCons!$A$4:$A$10000))*1,[1]OUT_TransportEnergyCons!M$4:M$10000))*1000</f>
        <v>0</v>
      </c>
      <c r="P2003" s="1" cm="1">
        <f t="array" ref="P2003">(SUMPRODUCT(("Var_Cap"=[1]OUT_TransportEnergyCons!$B$4:$B$10000)*1,("-"=[1]OUT_TransportEnergyCons!$C$4:$C$10000)*1,ISNUMBER(SEARCH("tfl*bev*ext",[1]OUT_TransportEnergyCons!$A$4:$A$10000))*1,[1]OUT_TransportEnergyCons!N$4:N$10000))*1000</f>
        <v>0</v>
      </c>
      <c r="Q2003" s="1" cm="1">
        <f t="array" ref="Q2003">(SUMPRODUCT(("Var_Cap"=[1]OUT_TransportEnergyCons!$B$4:$B$10000)*1,("-"=[1]OUT_TransportEnergyCons!$C$4:$C$10000)*1,ISNUMBER(SEARCH("tfl*bev*ext",[1]OUT_TransportEnergyCons!$A$4:$A$10000))*1,[1]OUT_TransportEnergyCons!O$4:O$10000))*1000</f>
        <v>0</v>
      </c>
      <c r="S2003" s="3"/>
    </row>
    <row r="2004" spans="2:19" x14ac:dyDescent="0.5">
      <c r="B2004" s="5" t="str">
        <f t="shared" si="2169"/>
        <v>SPS1</v>
      </c>
      <c r="C2004" s="5" t="str">
        <f t="shared" si="2170"/>
        <v>CH</v>
      </c>
      <c r="D2004" t="s">
        <v>2123</v>
      </c>
      <c r="E2004" t="s">
        <v>1999</v>
      </c>
      <c r="F2004" s="1" cm="1">
        <f t="array" ref="F2004">(SUMPRODUCT(("Var_Cap"=[1]OUT_TransportEnergyCons!$B$4:$B$10000)*1,("-"=[1]OUT_TransportEnergyCons!$C$4:$C$10000)*1,ISNUMBER(SEARCH("tfl*bev*",[1]OUT_TransportEnergyCons!$A$4:$A$10000))*1,[1]OUT_TransportEnergyCons!D$4:D$10000))*1000-F2003</f>
        <v>1.6988234449676576</v>
      </c>
      <c r="G2004" s="1" cm="1">
        <f t="array" ref="G2004">(SUMPRODUCT(("Var_Cap"=[1]OUT_TransportEnergyCons!$B$4:$B$10000)*1,("-"=[1]OUT_TransportEnergyCons!$C$4:$C$10000)*1,ISNUMBER(SEARCH("tfl*bev*",[1]OUT_TransportEnergyCons!$A$4:$A$10000))*1,[1]OUT_TransportEnergyCons!E$4:E$10000))*1000-G2003</f>
        <v>10.17273616036991</v>
      </c>
      <c r="H2004" s="1" cm="1">
        <f t="array" ref="H2004">(SUMPRODUCT(("Var_Cap"=[1]OUT_TransportEnergyCons!$B$4:$B$10000)*1,("-"=[1]OUT_TransportEnergyCons!$C$4:$C$10000)*1,ISNUMBER(SEARCH("tfl*bev*",[1]OUT_TransportEnergyCons!$A$4:$A$10000))*1,[1]OUT_TransportEnergyCons!F$4:F$10000))*1000-H2003</f>
        <v>182.41068858585726</v>
      </c>
      <c r="I2004" s="1" cm="1">
        <f t="array" ref="I2004">(SUMPRODUCT(("Var_Cap"=[1]OUT_TransportEnergyCons!$B$4:$B$10000)*1,("-"=[1]OUT_TransportEnergyCons!$C$4:$C$10000)*1,ISNUMBER(SEARCH("tfl*bev*",[1]OUT_TransportEnergyCons!$A$4:$A$10000))*1,[1]OUT_TransportEnergyCons!G$4:G$10000))*1000-I2003</f>
        <v>215.54711706803616</v>
      </c>
      <c r="J2004" s="1" cm="1">
        <f t="array" ref="J2004">(SUMPRODUCT(("Var_Cap"=[1]OUT_TransportEnergyCons!$B$4:$B$10000)*1,("-"=[1]OUT_TransportEnergyCons!$C$4:$C$10000)*1,ISNUMBER(SEARCH("tfl*bev*",[1]OUT_TransportEnergyCons!$A$4:$A$10000))*1,[1]OUT_TransportEnergyCons!H$4:H$10000))*1000-J2003</f>
        <v>406.5705705834626</v>
      </c>
      <c r="K2004" s="1" cm="1">
        <f t="array" ref="K2004">(SUMPRODUCT(("Var_Cap"=[1]OUT_TransportEnergyCons!$B$4:$B$10000)*1,("-"=[1]OUT_TransportEnergyCons!$C$4:$C$10000)*1,ISNUMBER(SEARCH("tfl*bev*",[1]OUT_TransportEnergyCons!$A$4:$A$10000))*1,[1]OUT_TransportEnergyCons!I$4:I$10000))*1000-K2003</f>
        <v>470.58349355460541</v>
      </c>
      <c r="L2004" s="1" cm="1">
        <f t="array" ref="L2004">(SUMPRODUCT(("Var_Cap"=[1]OUT_TransportEnergyCons!$B$4:$B$10000)*1,("-"=[1]OUT_TransportEnergyCons!$C$4:$C$10000)*1,ISNUMBER(SEARCH("tfl*bev*",[1]OUT_TransportEnergyCons!$A$4:$A$10000))*1,[1]OUT_TransportEnergyCons!J$4:J$10000))*1000-L2003</f>
        <v>502.05100917891974</v>
      </c>
      <c r="M2004" s="1" cm="1">
        <f t="array" ref="M2004">(SUMPRODUCT(("Var_Cap"=[1]OUT_TransportEnergyCons!$B$4:$B$10000)*1,("-"=[1]OUT_TransportEnergyCons!$C$4:$C$10000)*1,ISNUMBER(SEARCH("tfl*bev*",[1]OUT_TransportEnergyCons!$A$4:$A$10000))*1,[1]OUT_TransportEnergyCons!K$4:K$10000))*1000-M2003</f>
        <v>536.75803115171743</v>
      </c>
      <c r="N2004" s="1" cm="1">
        <f t="array" ref="N2004">(SUMPRODUCT(("Var_Cap"=[1]OUT_TransportEnergyCons!$B$4:$B$10000)*1,("-"=[1]OUT_TransportEnergyCons!$C$4:$C$10000)*1,ISNUMBER(SEARCH("tfl*bev*",[1]OUT_TransportEnergyCons!$A$4:$A$10000))*1,[1]OUT_TransportEnergyCons!L$4:L$10000))*1000-N2003</f>
        <v>556.4267817291111</v>
      </c>
      <c r="O2004" s="1" cm="1">
        <f t="array" ref="O2004">(SUMPRODUCT(("Var_Cap"=[1]OUT_TransportEnergyCons!$B$4:$B$10000)*1,("-"=[1]OUT_TransportEnergyCons!$C$4:$C$10000)*1,ISNUMBER(SEARCH("tfl*bev*",[1]OUT_TransportEnergyCons!$A$4:$A$10000))*1,[1]OUT_TransportEnergyCons!M$4:M$10000))*1000-O2003</f>
        <v>572.89555872124754</v>
      </c>
      <c r="P2004" s="1" cm="1">
        <f t="array" ref="P2004">(SUMPRODUCT(("Var_Cap"=[1]OUT_TransportEnergyCons!$B$4:$B$10000)*1,("-"=[1]OUT_TransportEnergyCons!$C$4:$C$10000)*1,ISNUMBER(SEARCH("tfl*bev*",[1]OUT_TransportEnergyCons!$A$4:$A$10000))*1,[1]OUT_TransportEnergyCons!N$4:N$10000))*1000-P2003</f>
        <v>588.75428445623777</v>
      </c>
      <c r="Q2004" s="1" cm="1">
        <f t="array" ref="Q2004">(SUMPRODUCT(("Var_Cap"=[1]OUT_TransportEnergyCons!$B$4:$B$10000)*1,("-"=[1]OUT_TransportEnergyCons!$C$4:$C$10000)*1,ISNUMBER(SEARCH("tfl*bev*",[1]OUT_TransportEnergyCons!$A$4:$A$10000))*1,[1]OUT_TransportEnergyCons!O$4:O$10000))*1000-Q2003</f>
        <v>603.95270520354529</v>
      </c>
      <c r="S2004" s="3"/>
    </row>
    <row r="2005" spans="2:19" x14ac:dyDescent="0.5">
      <c r="B2005" s="5" t="str">
        <f t="shared" si="2169"/>
        <v>SPS1</v>
      </c>
      <c r="C2005" s="5" t="str">
        <f t="shared" si="2170"/>
        <v>CH</v>
      </c>
      <c r="D2005" t="s">
        <v>2124</v>
      </c>
      <c r="E2005" t="s">
        <v>1999</v>
      </c>
      <c r="F2005" s="1" cm="1">
        <f t="array" ref="F2005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(SUMPRODUCT(("Var_Cap"=[1]OUT_TransportEnergyCons!$B$4:$B$10000)*1,("-"=[1]OUT_TransportEnergyCons!$C$4:$C$10000)*1,ISNUMBER(SEARCH("tfl*h2o*",[1]OUT_TransportEnergyCons!$A$4:$A$10000))*1,[1]OUT_TransportEnergyCons!E$4:E$10000))*1000</f>
        <v>2.49950808097868E-3</v>
      </c>
      <c r="H2005" s="1" cm="1">
        <f t="array" ref="H2005">(SUMPRODUCT(("Var_Cap"=[1]OUT_TransportEnergyCons!$B$4:$B$10000)*1,("-"=[1]OUT_TransportEnergyCons!$C$4:$C$10000)*1,ISNUMBER(SEARCH("tfl*h2o*",[1]OUT_TransportEnergyCons!$A$4:$A$10000))*1,[1]OUT_TransportEnergyCons!F$4:F$10000))*1000</f>
        <v>3.5060406240897363E-3</v>
      </c>
      <c r="I2005" s="1" cm="1">
        <f t="array" ref="I2005">(SUMPRODUCT(("Var_Cap"=[1]OUT_TransportEnergyCons!$B$4:$B$10000)*1,("-"=[1]OUT_TransportEnergyCons!$C$4:$C$10000)*1,ISNUMBER(SEARCH("tfl*h2o*",[1]OUT_TransportEnergyCons!$A$4:$A$10000))*1,[1]OUT_TransportEnergyCons!G$4:G$10000))*1000</f>
        <v>2.2968136005303997E-3</v>
      </c>
      <c r="J2005" s="1" cm="1">
        <f t="array" ref="J2005">(SUMPRODUCT(("Var_Cap"=[1]OUT_TransportEnergyCons!$B$4:$B$10000)*1,("-"=[1]OUT_TransportEnergyCons!$C$4:$C$10000)*1,ISNUMBER(SEARCH("tfl*h2o*",[1]OUT_TransportEnergyCons!$A$4:$A$10000))*1,[1]OUT_TransportEnergyCons!H$4:H$10000))*1000</f>
        <v>2.2154225734515188E-3</v>
      </c>
      <c r="K2005" s="1" cm="1">
        <f t="array" ref="K2005">(SUMPRODUCT(("Var_Cap"=[1]OUT_TransportEnergyCons!$B$4:$B$10000)*1,("-"=[1]OUT_TransportEnergyCons!$C$4:$C$10000)*1,ISNUMBER(SEARCH("tfl*h2o*",[1]OUT_TransportEnergyCons!$A$4:$A$10000))*1,[1]OUT_TransportEnergyCons!I$4:I$10000))*1000</f>
        <v>2.1260300644291735E-3</v>
      </c>
      <c r="L2005" s="1" cm="1">
        <f t="array" ref="L2005">(SUMPRODUCT(("Var_Cap"=[1]OUT_TransportEnergyCons!$B$4:$B$10000)*1,("-"=[1]OUT_TransportEnergyCons!$C$4:$C$10000)*1,ISNUMBER(SEARCH("tfl*h2o*",[1]OUT_TransportEnergyCons!$A$4:$A$10000))*1,[1]OUT_TransportEnergyCons!J$4:J$10000))*1000</f>
        <v>2.1139855258174079E-3</v>
      </c>
      <c r="M2005" s="1" cm="1">
        <f t="array" ref="M2005">(SUMPRODUCT(("Var_Cap"=[1]OUT_TransportEnergyCons!$B$4:$B$10000)*1,("-"=[1]OUT_TransportEnergyCons!$C$4:$C$10000)*1,ISNUMBER(SEARCH("tfl*h2o*",[1]OUT_TransportEnergyCons!$A$4:$A$10000))*1,[1]OUT_TransportEnergyCons!K$4:K$10000))*1000</f>
        <v>2.1151627668751232E-3</v>
      </c>
      <c r="N2005" s="1" cm="1">
        <f t="array" ref="N2005">(SUMPRODUCT(("Var_Cap"=[1]OUT_TransportEnergyCons!$B$4:$B$10000)*1,("-"=[1]OUT_TransportEnergyCons!$C$4:$C$10000)*1,ISNUMBER(SEARCH("tfl*h2o*",[1]OUT_TransportEnergyCons!$A$4:$A$10000))*1,[1]OUT_TransportEnergyCons!L$4:L$10000))*1000</f>
        <v>2.1068190462325232E-3</v>
      </c>
      <c r="O2005" s="1" cm="1">
        <f t="array" ref="O2005">(SUMPRODUCT(("Var_Cap"=[1]OUT_TransportEnergyCons!$B$4:$B$10000)*1,("-"=[1]OUT_TransportEnergyCons!$C$4:$C$10000)*1,ISNUMBER(SEARCH("tfl*h2o*",[1]OUT_TransportEnergyCons!$A$4:$A$10000))*1,[1]OUT_TransportEnergyCons!M$4:M$10000))*1000</f>
        <v>2.1006779917991979E-3</v>
      </c>
      <c r="P2005" s="1" cm="1">
        <f t="array" ref="P2005">(SUMPRODUCT(("Var_Cap"=[1]OUT_TransportEnergyCons!$B$4:$B$10000)*1,("-"=[1]OUT_TransportEnergyCons!$C$4:$C$10000)*1,ISNUMBER(SEARCH("tfl*h2o*",[1]OUT_TransportEnergyCons!$A$4:$A$10000))*1,[1]OUT_TransportEnergyCons!N$4:N$10000))*1000</f>
        <v>2.1887326987094567E-3</v>
      </c>
      <c r="Q2005" s="1" cm="1">
        <f t="array" ref="Q2005">(SUMPRODUCT(("Var_Cap"=[1]OUT_TransportEnergyCons!$B$4:$B$10000)*1,("-"=[1]OUT_TransportEnergyCons!$C$4:$C$10000)*1,ISNUMBER(SEARCH("tfl*h2o*",[1]OUT_TransportEnergyCons!$A$4:$A$10000))*1,[1]OUT_TransportEnergyCons!O$4:O$10000))*1000</f>
        <v>2.5407612861438598E-3</v>
      </c>
      <c r="S2005" s="3"/>
    </row>
    <row r="2006" spans="2:19" x14ac:dyDescent="0.5">
      <c r="B2006" s="5" t="str">
        <f t="shared" si="2169"/>
        <v>SPS1</v>
      </c>
      <c r="C2006" s="5" t="str">
        <f t="shared" si="2170"/>
        <v>CH</v>
      </c>
      <c r="D2006" t="s">
        <v>2125</v>
      </c>
      <c r="E2006" t="s">
        <v>1999</v>
      </c>
      <c r="F2006" s="1" cm="1">
        <f t="array" ref="F2006">(SUMPRODUCT(("Var_Cap"=[1]OUT_TransportEnergyCons!$B$4:$B$10000)*1,("-"=[1]OUT_TransportEnergyCons!$C$4:$C$10000)*1,ISNUMBER(SEARCH("TfL*ICE*GSL*ext",[1]OUT_TransportEnergyCons!$A$4:$A$10000))*1,[1]OUT_TransportEnergyCons!D$4:D$10000))*1000</f>
        <v>39.827876213926594</v>
      </c>
      <c r="G2006" s="1" cm="1">
        <f t="array" ref="G2006">(SUMPRODUCT(("Var_Cap"=[1]OUT_TransportEnergyCons!$B$4:$B$10000)*1,("-"=[1]OUT_TransportEnergyCons!$C$4:$C$10000)*1,ISNUMBER(SEARCH("TfL*ICE*GSL*ext",[1]OUT_TransportEnergyCons!$A$4:$A$10000))*1,[1]OUT_TransportEnergyCons!E$4:E$10000))*1000</f>
        <v>39.825025107966312</v>
      </c>
      <c r="H2006" s="1" cm="1">
        <f t="array" ref="H2006">(SUMPRODUCT(("Var_Cap"=[1]OUT_TransportEnergyCons!$B$4:$B$10000)*1,("-"=[1]OUT_TransportEnergyCons!$C$4:$C$10000)*1,ISNUMBER(SEARCH("TfL*ICE*GSL*ext",[1]OUT_TransportEnergyCons!$A$4:$A$10000))*1,[1]OUT_TransportEnergyCons!F$4:F$10000))*1000</f>
        <v>30.633561370443278</v>
      </c>
      <c r="I2006" s="1" cm="1">
        <f t="array" ref="I2006">(SUMPRODUCT(("Var_Cap"=[1]OUT_TransportEnergyCons!$B$4:$B$10000)*1,("-"=[1]OUT_TransportEnergyCons!$C$4:$C$10000)*1,ISNUMBER(SEARCH("TfL*ICE*GSL*ext",[1]OUT_TransportEnergyCons!$A$4:$A$10000))*1,[1]OUT_TransportEnergyCons!G$4:G$10000))*1000</f>
        <v>15.317319468179635</v>
      </c>
      <c r="J2006" s="1" cm="1">
        <f t="array" ref="J2006">(SUMPRODUCT(("Var_Cap"=[1]OUT_TransportEnergyCons!$B$4:$B$10000)*1,("-"=[1]OUT_TransportEnergyCons!$C$4:$C$10000)*1,ISNUMBER(SEARCH("TfL*ICE*GSL*ext",[1]OUT_TransportEnergyCons!$A$4:$A$10000))*1,[1]OUT_TransportEnergyCons!H$4:H$10000))*1000</f>
        <v>0</v>
      </c>
      <c r="K2006" s="1" cm="1">
        <f t="array" ref="K2006">(SUMPRODUCT(("Var_Cap"=[1]OUT_TransportEnergyCons!$B$4:$B$10000)*1,("-"=[1]OUT_TransportEnergyCons!$C$4:$C$10000)*1,ISNUMBER(SEARCH("TfL*ICE*GSL*ext",[1]OUT_TransportEnergyCons!$A$4:$A$10000))*1,[1]OUT_TransportEnergyCons!I$4:I$10000))*1000</f>
        <v>0</v>
      </c>
      <c r="L2006" s="1" cm="1">
        <f t="array" ref="L2006">(SUMPRODUCT(("Var_Cap"=[1]OUT_TransportEnergyCons!$B$4:$B$10000)*1,("-"=[1]OUT_TransportEnergyCons!$C$4:$C$10000)*1,ISNUMBER(SEARCH("TfL*ICE*GSL*ext",[1]OUT_TransportEnergyCons!$A$4:$A$10000))*1,[1]OUT_TransportEnergyCons!J$4:J$10000))*1000</f>
        <v>0</v>
      </c>
      <c r="M2006" s="1" cm="1">
        <f t="array" ref="M2006">(SUMPRODUCT(("Var_Cap"=[1]OUT_TransportEnergyCons!$B$4:$B$10000)*1,("-"=[1]OUT_TransportEnergyCons!$C$4:$C$10000)*1,ISNUMBER(SEARCH("TfL*ICE*GSL*ext",[1]OUT_TransportEnergyCons!$A$4:$A$10000))*1,[1]OUT_TransportEnergyCons!K$4:K$10000))*1000</f>
        <v>0</v>
      </c>
      <c r="N2006" s="1" cm="1">
        <f t="array" ref="N2006">(SUMPRODUCT(("Var_Cap"=[1]OUT_TransportEnergyCons!$B$4:$B$10000)*1,("-"=[1]OUT_TransportEnergyCons!$C$4:$C$10000)*1,ISNUMBER(SEARCH("TfL*ICE*GSL*ext",[1]OUT_TransportEnergyCons!$A$4:$A$10000))*1,[1]OUT_TransportEnergyCons!L$4:L$10000))*1000</f>
        <v>0</v>
      </c>
      <c r="O2006" s="1" cm="1">
        <f t="array" ref="O2006">(SUMPRODUCT(("Var_Cap"=[1]OUT_TransportEnergyCons!$B$4:$B$10000)*1,("-"=[1]OUT_TransportEnergyCons!$C$4:$C$10000)*1,ISNUMBER(SEARCH("TfL*ICE*GSL*ext",[1]OUT_TransportEnergyCons!$A$4:$A$10000))*1,[1]OUT_TransportEnergyCons!M$4:M$10000))*1000</f>
        <v>0</v>
      </c>
      <c r="P2006" s="1" cm="1">
        <f t="array" ref="P2006">(SUMPRODUCT(("Var_Cap"=[1]OUT_TransportEnergyCons!$B$4:$B$10000)*1,("-"=[1]OUT_TransportEnergyCons!$C$4:$C$10000)*1,ISNUMBER(SEARCH("TfL*ICE*GSL*ext",[1]OUT_TransportEnergyCons!$A$4:$A$10000))*1,[1]OUT_TransportEnergyCons!N$4:N$10000))*1000</f>
        <v>0</v>
      </c>
      <c r="Q2006" s="1" cm="1">
        <f t="array" ref="Q2006">(SUMPRODUCT(("Var_Cap"=[1]OUT_TransportEnergyCons!$B$4:$B$10000)*1,("-"=[1]OUT_TransportEnergyCons!$C$4:$C$10000)*1,ISNUMBER(SEARCH("TfL*ICE*GSL*ext",[1]OUT_TransportEnergyCons!$A$4:$A$10000))*1,[1]OUT_TransportEnergyCons!O$4:O$10000))*1000</f>
        <v>0</v>
      </c>
      <c r="S2006" s="3"/>
    </row>
    <row r="2007" spans="2:19" x14ac:dyDescent="0.5">
      <c r="B2007" s="5" t="str">
        <f t="shared" si="2169"/>
        <v>SPS1</v>
      </c>
      <c r="C2007" s="5" t="str">
        <f t="shared" si="2170"/>
        <v>CH</v>
      </c>
      <c r="D2007" t="s">
        <v>2126</v>
      </c>
      <c r="E2007" t="s">
        <v>1999</v>
      </c>
      <c r="F2007" s="1" cm="1">
        <f t="array" ref="F2007">(SUMPRODUCT(("Var_Cap"=[1]OUT_TransportEnergyCons!$B$4:$B$10000)*1,("-"=[1]OUT_TransportEnergyCons!$C$4:$C$10000)*1,ISNUMBER(SEARCH("TfL*ICE*GSL*",[1]OUT_TransportEnergyCons!$A$4:$A$10000))*1,[1]OUT_TransportEnergyCons!D$4:D$10000))*1000-F2006</f>
        <v>12.434760480108814</v>
      </c>
      <c r="G2007" s="1" cm="1">
        <f t="array" ref="G2007">(SUMPRODUCT(("Var_Cap"=[1]OUT_TransportEnergyCons!$B$4:$B$10000)*1,("-"=[1]OUT_TransportEnergyCons!$C$4:$C$10000)*1,ISNUMBER(SEARCH("TfL*ICE*GSL*",[1]OUT_TransportEnergyCons!$A$4:$A$10000))*1,[1]OUT_TransportEnergyCons!E$4:E$10000))*1000-G2006</f>
        <v>14.154002399316141</v>
      </c>
      <c r="H2007" s="1" cm="1">
        <f t="array" ref="H2007">(SUMPRODUCT(("Var_Cap"=[1]OUT_TransportEnergyCons!$B$4:$B$10000)*1,("-"=[1]OUT_TransportEnergyCons!$C$4:$C$10000)*1,ISNUMBER(SEARCH("TfL*ICE*GSL*",[1]OUT_TransportEnergyCons!$A$4:$A$10000))*1,[1]OUT_TransportEnergyCons!F$4:F$10000))*1000-H2006</f>
        <v>7.9014011688980652</v>
      </c>
      <c r="I2007" s="1" cm="1">
        <f t="array" ref="I2007">(SUMPRODUCT(("Var_Cap"=[1]OUT_TransportEnergyCons!$B$4:$B$10000)*1,("-"=[1]OUT_TransportEnergyCons!$C$4:$C$10000)*1,ISNUMBER(SEARCH("TfL*ICE*GSL*",[1]OUT_TransportEnergyCons!$A$4:$A$10000))*1,[1]OUT_TransportEnergyCons!G$4:G$10000))*1000-I2006</f>
        <v>27.086839185475732</v>
      </c>
      <c r="J2007" s="1" cm="1">
        <f t="array" ref="J2007">(SUMPRODUCT(("Var_Cap"=[1]OUT_TransportEnergyCons!$B$4:$B$10000)*1,("-"=[1]OUT_TransportEnergyCons!$C$4:$C$10000)*1,ISNUMBER(SEARCH("TfL*ICE*GSL*",[1]OUT_TransportEnergyCons!$A$4:$A$10000))*1,[1]OUT_TransportEnergyCons!H$4:H$10000))*1000-J2006</f>
        <v>21.72521119578084</v>
      </c>
      <c r="K2007" s="1" cm="1">
        <f t="array" ref="K2007">(SUMPRODUCT(("Var_Cap"=[1]OUT_TransportEnergyCons!$B$4:$B$10000)*1,("-"=[1]OUT_TransportEnergyCons!$C$4:$C$10000)*1,ISNUMBER(SEARCH("TfL*ICE*GSL*",[1]OUT_TransportEnergyCons!$A$4:$A$10000))*1,[1]OUT_TransportEnergyCons!I$4:I$10000))*1000-K2006</f>
        <v>5.7748387504103285E-3</v>
      </c>
      <c r="L2007" s="1" cm="1">
        <f t="array" ref="L2007">(SUMPRODUCT(("Var_Cap"=[1]OUT_TransportEnergyCons!$B$4:$B$10000)*1,("-"=[1]OUT_TransportEnergyCons!$C$4:$C$10000)*1,ISNUMBER(SEARCH("TfL*ICE*GSL*",[1]OUT_TransportEnergyCons!$A$4:$A$10000))*1,[1]OUT_TransportEnergyCons!J$4:J$10000))*1000-L2006</f>
        <v>0</v>
      </c>
      <c r="M2007" s="1" cm="1">
        <f t="array" ref="M2007">(SUMPRODUCT(("Var_Cap"=[1]OUT_TransportEnergyCons!$B$4:$B$10000)*1,("-"=[1]OUT_TransportEnergyCons!$C$4:$C$10000)*1,ISNUMBER(SEARCH("TfL*ICE*GSL*",[1]OUT_TransportEnergyCons!$A$4:$A$10000))*1,[1]OUT_TransportEnergyCons!K$4:K$10000))*1000-M2006</f>
        <v>0</v>
      </c>
      <c r="N2007" s="1" cm="1">
        <f t="array" ref="N2007">(SUMPRODUCT(("Var_Cap"=[1]OUT_TransportEnergyCons!$B$4:$B$10000)*1,("-"=[1]OUT_TransportEnergyCons!$C$4:$C$10000)*1,ISNUMBER(SEARCH("TfL*ICE*GSL*",[1]OUT_TransportEnergyCons!$A$4:$A$10000))*1,[1]OUT_TransportEnergyCons!L$4:L$10000))*1000-N2006</f>
        <v>0</v>
      </c>
      <c r="O2007" s="1" cm="1">
        <f t="array" ref="O2007">(SUMPRODUCT(("Var_Cap"=[1]OUT_TransportEnergyCons!$B$4:$B$10000)*1,("-"=[1]OUT_TransportEnergyCons!$C$4:$C$10000)*1,ISNUMBER(SEARCH("TfL*ICE*GSL*",[1]OUT_TransportEnergyCons!$A$4:$A$10000))*1,[1]OUT_TransportEnergyCons!M$4:M$10000))*1000-O2006</f>
        <v>0</v>
      </c>
      <c r="P2007" s="1" cm="1">
        <f t="array" ref="P2007">(SUMPRODUCT(("Var_Cap"=[1]OUT_TransportEnergyCons!$B$4:$B$10000)*1,("-"=[1]OUT_TransportEnergyCons!$C$4:$C$10000)*1,ISNUMBER(SEARCH("TfL*ICE*GSL*",[1]OUT_TransportEnergyCons!$A$4:$A$10000))*1,[1]OUT_TransportEnergyCons!N$4:N$10000))*1000-P2006</f>
        <v>0</v>
      </c>
      <c r="Q2007" s="1" cm="1">
        <f t="array" ref="Q2007">(SUMPRODUCT(("Var_Cap"=[1]OUT_TransportEnergyCons!$B$4:$B$10000)*1,("-"=[1]OUT_TransportEnergyCons!$C$4:$C$10000)*1,ISNUMBER(SEARCH("TfL*ICE*GSL*",[1]OUT_TransportEnergyCons!$A$4:$A$10000))*1,[1]OUT_TransportEnergyCons!O$4:O$10000))*1000-Q2006</f>
        <v>0</v>
      </c>
      <c r="S2007" s="3"/>
    </row>
    <row r="2008" spans="2:19" x14ac:dyDescent="0.5">
      <c r="B2008" s="5" t="str">
        <f t="shared" si="2169"/>
        <v>SPS1</v>
      </c>
      <c r="C2008" s="5" t="str">
        <f t="shared" si="2170"/>
        <v>CH</v>
      </c>
      <c r="D2008" t="s">
        <v>2127</v>
      </c>
      <c r="E2008" t="s">
        <v>1999</v>
      </c>
      <c r="F2008" s="1" cm="1">
        <f t="array" ref="F2008">(SUMPRODUCT(("Var_Cap"=[1]OUT_TransportEnergyCons!$B$4:$B$10000)*1,("-"=[1]OUT_TransportEnergyCons!$C$4:$C$10000)*1,ISNUMBER(SEARCH("tfl*ICE*DSL*ext",[1]OUT_TransportEnergyCons!$A$4:$A$10000))*1,[1]OUT_TransportEnergyCons!D$4:D$10000))*1000</f>
        <v>228.7143898136444</v>
      </c>
      <c r="G2008" s="1" cm="1">
        <f t="array" ref="G2008">(SUMPRODUCT(("Var_Cap"=[1]OUT_TransportEnergyCons!$B$4:$B$10000)*1,("-"=[1]OUT_TransportEnergyCons!$C$4:$C$10000)*1,ISNUMBER(SEARCH("tfl*ICE*DSL*ext",[1]OUT_TransportEnergyCons!$A$4:$A$10000))*1,[1]OUT_TransportEnergyCons!E$4:E$10000))*1000</f>
        <v>198.46055888934967</v>
      </c>
      <c r="H2008" s="1" cm="1">
        <f t="array" ref="H2008">(SUMPRODUCT(("Var_Cap"=[1]OUT_TransportEnergyCons!$B$4:$B$10000)*1,("-"=[1]OUT_TransportEnergyCons!$C$4:$C$10000)*1,ISNUMBER(SEARCH("tfl*ICE*DSL*ext",[1]OUT_TransportEnergyCons!$A$4:$A$10000))*1,[1]OUT_TransportEnergyCons!F$4:F$10000))*1000</f>
        <v>76.331208800684593</v>
      </c>
      <c r="I2008" s="1" cm="1">
        <f t="array" ref="I2008">(SUMPRODUCT(("Var_Cap"=[1]OUT_TransportEnergyCons!$B$4:$B$10000)*1,("-"=[1]OUT_TransportEnergyCons!$C$4:$C$10000)*1,ISNUMBER(SEARCH("tfl*ICE*DSL*ext",[1]OUT_TransportEnergyCons!$A$4:$A$10000))*1,[1]OUT_TransportEnergyCons!G$4:G$10000))*1000</f>
        <v>76.330979146403891</v>
      </c>
      <c r="J2008" s="1" cm="1">
        <f t="array" ref="J2008">(SUMPRODUCT(("Var_Cap"=[1]OUT_TransportEnergyCons!$B$4:$B$10000)*1,("-"=[1]OUT_TransportEnergyCons!$C$4:$C$10000)*1,ISNUMBER(SEARCH("tfl*ICE*DSL*ext",[1]OUT_TransportEnergyCons!$A$4:$A$10000))*1,[1]OUT_TransportEnergyCons!H$4:H$10000))*1000</f>
        <v>0</v>
      </c>
      <c r="K2008" s="1" cm="1">
        <f t="array" ref="K2008">(SUMPRODUCT(("Var_Cap"=[1]OUT_TransportEnergyCons!$B$4:$B$10000)*1,("-"=[1]OUT_TransportEnergyCons!$C$4:$C$10000)*1,ISNUMBER(SEARCH("tfl*ICE*DSL*ext",[1]OUT_TransportEnergyCons!$A$4:$A$10000))*1,[1]OUT_TransportEnergyCons!I$4:I$10000))*1000</f>
        <v>0</v>
      </c>
      <c r="L2008" s="1" cm="1">
        <f t="array" ref="L2008">(SUMPRODUCT(("Var_Cap"=[1]OUT_TransportEnergyCons!$B$4:$B$10000)*1,("-"=[1]OUT_TransportEnergyCons!$C$4:$C$10000)*1,ISNUMBER(SEARCH("tfl*ICE*DSL*ext",[1]OUT_TransportEnergyCons!$A$4:$A$10000))*1,[1]OUT_TransportEnergyCons!J$4:J$10000))*1000</f>
        <v>0</v>
      </c>
      <c r="M2008" s="1" cm="1">
        <f t="array" ref="M2008">(SUMPRODUCT(("Var_Cap"=[1]OUT_TransportEnergyCons!$B$4:$B$10000)*1,("-"=[1]OUT_TransportEnergyCons!$C$4:$C$10000)*1,ISNUMBER(SEARCH("tfl*ICE*DSL*ext",[1]OUT_TransportEnergyCons!$A$4:$A$10000))*1,[1]OUT_TransportEnergyCons!K$4:K$10000))*1000</f>
        <v>0</v>
      </c>
      <c r="N2008" s="1" cm="1">
        <f t="array" ref="N2008">(SUMPRODUCT(("Var_Cap"=[1]OUT_TransportEnergyCons!$B$4:$B$10000)*1,("-"=[1]OUT_TransportEnergyCons!$C$4:$C$10000)*1,ISNUMBER(SEARCH("tfl*ICE*DSL*ext",[1]OUT_TransportEnergyCons!$A$4:$A$10000))*1,[1]OUT_TransportEnergyCons!L$4:L$10000))*1000</f>
        <v>0</v>
      </c>
      <c r="O2008" s="1" cm="1">
        <f t="array" ref="O2008">(SUMPRODUCT(("Var_Cap"=[1]OUT_TransportEnergyCons!$B$4:$B$10000)*1,("-"=[1]OUT_TransportEnergyCons!$C$4:$C$10000)*1,ISNUMBER(SEARCH("tfl*ICE*DSL*ext",[1]OUT_TransportEnergyCons!$A$4:$A$10000))*1,[1]OUT_TransportEnergyCons!M$4:M$10000))*1000</f>
        <v>0</v>
      </c>
      <c r="P2008" s="1" cm="1">
        <f t="array" ref="P2008">(SUMPRODUCT(("Var_Cap"=[1]OUT_TransportEnergyCons!$B$4:$B$10000)*1,("-"=[1]OUT_TransportEnergyCons!$C$4:$C$10000)*1,ISNUMBER(SEARCH("tfl*ICE*DSL*ext",[1]OUT_TransportEnergyCons!$A$4:$A$10000))*1,[1]OUT_TransportEnergyCons!N$4:N$10000))*1000</f>
        <v>0</v>
      </c>
      <c r="Q2008" s="1" cm="1">
        <f t="array" ref="Q2008">(SUMPRODUCT(("Var_Cap"=[1]OUT_TransportEnergyCons!$B$4:$B$10000)*1,("-"=[1]OUT_TransportEnergyCons!$C$4:$C$10000)*1,ISNUMBER(SEARCH("tfl*ICE*DSL*ext",[1]OUT_TransportEnergyCons!$A$4:$A$10000))*1,[1]OUT_TransportEnergyCons!O$4:O$10000))*1000</f>
        <v>0</v>
      </c>
      <c r="S2008" s="3"/>
    </row>
    <row r="2009" spans="2:19" x14ac:dyDescent="0.5">
      <c r="B2009" s="5" t="str">
        <f t="shared" si="2169"/>
        <v>SPS1</v>
      </c>
      <c r="C2009" s="5" t="str">
        <f t="shared" si="2170"/>
        <v>CH</v>
      </c>
      <c r="D2009" t="s">
        <v>2128</v>
      </c>
      <c r="E2009" t="s">
        <v>1999</v>
      </c>
      <c r="F2009" s="1" cm="1">
        <f t="array" ref="F2009">(SUMPRODUCT(("Var_Cap"=[1]OUT_TransportEnergyCons!$B$4:$B$10000)*1,("-"=[1]OUT_TransportEnergyCons!$C$4:$C$10000)*1,ISNUMBER(SEARCH("tfl*ICE*DSL*",[1]OUT_TransportEnergyCons!$A$4:$A$10000))*1,[1]OUT_TransportEnergyCons!D$4:D$10000))*1000-F2008</f>
        <v>106.16859300916406</v>
      </c>
      <c r="G2009" s="1" cm="1">
        <f t="array" ref="G2009">(SUMPRODUCT(("Var_Cap"=[1]OUT_TransportEnergyCons!$B$4:$B$10000)*1,("-"=[1]OUT_TransportEnergyCons!$C$4:$C$10000)*1,ISNUMBER(SEARCH("tfl*ICE*DSL*",[1]OUT_TransportEnergyCons!$A$4:$A$10000))*1,[1]OUT_TransportEnergyCons!E$4:E$10000))*1000-G2008</f>
        <v>125.1918086190509</v>
      </c>
      <c r="H2009" s="1" cm="1">
        <f t="array" ref="H2009">(SUMPRODUCT(("Var_Cap"=[1]OUT_TransportEnergyCons!$B$4:$B$10000)*1,("-"=[1]OUT_TransportEnergyCons!$C$4:$C$10000)*1,ISNUMBER(SEARCH("tfl*ICE*DSL*",[1]OUT_TransportEnergyCons!$A$4:$A$10000))*1,[1]OUT_TransportEnergyCons!F$4:F$10000))*1000-H2008</f>
        <v>98.976951508584634</v>
      </c>
      <c r="I2009" s="1" cm="1">
        <f t="array" ref="I2009">(SUMPRODUCT(("Var_Cap"=[1]OUT_TransportEnergyCons!$B$4:$B$10000)*1,("-"=[1]OUT_TransportEnergyCons!$C$4:$C$10000)*1,ISNUMBER(SEARCH("tfl*ICE*DSL*",[1]OUT_TransportEnergyCons!$A$4:$A$10000))*1,[1]OUT_TransportEnergyCons!G$4:G$10000))*1000-I2008</f>
        <v>63.049696301828121</v>
      </c>
      <c r="J2009" s="1" cm="1">
        <f t="array" ref="J2009">(SUMPRODUCT(("Var_Cap"=[1]OUT_TransportEnergyCons!$B$4:$B$10000)*1,("-"=[1]OUT_TransportEnergyCons!$C$4:$C$10000)*1,ISNUMBER(SEARCH("tfl*ICE*DSL*",[1]OUT_TransportEnergyCons!$A$4:$A$10000))*1,[1]OUT_TransportEnergyCons!H$4:H$10000))*1000-J2008</f>
        <v>0.13019219815646416</v>
      </c>
      <c r="K2009" s="1" cm="1">
        <f t="array" ref="K2009">(SUMPRODUCT(("Var_Cap"=[1]OUT_TransportEnergyCons!$B$4:$B$10000)*1,("-"=[1]OUT_TransportEnergyCons!$C$4:$C$10000)*1,ISNUMBER(SEARCH("tfl*ICE*DSL*",[1]OUT_TransportEnergyCons!$A$4:$A$10000))*1,[1]OUT_TransportEnergyCons!I$4:I$10000))*1000-K2008</f>
        <v>4.8162205608600992E-3</v>
      </c>
      <c r="L2009" s="1" cm="1">
        <f t="array" ref="L2009">(SUMPRODUCT(("Var_Cap"=[1]OUT_TransportEnergyCons!$B$4:$B$10000)*1,("-"=[1]OUT_TransportEnergyCons!$C$4:$C$10000)*1,ISNUMBER(SEARCH("tfl*ICE*DSL*",[1]OUT_TransportEnergyCons!$A$4:$A$10000))*1,[1]OUT_TransportEnergyCons!J$4:J$10000))*1000-L2008</f>
        <v>0</v>
      </c>
      <c r="M2009" s="1" cm="1">
        <f t="array" ref="M2009">(SUMPRODUCT(("Var_Cap"=[1]OUT_TransportEnergyCons!$B$4:$B$10000)*1,("-"=[1]OUT_TransportEnergyCons!$C$4:$C$10000)*1,ISNUMBER(SEARCH("tfl*ICE*DSL*",[1]OUT_TransportEnergyCons!$A$4:$A$10000))*1,[1]OUT_TransportEnergyCons!K$4:K$10000))*1000-M2008</f>
        <v>0</v>
      </c>
      <c r="N2009" s="1" cm="1">
        <f t="array" ref="N2009">(SUMPRODUCT(("Var_Cap"=[1]OUT_TransportEnergyCons!$B$4:$B$10000)*1,("-"=[1]OUT_TransportEnergyCons!$C$4:$C$10000)*1,ISNUMBER(SEARCH("tfl*ICE*DSL*",[1]OUT_TransportEnergyCons!$A$4:$A$10000))*1,[1]OUT_TransportEnergyCons!L$4:L$10000))*1000-N2008</f>
        <v>0</v>
      </c>
      <c r="O2009" s="1" cm="1">
        <f t="array" ref="O2009">(SUMPRODUCT(("Var_Cap"=[1]OUT_TransportEnergyCons!$B$4:$B$10000)*1,("-"=[1]OUT_TransportEnergyCons!$C$4:$C$10000)*1,ISNUMBER(SEARCH("tfl*ICE*DSL*",[1]OUT_TransportEnergyCons!$A$4:$A$10000))*1,[1]OUT_TransportEnergyCons!M$4:M$10000))*1000-O2008</f>
        <v>0</v>
      </c>
      <c r="P2009" s="1" cm="1">
        <f t="array" ref="P2009">(SUMPRODUCT(("Var_Cap"=[1]OUT_TransportEnergyCons!$B$4:$B$10000)*1,("-"=[1]OUT_TransportEnergyCons!$C$4:$C$10000)*1,ISNUMBER(SEARCH("tfl*ICE*DSL*",[1]OUT_TransportEnergyCons!$A$4:$A$10000))*1,[1]OUT_TransportEnergyCons!N$4:N$10000))*1000-P2008</f>
        <v>0</v>
      </c>
      <c r="Q2009" s="1" cm="1">
        <f t="array" ref="Q2009">(SUMPRODUCT(("Var_Cap"=[1]OUT_TransportEnergyCons!$B$4:$B$10000)*1,("-"=[1]OUT_TransportEnergyCons!$C$4:$C$10000)*1,ISNUMBER(SEARCH("tfl*ICE*DSL*",[1]OUT_TransportEnergyCons!$A$4:$A$10000))*1,[1]OUT_TransportEnergyCons!O$4:O$10000))*1000-Q2008</f>
        <v>0</v>
      </c>
      <c r="S2009" s="3"/>
    </row>
    <row r="2010" spans="2:19" x14ac:dyDescent="0.5">
      <c r="B2010" s="5" t="str">
        <f t="shared" si="2169"/>
        <v>SPS1</v>
      </c>
      <c r="C2010" s="5" t="str">
        <f t="shared" si="2170"/>
        <v>CH</v>
      </c>
      <c r="D2010" t="s">
        <v>2129</v>
      </c>
      <c r="E2010" t="s">
        <v>1999</v>
      </c>
      <c r="F2010" s="1" cm="1">
        <f t="array" ref="F2010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10" s="1" cm="1">
        <f t="array" ref="G2010">(SUMPRODUCT(("Var_Cap"=[1]OUT_TransportEnergyCons!$B$4:$B$10000)*1,("-"=[1]OUT_TransportEnergyCons!$C$4:$C$10000)*1,ISNUMBER(SEARCH("tfl*hyb*DSL*",[1]OUT_TransportEnergyCons!$A$4:$A$10000))*1,[1]OUT_TransportEnergyCons!E$4:E$10000))*1000</f>
        <v>7.3660656056819205</v>
      </c>
      <c r="H2010" s="1" cm="1">
        <f t="array" ref="H2010">(SUMPRODUCT(("Var_Cap"=[1]OUT_TransportEnergyCons!$B$4:$B$10000)*1,("-"=[1]OUT_TransportEnergyCons!$C$4:$C$10000)*1,ISNUMBER(SEARCH("tfl*hyb*DSL*",[1]OUT_TransportEnergyCons!$A$4:$A$10000))*1,[1]OUT_TransportEnergyCons!F$4:F$10000))*1000</f>
        <v>7.3962596515768153</v>
      </c>
      <c r="I2010" s="1" cm="1">
        <f t="array" ref="I2010">(SUMPRODUCT(("Var_Cap"=[1]OUT_TransportEnergyCons!$B$4:$B$10000)*1,("-"=[1]OUT_TransportEnergyCons!$C$4:$C$10000)*1,ISNUMBER(SEARCH("tfl*hyb*DSL*",[1]OUT_TransportEnergyCons!$A$4:$A$10000))*1,[1]OUT_TransportEnergyCons!G$4:G$10000))*1000</f>
        <v>21.89055706052039</v>
      </c>
      <c r="J2010" s="1" cm="1">
        <f t="array" ref="J2010">(SUMPRODUCT(("Var_Cap"=[1]OUT_TransportEnergyCons!$B$4:$B$10000)*1,("-"=[1]OUT_TransportEnergyCons!$C$4:$C$10000)*1,ISNUMBER(SEARCH("tfl*hyb*DSL*",[1]OUT_TransportEnergyCons!$A$4:$A$10000))*1,[1]OUT_TransportEnergyCons!H$4:H$10000))*1000</f>
        <v>15.485705154218769</v>
      </c>
      <c r="K2010" s="1" cm="1">
        <f t="array" ref="K2010">(SUMPRODUCT(("Var_Cap"=[1]OUT_TransportEnergyCons!$B$4:$B$10000)*1,("-"=[1]OUT_TransportEnergyCons!$C$4:$C$10000)*1,ISNUMBER(SEARCH("tfl*hyb*DSL*",[1]OUT_TransportEnergyCons!$A$4:$A$10000))*1,[1]OUT_TransportEnergyCons!I$4:I$10000))*1000</f>
        <v>6.7212408252199062E-3</v>
      </c>
      <c r="L2010" s="1" cm="1">
        <f t="array" ref="L2010">(SUMPRODUCT(("Var_Cap"=[1]OUT_TransportEnergyCons!$B$4:$B$10000)*1,("-"=[1]OUT_TransportEnergyCons!$C$4:$C$10000)*1,ISNUMBER(SEARCH("tfl*hyb*DSL*",[1]OUT_TransportEnergyCons!$A$4:$A$10000))*1,[1]OUT_TransportEnergyCons!J$4:J$10000))*1000</f>
        <v>0</v>
      </c>
      <c r="M2010" s="1" cm="1">
        <f t="array" ref="M2010">(SUMPRODUCT(("Var_Cap"=[1]OUT_TransportEnergyCons!$B$4:$B$10000)*1,("-"=[1]OUT_TransportEnergyCons!$C$4:$C$10000)*1,ISNUMBER(SEARCH("tfl*hyb*DSL*",[1]OUT_TransportEnergyCons!$A$4:$A$10000))*1,[1]OUT_TransportEnergyCons!K$4:K$10000))*1000</f>
        <v>0</v>
      </c>
      <c r="N2010" s="1" cm="1">
        <f t="array" ref="N2010">(SUMPRODUCT(("Var_Cap"=[1]OUT_TransportEnergyCons!$B$4:$B$10000)*1,("-"=[1]OUT_TransportEnergyCons!$C$4:$C$10000)*1,ISNUMBER(SEARCH("tfl*hyb*DSL*",[1]OUT_TransportEnergyCons!$A$4:$A$10000))*1,[1]OUT_TransportEnergyCons!L$4:L$10000))*1000</f>
        <v>0</v>
      </c>
      <c r="O2010" s="1" cm="1">
        <f t="array" ref="O2010">(SUMPRODUCT(("Var_Cap"=[1]OUT_TransportEnergyCons!$B$4:$B$10000)*1,("-"=[1]OUT_TransportEnergyCons!$C$4:$C$10000)*1,ISNUMBER(SEARCH("tfl*hyb*DSL*",[1]OUT_TransportEnergyCons!$A$4:$A$10000))*1,[1]OUT_TransportEnergyCons!M$4:M$10000))*1000</f>
        <v>0</v>
      </c>
      <c r="P2010" s="1" cm="1">
        <f t="array" ref="P2010">(SUMPRODUCT(("Var_Cap"=[1]OUT_TransportEnergyCons!$B$4:$B$10000)*1,("-"=[1]OUT_TransportEnergyCons!$C$4:$C$10000)*1,ISNUMBER(SEARCH("tfl*hyb*DSL*",[1]OUT_TransportEnergyCons!$A$4:$A$10000))*1,[1]OUT_TransportEnergyCons!N$4:N$10000))*1000</f>
        <v>0</v>
      </c>
      <c r="Q2010" s="1" cm="1">
        <f t="array" ref="Q2010">(SUMPRODUCT(("Var_Cap"=[1]OUT_TransportEnergyCons!$B$4:$B$10000)*1,("-"=[1]OUT_TransportEnergyCons!$C$4:$C$10000)*1,ISNUMBER(SEARCH("tfl*hyb*DSL*",[1]OUT_TransportEnergyCons!$A$4:$A$10000))*1,[1]OUT_TransportEnergyCons!O$4:O$10000))*1000</f>
        <v>0</v>
      </c>
      <c r="S2010" s="3"/>
    </row>
    <row r="2011" spans="2:19" x14ac:dyDescent="0.5">
      <c r="B2011" s="5" t="str">
        <f t="shared" si="2169"/>
        <v>SPS1</v>
      </c>
      <c r="C2011" s="5" t="str">
        <f t="shared" si="2170"/>
        <v>CH</v>
      </c>
      <c r="D2011" t="s">
        <v>2130</v>
      </c>
      <c r="E2011" t="s">
        <v>1999</v>
      </c>
      <c r="F2011" s="1" cm="1">
        <f t="array" ref="F2011">(SUMPRODUCT(("Var_Cap"=[1]OUT_TransportEnergyCons!$B$4:$B$10000)*1,("-"=[1]OUT_TransportEnergyCons!$C$4:$C$10000)*1,ISNUMBER(SEARCH("tfl*ice*nga*",[1]OUT_TransportEnergyCons!$A$4:$A$10000))*1,[1]OUT_TransportEnergyCons!D$4:D$10000))*1000</f>
        <v>2.6680218634811976</v>
      </c>
      <c r="G2011" s="1" cm="1">
        <f t="array" ref="G2011">(SUMPRODUCT(("Var_Cap"=[1]OUT_TransportEnergyCons!$B$4:$B$10000)*1,("-"=[1]OUT_TransportEnergyCons!$C$4:$C$10000)*1,ISNUMBER(SEARCH("tfl*ice*nga*",[1]OUT_TransportEnergyCons!$A$4:$A$10000))*1,[1]OUT_TransportEnergyCons!E$4:E$10000))*1000</f>
        <v>2.5373481089355669</v>
      </c>
      <c r="H2011" s="1" cm="1">
        <f t="array" ref="H2011">(SUMPRODUCT(("Var_Cap"=[1]OUT_TransportEnergyCons!$B$4:$B$10000)*1,("-"=[1]OUT_TransportEnergyCons!$C$4:$C$10000)*1,ISNUMBER(SEARCH("tfl*ice*nga*",[1]OUT_TransportEnergyCons!$A$4:$A$10000))*1,[1]OUT_TransportEnergyCons!F$4:F$10000))*1000</f>
        <v>2.1241306203271093</v>
      </c>
      <c r="I2011" s="1" cm="1">
        <f t="array" ref="I2011">(SUMPRODUCT(("Var_Cap"=[1]OUT_TransportEnergyCons!$B$4:$B$10000)*1,("-"=[1]OUT_TransportEnergyCons!$C$4:$C$10000)*1,ISNUMBER(SEARCH("tfl*ice*nga*",[1]OUT_TransportEnergyCons!$A$4:$A$10000))*1,[1]OUT_TransportEnergyCons!G$4:G$10000))*1000</f>
        <v>-8.1659364476664546E-4</v>
      </c>
      <c r="J2011" s="1" cm="1">
        <f t="array" ref="J2011">(SUMPRODUCT(("Var_Cap"=[1]OUT_TransportEnergyCons!$B$4:$B$10000)*1,("-"=[1]OUT_TransportEnergyCons!$C$4:$C$10000)*1,ISNUMBER(SEARCH("tfl*ice*nga*",[1]OUT_TransportEnergyCons!$A$4:$A$10000))*1,[1]OUT_TransportEnergyCons!H$4:H$10000))*1000</f>
        <v>-2.4607003674505994E-4</v>
      </c>
      <c r="K2011" s="1" cm="1">
        <f t="array" ref="K2011">(SUMPRODUCT(("Var_Cap"=[1]OUT_TransportEnergyCons!$B$4:$B$10000)*1,("-"=[1]OUT_TransportEnergyCons!$C$4:$C$10000)*1,ISNUMBER(SEARCH("tfl*ice*nga*",[1]OUT_TransportEnergyCons!$A$4:$A$10000))*1,[1]OUT_TransportEnergyCons!I$4:I$10000))*1000</f>
        <v>0</v>
      </c>
      <c r="L2011" s="1" cm="1">
        <f t="array" ref="L2011">(SUMPRODUCT(("Var_Cap"=[1]OUT_TransportEnergyCons!$B$4:$B$10000)*1,("-"=[1]OUT_TransportEnergyCons!$C$4:$C$10000)*1,ISNUMBER(SEARCH("tfl*ice*nga*",[1]OUT_TransportEnergyCons!$A$4:$A$10000))*1,[1]OUT_TransportEnergyCons!J$4:J$10000))*1000</f>
        <v>0</v>
      </c>
      <c r="M2011" s="1" cm="1">
        <f t="array" ref="M2011">(SUMPRODUCT(("Var_Cap"=[1]OUT_TransportEnergyCons!$B$4:$B$10000)*1,("-"=[1]OUT_TransportEnergyCons!$C$4:$C$10000)*1,ISNUMBER(SEARCH("tfl*ice*nga*",[1]OUT_TransportEnergyCons!$A$4:$A$10000))*1,[1]OUT_TransportEnergyCons!K$4:K$10000))*1000</f>
        <v>0</v>
      </c>
      <c r="N2011" s="1" cm="1">
        <f t="array" ref="N2011">(SUMPRODUCT(("Var_Cap"=[1]OUT_TransportEnergyCons!$B$4:$B$10000)*1,("-"=[1]OUT_TransportEnergyCons!$C$4:$C$10000)*1,ISNUMBER(SEARCH("tfl*ice*nga*",[1]OUT_TransportEnergyCons!$A$4:$A$10000))*1,[1]OUT_TransportEnergyCons!L$4:L$10000))*1000</f>
        <v>0</v>
      </c>
      <c r="O2011" s="1" cm="1">
        <f t="array" ref="O2011">(SUMPRODUCT(("Var_Cap"=[1]OUT_TransportEnergyCons!$B$4:$B$10000)*1,("-"=[1]OUT_TransportEnergyCons!$C$4:$C$10000)*1,ISNUMBER(SEARCH("tfl*ice*nga*",[1]OUT_TransportEnergyCons!$A$4:$A$10000))*1,[1]OUT_TransportEnergyCons!M$4:M$10000))*1000</f>
        <v>0</v>
      </c>
      <c r="P2011" s="1" cm="1">
        <f t="array" ref="P2011">(SUMPRODUCT(("Var_Cap"=[1]OUT_TransportEnergyCons!$B$4:$B$10000)*1,("-"=[1]OUT_TransportEnergyCons!$C$4:$C$10000)*1,ISNUMBER(SEARCH("tfl*ice*nga*",[1]OUT_TransportEnergyCons!$A$4:$A$10000))*1,[1]OUT_TransportEnergyCons!N$4:N$10000))*1000</f>
        <v>0</v>
      </c>
      <c r="Q2011" s="1" cm="1">
        <f t="array" ref="Q2011">(SUMPRODUCT(("Var_Cap"=[1]OUT_TransportEnergyCons!$B$4:$B$10000)*1,("-"=[1]OUT_TransportEnergyCons!$C$4:$C$10000)*1,ISNUMBER(SEARCH("tfl*ice*nga*",[1]OUT_TransportEnergyCons!$A$4:$A$10000))*1,[1]OUT_TransportEnergyCons!O$4:O$10000))*1000</f>
        <v>0</v>
      </c>
      <c r="S2011" s="3"/>
    </row>
    <row r="2012" spans="2:19" x14ac:dyDescent="0.5">
      <c r="B2012" s="5" t="str">
        <f>B2011</f>
        <v>SPS1</v>
      </c>
      <c r="C2012" s="5" t="str">
        <f>C2011</f>
        <v>CH</v>
      </c>
      <c r="D2012" s="2" t="s">
        <v>2133</v>
      </c>
      <c r="E2012" s="2" t="s">
        <v>1999</v>
      </c>
      <c r="F2012" s="3">
        <f>SUM(F2013:F2021)</f>
        <v>41.637000517237823</v>
      </c>
      <c r="G2012" s="3">
        <f t="shared" ref="G2012" si="2171">SUM(G2013:G2021)</f>
        <v>42.3559448659298</v>
      </c>
      <c r="H2012" s="3">
        <f t="shared" ref="H2012" si="2172">SUM(H2013:H2021)</f>
        <v>43.548608893105374</v>
      </c>
      <c r="I2012" s="3">
        <f t="shared" ref="I2012" si="2173">SUM(I2013:I2021)</f>
        <v>45.397709945869245</v>
      </c>
      <c r="J2012" s="3">
        <f t="shared" ref="J2012" si="2174">SUM(J2013:J2021)</f>
        <v>47.378052224939928</v>
      </c>
      <c r="K2012" s="3">
        <f t="shared" ref="K2012" si="2175">SUM(K2013:K2021)</f>
        <v>49.357994949533399</v>
      </c>
      <c r="L2012" s="3">
        <f t="shared" ref="L2012:O2012" si="2176">SUM(L2013:L2021)</f>
        <v>51.363356732537106</v>
      </c>
      <c r="M2012" s="3">
        <f t="shared" si="2176"/>
        <v>53.368380193861512</v>
      </c>
      <c r="N2012" s="3">
        <f t="shared" si="2176"/>
        <v>55.268026441346528</v>
      </c>
      <c r="O2012" s="3">
        <f t="shared" si="2176"/>
        <v>57.194099915167996</v>
      </c>
      <c r="P2012" s="3">
        <f>SUM(P2013:P2021)</f>
        <v>59.230919868258852</v>
      </c>
      <c r="Q2012" s="3">
        <f>SUM(Q2013:Q2021)</f>
        <v>61.549815369850641</v>
      </c>
      <c r="S2012" s="3"/>
    </row>
    <row r="2013" spans="2:19" x14ac:dyDescent="0.5">
      <c r="B2013" s="5" t="str">
        <f t="shared" ref="B2013:B2021" si="2177">B2012</f>
        <v>SPS1</v>
      </c>
      <c r="C2013" s="5" t="str">
        <f t="shared" ref="C2013:C2021" si="2178">C2012</f>
        <v>CH</v>
      </c>
      <c r="D2013" t="s">
        <v>2134</v>
      </c>
      <c r="E2013" t="s">
        <v>1999</v>
      </c>
      <c r="F2013" s="1" cm="1">
        <f t="array" ref="F2013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13" s="1" cm="1">
        <f t="array" ref="G2013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13" s="1" cm="1">
        <f t="array" ref="H2013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13" s="1" cm="1">
        <f t="array" ref="I2013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13" s="1" cm="1">
        <f t="array" ref="J2013">(SUMPRODUCT(("Var_Cap"=[1]OUT_TransportEnergyCons!$B$4:$B$10000)*1,("-"=[1]OUT_TransportEnergyCons!$C$4:$C$10000)*1,ISNUMBER(SEARCH("tfh*bev*ext",[1]OUT_TransportEnergyCons!$A$4:$A$10000))*1,[1]OUT_TransportEnergyCons!H$4:H$10000))*1000</f>
        <v>0</v>
      </c>
      <c r="K2013" s="1" cm="1">
        <f t="array" ref="K2013">(SUMPRODUCT(("Var_Cap"=[1]OUT_TransportEnergyCons!$B$4:$B$10000)*1,("-"=[1]OUT_TransportEnergyCons!$C$4:$C$10000)*1,ISNUMBER(SEARCH("tfh*bev*ext",[1]OUT_TransportEnergyCons!$A$4:$A$10000))*1,[1]OUT_TransportEnergyCons!I$4:I$10000))*1000</f>
        <v>0</v>
      </c>
      <c r="L2013" s="1" cm="1">
        <f t="array" ref="L2013">(SUMPRODUCT(("Var_Cap"=[1]OUT_TransportEnergyCons!$B$4:$B$10000)*1,("-"=[1]OUT_TransportEnergyCons!$C$4:$C$10000)*1,ISNUMBER(SEARCH("tfh*bev*ext",[1]OUT_TransportEnergyCons!$A$4:$A$10000))*1,[1]OUT_TransportEnergyCons!J$4:J$10000))*1000</f>
        <v>0</v>
      </c>
      <c r="M2013" s="1" cm="1">
        <f t="array" ref="M2013">(SUMPRODUCT(("Var_Cap"=[1]OUT_TransportEnergyCons!$B$4:$B$10000)*1,("-"=[1]OUT_TransportEnergyCons!$C$4:$C$10000)*1,ISNUMBER(SEARCH("tfh*bev*ext",[1]OUT_TransportEnergyCons!$A$4:$A$10000))*1,[1]OUT_TransportEnergyCons!K$4:K$10000))*1000</f>
        <v>0</v>
      </c>
      <c r="N2013" s="1" cm="1">
        <f t="array" ref="N2013">(SUMPRODUCT(("Var_Cap"=[1]OUT_TransportEnergyCons!$B$4:$B$10000)*1,("-"=[1]OUT_TransportEnergyCons!$C$4:$C$10000)*1,ISNUMBER(SEARCH("tfh*bev*ext",[1]OUT_TransportEnergyCons!$A$4:$A$10000))*1,[1]OUT_TransportEnergyCons!L$4:L$10000))*1000</f>
        <v>0</v>
      </c>
      <c r="O2013" s="1" cm="1">
        <f t="array" ref="O2013">(SUMPRODUCT(("Var_Cap"=[1]OUT_TransportEnergyCons!$B$4:$B$10000)*1,("-"=[1]OUT_TransportEnergyCons!$C$4:$C$10000)*1,ISNUMBER(SEARCH("tfh*bev*ext",[1]OUT_TransportEnergyCons!$A$4:$A$10000))*1,[1]OUT_TransportEnergyCons!M$4:M$10000))*1000</f>
        <v>0</v>
      </c>
      <c r="P2013" s="1" cm="1">
        <f t="array" ref="P2013">(SUMPRODUCT(("Var_Cap"=[1]OUT_TransportEnergyCons!$B$4:$B$10000)*1,("-"=[1]OUT_TransportEnergyCons!$C$4:$C$10000)*1,ISNUMBER(SEARCH("tfh*bev*ext",[1]OUT_TransportEnergyCons!$A$4:$A$10000))*1,[1]OUT_TransportEnergyCons!N$4:N$10000))*1000</f>
        <v>0</v>
      </c>
      <c r="Q2013" s="1" cm="1">
        <f t="array" ref="Q2013">(SUMPRODUCT(("Var_Cap"=[1]OUT_TransportEnergyCons!$B$4:$B$10000)*1,("-"=[1]OUT_TransportEnergyCons!$C$4:$C$10000)*1,ISNUMBER(SEARCH("tfh*bev*ext",[1]OUT_TransportEnergyCons!$A$4:$A$10000))*1,[1]OUT_TransportEnergyCons!O$4:O$10000))*1000</f>
        <v>0</v>
      </c>
      <c r="S2013" s="3"/>
    </row>
    <row r="2014" spans="2:19" x14ac:dyDescent="0.5">
      <c r="B2014" s="5" t="str">
        <f t="shared" si="2177"/>
        <v>SPS1</v>
      </c>
      <c r="C2014" s="5" t="str">
        <f t="shared" si="2178"/>
        <v>CH</v>
      </c>
      <c r="D2014" t="s">
        <v>2135</v>
      </c>
      <c r="E2014" t="s">
        <v>1999</v>
      </c>
      <c r="F2014" s="1" cm="1">
        <f t="array" ref="F2014">(SUMPRODUCT(("Var_Cap"=[1]OUT_TransportEnergyCons!$B$4:$B$10000)*1,("-"=[1]OUT_TransportEnergyCons!$C$4:$C$10000)*1,ISNUMBER(SEARCH("tfh*bev*",[1]OUT_TransportEnergyCons!$A$4:$A$10000))*1,[1]OUT_TransportEnergyCons!D$4:D$10000))*1000-F2013</f>
        <v>5.1860112521447822E-2</v>
      </c>
      <c r="G2014" s="1" cm="1">
        <f t="array" ref="G2014">(SUMPRODUCT(("Var_Cap"=[1]OUT_TransportEnergyCons!$B$4:$B$10000)*1,("-"=[1]OUT_TransportEnergyCons!$C$4:$C$10000)*1,ISNUMBER(SEARCH("tfh*bev*",[1]OUT_TransportEnergyCons!$A$4:$A$10000))*1,[1]OUT_TransportEnergyCons!E$4:E$10000))*1000-G2013</f>
        <v>0.29657204824915279</v>
      </c>
      <c r="H2014" s="1" cm="1">
        <f t="array" ref="H2014">(SUMPRODUCT(("Var_Cap"=[1]OUT_TransportEnergyCons!$B$4:$B$10000)*1,("-"=[1]OUT_TransportEnergyCons!$C$4:$C$10000)*1,ISNUMBER(SEARCH("tfh*bev*",[1]OUT_TransportEnergyCons!$A$4:$A$10000))*1,[1]OUT_TransportEnergyCons!F$4:F$10000))*1000-H2013</f>
        <v>39.975181603926323</v>
      </c>
      <c r="I2014" s="1" cm="1">
        <f t="array" ref="I2014">(SUMPRODUCT(("Var_Cap"=[1]OUT_TransportEnergyCons!$B$4:$B$10000)*1,("-"=[1]OUT_TransportEnergyCons!$C$4:$C$10000)*1,ISNUMBER(SEARCH("tfh*bev*",[1]OUT_TransportEnergyCons!$A$4:$A$10000))*1,[1]OUT_TransportEnergyCons!G$4:G$10000))*1000-I2013</f>
        <v>29.125376530292986</v>
      </c>
      <c r="J2014" s="1" cm="1">
        <f t="array" ref="J2014">(SUMPRODUCT(("Var_Cap"=[1]OUT_TransportEnergyCons!$B$4:$B$10000)*1,("-"=[1]OUT_TransportEnergyCons!$C$4:$C$10000)*1,ISNUMBER(SEARCH("tfh*bev*",[1]OUT_TransportEnergyCons!$A$4:$A$10000))*1,[1]OUT_TransportEnergyCons!H$4:H$10000))*1000-J2013</f>
        <v>9.1995801910265378</v>
      </c>
      <c r="K2014" s="1" cm="1">
        <f t="array" ref="K2014">(SUMPRODUCT(("Var_Cap"=[1]OUT_TransportEnergyCons!$B$4:$B$10000)*1,("-"=[1]OUT_TransportEnergyCons!$C$4:$C$10000)*1,ISNUMBER(SEARCH("tfh*bev*",[1]OUT_TransportEnergyCons!$A$4:$A$10000))*1,[1]OUT_TransportEnergyCons!I$4:I$10000))*1000-K2013</f>
        <v>13.284915535446025</v>
      </c>
      <c r="L2014" s="1" cm="1">
        <f t="array" ref="L2014">(SUMPRODUCT(("Var_Cap"=[1]OUT_TransportEnergyCons!$B$4:$B$10000)*1,("-"=[1]OUT_TransportEnergyCons!$C$4:$C$10000)*1,ISNUMBER(SEARCH("tfh*bev*",[1]OUT_TransportEnergyCons!$A$4:$A$10000))*1,[1]OUT_TransportEnergyCons!J$4:J$10000))*1000-L2013</f>
        <v>47.255317937103761</v>
      </c>
      <c r="M2014" s="1" cm="1">
        <f t="array" ref="M2014">(SUMPRODUCT(("Var_Cap"=[1]OUT_TransportEnergyCons!$B$4:$B$10000)*1,("-"=[1]OUT_TransportEnergyCons!$C$4:$C$10000)*1,ISNUMBER(SEARCH("tfh*bev*",[1]OUT_TransportEnergyCons!$A$4:$A$10000))*1,[1]OUT_TransportEnergyCons!K$4:K$10000))*1000-M2013</f>
        <v>53.340661800504215</v>
      </c>
      <c r="N2014" s="1" cm="1">
        <f t="array" ref="N2014">(SUMPRODUCT(("Var_Cap"=[1]OUT_TransportEnergyCons!$B$4:$B$10000)*1,("-"=[1]OUT_TransportEnergyCons!$C$4:$C$10000)*1,ISNUMBER(SEARCH("tfh*bev*",[1]OUT_TransportEnergyCons!$A$4:$A$10000))*1,[1]OUT_TransportEnergyCons!L$4:L$10000))*1000-N2013</f>
        <v>55.26204982273827</v>
      </c>
      <c r="O2014" s="1" cm="1">
        <f t="array" ref="O2014">(SUMPRODUCT(("Var_Cap"=[1]OUT_TransportEnergyCons!$B$4:$B$10000)*1,("-"=[1]OUT_TransportEnergyCons!$C$4:$C$10000)*1,ISNUMBER(SEARCH("tfh*bev*",[1]OUT_TransportEnergyCons!$A$4:$A$10000))*1,[1]OUT_TransportEnergyCons!M$4:M$10000))*1000-O2013</f>
        <v>57.188162856329434</v>
      </c>
      <c r="P2014" s="1" cm="1">
        <f t="array" ref="P2014">(SUMPRODUCT(("Var_Cap"=[1]OUT_TransportEnergyCons!$B$4:$B$10000)*1,("-"=[1]OUT_TransportEnergyCons!$C$4:$C$10000)*1,ISNUMBER(SEARCH("tfh*bev*",[1]OUT_TransportEnergyCons!$A$4:$A$10000))*1,[1]OUT_TransportEnergyCons!N$4:N$10000))*1000-P2013</f>
        <v>59.224459460746175</v>
      </c>
      <c r="Q2014" s="1" cm="1">
        <f t="array" ref="Q2014">(SUMPRODUCT(("Var_Cap"=[1]OUT_TransportEnergyCons!$B$4:$B$10000)*1,("-"=[1]OUT_TransportEnergyCons!$C$4:$C$10000)*1,ISNUMBER(SEARCH("tfh*bev*",[1]OUT_TransportEnergyCons!$A$4:$A$10000))*1,[1]OUT_TransportEnergyCons!O$4:O$10000))*1000-Q2013</f>
        <v>61.542519711542425</v>
      </c>
      <c r="S2014" s="3"/>
    </row>
    <row r="2015" spans="2:19" x14ac:dyDescent="0.5">
      <c r="B2015" s="5" t="str">
        <f t="shared" si="2177"/>
        <v>SPS1</v>
      </c>
      <c r="C2015" s="5" t="str">
        <f t="shared" si="2178"/>
        <v>CH</v>
      </c>
      <c r="D2015" t="s">
        <v>2136</v>
      </c>
      <c r="E2015" t="s">
        <v>1999</v>
      </c>
      <c r="F2015" s="1" cm="1">
        <f t="array" ref="F2015">IF((SUMPRODUCT(("Var_Cap"=[1]OUT_TransportEnergyCons!$B$4:$B$10000)*1,("-"=[1]OUT_TransportEnergyCons!$C$4:$C$10000)*1,ISNUMBER(SEARCH("tfh*h2o*",[1]OUT_TransportEnergyCons!$A$4:$A$10000))*1,[1]OUT_TransportEnergyCons!D$4:D$10000))*1000&lt;0,0,(SUMPRODUCT(("Var_Cap"=[1]OUT_TransportEnergyCons!$B$4:$B$10000)*1,("-"=[1]OUT_TransportEnergyCons!$C$4:$C$10000)*1,ISNUMBER(SEARCH("tfh*h2o*",[1]OUT_TransportEnergyCons!$A$4:$A$10000))*1,[1]OUT_TransportEnergyCons!D$4:D$10000))*1000)</f>
        <v>1.3959816660404988E-2</v>
      </c>
      <c r="G2015" s="1" cm="1">
        <f t="array" ref="G2015">IF((SUMPRODUCT(("Var_Cap"=[1]OUT_TransportEnergyCons!$B$4:$B$10000)*1,("-"=[1]OUT_TransportEnergyCons!$C$4:$C$10000)*1,ISNUMBER(SEARCH("tfh*h2o*",[1]OUT_TransportEnergyCons!$A$4:$A$10000))*1,[1]OUT_TransportEnergyCons!E$4:E$10000))*1000&lt;0,0,(SUMPRODUCT(("Var_Cap"=[1]OUT_TransportEnergyCons!$B$4:$B$10000)*1,("-"=[1]OUT_TransportEnergyCons!$C$4:$C$10000)*1,ISNUMBER(SEARCH("tfh*h2o*",[1]OUT_TransportEnergyCons!$A$4:$A$10000))*1,[1]OUT_TransportEnergyCons!E$4:E$10000))*1000)</f>
        <v>4.4464461273137586E-2</v>
      </c>
      <c r="H2015" s="1" cm="1">
        <f t="array" ref="H2015">IF((SUMPRODUCT(("Var_Cap"=[1]OUT_TransportEnergyCons!$B$4:$B$10000)*1,("-"=[1]OUT_TransportEnergyCons!$C$4:$C$10000)*1,ISNUMBER(SEARCH("tfh*h2o*",[1]OUT_TransportEnergyCons!$A$4:$A$10000))*1,[1]OUT_TransportEnergyCons!F$4:F$10000))*1000&lt;0,0,(SUMPRODUCT(("Var_Cap"=[1]OUT_TransportEnergyCons!$B$4:$B$10000)*1,("-"=[1]OUT_TransportEnergyCons!$C$4:$C$10000)*1,ISNUMBER(SEARCH("tfh*h2o*",[1]OUT_TransportEnergyCons!$A$4:$A$10000))*1,[1]OUT_TransportEnergyCons!F$4:F$10000))*1000)</f>
        <v>4.4786088805329125E-2</v>
      </c>
      <c r="I2015" s="1" cm="1">
        <f t="array" ref="I2015">IF((SUMPRODUCT(("Var_Cap"=[1]OUT_TransportEnergyCons!$B$4:$B$10000)*1,("-"=[1]OUT_TransportEnergyCons!$C$4:$C$10000)*1,ISNUMBER(SEARCH("tfh*h2o*",[1]OUT_TransportEnergyCons!$A$4:$A$10000))*1,[1]OUT_TransportEnergyCons!G$4:G$10000))*1000&lt;0,0,(SUMPRODUCT(("Var_Cap"=[1]OUT_TransportEnergyCons!$B$4:$B$10000)*1,("-"=[1]OUT_TransportEnergyCons!$C$4:$C$10000)*1,ISNUMBER(SEARCH("tfh*h2o*",[1]OUT_TransportEnergyCons!$A$4:$A$10000))*1,[1]OUT_TransportEnergyCons!G$4:G$10000))*1000)</f>
        <v>5.093779594832067E-3</v>
      </c>
      <c r="J2015" s="1" cm="1">
        <f t="array" ref="J2015">IF((SUMPRODUCT(("Var_Cap"=[1]OUT_TransportEnergyCons!$B$4:$B$10000)*1,("-"=[1]OUT_TransportEnergyCons!$C$4:$C$10000)*1,ISNUMBER(SEARCH("tfh*h2o*",[1]OUT_TransportEnergyCons!$A$4:$A$10000))*1,[1]OUT_TransportEnergyCons!H$4:H$10000))*1000&lt;0,0,(SUMPRODUCT(("Var_Cap"=[1]OUT_TransportEnergyCons!$B$4:$B$10000)*1,("-"=[1]OUT_TransportEnergyCons!$C$4:$C$10000)*1,ISNUMBER(SEARCH("tfh*h2o*",[1]OUT_TransportEnergyCons!$A$4:$A$10000))*1,[1]OUT_TransportEnergyCons!H$4:H$10000))*1000)</f>
        <v>5.1042273114549801E-3</v>
      </c>
      <c r="K2015" s="1" cm="1">
        <f t="array" ref="K2015">IF((SUMPRODUCT(("Var_Cap"=[1]OUT_TransportEnergyCons!$B$4:$B$10000)*1,("-"=[1]OUT_TransportEnergyCons!$C$4:$C$10000)*1,ISNUMBER(SEARCH("tfh*h2o*",[1]OUT_TransportEnergyCons!$A$4:$A$10000))*1,[1]OUT_TransportEnergyCons!I$4:I$10000))*1000&lt;0,0,(SUMPRODUCT(("Var_Cap"=[1]OUT_TransportEnergyCons!$B$4:$B$10000)*1,("-"=[1]OUT_TransportEnergyCons!$C$4:$C$10000)*1,ISNUMBER(SEARCH("tfh*h2o*",[1]OUT_TransportEnergyCons!$A$4:$A$10000))*1,[1]OUT_TransportEnergyCons!I$4:I$10000))*1000)</f>
        <v>6.1253273310054052E-3</v>
      </c>
      <c r="L2015" s="1" cm="1">
        <f t="array" ref="L2015">IF((SUMPRODUCT(("Var_Cap"=[1]OUT_TransportEnergyCons!$B$4:$B$10000)*1,("-"=[1]OUT_TransportEnergyCons!$C$4:$C$10000)*1,ISNUMBER(SEARCH("tfh*h2o*",[1]OUT_TransportEnergyCons!$A$4:$A$10000))*1,[1]OUT_TransportEnergyCons!J$4:J$10000))*1000&lt;0,0,(SUMPRODUCT(("Var_Cap"=[1]OUT_TransportEnergyCons!$B$4:$B$10000)*1,("-"=[1]OUT_TransportEnergyCons!$C$4:$C$10000)*1,ISNUMBER(SEARCH("tfh*h2o*",[1]OUT_TransportEnergyCons!$A$4:$A$10000))*1,[1]OUT_TransportEnergyCons!J$4:J$10000))*1000)</f>
        <v>6.0810247747055497E-3</v>
      </c>
      <c r="M2015" s="1" cm="1">
        <f t="array" ref="M2015">IF((SUMPRODUCT(("Var_Cap"=[1]OUT_TransportEnergyCons!$B$4:$B$10000)*1,("-"=[1]OUT_TransportEnergyCons!$C$4:$C$10000)*1,ISNUMBER(SEARCH("tfh*h2o*",[1]OUT_TransportEnergyCons!$A$4:$A$10000))*1,[1]OUT_TransportEnergyCons!K$4:K$10000))*1000&lt;0,0,(SUMPRODUCT(("Var_Cap"=[1]OUT_TransportEnergyCons!$B$4:$B$10000)*1,("-"=[1]OUT_TransportEnergyCons!$C$4:$C$10000)*1,ISNUMBER(SEARCH("tfh*h2o*",[1]OUT_TransportEnergyCons!$A$4:$A$10000))*1,[1]OUT_TransportEnergyCons!K$4:K$10000))*1000)</f>
        <v>6.0439964209611143E-3</v>
      </c>
      <c r="N2015" s="1" cm="1">
        <f t="array" ref="N2015">IF((SUMPRODUCT(("Var_Cap"=[1]OUT_TransportEnergyCons!$B$4:$B$10000)*1,("-"=[1]OUT_TransportEnergyCons!$C$4:$C$10000)*1,ISNUMBER(SEARCH("tfh*h2o*",[1]OUT_TransportEnergyCons!$A$4:$A$10000))*1,[1]OUT_TransportEnergyCons!L$4:L$10000))*1000&lt;0,0,(SUMPRODUCT(("Var_Cap"=[1]OUT_TransportEnergyCons!$B$4:$B$10000)*1,("-"=[1]OUT_TransportEnergyCons!$C$4:$C$10000)*1,ISNUMBER(SEARCH("tfh*h2o*",[1]OUT_TransportEnergyCons!$A$4:$A$10000))*1,[1]OUT_TransportEnergyCons!L$4:L$10000))*1000)</f>
        <v>5.9766186082552755E-3</v>
      </c>
      <c r="O2015" s="1" cm="1">
        <f t="array" ref="O2015">IF((SUMPRODUCT(("Var_Cap"=[1]OUT_TransportEnergyCons!$B$4:$B$10000)*1,("-"=[1]OUT_TransportEnergyCons!$C$4:$C$10000)*1,ISNUMBER(SEARCH("tfh*h2o*",[1]OUT_TransportEnergyCons!$A$4:$A$10000))*1,[1]OUT_TransportEnergyCons!M$4:M$10000))*1000&lt;0,0,(SUMPRODUCT(("Var_Cap"=[1]OUT_TransportEnergyCons!$B$4:$B$10000)*1,("-"=[1]OUT_TransportEnergyCons!$C$4:$C$10000)*1,ISNUMBER(SEARCH("tfh*h2o*",[1]OUT_TransportEnergyCons!$A$4:$A$10000))*1,[1]OUT_TransportEnergyCons!M$4:M$10000))*1000)</f>
        <v>5.9370588385631818E-3</v>
      </c>
      <c r="P2015" s="1" cm="1">
        <f t="array" ref="P2015">IF((SUMPRODUCT(("Var_Cap"=[1]OUT_TransportEnergyCons!$B$4:$B$10000)*1,("-"=[1]OUT_TransportEnergyCons!$C$4:$C$10000)*1,ISNUMBER(SEARCH("tfh*h2o*",[1]OUT_TransportEnergyCons!$A$4:$A$10000))*1,[1]OUT_TransportEnergyCons!N$4:N$10000))*1000&lt;0,0,(SUMPRODUCT(("Var_Cap"=[1]OUT_TransportEnergyCons!$B$4:$B$10000)*1,("-"=[1]OUT_TransportEnergyCons!$C$4:$C$10000)*1,ISNUMBER(SEARCH("tfh*h2o*",[1]OUT_TransportEnergyCons!$A$4:$A$10000))*1,[1]OUT_TransportEnergyCons!N$4:N$10000))*1000)</f>
        <v>6.4604075126732021E-3</v>
      </c>
      <c r="Q2015" s="1" cm="1">
        <f t="array" ref="Q2015">IF((SUMPRODUCT(("Var_Cap"=[1]OUT_TransportEnergyCons!$B$4:$B$10000)*1,("-"=[1]OUT_TransportEnergyCons!$C$4:$C$10000)*1,ISNUMBER(SEARCH("tfh*h2o*",[1]OUT_TransportEnergyCons!$A$4:$A$10000))*1,[1]OUT_TransportEnergyCons!O$4:O$10000))*1000&lt;0,0,(SUMPRODUCT(("Var_Cap"=[1]OUT_TransportEnergyCons!$B$4:$B$10000)*1,("-"=[1]OUT_TransportEnergyCons!$C$4:$C$10000)*1,ISNUMBER(SEARCH("tfh*h2o*",[1]OUT_TransportEnergyCons!$A$4:$A$10000))*1,[1]OUT_TransportEnergyCons!O$4:O$10000))*1000)</f>
        <v>7.2956583082163318E-3</v>
      </c>
      <c r="S2015" s="3"/>
    </row>
    <row r="2016" spans="2:19" x14ac:dyDescent="0.5">
      <c r="B2016" s="5" t="str">
        <f t="shared" si="2177"/>
        <v>SPS1</v>
      </c>
      <c r="C2016" s="5" t="str">
        <f t="shared" si="2178"/>
        <v>CH</v>
      </c>
      <c r="D2016" t="s">
        <v>2137</v>
      </c>
      <c r="E2016" t="s">
        <v>1999</v>
      </c>
      <c r="F2016" s="1" cm="1">
        <f t="array" ref="F2016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6" s="1" cm="1">
        <f t="array" ref="G2016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6" s="1" cm="1">
        <f t="array" ref="H2016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6" s="1" cm="1">
        <f t="array" ref="I2016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6" s="1" cm="1">
        <f t="array" ref="J2016">(SUMPRODUCT(("Var_Cap"=[1]OUT_TransportEnergyCons!$B$4:$B$10000)*1,("-"=[1]OUT_TransportEnergyCons!$C$4:$C$10000)*1,ISNUMBER(SEARCH("tfh*ICE*GSL*ext",[1]OUT_TransportEnergyCons!$A$4:$A$10000))*1,[1]OUT_TransportEnergyCons!H$4:H$10000))*1000</f>
        <v>0</v>
      </c>
      <c r="K2016" s="1" cm="1">
        <f t="array" ref="K2016">(SUMPRODUCT(("Var_Cap"=[1]OUT_TransportEnergyCons!$B$4:$B$10000)*1,("-"=[1]OUT_TransportEnergyCons!$C$4:$C$10000)*1,ISNUMBER(SEARCH("tfh*ICE*GSL*ext",[1]OUT_TransportEnergyCons!$A$4:$A$10000))*1,[1]OUT_TransportEnergyCons!I$4:I$10000))*1000</f>
        <v>0</v>
      </c>
      <c r="L2016" s="1" cm="1">
        <f t="array" ref="L2016">(SUMPRODUCT(("Var_Cap"=[1]OUT_TransportEnergyCons!$B$4:$B$10000)*1,("-"=[1]OUT_TransportEnergyCons!$C$4:$C$10000)*1,ISNUMBER(SEARCH("tfh*ICE*GSL*ext",[1]OUT_TransportEnergyCons!$A$4:$A$10000))*1,[1]OUT_TransportEnergyCons!J$4:J$10000))*1000</f>
        <v>0</v>
      </c>
      <c r="M2016" s="1" cm="1">
        <f t="array" ref="M2016">(SUMPRODUCT(("Var_Cap"=[1]OUT_TransportEnergyCons!$B$4:$B$10000)*1,("-"=[1]OUT_TransportEnergyCons!$C$4:$C$10000)*1,ISNUMBER(SEARCH("tfh*ICE*GSL*ext",[1]OUT_TransportEnergyCons!$A$4:$A$10000))*1,[1]OUT_TransportEnergyCons!K$4:K$10000))*1000</f>
        <v>0</v>
      </c>
      <c r="N2016" s="1" cm="1">
        <f t="array" ref="N2016">(SUMPRODUCT(("Var_Cap"=[1]OUT_TransportEnergyCons!$B$4:$B$10000)*1,("-"=[1]OUT_TransportEnergyCons!$C$4:$C$10000)*1,ISNUMBER(SEARCH("tfh*ICE*GSL*ext",[1]OUT_TransportEnergyCons!$A$4:$A$10000))*1,[1]OUT_TransportEnergyCons!L$4:L$10000))*1000</f>
        <v>0</v>
      </c>
      <c r="O2016" s="1" cm="1">
        <f t="array" ref="O2016">(SUMPRODUCT(("Var_Cap"=[1]OUT_TransportEnergyCons!$B$4:$B$10000)*1,("-"=[1]OUT_TransportEnergyCons!$C$4:$C$10000)*1,ISNUMBER(SEARCH("tfh*ICE*GSL*ext",[1]OUT_TransportEnergyCons!$A$4:$A$10000))*1,[1]OUT_TransportEnergyCons!M$4:M$10000))*1000</f>
        <v>0</v>
      </c>
      <c r="P2016" s="1" cm="1">
        <f t="array" ref="P2016">(SUMPRODUCT(("Var_Cap"=[1]OUT_TransportEnergyCons!$B$4:$B$10000)*1,("-"=[1]OUT_TransportEnergyCons!$C$4:$C$10000)*1,ISNUMBER(SEARCH("tfh*ICE*GSL*ext",[1]OUT_TransportEnergyCons!$A$4:$A$10000))*1,[1]OUT_TransportEnergyCons!N$4:N$10000))*1000</f>
        <v>0</v>
      </c>
      <c r="Q2016" s="1" cm="1">
        <f t="array" ref="Q2016">(SUMPRODUCT(("Var_Cap"=[1]OUT_TransportEnergyCons!$B$4:$B$10000)*1,("-"=[1]OUT_TransportEnergyCons!$C$4:$C$10000)*1,ISNUMBER(SEARCH("tfh*ICE*GSL*ext",[1]OUT_TransportEnergyCons!$A$4:$A$10000))*1,[1]OUT_TransportEnergyCons!O$4:O$10000))*1000</f>
        <v>0</v>
      </c>
      <c r="S2016" s="3"/>
    </row>
    <row r="2017" spans="2:19" x14ac:dyDescent="0.5">
      <c r="B2017" s="5" t="str">
        <f t="shared" si="2177"/>
        <v>SPS1</v>
      </c>
      <c r="C2017" s="5" t="str">
        <f t="shared" si="2178"/>
        <v>CH</v>
      </c>
      <c r="D2017" t="s">
        <v>2138</v>
      </c>
      <c r="E2017" t="s">
        <v>1999</v>
      </c>
      <c r="F2017" s="1" cm="1">
        <f t="array" ref="F2017">(SUMPRODUCT(("Var_Cap"=[1]OUT_TransportEnergyCons!$B$4:$B$10000)*1,("-"=[1]OUT_TransportEnergyCons!$C$4:$C$10000)*1,ISNUMBER(SEARCH("tfh*ICE*GSL*",[1]OUT_TransportEnergyCons!$A$4:$A$10000))*1,[1]OUT_TransportEnergyCons!D$4:D$10000))*1000-F2016</f>
        <v>0</v>
      </c>
      <c r="G2017" s="1" cm="1">
        <f t="array" ref="G2017">(SUMPRODUCT(("Var_Cap"=[1]OUT_TransportEnergyCons!$B$4:$B$10000)*1,("-"=[1]OUT_TransportEnergyCons!$C$4:$C$10000)*1,ISNUMBER(SEARCH("tfh*ICE*GSL*",[1]OUT_TransportEnergyCons!$A$4:$A$10000))*1,[1]OUT_TransportEnergyCons!E$4:E$10000))*1000-G2016</f>
        <v>0</v>
      </c>
      <c r="H2017" s="1" cm="1">
        <f t="array" ref="H2017">(SUMPRODUCT(("Var_Cap"=[1]OUT_TransportEnergyCons!$B$4:$B$10000)*1,("-"=[1]OUT_TransportEnergyCons!$C$4:$C$10000)*1,ISNUMBER(SEARCH("tfh*ICE*GSL*",[1]OUT_TransportEnergyCons!$A$4:$A$10000))*1,[1]OUT_TransportEnergyCons!F$4:F$10000))*1000-H2016</f>
        <v>0</v>
      </c>
      <c r="I2017" s="1" cm="1">
        <f t="array" ref="I2017">(SUMPRODUCT(("Var_Cap"=[1]OUT_TransportEnergyCons!$B$4:$B$10000)*1,("-"=[1]OUT_TransportEnergyCons!$C$4:$C$10000)*1,ISNUMBER(SEARCH("tfh*ICE*GSL*",[1]OUT_TransportEnergyCons!$A$4:$A$10000))*1,[1]OUT_TransportEnergyCons!G$4:G$10000))*1000-I2016</f>
        <v>0</v>
      </c>
      <c r="J2017" s="1" cm="1">
        <f t="array" ref="J2017">(SUMPRODUCT(("Var_Cap"=[1]OUT_TransportEnergyCons!$B$4:$B$10000)*1,("-"=[1]OUT_TransportEnergyCons!$C$4:$C$10000)*1,ISNUMBER(SEARCH("tfh*ICE*GSL*",[1]OUT_TransportEnergyCons!$A$4:$A$10000))*1,[1]OUT_TransportEnergyCons!H$4:H$10000))*1000-J2016</f>
        <v>0</v>
      </c>
      <c r="K2017" s="1" cm="1">
        <f t="array" ref="K2017">(SUMPRODUCT(("Var_Cap"=[1]OUT_TransportEnergyCons!$B$4:$B$10000)*1,("-"=[1]OUT_TransportEnergyCons!$C$4:$C$10000)*1,ISNUMBER(SEARCH("tfh*ICE*GSL*",[1]OUT_TransportEnergyCons!$A$4:$A$10000))*1,[1]OUT_TransportEnergyCons!I$4:I$10000))*1000-K2016</f>
        <v>0</v>
      </c>
      <c r="L2017" s="1" cm="1">
        <f t="array" ref="L2017">(SUMPRODUCT(("Var_Cap"=[1]OUT_TransportEnergyCons!$B$4:$B$10000)*1,("-"=[1]OUT_TransportEnergyCons!$C$4:$C$10000)*1,ISNUMBER(SEARCH("tfh*ICE*GSL*",[1]OUT_TransportEnergyCons!$A$4:$A$10000))*1,[1]OUT_TransportEnergyCons!J$4:J$10000))*1000-L2016</f>
        <v>0</v>
      </c>
      <c r="M2017" s="1" cm="1">
        <f t="array" ref="M2017">(SUMPRODUCT(("Var_Cap"=[1]OUT_TransportEnergyCons!$B$4:$B$10000)*1,("-"=[1]OUT_TransportEnergyCons!$C$4:$C$10000)*1,ISNUMBER(SEARCH("tfh*ICE*GSL*",[1]OUT_TransportEnergyCons!$A$4:$A$10000))*1,[1]OUT_TransportEnergyCons!K$4:K$10000))*1000-M2016</f>
        <v>0</v>
      </c>
      <c r="N2017" s="1" cm="1">
        <f t="array" ref="N2017">(SUMPRODUCT(("Var_Cap"=[1]OUT_TransportEnergyCons!$B$4:$B$10000)*1,("-"=[1]OUT_TransportEnergyCons!$C$4:$C$10000)*1,ISNUMBER(SEARCH("tfh*ICE*GSL*",[1]OUT_TransportEnergyCons!$A$4:$A$10000))*1,[1]OUT_TransportEnergyCons!L$4:L$10000))*1000-N2016</f>
        <v>0</v>
      </c>
      <c r="O2017" s="1" cm="1">
        <f t="array" ref="O2017">(SUMPRODUCT(("Var_Cap"=[1]OUT_TransportEnergyCons!$B$4:$B$10000)*1,("-"=[1]OUT_TransportEnergyCons!$C$4:$C$10000)*1,ISNUMBER(SEARCH("tfh*ICE*GSL*",[1]OUT_TransportEnergyCons!$A$4:$A$10000))*1,[1]OUT_TransportEnergyCons!M$4:M$10000))*1000-O2016</f>
        <v>0</v>
      </c>
      <c r="P2017" s="1" cm="1">
        <f t="array" ref="P2017">(SUMPRODUCT(("Var_Cap"=[1]OUT_TransportEnergyCons!$B$4:$B$10000)*1,("-"=[1]OUT_TransportEnergyCons!$C$4:$C$10000)*1,ISNUMBER(SEARCH("tfh*ICE*GSL*",[1]OUT_TransportEnergyCons!$A$4:$A$10000))*1,[1]OUT_TransportEnergyCons!N$4:N$10000))*1000-P2016</f>
        <v>0</v>
      </c>
      <c r="Q2017" s="1" cm="1">
        <f t="array" ref="Q2017">(SUMPRODUCT(("Var_Cap"=[1]OUT_TransportEnergyCons!$B$4:$B$10000)*1,("-"=[1]OUT_TransportEnergyCons!$C$4:$C$10000)*1,ISNUMBER(SEARCH("tfh*ICE*GSL*",[1]OUT_TransportEnergyCons!$A$4:$A$10000))*1,[1]OUT_TransportEnergyCons!O$4:O$10000))*1000-Q2016</f>
        <v>0</v>
      </c>
      <c r="S2017" s="3"/>
    </row>
    <row r="2018" spans="2:19" x14ac:dyDescent="0.5">
      <c r="B2018" s="5" t="str">
        <f t="shared" si="2177"/>
        <v>SPS1</v>
      </c>
      <c r="C2018" s="5" t="str">
        <f t="shared" si="2178"/>
        <v>CH</v>
      </c>
      <c r="D2018" t="s">
        <v>2139</v>
      </c>
      <c r="E2018" t="s">
        <v>1999</v>
      </c>
      <c r="F2018" s="1" cm="1">
        <f t="array" ref="F2018">(SUMPRODUCT(("Var_Cap"=[1]OUT_TransportEnergyCons!$B$4:$B$10000)*1,("-"=[1]OUT_TransportEnergyCons!$C$4:$C$10000)*1,ISNUMBER(SEARCH("tfh*ICE*DSL*ext",[1]OUT_TransportEnergyCons!$A$4:$A$10000))*1,[1]OUT_TransportEnergyCons!D$4:D$10000))*1000</f>
        <v>29.660366413706516</v>
      </c>
      <c r="G2018" s="1" cm="1">
        <f t="array" ref="G2018">(SUMPRODUCT(("Var_Cap"=[1]OUT_TransportEnergyCons!$B$4:$B$10000)*1,("-"=[1]OUT_TransportEnergyCons!$C$4:$C$10000)*1,ISNUMBER(SEARCH("tfh*ICE*DSL*ext",[1]OUT_TransportEnergyCons!$A$4:$A$10000))*1,[1]OUT_TransportEnergyCons!E$4:E$10000))*1000</f>
        <v>25.707036033478445</v>
      </c>
      <c r="H2018" s="1" cm="1">
        <f t="array" ref="H2018">(SUMPRODUCT(("Var_Cap"=[1]OUT_TransportEnergyCons!$B$4:$B$10000)*1,("-"=[1]OUT_TransportEnergyCons!$C$4:$C$10000)*1,ISNUMBER(SEARCH("tfh*ICE*DSL*ext",[1]OUT_TransportEnergyCons!$A$4:$A$10000))*1,[1]OUT_TransportEnergyCons!F$4:F$10000))*1000</f>
        <v>3.3959042670313013</v>
      </c>
      <c r="I2018" s="1" cm="1">
        <f t="array" ref="I2018">(SUMPRODUCT(("Var_Cap"=[1]OUT_TransportEnergyCons!$B$4:$B$10000)*1,("-"=[1]OUT_TransportEnergyCons!$C$4:$C$10000)*1,ISNUMBER(SEARCH("tfh*ICE*DSL*ext",[1]OUT_TransportEnergyCons!$A$4:$A$10000))*1,[1]OUT_TransportEnergyCons!G$4:G$10000))*1000</f>
        <v>3.3959981358626292</v>
      </c>
      <c r="J2018" s="1" cm="1">
        <f t="array" ref="J2018">(SUMPRODUCT(("Var_Cap"=[1]OUT_TransportEnergyCons!$B$4:$B$10000)*1,("-"=[1]OUT_TransportEnergyCons!$C$4:$C$10000)*1,ISNUMBER(SEARCH("tfh*ICE*DSL*ext",[1]OUT_TransportEnergyCons!$A$4:$A$10000))*1,[1]OUT_TransportEnergyCons!H$4:H$10000))*1000</f>
        <v>0</v>
      </c>
      <c r="K2018" s="1" cm="1">
        <f t="array" ref="K2018">(SUMPRODUCT(("Var_Cap"=[1]OUT_TransportEnergyCons!$B$4:$B$10000)*1,("-"=[1]OUT_TransportEnergyCons!$C$4:$C$10000)*1,ISNUMBER(SEARCH("tfh*ICE*DSL*ext",[1]OUT_TransportEnergyCons!$A$4:$A$10000))*1,[1]OUT_TransportEnergyCons!I$4:I$10000))*1000</f>
        <v>0</v>
      </c>
      <c r="L2018" s="1" cm="1">
        <f t="array" ref="L2018">(SUMPRODUCT(("Var_Cap"=[1]OUT_TransportEnergyCons!$B$4:$B$10000)*1,("-"=[1]OUT_TransportEnergyCons!$C$4:$C$10000)*1,ISNUMBER(SEARCH("tfh*ICE*DSL*ext",[1]OUT_TransportEnergyCons!$A$4:$A$10000))*1,[1]OUT_TransportEnergyCons!J$4:J$10000))*1000</f>
        <v>0</v>
      </c>
      <c r="M2018" s="1" cm="1">
        <f t="array" ref="M2018">(SUMPRODUCT(("Var_Cap"=[1]OUT_TransportEnergyCons!$B$4:$B$10000)*1,("-"=[1]OUT_TransportEnergyCons!$C$4:$C$10000)*1,ISNUMBER(SEARCH("tfh*ICE*DSL*ext",[1]OUT_TransportEnergyCons!$A$4:$A$10000))*1,[1]OUT_TransportEnergyCons!K$4:K$10000))*1000</f>
        <v>0</v>
      </c>
      <c r="N2018" s="1" cm="1">
        <f t="array" ref="N2018">(SUMPRODUCT(("Var_Cap"=[1]OUT_TransportEnergyCons!$B$4:$B$10000)*1,("-"=[1]OUT_TransportEnergyCons!$C$4:$C$10000)*1,ISNUMBER(SEARCH("tfh*ICE*DSL*ext",[1]OUT_TransportEnergyCons!$A$4:$A$10000))*1,[1]OUT_TransportEnergyCons!L$4:L$10000))*1000</f>
        <v>0</v>
      </c>
      <c r="O2018" s="1" cm="1">
        <f t="array" ref="O2018">(SUMPRODUCT(("Var_Cap"=[1]OUT_TransportEnergyCons!$B$4:$B$10000)*1,("-"=[1]OUT_TransportEnergyCons!$C$4:$C$10000)*1,ISNUMBER(SEARCH("tfh*ICE*DSL*ext",[1]OUT_TransportEnergyCons!$A$4:$A$10000))*1,[1]OUT_TransportEnergyCons!M$4:M$10000))*1000</f>
        <v>0</v>
      </c>
      <c r="P2018" s="1" cm="1">
        <f t="array" ref="P2018">(SUMPRODUCT(("Var_Cap"=[1]OUT_TransportEnergyCons!$B$4:$B$10000)*1,("-"=[1]OUT_TransportEnergyCons!$C$4:$C$10000)*1,ISNUMBER(SEARCH("tfh*ICE*DSL*ext",[1]OUT_TransportEnergyCons!$A$4:$A$10000))*1,[1]OUT_TransportEnergyCons!N$4:N$10000))*1000</f>
        <v>0</v>
      </c>
      <c r="Q2018" s="1" cm="1">
        <f t="array" ref="Q2018">(SUMPRODUCT(("Var_Cap"=[1]OUT_TransportEnergyCons!$B$4:$B$10000)*1,("-"=[1]OUT_TransportEnergyCons!$C$4:$C$10000)*1,ISNUMBER(SEARCH("tfh*ICE*DSL*ext",[1]OUT_TransportEnergyCons!$A$4:$A$10000))*1,[1]OUT_TransportEnergyCons!O$4:O$10000))*1000</f>
        <v>0</v>
      </c>
      <c r="S2018" s="3"/>
    </row>
    <row r="2019" spans="2:19" x14ac:dyDescent="0.5">
      <c r="B2019" s="5" t="str">
        <f t="shared" si="2177"/>
        <v>SPS1</v>
      </c>
      <c r="C2019" s="5" t="str">
        <f t="shared" si="2178"/>
        <v>CH</v>
      </c>
      <c r="D2019" t="s">
        <v>2140</v>
      </c>
      <c r="E2019" t="s">
        <v>1999</v>
      </c>
      <c r="F2019" s="1" cm="1">
        <f t="array" ref="F2019">(SUMPRODUCT(("Var_Cap"=[1]OUT_TransportEnergyCons!$B$4:$B$10000)*1,("-"=[1]OUT_TransportEnergyCons!$C$4:$C$10000)*1,ISNUMBER(SEARCH("tfh*ICE*DSL*",[1]OUT_TransportEnergyCons!$A$4:$A$10000))*1,[1]OUT_TransportEnergyCons!D$4:D$10000))*1000-F2018</f>
        <v>11.788814174349458</v>
      </c>
      <c r="G2019" s="1" cm="1">
        <f t="array" ref="G2019">(SUMPRODUCT(("Var_Cap"=[1]OUT_TransportEnergyCons!$B$4:$B$10000)*1,("-"=[1]OUT_TransportEnergyCons!$C$4:$C$10000)*1,ISNUMBER(SEARCH("tfh*ICE*DSL*",[1]OUT_TransportEnergyCons!$A$4:$A$10000))*1,[1]OUT_TransportEnergyCons!E$4:E$10000))*1000-G2018</f>
        <v>13.789447587407217</v>
      </c>
      <c r="H2019" s="1" cm="1">
        <f t="array" ref="H2019">(SUMPRODUCT(("Var_Cap"=[1]OUT_TransportEnergyCons!$B$4:$B$10000)*1,("-"=[1]OUT_TransportEnergyCons!$C$4:$C$10000)*1,ISNUMBER(SEARCH("tfh*ICE*DSL*",[1]OUT_TransportEnergyCons!$A$4:$A$10000))*1,[1]OUT_TransportEnergyCons!F$4:F$10000))*1000-H2018</f>
        <v>2.063546683845896E-3</v>
      </c>
      <c r="I2019" s="1" cm="1">
        <f t="array" ref="I2019">(SUMPRODUCT(("Var_Cap"=[1]OUT_TransportEnergyCons!$B$4:$B$10000)*1,("-"=[1]OUT_TransportEnergyCons!$C$4:$C$10000)*1,ISNUMBER(SEARCH("tfh*ICE*DSL*",[1]OUT_TransportEnergyCons!$A$4:$A$10000))*1,[1]OUT_TransportEnergyCons!G$4:G$10000))*1000-I2018</f>
        <v>2.6570323959044906E-2</v>
      </c>
      <c r="J2019" s="1" cm="1">
        <f t="array" ref="J2019">(SUMPRODUCT(("Var_Cap"=[1]OUT_TransportEnergyCons!$B$4:$B$10000)*1,("-"=[1]OUT_TransportEnergyCons!$C$4:$C$10000)*1,ISNUMBER(SEARCH("tfh*ICE*DSL*",[1]OUT_TransportEnergyCons!$A$4:$A$10000))*1,[1]OUT_TransportEnergyCons!H$4:H$10000))*1000-J2018</f>
        <v>1.1007637254853798E-2</v>
      </c>
      <c r="K2019" s="1" cm="1">
        <f t="array" ref="K2019">(SUMPRODUCT(("Var_Cap"=[1]OUT_TransportEnergyCons!$B$4:$B$10000)*1,("-"=[1]OUT_TransportEnergyCons!$C$4:$C$10000)*1,ISNUMBER(SEARCH("tfh*ICE*DSL*",[1]OUT_TransportEnergyCons!$A$4:$A$10000))*1,[1]OUT_TransportEnergyCons!I$4:I$10000))*1000-K2018</f>
        <v>8.1660904349423469E-3</v>
      </c>
      <c r="L2019" s="1" cm="1">
        <f t="array" ref="L2019">(SUMPRODUCT(("Var_Cap"=[1]OUT_TransportEnergyCons!$B$4:$B$10000)*1,("-"=[1]OUT_TransportEnergyCons!$C$4:$C$10000)*1,ISNUMBER(SEARCH("tfh*ICE*DSL*",[1]OUT_TransportEnergyCons!$A$4:$A$10000))*1,[1]OUT_TransportEnergyCons!J$4:J$10000))*1000-L2018</f>
        <v>5.2644240535686809E-3</v>
      </c>
      <c r="M2019" s="1" cm="1">
        <f t="array" ref="M2019">(SUMPRODUCT(("Var_Cap"=[1]OUT_TransportEnergyCons!$B$4:$B$10000)*1,("-"=[1]OUT_TransportEnergyCons!$C$4:$C$10000)*1,ISNUMBER(SEARCH("tfh*ICE*DSL*",[1]OUT_TransportEnergyCons!$A$4:$A$10000))*1,[1]OUT_TransportEnergyCons!K$4:K$10000))*1000-M2018</f>
        <v>1.8782921457983345E-3</v>
      </c>
      <c r="N2019" s="1" cm="1">
        <f t="array" ref="N2019">(SUMPRODUCT(("Var_Cap"=[1]OUT_TransportEnergyCons!$B$4:$B$10000)*1,("-"=[1]OUT_TransportEnergyCons!$C$4:$C$10000)*1,ISNUMBER(SEARCH("tfh*ICE*DSL*",[1]OUT_TransportEnergyCons!$A$4:$A$10000))*1,[1]OUT_TransportEnergyCons!L$4:L$10000))*1000-N2018</f>
        <v>0</v>
      </c>
      <c r="O2019" s="1" cm="1">
        <f t="array" ref="O2019">(SUMPRODUCT(("Var_Cap"=[1]OUT_TransportEnergyCons!$B$4:$B$10000)*1,("-"=[1]OUT_TransportEnergyCons!$C$4:$C$10000)*1,ISNUMBER(SEARCH("tfh*ICE*DSL*",[1]OUT_TransportEnergyCons!$A$4:$A$10000))*1,[1]OUT_TransportEnergyCons!M$4:M$10000))*1000-O2018</f>
        <v>0</v>
      </c>
      <c r="P2019" s="1" cm="1">
        <f t="array" ref="P2019">(SUMPRODUCT(("Var_Cap"=[1]OUT_TransportEnergyCons!$B$4:$B$10000)*1,("-"=[1]OUT_TransportEnergyCons!$C$4:$C$10000)*1,ISNUMBER(SEARCH("tfh*ICE*DSL*",[1]OUT_TransportEnergyCons!$A$4:$A$10000))*1,[1]OUT_TransportEnergyCons!N$4:N$10000))*1000-P2018</f>
        <v>0</v>
      </c>
      <c r="Q2019" s="1" cm="1">
        <f t="array" ref="Q2019">(SUMPRODUCT(("Var_Cap"=[1]OUT_TransportEnergyCons!$B$4:$B$10000)*1,("-"=[1]OUT_TransportEnergyCons!$C$4:$C$10000)*1,ISNUMBER(SEARCH("tfh*ICE*DSL*",[1]OUT_TransportEnergyCons!$A$4:$A$10000))*1,[1]OUT_TransportEnergyCons!O$4:O$10000))*1000-Q2018</f>
        <v>0</v>
      </c>
      <c r="S2019" s="3"/>
    </row>
    <row r="2020" spans="2:19" x14ac:dyDescent="0.5">
      <c r="B2020" s="5" t="str">
        <f t="shared" si="2177"/>
        <v>SPS1</v>
      </c>
      <c r="C2020" s="5" t="str">
        <f t="shared" si="2178"/>
        <v>CH</v>
      </c>
      <c r="D2020" t="s">
        <v>2141</v>
      </c>
      <c r="E2020" t="s">
        <v>1999</v>
      </c>
      <c r="F2020" s="1" cm="1">
        <f t="array" ref="F2020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20" s="1" cm="1">
        <f t="array" ref="G2020">(SUMPRODUCT(("Var_Cap"=[1]OUT_TransportEnergyCons!$B$4:$B$10000)*1,("-"=[1]OUT_TransportEnergyCons!$C$4:$C$10000)*1,ISNUMBER(SEARCH("tfh*hyb*DSL*",[1]OUT_TransportEnergyCons!$A$4:$A$10000))*1,[1]OUT_TransportEnergyCons!E$4:E$10000))*1000</f>
        <v>2.3964327528571796</v>
      </c>
      <c r="H2020" s="1" cm="1">
        <f t="array" ref="H2020">(SUMPRODUCT(("Var_Cap"=[1]OUT_TransportEnergyCons!$B$4:$B$10000)*1,("-"=[1]OUT_TransportEnergyCons!$C$4:$C$10000)*1,ISNUMBER(SEARCH("tfh*hyb*DSL*",[1]OUT_TransportEnergyCons!$A$4:$A$10000))*1,[1]OUT_TransportEnergyCons!F$4:F$10000))*1000</f>
        <v>8.4802736402900605E-3</v>
      </c>
      <c r="I2020" s="1" cm="1">
        <f t="array" ref="I2020">(SUMPRODUCT(("Var_Cap"=[1]OUT_TransportEnergyCons!$B$4:$B$10000)*1,("-"=[1]OUT_TransportEnergyCons!$C$4:$C$10000)*1,ISNUMBER(SEARCH("tfh*hyb*DSL*",[1]OUT_TransportEnergyCons!$A$4:$A$10000))*1,[1]OUT_TransportEnergyCons!G$4:G$10000))*1000</f>
        <v>12.722038967690645</v>
      </c>
      <c r="J2020" s="1" cm="1">
        <f t="array" ref="J2020">(SUMPRODUCT(("Var_Cap"=[1]OUT_TransportEnergyCons!$B$4:$B$10000)*1,("-"=[1]OUT_TransportEnergyCons!$C$4:$C$10000)*1,ISNUMBER(SEARCH("tfh*hyb*DSL*",[1]OUT_TransportEnergyCons!$A$4:$A$10000))*1,[1]OUT_TransportEnergyCons!H$4:H$10000))*1000</f>
        <v>38.04064285045731</v>
      </c>
      <c r="K2020" s="1" cm="1">
        <f t="array" ref="K2020">(SUMPRODUCT(("Var_Cap"=[1]OUT_TransportEnergyCons!$B$4:$B$10000)*1,("-"=[1]OUT_TransportEnergyCons!$C$4:$C$10000)*1,ISNUMBER(SEARCH("tfh*hyb*DSL*",[1]OUT_TransportEnergyCons!$A$4:$A$10000))*1,[1]OUT_TransportEnergyCons!I$4:I$10000))*1000</f>
        <v>35.937614311820184</v>
      </c>
      <c r="L2020" s="1" cm="1">
        <f t="array" ref="L2020">(SUMPRODUCT(("Var_Cap"=[1]OUT_TransportEnergyCons!$B$4:$B$10000)*1,("-"=[1]OUT_TransportEnergyCons!$C$4:$C$10000)*1,ISNUMBER(SEARCH("tfh*hyb*DSL*",[1]OUT_TransportEnergyCons!$A$4:$A$10000))*1,[1]OUT_TransportEnergyCons!J$4:J$10000))*1000</f>
        <v>4.0591670861748224</v>
      </c>
      <c r="M2020" s="1" cm="1">
        <f t="array" ref="M2020">(SUMPRODUCT(("Var_Cap"=[1]OUT_TransportEnergyCons!$B$4:$B$10000)*1,("-"=[1]OUT_TransportEnergyCons!$C$4:$C$10000)*1,ISNUMBER(SEARCH("tfh*hyb*DSL*",[1]OUT_TransportEnergyCons!$A$4:$A$10000))*1,[1]OUT_TransportEnergyCons!K$4:K$10000))*1000</f>
        <v>8.1639223511461856E-3</v>
      </c>
      <c r="N2020" s="1" cm="1">
        <f t="array" ref="N2020">(SUMPRODUCT(("Var_Cap"=[1]OUT_TransportEnergyCons!$B$4:$B$10000)*1,("-"=[1]OUT_TransportEnergyCons!$C$4:$C$10000)*1,ISNUMBER(SEARCH("tfh*hyb*DSL*",[1]OUT_TransportEnergyCons!$A$4:$A$10000))*1,[1]OUT_TransportEnergyCons!L$4:L$10000))*1000</f>
        <v>0</v>
      </c>
      <c r="O2020" s="1" cm="1">
        <f t="array" ref="O2020">(SUMPRODUCT(("Var_Cap"=[1]OUT_TransportEnergyCons!$B$4:$B$10000)*1,("-"=[1]OUT_TransportEnergyCons!$C$4:$C$10000)*1,ISNUMBER(SEARCH("tfh*hyb*DSL*",[1]OUT_TransportEnergyCons!$A$4:$A$10000))*1,[1]OUT_TransportEnergyCons!M$4:M$10000))*1000</f>
        <v>0</v>
      </c>
      <c r="P2020" s="1" cm="1">
        <f t="array" ref="P2020">(SUMPRODUCT(("Var_Cap"=[1]OUT_TransportEnergyCons!$B$4:$B$10000)*1,("-"=[1]OUT_TransportEnergyCons!$C$4:$C$10000)*1,ISNUMBER(SEARCH("tfh*hyb*DSL*",[1]OUT_TransportEnergyCons!$A$4:$A$10000))*1,[1]OUT_TransportEnergyCons!N$4:N$10000))*1000</f>
        <v>0</v>
      </c>
      <c r="Q2020" s="1" cm="1">
        <f t="array" ref="Q2020">(SUMPRODUCT(("Var_Cap"=[1]OUT_TransportEnergyCons!$B$4:$B$10000)*1,("-"=[1]OUT_TransportEnergyCons!$C$4:$C$10000)*1,ISNUMBER(SEARCH("tfh*hyb*DSL*",[1]OUT_TransportEnergyCons!$A$4:$A$10000))*1,[1]OUT_TransportEnergyCons!O$4:O$10000))*1000</f>
        <v>0</v>
      </c>
      <c r="S2020" s="3"/>
    </row>
    <row r="2021" spans="2:19" x14ac:dyDescent="0.5">
      <c r="B2021" s="5" t="str">
        <f t="shared" si="2177"/>
        <v>SPS1</v>
      </c>
      <c r="C2021" s="5" t="str">
        <f t="shared" si="2178"/>
        <v>CH</v>
      </c>
      <c r="D2021" t="s">
        <v>2142</v>
      </c>
      <c r="E2021" t="s">
        <v>1999</v>
      </c>
      <c r="F2021" s="1" cm="1">
        <f t="array" ref="F2021">(SUMPRODUCT(("Var_Cap"=[1]OUT_TransportEnergyCons!$B$4:$B$10000)*1,("-"=[1]OUT_TransportEnergyCons!$C$4:$C$10000)*1,ISNUMBER(SEARCH("tfh*ice*nga*",[1]OUT_TransportEnergyCons!$A$4:$A$10000))*1,[1]OUT_TransportEnergyCons!D$4:D$10000))*1000</f>
        <v>0.122</v>
      </c>
      <c r="G2021" s="1" cm="1">
        <f t="array" ref="G2021">(SUMPRODUCT(("Var_Cap"=[1]OUT_TransportEnergyCons!$B$4:$B$10000)*1,("-"=[1]OUT_TransportEnergyCons!$C$4:$C$10000)*1,ISNUMBER(SEARCH("tfh*ice*nga*",[1]OUT_TransportEnergyCons!$A$4:$A$10000))*1,[1]OUT_TransportEnergyCons!E$4:E$10000))*1000</f>
        <v>0.12199198266466893</v>
      </c>
      <c r="H2021" s="1" cm="1">
        <f t="array" ref="H2021">(SUMPRODUCT(("Var_Cap"=[1]OUT_TransportEnergyCons!$B$4:$B$10000)*1,("-"=[1]OUT_TransportEnergyCons!$C$4:$C$10000)*1,ISNUMBER(SEARCH("tfh*ice*nga*",[1]OUT_TransportEnergyCons!$A$4:$A$10000))*1,[1]OUT_TransportEnergyCons!F$4:F$10000))*1000</f>
        <v>0.12219311301829271</v>
      </c>
      <c r="I2021" s="1" cm="1">
        <f t="array" ref="I2021">(SUMPRODUCT(("Var_Cap"=[1]OUT_TransportEnergyCons!$B$4:$B$10000)*1,("-"=[1]OUT_TransportEnergyCons!$C$4:$C$10000)*1,ISNUMBER(SEARCH("tfh*ice*nga*",[1]OUT_TransportEnergyCons!$A$4:$A$10000))*1,[1]OUT_TransportEnergyCons!G$4:G$10000))*1000</f>
        <v>0.1226322084691114</v>
      </c>
      <c r="J2021" s="1" cm="1">
        <f t="array" ref="J2021">(SUMPRODUCT(("Var_Cap"=[1]OUT_TransportEnergyCons!$B$4:$B$10000)*1,("-"=[1]OUT_TransportEnergyCons!$C$4:$C$10000)*1,ISNUMBER(SEARCH("tfh*ice*nga*",[1]OUT_TransportEnergyCons!$A$4:$A$10000))*1,[1]OUT_TransportEnergyCons!H$4:H$10000))*1000</f>
        <v>0.1217173188897704</v>
      </c>
      <c r="K2021" s="1" cm="1">
        <f t="array" ref="K2021">(SUMPRODUCT(("Var_Cap"=[1]OUT_TransportEnergyCons!$B$4:$B$10000)*1,("-"=[1]OUT_TransportEnergyCons!$C$4:$C$10000)*1,ISNUMBER(SEARCH("tfh*ice*nga*",[1]OUT_TransportEnergyCons!$A$4:$A$10000))*1,[1]OUT_TransportEnergyCons!I$4:I$10000))*1000</f>
        <v>0.12117368450124545</v>
      </c>
      <c r="L2021" s="1" cm="1">
        <f t="array" ref="L2021">(SUMPRODUCT(("Var_Cap"=[1]OUT_TransportEnergyCons!$B$4:$B$10000)*1,("-"=[1]OUT_TransportEnergyCons!$C$4:$C$10000)*1,ISNUMBER(SEARCH("tfh*ice*nga*",[1]OUT_TransportEnergyCons!$A$4:$A$10000))*1,[1]OUT_TransportEnergyCons!J$4:J$10000))*1000</f>
        <v>3.7526260430239419E-2</v>
      </c>
      <c r="M2021" s="1" cm="1">
        <f t="array" ref="M2021">(SUMPRODUCT(("Var_Cap"=[1]OUT_TransportEnergyCons!$B$4:$B$10000)*1,("-"=[1]OUT_TransportEnergyCons!$C$4:$C$10000)*1,ISNUMBER(SEARCH("tfh*ice*nga*",[1]OUT_TransportEnergyCons!$A$4:$A$10000))*1,[1]OUT_TransportEnergyCons!K$4:K$10000))*1000</f>
        <v>1.163218243939498E-2</v>
      </c>
      <c r="N2021" s="1" cm="1">
        <f t="array" ref="N2021">(SUMPRODUCT(("Var_Cap"=[1]OUT_TransportEnergyCons!$B$4:$B$10000)*1,("-"=[1]OUT_TransportEnergyCons!$C$4:$C$10000)*1,ISNUMBER(SEARCH("tfh*ice*nga*",[1]OUT_TransportEnergyCons!$A$4:$A$10000))*1,[1]OUT_TransportEnergyCons!L$4:L$10000))*1000</f>
        <v>0</v>
      </c>
      <c r="O2021" s="1" cm="1">
        <f t="array" ref="O2021">(SUMPRODUCT(("Var_Cap"=[1]OUT_TransportEnergyCons!$B$4:$B$10000)*1,("-"=[1]OUT_TransportEnergyCons!$C$4:$C$10000)*1,ISNUMBER(SEARCH("tfh*ice*nga*",[1]OUT_TransportEnergyCons!$A$4:$A$10000))*1,[1]OUT_TransportEnergyCons!M$4:M$10000))*1000</f>
        <v>0</v>
      </c>
      <c r="P2021" s="1" cm="1">
        <f t="array" ref="P2021">(SUMPRODUCT(("Var_Cap"=[1]OUT_TransportEnergyCons!$B$4:$B$10000)*1,("-"=[1]OUT_TransportEnergyCons!$C$4:$C$10000)*1,ISNUMBER(SEARCH("tfh*ice*nga*",[1]OUT_TransportEnergyCons!$A$4:$A$10000))*1,[1]OUT_TransportEnergyCons!N$4:N$10000))*1000</f>
        <v>0</v>
      </c>
      <c r="Q2021" s="1" cm="1">
        <f t="array" ref="Q2021">(SUMPRODUCT(("Var_Cap"=[1]OUT_TransportEnergyCons!$B$4:$B$10000)*1,("-"=[1]OUT_TransportEnergyCons!$C$4:$C$10000)*1,ISNUMBER(SEARCH("tfh*ice*nga*",[1]OUT_TransportEnergyCons!$A$4:$A$10000))*1,[1]OUT_TransportEnergyCons!O$4:O$10000))*1000</f>
        <v>0</v>
      </c>
      <c r="S2021" s="3"/>
    </row>
    <row r="2022" spans="2:19" x14ac:dyDescent="0.5">
      <c r="B2022" s="5" t="str">
        <f>B2021</f>
        <v>SPS1</v>
      </c>
      <c r="C2022" s="5" t="str">
        <f>C2021</f>
        <v>CH</v>
      </c>
      <c r="D2022" s="2" t="s">
        <v>2143</v>
      </c>
      <c r="E2022" s="2" t="s">
        <v>2154</v>
      </c>
      <c r="F2022" s="3">
        <f t="shared" ref="F2022" si="2179">SUM(F2023,F2027,F2030)</f>
        <v>7.7249490318217302E-4</v>
      </c>
      <c r="G2022" s="3">
        <f t="shared" ref="G2022" si="2180">SUM(G2023,G2027,G2030)</f>
        <v>1.2073228425651832E-3</v>
      </c>
      <c r="H2022" s="3">
        <f t="shared" ref="H2022" si="2181">SUM(H2023,H2027,H2030)</f>
        <v>1.2299246397487519E-3</v>
      </c>
      <c r="I2022" s="3">
        <f t="shared" ref="I2022" si="2182">SUM(I2023,I2027,I2030)</f>
        <v>2.0369661981081356E-2</v>
      </c>
      <c r="J2022" s="3">
        <f t="shared" ref="J2022" si="2183">SUM(J2023,J2027,J2030)</f>
        <v>0.33009225790413355</v>
      </c>
      <c r="K2022" s="3">
        <f t="shared" ref="K2022" si="2184">SUM(K2023,K2027,K2030)</f>
        <v>1.3997478879610179</v>
      </c>
      <c r="L2022" s="3">
        <f t="shared" ref="L2022:O2022" si="2185">SUM(L2023,L2027,L2030)</f>
        <v>2.1935946778883673</v>
      </c>
      <c r="M2022" s="3">
        <f t="shared" si="2185"/>
        <v>3.6780700729881253</v>
      </c>
      <c r="N2022" s="3">
        <f t="shared" si="2185"/>
        <v>3.4429279252071963</v>
      </c>
      <c r="O2022" s="3">
        <f t="shared" si="2185"/>
        <v>3.4585927572034363</v>
      </c>
      <c r="P2022" s="3">
        <f>SUM(P2023,P2027,P2030)</f>
        <v>3.5736573829079199</v>
      </c>
      <c r="Q2022" s="3">
        <f>SUM(Q2023,Q2027,Q2030)</f>
        <v>3.5869474971712543</v>
      </c>
      <c r="S2022" s="3"/>
    </row>
    <row r="2023" spans="2:19" x14ac:dyDescent="0.5">
      <c r="B2023" s="5" t="str">
        <f t="shared" ref="B2023:B2032" si="2186">B2022</f>
        <v>SPS1</v>
      </c>
      <c r="C2023" s="5" t="str">
        <f t="shared" ref="C2023:C2032" si="2187">C2022</f>
        <v>CH</v>
      </c>
      <c r="D2023" t="s">
        <v>2144</v>
      </c>
      <c r="E2023" t="s">
        <v>2154</v>
      </c>
      <c r="F2023" s="1" cm="1">
        <f t="array" ref="F2023">SUMPRODUCT(ISNUMBER(SEARCH("SUP_ELCH2*",[1]OUT_SyntheticFuels!$C$4:$C$1000))*1,("Var_cap"=[1]OUT_SyntheticFuels!$B$4:$B$1000)*1,[1]OUT_SyntheticFuels!E$4:E$1000)</f>
        <v>7.7249490318217302E-4</v>
      </c>
      <c r="G2023" s="1" cm="1">
        <f t="array" ref="G2023">SUMPRODUCT(ISNUMBER(SEARCH("SUP_ELCH2*",[1]OUT_SyntheticFuels!$C$4:$C$1000))*1,("Var_cap"=[1]OUT_SyntheticFuels!$B$4:$B$1000)*1,[1]OUT_SyntheticFuels!F$4:F$1000)</f>
        <v>1.2073228425651832E-3</v>
      </c>
      <c r="H2023" s="1" cm="1">
        <f t="array" ref="H2023">SUMPRODUCT(ISNUMBER(SEARCH("SUP_ELCH2*",[1]OUT_SyntheticFuels!$C$4:$C$1000))*1,("Var_cap"=[1]OUT_SyntheticFuels!$B$4:$B$1000)*1,[1]OUT_SyntheticFuels!G$4:G$1000)</f>
        <v>1.2299246397487519E-3</v>
      </c>
      <c r="I2023" s="1" cm="1">
        <f t="array" ref="I2023">SUMPRODUCT(ISNUMBER(SEARCH("SUP_ELCH2*",[1]OUT_SyntheticFuels!$C$4:$C$1000))*1,("Var_cap"=[1]OUT_SyntheticFuels!$B$4:$B$1000)*1,[1]OUT_SyntheticFuels!H$4:H$1000)</f>
        <v>2.0018261866577396E-2</v>
      </c>
      <c r="J2023" s="1" cm="1">
        <f t="array" ref="J2023">SUMPRODUCT(ISNUMBER(SEARCH("SUP_ELCH2*",[1]OUT_SyntheticFuels!$C$4:$C$1000))*1,("Var_cap"=[1]OUT_SyntheticFuels!$B$4:$B$1000)*1,[1]OUT_SyntheticFuels!I$4:I$1000)</f>
        <v>0.3071784249296472</v>
      </c>
      <c r="K2023" s="1" cm="1">
        <f t="array" ref="K2023">SUMPRODUCT(ISNUMBER(SEARCH("SUP_ELCH2*",[1]OUT_SyntheticFuels!$C$4:$C$1000))*1,("Var_cap"=[1]OUT_SyntheticFuels!$B$4:$B$1000)*1,[1]OUT_SyntheticFuels!J$4:J$1000)</f>
        <v>1.3768327522524488</v>
      </c>
      <c r="L2023" s="1" cm="1">
        <f t="array" ref="L2023">SUMPRODUCT(ISNUMBER(SEARCH("SUP_ELCH2*",[1]OUT_SyntheticFuels!$C$4:$C$1000))*1,("Var_cap"=[1]OUT_SyntheticFuels!$B$4:$B$1000)*1,[1]OUT_SyntheticFuels!K$4:K$1000)</f>
        <v>2.1706723922300486</v>
      </c>
      <c r="M2023" s="1" cm="1">
        <f t="array" ref="M2023">SUMPRODUCT(ISNUMBER(SEARCH("SUP_ELCH2*",[1]OUT_SyntheticFuels!$C$4:$C$1000))*1,("Var_cap"=[1]OUT_SyntheticFuels!$B$4:$B$1000)*1,[1]OUT_SyntheticFuels!L$4:L$1000)</f>
        <v>3.5360202935690062</v>
      </c>
      <c r="N2023" s="1" cm="1">
        <f t="array" ref="N2023">SUMPRODUCT(ISNUMBER(SEARCH("SUP_ELCH2*",[1]OUT_SyntheticFuels!$C$4:$C$1000))*1,("Var_cap"=[1]OUT_SyntheticFuels!$B$4:$B$1000)*1,[1]OUT_SyntheticFuels!M$4:M$1000)</f>
        <v>3.2408991850825108</v>
      </c>
      <c r="O2023" s="1" cm="1">
        <f t="array" ref="O2023">SUMPRODUCT(ISNUMBER(SEARCH("SUP_ELCH2*",[1]OUT_SyntheticFuels!$C$4:$C$1000))*1,("Var_cap"=[1]OUT_SyntheticFuels!$B$4:$B$1000)*1,[1]OUT_SyntheticFuels!N$4:N$1000)</f>
        <v>3.2562183963354205</v>
      </c>
      <c r="P2023" s="1" cm="1">
        <f t="array" ref="P2023">SUMPRODUCT(ISNUMBER(SEARCH("SUP_ELCH2*",[1]OUT_SyntheticFuels!$C$4:$C$1000))*1,("Var_cap"=[1]OUT_SyntheticFuels!$B$4:$B$1000)*1,[1]OUT_SyntheticFuels!O$4:O$1000)</f>
        <v>3.2658718205147084</v>
      </c>
      <c r="Q2023" s="1" cm="1">
        <f t="array" ref="Q2023">SUMPRODUCT(ISNUMBER(SEARCH("SUP_ELCH2*",[1]OUT_SyntheticFuels!$C$4:$C$1000))*1,("Var_cap"=[1]OUT_SyntheticFuels!$B$4:$B$1000)*1,[1]OUT_SyntheticFuels!P$4:P$1000)</f>
        <v>3.2526464902102412</v>
      </c>
      <c r="S2023" s="3"/>
    </row>
    <row r="2024" spans="2:19" x14ac:dyDescent="0.5">
      <c r="B2024" s="5" t="str">
        <f t="shared" si="2186"/>
        <v>SPS1</v>
      </c>
      <c r="C2024" s="5" t="str">
        <f t="shared" si="2187"/>
        <v>CH</v>
      </c>
      <c r="D2024" t="s">
        <v>2145</v>
      </c>
      <c r="E2024" t="s">
        <v>2154</v>
      </c>
      <c r="F2024" s="1">
        <f t="shared" ref="F2024" si="2188">F2023-F2025-F2026</f>
        <v>7.7249490318217302E-4</v>
      </c>
      <c r="G2024" s="1">
        <f t="shared" ref="G2024" si="2189">G2023-G2025-G2026</f>
        <v>1.2073228425651832E-3</v>
      </c>
      <c r="H2024" s="1">
        <f t="shared" ref="H2024" si="2190">H2023-H2025-H2026</f>
        <v>1.2299246397487519E-3</v>
      </c>
      <c r="I2024" s="1">
        <f t="shared" ref="I2024" si="2191">I2023-I2025-I2026</f>
        <v>1.999381923377256E-2</v>
      </c>
      <c r="J2024" s="1">
        <f t="shared" ref="J2024" si="2192">J2023-J2025-J2026</f>
        <v>0.30712394158713563</v>
      </c>
      <c r="K2024" s="1">
        <f t="shared" ref="K2024" si="2193">K2023-K2025-K2026</f>
        <v>1.0231847954071964</v>
      </c>
      <c r="L2024" s="1">
        <f t="shared" ref="L2024:O2024" si="2194">L2023-L2025-L2026</f>
        <v>1.6945339334321678</v>
      </c>
      <c r="M2024" s="1">
        <f t="shared" si="2194"/>
        <v>3.0472171325655797</v>
      </c>
      <c r="N2024" s="1">
        <f t="shared" si="2194"/>
        <v>2.7533038164098689</v>
      </c>
      <c r="O2024" s="1">
        <f t="shared" si="2194"/>
        <v>2.7677235212736959</v>
      </c>
      <c r="P2024" s="1">
        <f>P2023-P2025-P2026</f>
        <v>2.7770991806433156</v>
      </c>
      <c r="Q2024" s="1">
        <f>Q2023-Q2025-Q2026</f>
        <v>2.7614431728269824</v>
      </c>
      <c r="S2024" s="3"/>
    </row>
    <row r="2025" spans="2:19" x14ac:dyDescent="0.5">
      <c r="B2025" s="5" t="str">
        <f t="shared" si="2186"/>
        <v>SPS1</v>
      </c>
      <c r="C2025" s="5" t="str">
        <f t="shared" si="2187"/>
        <v>CH</v>
      </c>
      <c r="D2025" t="s">
        <v>2146</v>
      </c>
      <c r="E2025" t="s">
        <v>2154</v>
      </c>
      <c r="F2025" s="1" cm="1">
        <f t="array" ref="F2025">SUMPRODUCT(ISNUMBER(SEARCH("SUP_ELCH2*D",[1]OUT_SyntheticFuels!$C$4:$C$1000))*1,("Var_cap"=[1]OUT_SyntheticFuels!$B$4:$B$1000)*1,[1]OUT_SyntheticFuels!E$4:E$1000)</f>
        <v>0</v>
      </c>
      <c r="G2025" s="1" cm="1">
        <f t="array" ref="G2025">SUMPRODUCT(ISNUMBER(SEARCH("SUP_ELCH2*D",[1]OUT_SyntheticFuels!$C$4:$C$1000))*1,("Var_cap"=[1]OUT_SyntheticFuels!$B$4:$B$1000)*1,[1]OUT_SyntheticFuels!F$4:F$1000)</f>
        <v>0</v>
      </c>
      <c r="H2025" s="1" cm="1">
        <f t="array" ref="H2025">SUMPRODUCT(ISNUMBER(SEARCH("SUP_ELCH2*D",[1]OUT_SyntheticFuels!$C$4:$C$1000))*1,("Var_cap"=[1]OUT_SyntheticFuels!$B$4:$B$1000)*1,[1]OUT_SyntheticFuels!G$4:G$1000)</f>
        <v>0</v>
      </c>
      <c r="I2025" s="1" cm="1">
        <f t="array" ref="I2025">SUMPRODUCT(ISNUMBER(SEARCH("SUP_ELCH2*D",[1]OUT_SyntheticFuels!$C$4:$C$1000))*1,("Var_cap"=[1]OUT_SyntheticFuels!$B$4:$B$1000)*1,[1]OUT_SyntheticFuels!H$4:H$1000)</f>
        <v>2.4442632804837201E-5</v>
      </c>
      <c r="J2025" s="1" cm="1">
        <f t="array" ref="J2025">SUMPRODUCT(ISNUMBER(SEARCH("SUP_ELCH2*D",[1]OUT_SyntheticFuels!$C$4:$C$1000))*1,("Var_cap"=[1]OUT_SyntheticFuels!$B$4:$B$1000)*1,[1]OUT_SyntheticFuels!I$4:I$1000)</f>
        <v>5.44833425115793E-5</v>
      </c>
      <c r="K2025" s="1" cm="1">
        <f t="array" ref="K2025">SUMPRODUCT(ISNUMBER(SEARCH("SUP_ELCH2*D",[1]OUT_SyntheticFuels!$C$4:$C$1000))*1,("Var_cap"=[1]OUT_SyntheticFuels!$B$4:$B$1000)*1,[1]OUT_SyntheticFuels!J$4:J$1000)</f>
        <v>0.35147715762128001</v>
      </c>
      <c r="L2025" s="1" cm="1">
        <f t="array" ref="L2025">SUMPRODUCT(ISNUMBER(SEARCH("SUP_ELCH2*D",[1]OUT_SyntheticFuels!$C$4:$C$1000))*1,("Var_cap"=[1]OUT_SyntheticFuels!$B$4:$B$1000)*1,[1]OUT_SyntheticFuels!K$4:K$1000)</f>
        <v>0.47201857094465599</v>
      </c>
      <c r="M2025" s="1" cm="1">
        <f t="array" ref="M2025">SUMPRODUCT(ISNUMBER(SEARCH("SUP_ELCH2*D",[1]OUT_SyntheticFuels!$C$4:$C$1000))*1,("Var_cap"=[1]OUT_SyntheticFuels!$B$4:$B$1000)*1,[1]OUT_SyntheticFuels!L$4:L$1000)</f>
        <v>0.48538428234832898</v>
      </c>
      <c r="N2025" s="1" cm="1">
        <f t="array" ref="N2025">SUMPRODUCT(ISNUMBER(SEARCH("SUP_ELCH2*D",[1]OUT_SyntheticFuels!$C$4:$C$1000))*1,("Var_cap"=[1]OUT_SyntheticFuels!$B$4:$B$1000)*1,[1]OUT_SyntheticFuels!M$4:M$1000)</f>
        <v>0.48535064591503102</v>
      </c>
      <c r="O2025" s="1" cm="1">
        <f t="array" ref="O2025">SUMPRODUCT(ISNUMBER(SEARCH("SUP_ELCH2*D",[1]OUT_SyntheticFuels!$C$4:$C$1000))*1,("Var_cap"=[1]OUT_SyntheticFuels!$B$4:$B$1000)*1,[1]OUT_SyntheticFuels!N$4:N$1000)</f>
        <v>0.48538861890784801</v>
      </c>
      <c r="P2025" s="1" cm="1">
        <f t="array" ref="P2025">SUMPRODUCT(ISNUMBER(SEARCH("SUP_ELCH2*D",[1]OUT_SyntheticFuels!$C$4:$C$1000))*1,("Var_cap"=[1]OUT_SyntheticFuels!$B$4:$B$1000)*1,[1]OUT_SyntheticFuels!O$4:O$1000)</f>
        <v>0.48537397758175399</v>
      </c>
      <c r="Q2025" s="1" cm="1">
        <f t="array" ref="Q2025">SUMPRODUCT(ISNUMBER(SEARCH("SUP_ELCH2*D",[1]OUT_SyntheticFuels!$C$4:$C$1000))*1,("Var_cap"=[1]OUT_SyntheticFuels!$B$4:$B$1000)*1,[1]OUT_SyntheticFuels!P$4:P$1000)</f>
        <v>0.48545904132915901</v>
      </c>
      <c r="S2025" s="3"/>
    </row>
    <row r="2026" spans="2:19" x14ac:dyDescent="0.5">
      <c r="B2026" s="5" t="str">
        <f t="shared" si="2186"/>
        <v>SPS1</v>
      </c>
      <c r="C2026" s="5" t="str">
        <f t="shared" si="2187"/>
        <v>CH</v>
      </c>
      <c r="D2026" t="s">
        <v>2147</v>
      </c>
      <c r="E2026" t="s">
        <v>2154</v>
      </c>
      <c r="F2026" s="1" cm="1">
        <f t="array" ref="F2026">SUMPRODUCT(ISNUMBER(SEARCH("SUP_ELCH2*SOEC*",[1]OUT_SyntheticFuels!$C$4:$C$1000))*1,("Var_cap"=[1]OUT_SyntheticFuels!$B$4:$B$1000)*1,[1]OUT_SyntheticFuels!E$4:E$1000)</f>
        <v>0</v>
      </c>
      <c r="G2026" s="1" cm="1">
        <f t="array" ref="G2026">SUMPRODUCT(ISNUMBER(SEARCH("SUP_ELCH2*SOEC*",[1]OUT_SyntheticFuels!$C$4:$C$1000))*1,("Var_cap"=[1]OUT_SyntheticFuels!$B$4:$B$1000)*1,[1]OUT_SyntheticFuels!F$4:F$1000)</f>
        <v>0</v>
      </c>
      <c r="H2026" s="1" cm="1">
        <f t="array" ref="H2026">SUMPRODUCT(ISNUMBER(SEARCH("SUP_ELCH2*SOEC*",[1]OUT_SyntheticFuels!$C$4:$C$1000))*1,("Var_cap"=[1]OUT_SyntheticFuels!$B$4:$B$1000)*1,[1]OUT_SyntheticFuels!G$4:G$1000)</f>
        <v>0</v>
      </c>
      <c r="I2026" s="1" cm="1">
        <f t="array" ref="I2026">SUMPRODUCT(ISNUMBER(SEARCH("SUP_ELCH2*SOEC*",[1]OUT_SyntheticFuels!$C$4:$C$1000))*1,("Var_cap"=[1]OUT_SyntheticFuels!$B$4:$B$1000)*1,[1]OUT_SyntheticFuels!H$4:H$1000)</f>
        <v>0</v>
      </c>
      <c r="J2026" s="1" cm="1">
        <f t="array" ref="J2026">SUMPRODUCT(ISNUMBER(SEARCH("SUP_ELCH2*SOEC*",[1]OUT_SyntheticFuels!$C$4:$C$1000))*1,("Var_cap"=[1]OUT_SyntheticFuels!$B$4:$B$1000)*1,[1]OUT_SyntheticFuels!I$4:I$1000)</f>
        <v>0</v>
      </c>
      <c r="K2026" s="1" cm="1">
        <f t="array" ref="K2026">SUMPRODUCT(ISNUMBER(SEARCH("SUP_ELCH2*SOEC*",[1]OUT_SyntheticFuels!$C$4:$C$1000))*1,("Var_cap"=[1]OUT_SyntheticFuels!$B$4:$B$1000)*1,[1]OUT_SyntheticFuels!J$4:J$1000)</f>
        <v>2.1707992239723898E-3</v>
      </c>
      <c r="L2026" s="1" cm="1">
        <f t="array" ref="L2026">SUMPRODUCT(ISNUMBER(SEARCH("SUP_ELCH2*SOEC*",[1]OUT_SyntheticFuels!$C$4:$C$1000))*1,("Var_cap"=[1]OUT_SyntheticFuels!$B$4:$B$1000)*1,[1]OUT_SyntheticFuels!K$4:K$1000)</f>
        <v>4.1198878532246325E-3</v>
      </c>
      <c r="M2026" s="1" cm="1">
        <f t="array" ref="M2026">SUMPRODUCT(ISNUMBER(SEARCH("SUP_ELCH2*SOEC*",[1]OUT_SyntheticFuels!$C$4:$C$1000))*1,("Var_cap"=[1]OUT_SyntheticFuels!$B$4:$B$1000)*1,[1]OUT_SyntheticFuels!L$4:L$1000)</f>
        <v>3.4188786550976859E-3</v>
      </c>
      <c r="N2026" s="1" cm="1">
        <f t="array" ref="N2026">SUMPRODUCT(ISNUMBER(SEARCH("SUP_ELCH2*SOEC*",[1]OUT_SyntheticFuels!$C$4:$C$1000))*1,("Var_cap"=[1]OUT_SyntheticFuels!$B$4:$B$1000)*1,[1]OUT_SyntheticFuels!M$4:M$1000)</f>
        <v>2.2447227576106871E-3</v>
      </c>
      <c r="O2026" s="1" cm="1">
        <f t="array" ref="O2026">SUMPRODUCT(ISNUMBER(SEARCH("SUP_ELCH2*SOEC*",[1]OUT_SyntheticFuels!$C$4:$C$1000))*1,("Var_cap"=[1]OUT_SyntheticFuels!$B$4:$B$1000)*1,[1]OUT_SyntheticFuels!N$4:N$1000)</f>
        <v>3.1062561538767733E-3</v>
      </c>
      <c r="P2026" s="1" cm="1">
        <f t="array" ref="P2026">SUMPRODUCT(ISNUMBER(SEARCH("SUP_ELCH2*SOEC*",[1]OUT_SyntheticFuels!$C$4:$C$1000))*1,("Var_cap"=[1]OUT_SyntheticFuels!$B$4:$B$1000)*1,[1]OUT_SyntheticFuels!O$4:O$1000)</f>
        <v>3.3986622896388834E-3</v>
      </c>
      <c r="Q2026" s="1" cm="1">
        <f t="array" ref="Q2026">SUMPRODUCT(ISNUMBER(SEARCH("SUP_ELCH2*SOEC*",[1]OUT_SyntheticFuels!$C$4:$C$1000))*1,("Var_cap"=[1]OUT_SyntheticFuels!$B$4:$B$1000)*1,[1]OUT_SyntheticFuels!P$4:P$1000)</f>
        <v>5.7442760540999619E-3</v>
      </c>
      <c r="S2026" s="3"/>
    </row>
    <row r="2027" spans="2:19" x14ac:dyDescent="0.5">
      <c r="B2027" s="5" t="str">
        <f t="shared" si="2186"/>
        <v>SPS1</v>
      </c>
      <c r="C2027" s="5" t="str">
        <f t="shared" si="2187"/>
        <v>CH</v>
      </c>
      <c r="D2027" t="s">
        <v>2148</v>
      </c>
      <c r="E2027" t="s">
        <v>2154</v>
      </c>
      <c r="F2027" s="1">
        <f t="shared" ref="F2027" si="2195">SUM(F2028:F2029)</f>
        <v>0</v>
      </c>
      <c r="G2027" s="1">
        <f t="shared" ref="G2027" si="2196">SUM(G2028:G2029)</f>
        <v>0</v>
      </c>
      <c r="H2027" s="1">
        <f t="shared" ref="H2027" si="2197">SUM(H2028:H2029)</f>
        <v>0</v>
      </c>
      <c r="I2027" s="1">
        <f t="shared" ref="I2027" si="2198">SUM(I2028:I2029)</f>
        <v>3.02713238775691E-6</v>
      </c>
      <c r="J2027" s="1">
        <f t="shared" ref="J2027" si="2199">SUM(J2028:J2029)</f>
        <v>6.4770266525944491E-6</v>
      </c>
      <c r="K2027" s="1">
        <f t="shared" ref="K2027" si="2200">SUM(K2028:K2029)</f>
        <v>1.348642433427442E-5</v>
      </c>
      <c r="L2027" s="1">
        <f t="shared" ref="L2027:O2027" si="2201">SUM(L2028:L2029)</f>
        <v>1.914865540005841E-5</v>
      </c>
      <c r="M2027" s="1">
        <f t="shared" si="2201"/>
        <v>9.0764867121864452E-4</v>
      </c>
      <c r="N2027" s="1">
        <f t="shared" si="2201"/>
        <v>9.2325110078965585E-4</v>
      </c>
      <c r="O2027" s="1">
        <f t="shared" si="2201"/>
        <v>1.2778820947469288E-3</v>
      </c>
      <c r="P2027" s="1">
        <f>SUM(P2028:P2029)</f>
        <v>1.298441243962282E-3</v>
      </c>
      <c r="Q2027" s="1">
        <f>SUM(Q2028:Q2029)</f>
        <v>2.6849068321545583E-3</v>
      </c>
      <c r="S2027" s="3"/>
    </row>
    <row r="2028" spans="2:19" x14ac:dyDescent="0.5">
      <c r="B2028" s="5" t="str">
        <f t="shared" si="2186"/>
        <v>SPS1</v>
      </c>
      <c r="C2028" s="5" t="str">
        <f t="shared" si="2187"/>
        <v>CH</v>
      </c>
      <c r="D2028" t="s">
        <v>2149</v>
      </c>
      <c r="E2028" t="s">
        <v>2154</v>
      </c>
      <c r="F2028" s="1" cm="1">
        <f t="array" ref="F2028">SUMPRODUCT(ISNUMBER(SEARCH("SUP_NGAH2",[1]OUT_SyntheticFuels!$C$4:$C$1000))*1,("Var_cap"=[1]OUT_SyntheticFuels!$B$4:$B$1000)*1,[1]OUT_SyntheticFuels!E$4:E$1000)-F2029</f>
        <v>0</v>
      </c>
      <c r="G2028" s="1" cm="1">
        <f t="array" ref="G2028">SUMPRODUCT(ISNUMBER(SEARCH("SUP_NGAH2",[1]OUT_SyntheticFuels!$C$4:$C$1000))*1,("Var_cap"=[1]OUT_SyntheticFuels!$B$4:$B$1000)*1,[1]OUT_SyntheticFuels!F$4:F$1000)-G2029</f>
        <v>0</v>
      </c>
      <c r="H2028" s="1" cm="1">
        <f t="array" ref="H2028">SUMPRODUCT(ISNUMBER(SEARCH("SUP_NGAH2",[1]OUT_SyntheticFuels!$C$4:$C$1000))*1,("Var_cap"=[1]OUT_SyntheticFuels!$B$4:$B$1000)*1,[1]OUT_SyntheticFuels!G$4:G$1000)-H2029</f>
        <v>0</v>
      </c>
      <c r="I2028" s="1" cm="1">
        <f t="array" ref="I2028">SUMPRODUCT(ISNUMBER(SEARCH("SUP_NGAH2",[1]OUT_SyntheticFuels!$C$4:$C$1000))*1,("Var_cap"=[1]OUT_SyntheticFuels!$B$4:$B$1000)*1,[1]OUT_SyntheticFuels!H$4:H$1000)-I2029</f>
        <v>3.02713238775691E-6</v>
      </c>
      <c r="J2028" s="1" cm="1">
        <f t="array" ref="J2028">SUMPRODUCT(ISNUMBER(SEARCH("SUP_NGAH2",[1]OUT_SyntheticFuels!$C$4:$C$1000))*1,("Var_cap"=[1]OUT_SyntheticFuels!$B$4:$B$1000)*1,[1]OUT_SyntheticFuels!I$4:I$1000)-J2029</f>
        <v>6.4770266525944491E-6</v>
      </c>
      <c r="K2028" s="1" cm="1">
        <f t="array" ref="K2028">SUMPRODUCT(ISNUMBER(SEARCH("SUP_NGAH2",[1]OUT_SyntheticFuels!$C$4:$C$1000))*1,("Var_cap"=[1]OUT_SyntheticFuels!$B$4:$B$1000)*1,[1]OUT_SyntheticFuels!J$4:J$1000)-K2029</f>
        <v>9.2752157871592104E-6</v>
      </c>
      <c r="L2028" s="1" cm="1">
        <f t="array" ref="L2028">SUMPRODUCT(ISNUMBER(SEARCH("SUP_NGAH2",[1]OUT_SyntheticFuels!$C$4:$C$1000))*1,("Var_cap"=[1]OUT_SyntheticFuels!$B$4:$B$1000)*1,[1]OUT_SyntheticFuels!K$4:K$1000)-L2029</f>
        <v>1.479248378254912E-5</v>
      </c>
      <c r="M2028" s="1" cm="1">
        <f t="array" ref="M2028">SUMPRODUCT(ISNUMBER(SEARCH("SUP_NGAH2",[1]OUT_SyntheticFuels!$C$4:$C$1000))*1,("Var_cap"=[1]OUT_SyntheticFuels!$B$4:$B$1000)*1,[1]OUT_SyntheticFuels!L$4:L$1000)-M2029</f>
        <v>5.0261517962919919E-4</v>
      </c>
      <c r="N2028" s="1" cm="1">
        <f t="array" ref="N2028">SUMPRODUCT(ISNUMBER(SEARCH("SUP_NGAH2",[1]OUT_SyntheticFuels!$C$4:$C$1000))*1,("Var_cap"=[1]OUT_SyntheticFuels!$B$4:$B$1000)*1,[1]OUT_SyntheticFuels!M$4:M$1000)-N2029</f>
        <v>5.1432055435442366E-4</v>
      </c>
      <c r="O2028" s="1" cm="1">
        <f t="array" ref="O2028">SUMPRODUCT(ISNUMBER(SEARCH("SUP_NGAH2",[1]OUT_SyntheticFuels!$C$4:$C$1000))*1,("Var_cap"=[1]OUT_SyntheticFuels!$B$4:$B$1000)*1,[1]OUT_SyntheticFuels!N$4:N$1000)-O2029</f>
        <v>7.7123914376658984E-4</v>
      </c>
      <c r="P2028" s="1" cm="1">
        <f t="array" ref="P2028">SUMPRODUCT(ISNUMBER(SEARCH("SUP_NGAH2",[1]OUT_SyntheticFuels!$C$4:$C$1000))*1,("Var_cap"=[1]OUT_SyntheticFuels!$B$4:$B$1000)*1,[1]OUT_SyntheticFuels!O$4:O$1000)-P2029</f>
        <v>7.8327741522684247E-4</v>
      </c>
      <c r="Q2028" s="1" cm="1">
        <f t="array" ref="Q2028">SUMPRODUCT(ISNUMBER(SEARCH("SUP_NGAH2",[1]OUT_SyntheticFuels!$C$4:$C$1000))*1,("Var_cap"=[1]OUT_SyntheticFuels!$B$4:$B$1000)*1,[1]OUT_SyntheticFuels!P$4:P$1000)-Q2029</f>
        <v>1.743560572636214E-3</v>
      </c>
      <c r="S2028" s="3"/>
    </row>
    <row r="2029" spans="2:19" x14ac:dyDescent="0.5">
      <c r="B2029" s="5" t="str">
        <f t="shared" si="2186"/>
        <v>SPS1</v>
      </c>
      <c r="C2029" s="5" t="str">
        <f t="shared" si="2187"/>
        <v>CH</v>
      </c>
      <c r="D2029" t="s">
        <v>2150</v>
      </c>
      <c r="E2029" t="s">
        <v>2154</v>
      </c>
      <c r="F2029" s="1" cm="1">
        <f t="array" ref="F2029">SUMPRODUCT(ISNUMBER(SEARCH("SUP_NGAH2CCS",[1]OUT_SyntheticFuels!$C$4:$C$1000))*1,("Var_cap"=[1]OUT_SyntheticFuels!$B$4:$B$1000)*1,[1]OUT_SyntheticFuels!E$4:E$1000)</f>
        <v>0</v>
      </c>
      <c r="G2029" s="1" cm="1">
        <f t="array" ref="G2029">SUMPRODUCT(ISNUMBER(SEARCH("SUP_NGAH2CCS",[1]OUT_SyntheticFuels!$C$4:$C$1000))*1,("Var_cap"=[1]OUT_SyntheticFuels!$B$4:$B$1000)*1,[1]OUT_SyntheticFuels!F$4:F$1000)</f>
        <v>0</v>
      </c>
      <c r="H2029" s="1" cm="1">
        <f t="array" ref="H2029">SUMPRODUCT(ISNUMBER(SEARCH("SUP_NGAH2CCS",[1]OUT_SyntheticFuels!$C$4:$C$1000))*1,("Var_cap"=[1]OUT_SyntheticFuels!$B$4:$B$1000)*1,[1]OUT_SyntheticFuels!G$4:G$1000)</f>
        <v>0</v>
      </c>
      <c r="I2029" s="1" cm="1">
        <f t="array" ref="I2029">SUMPRODUCT(ISNUMBER(SEARCH("SUP_NGAH2CCS",[1]OUT_SyntheticFuels!$C$4:$C$1000))*1,("Var_cap"=[1]OUT_SyntheticFuels!$B$4:$B$1000)*1,[1]OUT_SyntheticFuels!H$4:H$1000)</f>
        <v>0</v>
      </c>
      <c r="J2029" s="1" cm="1">
        <f t="array" ref="J2029">SUMPRODUCT(ISNUMBER(SEARCH("SUP_NGAH2CCS",[1]OUT_SyntheticFuels!$C$4:$C$1000))*1,("Var_cap"=[1]OUT_SyntheticFuels!$B$4:$B$1000)*1,[1]OUT_SyntheticFuels!I$4:I$1000)</f>
        <v>0</v>
      </c>
      <c r="K2029" s="1" cm="1">
        <f t="array" ref="K2029">SUMPRODUCT(ISNUMBER(SEARCH("SUP_NGAH2CCS",[1]OUT_SyntheticFuels!$C$4:$C$1000))*1,("Var_cap"=[1]OUT_SyntheticFuels!$B$4:$B$1000)*1,[1]OUT_SyntheticFuels!J$4:J$1000)</f>
        <v>4.2112085471152102E-6</v>
      </c>
      <c r="L2029" s="1" cm="1">
        <f t="array" ref="L2029">SUMPRODUCT(ISNUMBER(SEARCH("SUP_NGAH2CCS",[1]OUT_SyntheticFuels!$C$4:$C$1000))*1,("Var_cap"=[1]OUT_SyntheticFuels!$B$4:$B$1000)*1,[1]OUT_SyntheticFuels!K$4:K$1000)</f>
        <v>4.3561716175092902E-6</v>
      </c>
      <c r="M2029" s="1" cm="1">
        <f t="array" ref="M2029">SUMPRODUCT(ISNUMBER(SEARCH("SUP_NGAH2CCS",[1]OUT_SyntheticFuels!$C$4:$C$1000))*1,("Var_cap"=[1]OUT_SyntheticFuels!$B$4:$B$1000)*1,[1]OUT_SyntheticFuels!L$4:L$1000)</f>
        <v>4.0503349158944527E-4</v>
      </c>
      <c r="N2029" s="1" cm="1">
        <f t="array" ref="N2029">SUMPRODUCT(ISNUMBER(SEARCH("SUP_NGAH2CCS",[1]OUT_SyntheticFuels!$C$4:$C$1000))*1,("Var_cap"=[1]OUT_SyntheticFuels!$B$4:$B$1000)*1,[1]OUT_SyntheticFuels!M$4:M$1000)</f>
        <v>4.0893054643523214E-4</v>
      </c>
      <c r="O2029" s="1" cm="1">
        <f t="array" ref="O2029">SUMPRODUCT(ISNUMBER(SEARCH("SUP_NGAH2CCS",[1]OUT_SyntheticFuels!$C$4:$C$1000))*1,("Var_cap"=[1]OUT_SyntheticFuels!$B$4:$B$1000)*1,[1]OUT_SyntheticFuels!N$4:N$1000)</f>
        <v>5.0664295098033893E-4</v>
      </c>
      <c r="P2029" s="1" cm="1">
        <f t="array" ref="P2029">SUMPRODUCT(ISNUMBER(SEARCH("SUP_NGAH2CCS",[1]OUT_SyntheticFuels!$C$4:$C$1000))*1,("Var_cap"=[1]OUT_SyntheticFuels!$B$4:$B$1000)*1,[1]OUT_SyntheticFuels!O$4:O$1000)</f>
        <v>5.1516382873543955E-4</v>
      </c>
      <c r="Q2029" s="1" cm="1">
        <f t="array" ref="Q2029">SUMPRODUCT(ISNUMBER(SEARCH("SUP_NGAH2CCS",[1]OUT_SyntheticFuels!$C$4:$C$1000))*1,("Var_cap"=[1]OUT_SyntheticFuels!$B$4:$B$1000)*1,[1]OUT_SyntheticFuels!P$4:P$1000)</f>
        <v>9.4134625951834445E-4</v>
      </c>
      <c r="S2029" s="3"/>
    </row>
    <row r="2030" spans="2:19" x14ac:dyDescent="0.5">
      <c r="B2030" s="5" t="str">
        <f t="shared" si="2186"/>
        <v>SPS1</v>
      </c>
      <c r="C2030" s="5" t="str">
        <f t="shared" si="2187"/>
        <v>CH</v>
      </c>
      <c r="D2030" t="s">
        <v>2151</v>
      </c>
      <c r="E2030" t="s">
        <v>2154</v>
      </c>
      <c r="F2030" s="1">
        <f t="shared" ref="F2030" si="2202">SUM(F2031:F2032)</f>
        <v>0</v>
      </c>
      <c r="G2030" s="1">
        <f t="shared" ref="G2030" si="2203">SUM(G2031:G2032)</f>
        <v>0</v>
      </c>
      <c r="H2030" s="1">
        <f t="shared" ref="H2030" si="2204">SUM(H2031:H2032)</f>
        <v>0</v>
      </c>
      <c r="I2030" s="1">
        <f t="shared" ref="I2030" si="2205">SUM(I2031:I2032)</f>
        <v>3.4837298211620401E-4</v>
      </c>
      <c r="J2030" s="1">
        <f t="shared" ref="J2030" si="2206">SUM(J2031:J2032)</f>
        <v>2.2907355947833781E-2</v>
      </c>
      <c r="K2030" s="1">
        <f t="shared" ref="K2030" si="2207">SUM(K2031:K2032)</f>
        <v>2.2901649284234774E-2</v>
      </c>
      <c r="L2030" s="1">
        <f t="shared" ref="L2030:O2030" si="2208">SUM(L2031:L2032)</f>
        <v>2.2903137002918822E-2</v>
      </c>
      <c r="M2030" s="1">
        <f t="shared" si="2208"/>
        <v>0.14114213074790019</v>
      </c>
      <c r="N2030" s="1">
        <f t="shared" si="2208"/>
        <v>0.20110548902389588</v>
      </c>
      <c r="O2030" s="1">
        <f t="shared" si="2208"/>
        <v>0.20109647877326886</v>
      </c>
      <c r="P2030" s="1">
        <f>SUM(P2031:P2032)</f>
        <v>0.30648712114924909</v>
      </c>
      <c r="Q2030" s="1">
        <f>SUM(Q2031:Q2032)</f>
        <v>0.33161610012885845</v>
      </c>
      <c r="S2030" s="3"/>
    </row>
    <row r="2031" spans="2:19" x14ac:dyDescent="0.5">
      <c r="B2031" s="5" t="str">
        <f t="shared" si="2186"/>
        <v>SPS1</v>
      </c>
      <c r="C2031" s="5" t="str">
        <f t="shared" si="2187"/>
        <v>CH</v>
      </c>
      <c r="D2031" t="s">
        <v>2152</v>
      </c>
      <c r="E2031" t="s">
        <v>2154</v>
      </c>
      <c r="F2031" s="1" cm="1">
        <f t="array" ref="F2031">SUMPRODUCT(ISNUMBER(SEARCH("SUP_WODH2",[1]OUT_SyntheticFuels!$C$4:$C$1000))*1,("Var_cap"=[1]OUT_SyntheticFuels!$B$4:$B$1000)*1,[1]OUT_SyntheticFuels!E$4:E$1000)-F2032</f>
        <v>0</v>
      </c>
      <c r="G2031" s="1" cm="1">
        <f t="array" ref="G2031">SUMPRODUCT(ISNUMBER(SEARCH("SUP_WODH2",[1]OUT_SyntheticFuels!$C$4:$C$1000))*1,("Var_cap"=[1]OUT_SyntheticFuels!$B$4:$B$1000)*1,[1]OUT_SyntheticFuels!F$4:F$1000)-G2032</f>
        <v>0</v>
      </c>
      <c r="H2031" s="1" cm="1">
        <f t="array" ref="H2031">SUMPRODUCT(ISNUMBER(SEARCH("SUP_WODH2",[1]OUT_SyntheticFuels!$C$4:$C$1000))*1,("Var_cap"=[1]OUT_SyntheticFuels!$B$4:$B$1000)*1,[1]OUT_SyntheticFuels!G$4:G$1000)-H2032</f>
        <v>0</v>
      </c>
      <c r="I2031" s="1" cm="1">
        <f t="array" ref="I2031">SUMPRODUCT(ISNUMBER(SEARCH("SUP_WODH2",[1]OUT_SyntheticFuels!$C$4:$C$1000))*1,("Var_cap"=[1]OUT_SyntheticFuels!$B$4:$B$1000)*1,[1]OUT_SyntheticFuels!H$4:H$1000)-I2032</f>
        <v>3.4837298211620401E-4</v>
      </c>
      <c r="J2031" s="1" cm="1">
        <f t="array" ref="J2031">SUMPRODUCT(ISNUMBER(SEARCH("SUP_WODH2",[1]OUT_SyntheticFuels!$C$4:$C$1000))*1,("Var_cap"=[1]OUT_SyntheticFuels!$B$4:$B$1000)*1,[1]OUT_SyntheticFuels!I$4:I$1000)-J2032</f>
        <v>2.2907355947833781E-2</v>
      </c>
      <c r="K2031" s="1" cm="1">
        <f t="array" ref="K2031">SUMPRODUCT(ISNUMBER(SEARCH("SUP_WODH2",[1]OUT_SyntheticFuels!$C$4:$C$1000))*1,("Var_cap"=[1]OUT_SyntheticFuels!$B$4:$B$1000)*1,[1]OUT_SyntheticFuels!J$4:J$1000)-K2032</f>
        <v>2.2901649284234774E-2</v>
      </c>
      <c r="L2031" s="1" cm="1">
        <f t="array" ref="L2031">SUMPRODUCT(ISNUMBER(SEARCH("SUP_WODH2",[1]OUT_SyntheticFuels!$C$4:$C$1000))*1,("Var_cap"=[1]OUT_SyntheticFuels!$B$4:$B$1000)*1,[1]OUT_SyntheticFuels!K$4:K$1000)-L2032</f>
        <v>2.2903137002918822E-2</v>
      </c>
      <c r="M2031" s="1" cm="1">
        <f t="array" ref="M2031">SUMPRODUCT(ISNUMBER(SEARCH("SUP_WODH2",[1]OUT_SyntheticFuels!$C$4:$C$1000))*1,("Var_cap"=[1]OUT_SyntheticFuels!$B$4:$B$1000)*1,[1]OUT_SyntheticFuels!L$4:L$1000)-M2032</f>
        <v>6.2333603371120261E-4</v>
      </c>
      <c r="N2031" s="1" cm="1">
        <f t="array" ref="N2031">SUMPRODUCT(ISNUMBER(SEARCH("SUP_WODH2",[1]OUT_SyntheticFuels!$C$4:$C$1000))*1,("Var_cap"=[1]OUT_SyntheticFuels!$B$4:$B$1000)*1,[1]OUT_SyntheticFuels!M$4:M$1000)-N2032</f>
        <v>2.8078161271249957E-4</v>
      </c>
      <c r="O2031" s="1" cm="1">
        <f t="array" ref="O2031">SUMPRODUCT(ISNUMBER(SEARCH("SUP_WODH2",[1]OUT_SyntheticFuels!$C$4:$C$1000))*1,("Var_cap"=[1]OUT_SyntheticFuels!$B$4:$B$1000)*1,[1]OUT_SyntheticFuels!N$4:N$1000)-O2032</f>
        <v>2.6247429413114864E-4</v>
      </c>
      <c r="P2031" s="1" cm="1">
        <f t="array" ref="P2031">SUMPRODUCT(ISNUMBER(SEARCH("SUP_WODH2",[1]OUT_SyntheticFuels!$C$4:$C$1000))*1,("Var_cap"=[1]OUT_SyntheticFuels!$B$4:$B$1000)*1,[1]OUT_SyntheticFuels!O$4:O$1000)-P2032</f>
        <v>2.6432277575677565E-4</v>
      </c>
      <c r="Q2031" s="1" cm="1">
        <f t="array" ref="Q2031">SUMPRODUCT(ISNUMBER(SEARCH("SUP_WODH2",[1]OUT_SyntheticFuels!$C$4:$C$1000))*1,("Var_cap"=[1]OUT_SyntheticFuels!$B$4:$B$1000)*1,[1]OUT_SyntheticFuels!P$4:P$1000)-Q2032</f>
        <v>4.7701509618885973E-4</v>
      </c>
      <c r="S2031" s="3"/>
    </row>
    <row r="2032" spans="2:19" x14ac:dyDescent="0.5">
      <c r="B2032" s="5" t="str">
        <f t="shared" si="2186"/>
        <v>SPS1</v>
      </c>
      <c r="C2032" s="5" t="str">
        <f t="shared" si="2187"/>
        <v>CH</v>
      </c>
      <c r="D2032" t="s">
        <v>2153</v>
      </c>
      <c r="E2032" t="s">
        <v>2154</v>
      </c>
      <c r="F2032" s="1" cm="1">
        <f t="array" ref="F2032">SUMPRODUCT(ISNUMBER(SEARCH("SUP_WODH2CCS",[1]OUT_SyntheticFuels!$C$4:$C$1000))*1,("Var_cap"=[1]OUT_SyntheticFuels!$B$4:$B$1000)*1,[1]OUT_SyntheticFuels!E$4:E$1000)</f>
        <v>0</v>
      </c>
      <c r="G2032" s="1" cm="1">
        <f t="array" ref="G2032">SUMPRODUCT(ISNUMBER(SEARCH("SUP_WODH2CCS",[1]OUT_SyntheticFuels!$C$4:$C$1000))*1,("Var_cap"=[1]OUT_SyntheticFuels!$B$4:$B$1000)*1,[1]OUT_SyntheticFuels!F$4:F$1000)</f>
        <v>0</v>
      </c>
      <c r="H2032" s="1" cm="1">
        <f t="array" ref="H2032">SUMPRODUCT(ISNUMBER(SEARCH("SUP_WODH2CCS",[1]OUT_SyntheticFuels!$C$4:$C$1000))*1,("Var_cap"=[1]OUT_SyntheticFuels!$B$4:$B$1000)*1,[1]OUT_SyntheticFuels!G$4:G$1000)</f>
        <v>0</v>
      </c>
      <c r="I2032" s="1" cm="1">
        <f t="array" ref="I2032">SUMPRODUCT(ISNUMBER(SEARCH("SUP_WODH2CCS",[1]OUT_SyntheticFuels!$C$4:$C$1000))*1,("Var_cap"=[1]OUT_SyntheticFuels!$B$4:$B$1000)*1,[1]OUT_SyntheticFuels!H$4:H$1000)</f>
        <v>0</v>
      </c>
      <c r="J2032" s="1" cm="1">
        <f t="array" ref="J2032">SUMPRODUCT(ISNUMBER(SEARCH("SUP_WODH2CCS",[1]OUT_SyntheticFuels!$C$4:$C$1000))*1,("Var_cap"=[1]OUT_SyntheticFuels!$B$4:$B$1000)*1,[1]OUT_SyntheticFuels!I$4:I$1000)</f>
        <v>0</v>
      </c>
      <c r="K2032" s="1" cm="1">
        <f t="array" ref="K2032">SUMPRODUCT(ISNUMBER(SEARCH("SUP_WODH2CCS",[1]OUT_SyntheticFuels!$C$4:$C$1000))*1,("Var_cap"=[1]OUT_SyntheticFuels!$B$4:$B$1000)*1,[1]OUT_SyntheticFuels!J$4:J$1000)</f>
        <v>0</v>
      </c>
      <c r="L2032" s="1" cm="1">
        <f t="array" ref="L2032">SUMPRODUCT(ISNUMBER(SEARCH("SUP_WODH2CCS",[1]OUT_SyntheticFuels!$C$4:$C$1000))*1,("Var_cap"=[1]OUT_SyntheticFuels!$B$4:$B$1000)*1,[1]OUT_SyntheticFuels!K$4:K$1000)</f>
        <v>0</v>
      </c>
      <c r="M2032" s="1" cm="1">
        <f t="array" ref="M2032">SUMPRODUCT(ISNUMBER(SEARCH("SUP_WODH2CCS",[1]OUT_SyntheticFuels!$C$4:$C$1000))*1,("Var_cap"=[1]OUT_SyntheticFuels!$B$4:$B$1000)*1,[1]OUT_SyntheticFuels!L$4:L$1000)</f>
        <v>0.14051879471418899</v>
      </c>
      <c r="N2032" s="1" cm="1">
        <f t="array" ref="N2032">SUMPRODUCT(ISNUMBER(SEARCH("SUP_WODH2CCS",[1]OUT_SyntheticFuels!$C$4:$C$1000))*1,("Var_cap"=[1]OUT_SyntheticFuels!$B$4:$B$1000)*1,[1]OUT_SyntheticFuels!M$4:M$1000)</f>
        <v>0.20082470741118338</v>
      </c>
      <c r="O2032" s="1" cm="1">
        <f t="array" ref="O2032">SUMPRODUCT(ISNUMBER(SEARCH("SUP_WODH2CCS",[1]OUT_SyntheticFuels!$C$4:$C$1000))*1,("Var_cap"=[1]OUT_SyntheticFuels!$B$4:$B$1000)*1,[1]OUT_SyntheticFuels!N$4:N$1000)</f>
        <v>0.20083400447913771</v>
      </c>
      <c r="P2032" s="1" cm="1">
        <f t="array" ref="P2032">SUMPRODUCT(ISNUMBER(SEARCH("SUP_WODH2CCS",[1]OUT_SyntheticFuels!$C$4:$C$1000))*1,("Var_cap"=[1]OUT_SyntheticFuels!$B$4:$B$1000)*1,[1]OUT_SyntheticFuels!O$4:O$1000)</f>
        <v>0.30622279837349231</v>
      </c>
      <c r="Q2032" s="1" cm="1">
        <f t="array" ref="Q2032">SUMPRODUCT(ISNUMBER(SEARCH("SUP_WODH2CCS",[1]OUT_SyntheticFuels!$C$4:$C$1000))*1,("Var_cap"=[1]OUT_SyntheticFuels!$B$4:$B$1000)*1,[1]OUT_SyntheticFuels!P$4:P$1000)</f>
        <v>0.33113908503266959</v>
      </c>
      <c r="S2032" s="3"/>
    </row>
    <row r="2033" spans="2:19" x14ac:dyDescent="0.5">
      <c r="B2033" s="5" t="str">
        <f>B2032</f>
        <v>SPS1</v>
      </c>
      <c r="C2033" s="5" t="str">
        <f>C2032</f>
        <v>CH</v>
      </c>
      <c r="D2033" s="2" t="s">
        <v>2158</v>
      </c>
      <c r="E2033" s="2" t="s">
        <v>2156</v>
      </c>
      <c r="F2033" s="24"/>
      <c r="G2033" s="24"/>
      <c r="H2033" s="24"/>
      <c r="I2033" s="24"/>
      <c r="J2033" s="24"/>
      <c r="K2033" s="24"/>
      <c r="L2033" s="24"/>
      <c r="M2033" s="24"/>
      <c r="N2033" s="24"/>
      <c r="O2033" s="24"/>
      <c r="P2033" s="24"/>
      <c r="Q2033" s="24"/>
      <c r="S2033" s="3"/>
    </row>
    <row r="2034" spans="2:19" x14ac:dyDescent="0.5">
      <c r="B2034" s="5" t="str">
        <f t="shared" ref="B2034:B2049" si="2209">B2033</f>
        <v>SPS1</v>
      </c>
      <c r="C2034" s="5" t="str">
        <f t="shared" ref="C2034:C2049" si="2210">C2033</f>
        <v>CH</v>
      </c>
      <c r="D2034" t="s">
        <v>2162</v>
      </c>
      <c r="E2034" t="s">
        <v>2156</v>
      </c>
      <c r="F2034" s="7" cm="1">
        <f t="array" ref="F2034">SUMPRODUCT(("CT_CWODBDS"=[1]OUT_SyntheticFuels!$C$4:$C$1000)*1,("Var_cap"=[1]OUT_SyntheticFuels!$B$4:$B$1000)*1,[1]OUT_SyntheticFuels!E$4:E$1000)</f>
        <v>6.2402495728577825E-2</v>
      </c>
      <c r="G2034" s="7" cm="1">
        <f t="array" ref="G2034">SUMPRODUCT(("CT_CWODBDS"=[1]OUT_SyntheticFuels!$C$4:$C$1000)*1,("Var_cap"=[1]OUT_SyntheticFuels!$B$4:$B$1000)*1,[1]OUT_SyntheticFuels!F$4:F$1000)</f>
        <v>6.2363346396645321E-2</v>
      </c>
      <c r="H2034" s="7" cm="1">
        <f t="array" ref="H2034">SUMPRODUCT(("CT_CWODBDS"=[1]OUT_SyntheticFuels!$C$4:$C$1000)*1,("Var_cap"=[1]OUT_SyntheticFuels!$B$4:$B$1000)*1,[1]OUT_SyntheticFuels!G$4:G$1000)</f>
        <v>2.9851634466653704E-4</v>
      </c>
      <c r="I2034" s="7" cm="1">
        <f t="array" ref="I2034">SUMPRODUCT(("CT_CWODBDS"=[1]OUT_SyntheticFuels!$C$4:$C$1000)*1,("Var_cap"=[1]OUT_SyntheticFuels!$B$4:$B$1000)*1,[1]OUT_SyntheticFuels!H$4:H$1000)</f>
        <v>2.839710839370041E-4</v>
      </c>
      <c r="J2034" s="7" cm="1">
        <f t="array" ref="J2034">SUMPRODUCT(("CT_CWODBDS"=[1]OUT_SyntheticFuels!$C$4:$C$1000)*1,("Var_cap"=[1]OUT_SyntheticFuels!$B$4:$B$1000)*1,[1]OUT_SyntheticFuels!I$4:I$1000)</f>
        <v>2.2255700707050734E-4</v>
      </c>
      <c r="K2034" s="7" cm="1">
        <f t="array" ref="K2034">SUMPRODUCT(("CT_CWODBDS"=[1]OUT_SyntheticFuels!$C$4:$C$1000)*1,("Var_cap"=[1]OUT_SyntheticFuels!$B$4:$B$1000)*1,[1]OUT_SyntheticFuels!J$4:J$1000)</f>
        <v>1.6406450138061515E-4</v>
      </c>
      <c r="L2034" s="7" cm="1">
        <f t="array" ref="L2034">SUMPRODUCT(("CT_CWODBDS"=[1]OUT_SyntheticFuels!$C$4:$C$1000)*1,("Var_cap"=[1]OUT_SyntheticFuels!$B$4:$B$1000)*1,[1]OUT_SyntheticFuels!K$4:K$1000)</f>
        <v>1.6871349411706605E-4</v>
      </c>
      <c r="M2034" s="7" cm="1">
        <f t="array" ref="M2034">SUMPRODUCT(("CT_CWODBDS"=[1]OUT_SyntheticFuels!$C$4:$C$1000)*1,("Var_cap"=[1]OUT_SyntheticFuels!$B$4:$B$1000)*1,[1]OUT_SyntheticFuels!L$4:L$1000)</f>
        <v>2.5350810179908452E-4</v>
      </c>
      <c r="N2034" s="7" cm="1">
        <f t="array" ref="N2034">SUMPRODUCT(("CT_CWODBDS"=[1]OUT_SyntheticFuels!$C$4:$C$1000)*1,("Var_cap"=[1]OUT_SyntheticFuels!$B$4:$B$1000)*1,[1]OUT_SyntheticFuels!M$4:M$1000)</f>
        <v>1.6180744160155839E-4</v>
      </c>
      <c r="O2034" s="7" cm="1">
        <f t="array" ref="O2034">SUMPRODUCT(("CT_CWODBDS"=[1]OUT_SyntheticFuels!$C$4:$C$1000)*1,("Var_cap"=[1]OUT_SyntheticFuels!$B$4:$B$1000)*1,[1]OUT_SyntheticFuels!N$4:N$1000)</f>
        <v>2.7593224996680621E-4</v>
      </c>
      <c r="P2034" s="7" cm="1">
        <f t="array" ref="P2034">SUMPRODUCT(("CT_CWODBDS"=[1]OUT_SyntheticFuels!$C$4:$C$1000)*1,("Var_cap"=[1]OUT_SyntheticFuels!$B$4:$B$1000)*1,[1]OUT_SyntheticFuels!O$4:O$1000)</f>
        <v>2.7119328406312868E-4</v>
      </c>
      <c r="Q2034" s="7" cm="1">
        <f t="array" ref="Q2034">SUMPRODUCT(("CT_CWODBDS"=[1]OUT_SyntheticFuels!$C$4:$C$1000)*1,("Var_cap"=[1]OUT_SyntheticFuels!$B$4:$B$1000)*1,[1]OUT_SyntheticFuels!P$4:P$1000)</f>
        <v>4.9377980552918704E-4</v>
      </c>
      <c r="S2034" s="3"/>
    </row>
    <row r="2035" spans="2:19" x14ac:dyDescent="0.5">
      <c r="B2035" s="5" t="str">
        <f t="shared" si="2209"/>
        <v>SPS1</v>
      </c>
      <c r="C2035" s="5" t="str">
        <f t="shared" si="2210"/>
        <v>CH</v>
      </c>
      <c r="D2035" t="s">
        <v>2163</v>
      </c>
      <c r="E2035" t="s">
        <v>2156</v>
      </c>
      <c r="F2035" s="7" cm="1">
        <f t="array" ref="F2035">SUMPRODUCT(("CT_CWODBDSCCS"=[1]OUT_SyntheticFuels!$C$4:$C$1000)*1,("Var_cap"=[1]OUT_SyntheticFuels!$B$4:$B$1000)*1,[1]OUT_SyntheticFuels!E$4:E$1000)</f>
        <v>0</v>
      </c>
      <c r="G2035" s="7" cm="1">
        <f t="array" ref="G2035">SUMPRODUCT(("CT_CWODBDSCCS"=[1]OUT_SyntheticFuels!$C$4:$C$1000)*1,("Var_cap"=[1]OUT_SyntheticFuels!$B$4:$B$1000)*1,[1]OUT_SyntheticFuels!F$4:F$1000)</f>
        <v>0</v>
      </c>
      <c r="H2035" s="7" cm="1">
        <f t="array" ref="H2035">SUMPRODUCT(("CT_CWODBDSCCS"=[1]OUT_SyntheticFuels!$C$4:$C$1000)*1,("Var_cap"=[1]OUT_SyntheticFuels!$B$4:$B$1000)*1,[1]OUT_SyntheticFuels!G$4:G$1000)</f>
        <v>0</v>
      </c>
      <c r="I2035" s="7" cm="1">
        <f t="array" ref="I2035">SUMPRODUCT(("CT_CWODBDSCCS"=[1]OUT_SyntheticFuels!$C$4:$C$1000)*1,("Var_cap"=[1]OUT_SyntheticFuels!$B$4:$B$1000)*1,[1]OUT_SyntheticFuels!H$4:H$1000)</f>
        <v>0</v>
      </c>
      <c r="J2035" s="7" cm="1">
        <f t="array" ref="J2035">SUMPRODUCT(("CT_CWODBDSCCS"=[1]OUT_SyntheticFuels!$C$4:$C$1000)*1,("Var_cap"=[1]OUT_SyntheticFuels!$B$4:$B$1000)*1,[1]OUT_SyntheticFuels!I$4:I$1000)</f>
        <v>0</v>
      </c>
      <c r="K2035" s="7" cm="1">
        <f t="array" ref="K2035">SUMPRODUCT(("CT_CWODBDSCCS"=[1]OUT_SyntheticFuels!$C$4:$C$1000)*1,("Var_cap"=[1]OUT_SyntheticFuels!$B$4:$B$1000)*1,[1]OUT_SyntheticFuels!J$4:J$1000)</f>
        <v>1.20812649421253E-4</v>
      </c>
      <c r="L2035" s="7" cm="1">
        <f t="array" ref="L2035">SUMPRODUCT(("CT_CWODBDSCCS"=[1]OUT_SyntheticFuels!$C$4:$C$1000)*1,("Var_cap"=[1]OUT_SyntheticFuels!$B$4:$B$1000)*1,[1]OUT_SyntheticFuels!K$4:K$1000)</f>
        <v>1.3125341090659099E-4</v>
      </c>
      <c r="M2035" s="7" cm="1">
        <f t="array" ref="M2035">SUMPRODUCT(("CT_CWODBDSCCS"=[1]OUT_SyntheticFuels!$C$4:$C$1000)*1,("Var_cap"=[1]OUT_SyntheticFuels!$B$4:$B$1000)*1,[1]OUT_SyntheticFuels!L$4:L$1000)</f>
        <v>0.232668635512817</v>
      </c>
      <c r="N2035" s="7" cm="1">
        <f t="array" ref="N2035">SUMPRODUCT(("CT_CWODBDSCCS"=[1]OUT_SyntheticFuels!$C$4:$C$1000)*1,("Var_cap"=[1]OUT_SyntheticFuels!$B$4:$B$1000)*1,[1]OUT_SyntheticFuels!M$4:M$1000)</f>
        <v>0.23265685203259201</v>
      </c>
      <c r="O2035" s="7" cm="1">
        <f t="array" ref="O2035">SUMPRODUCT(("CT_CWODBDSCCS"=[1]OUT_SyntheticFuels!$C$4:$C$1000)*1,("Var_cap"=[1]OUT_SyntheticFuels!$B$4:$B$1000)*1,[1]OUT_SyntheticFuels!N$4:N$1000)</f>
        <v>0.23255669031599399</v>
      </c>
      <c r="P2035" s="7" cm="1">
        <f t="array" ref="P2035">SUMPRODUCT(("CT_CWODBDSCCS"=[1]OUT_SyntheticFuels!$C$4:$C$1000)*1,("Var_cap"=[1]OUT_SyntheticFuels!$B$4:$B$1000)*1,[1]OUT_SyntheticFuels!O$4:O$1000)</f>
        <v>0.23255371659804</v>
      </c>
      <c r="Q2035" s="7" cm="1">
        <f t="array" ref="Q2035">SUMPRODUCT(("CT_CWODBDSCCS"=[1]OUT_SyntheticFuels!$C$4:$C$1000)*1,("Var_cap"=[1]OUT_SyntheticFuels!$B$4:$B$1000)*1,[1]OUT_SyntheticFuels!P$4:P$1000)</f>
        <v>0.20722252304599401</v>
      </c>
      <c r="S2035" s="3"/>
    </row>
    <row r="2036" spans="2:19" x14ac:dyDescent="0.5">
      <c r="B2036" s="5" t="str">
        <f t="shared" si="2209"/>
        <v>SPS1</v>
      </c>
      <c r="C2036" s="5" t="str">
        <f t="shared" si="2210"/>
        <v>CH</v>
      </c>
      <c r="D2036" t="s">
        <v>2167</v>
      </c>
      <c r="E2036" t="s">
        <v>2156</v>
      </c>
      <c r="F2036" s="7" cm="1">
        <f t="array" ref="F2036">SUMPRODUCT(("CT_CWODETH"=[1]OUT_SyntheticFuels!$C$4:$C$1000)*1,("Var_cap"=[1]OUT_SyntheticFuels!$B$4:$B$1000)*1,[1]OUT_SyntheticFuels!E$4:E$1000)</f>
        <v>1.0235951943660103E-2</v>
      </c>
      <c r="G2036" s="7" cm="1">
        <f t="array" ref="G2036">SUMPRODUCT(("CT_CWODETH"=[1]OUT_SyntheticFuels!$C$4:$C$1000)*1,("Var_cap"=[1]OUT_SyntheticFuels!$B$4:$B$1000)*1,[1]OUT_SyntheticFuels!F$4:F$1000)</f>
        <v>1.0238028617856025E-2</v>
      </c>
      <c r="H2036" s="7" cm="1">
        <f t="array" ref="H2036">SUMPRODUCT(("CT_CWODETH"=[1]OUT_SyntheticFuels!$C$4:$C$1000)*1,("Var_cap"=[1]OUT_SyntheticFuels!$B$4:$B$1000)*1,[1]OUT_SyntheticFuels!G$4:G$1000)</f>
        <v>4.0364477261566237E-2</v>
      </c>
      <c r="I2036" s="7" cm="1">
        <f t="array" ref="I2036">SUMPRODUCT(("CT_CWODETH"=[1]OUT_SyntheticFuels!$C$4:$C$1000)*1,("Var_cap"=[1]OUT_SyntheticFuels!$B$4:$B$1000)*1,[1]OUT_SyntheticFuels!H$4:H$1000)</f>
        <v>1.4526729318312059E-2</v>
      </c>
      <c r="J2036" s="7" cm="1">
        <f t="array" ref="J2036">SUMPRODUCT(("CT_CWODETH"=[1]OUT_SyntheticFuels!$C$4:$C$1000)*1,("Var_cap"=[1]OUT_SyntheticFuels!$B$4:$B$1000)*1,[1]OUT_SyntheticFuels!I$4:I$1000)</f>
        <v>1.919424673239023E-4</v>
      </c>
      <c r="K2036" s="7" cm="1">
        <f t="array" ref="K2036">SUMPRODUCT(("CT_CWODETH"=[1]OUT_SyntheticFuels!$C$4:$C$1000)*1,("Var_cap"=[1]OUT_SyntheticFuels!$B$4:$B$1000)*1,[1]OUT_SyntheticFuels!J$4:J$1000)</f>
        <v>1.6475502565840155E-4</v>
      </c>
      <c r="L2036" s="7" cm="1">
        <f t="array" ref="L2036">SUMPRODUCT(("CT_CWODETH"=[1]OUT_SyntheticFuels!$C$4:$C$1000)*1,("Var_cap"=[1]OUT_SyntheticFuels!$B$4:$B$1000)*1,[1]OUT_SyntheticFuels!K$4:K$1000)</f>
        <v>7.5285964794700316E-5</v>
      </c>
      <c r="M2036" s="7" cm="1">
        <f t="array" ref="M2036">SUMPRODUCT(("CT_CWODETH"=[1]OUT_SyntheticFuels!$C$4:$C$1000)*1,("Var_cap"=[1]OUT_SyntheticFuels!$B$4:$B$1000)*1,[1]OUT_SyntheticFuels!L$4:L$1000)</f>
        <v>1.2587623521557724E-4</v>
      </c>
      <c r="N2036" s="7" cm="1">
        <f t="array" ref="N2036">SUMPRODUCT(("CT_CWODETH"=[1]OUT_SyntheticFuels!$C$4:$C$1000)*1,("Var_cap"=[1]OUT_SyntheticFuels!$B$4:$B$1000)*1,[1]OUT_SyntheticFuels!M$4:M$1000)</f>
        <v>1.2400367534650748E-4</v>
      </c>
      <c r="O2036" s="7" cm="1">
        <f t="array" ref="O2036">SUMPRODUCT(("CT_CWODETH"=[1]OUT_SyntheticFuels!$C$4:$C$1000)*1,("Var_cap"=[1]OUT_SyntheticFuels!$B$4:$B$1000)*1,[1]OUT_SyntheticFuels!N$4:N$1000)</f>
        <v>2.2739496455498293E-4</v>
      </c>
      <c r="P2036" s="7" cm="1">
        <f t="array" ref="P2036">SUMPRODUCT(("CT_CWODETH"=[1]OUT_SyntheticFuels!$C$4:$C$1000)*1,("Var_cap"=[1]OUT_SyntheticFuels!$B$4:$B$1000)*1,[1]OUT_SyntheticFuels!O$4:O$1000)</f>
        <v>1.8841874214236808E-4</v>
      </c>
      <c r="Q2036" s="7" cm="1">
        <f t="array" ref="Q2036">SUMPRODUCT(("CT_CWODETH"=[1]OUT_SyntheticFuels!$C$4:$C$1000)*1,("Var_cap"=[1]OUT_SyntheticFuels!$B$4:$B$1000)*1,[1]OUT_SyntheticFuels!P$4:P$1000)</f>
        <v>3.4959347270308076E-4</v>
      </c>
      <c r="S2036" s="3"/>
    </row>
    <row r="2037" spans="2:19" x14ac:dyDescent="0.5">
      <c r="B2037" s="5" t="str">
        <f t="shared" si="2209"/>
        <v>SPS1</v>
      </c>
      <c r="C2037" s="5" t="str">
        <f t="shared" si="2210"/>
        <v>CH</v>
      </c>
      <c r="D2037" t="s">
        <v>2168</v>
      </c>
      <c r="E2037" t="s">
        <v>2156</v>
      </c>
      <c r="F2037" s="7" cm="1">
        <f t="array" ref="F2037">SUMPRODUCT(("CT_CWODETHCCS"=[1]OUT_SyntheticFuels!$C$4:$C$1000)*1,("Var_cap"=[1]OUT_SyntheticFuels!$B$4:$B$1000)*1,[1]OUT_SyntheticFuels!E$4:E$1000)</f>
        <v>0</v>
      </c>
      <c r="G2037" s="7" cm="1">
        <f t="array" ref="G2037">SUMPRODUCT(("CT_CWODETHCCS"=[1]OUT_SyntheticFuels!$C$4:$C$1000)*1,("Var_cap"=[1]OUT_SyntheticFuels!$B$4:$B$1000)*1,[1]OUT_SyntheticFuels!F$4:F$1000)</f>
        <v>0</v>
      </c>
      <c r="H2037" s="7" cm="1">
        <f t="array" ref="H2037">SUMPRODUCT(("CT_CWODETHCCS"=[1]OUT_SyntheticFuels!$C$4:$C$1000)*1,("Var_cap"=[1]OUT_SyntheticFuels!$B$4:$B$1000)*1,[1]OUT_SyntheticFuels!G$4:G$1000)</f>
        <v>0</v>
      </c>
      <c r="I2037" s="7" cm="1">
        <f t="array" ref="I2037">SUMPRODUCT(("CT_CWODETHCCS"=[1]OUT_SyntheticFuels!$C$4:$C$1000)*1,("Var_cap"=[1]OUT_SyntheticFuels!$B$4:$B$1000)*1,[1]OUT_SyntheticFuels!H$4:H$1000)</f>
        <v>0</v>
      </c>
      <c r="J2037" s="7" cm="1">
        <f t="array" ref="J2037">SUMPRODUCT(("CT_CWODETHCCS"=[1]OUT_SyntheticFuels!$C$4:$C$1000)*1,("Var_cap"=[1]OUT_SyntheticFuels!$B$4:$B$1000)*1,[1]OUT_SyntheticFuels!I$4:I$1000)</f>
        <v>0</v>
      </c>
      <c r="K2037" s="7" cm="1">
        <f t="array" ref="K2037">SUMPRODUCT(("CT_CWODETHCCS"=[1]OUT_SyntheticFuels!$C$4:$C$1000)*1,("Var_cap"=[1]OUT_SyntheticFuels!$B$4:$B$1000)*1,[1]OUT_SyntheticFuels!J$4:J$1000)</f>
        <v>5.9314049147564702E-5</v>
      </c>
      <c r="L2037" s="7" cm="1">
        <f t="array" ref="L2037">SUMPRODUCT(("CT_CWODETHCCS"=[1]OUT_SyntheticFuels!$C$4:$C$1000)*1,("Var_cap"=[1]OUT_SyntheticFuels!$B$4:$B$1000)*1,[1]OUT_SyntheticFuels!K$4:K$1000)</f>
        <v>1.03575017586402E-4</v>
      </c>
      <c r="M2037" s="7" cm="1">
        <f t="array" ref="M2037">SUMPRODUCT(("CT_CWODETHCCS"=[1]OUT_SyntheticFuels!$C$4:$C$1000)*1,("Var_cap"=[1]OUT_SyntheticFuels!$B$4:$B$1000)*1,[1]OUT_SyntheticFuels!L$4:L$1000)</f>
        <v>1.5702263786055199E-4</v>
      </c>
      <c r="N2037" s="7" cm="1">
        <f t="array" ref="N2037">SUMPRODUCT(("CT_CWODETHCCS"=[1]OUT_SyntheticFuels!$C$4:$C$1000)*1,("Var_cap"=[1]OUT_SyntheticFuels!$B$4:$B$1000)*1,[1]OUT_SyntheticFuels!M$4:M$1000)</f>
        <v>2.5861290265058999E-4</v>
      </c>
      <c r="O2037" s="7" cm="1">
        <f t="array" ref="O2037">SUMPRODUCT(("CT_CWODETHCCS"=[1]OUT_SyntheticFuels!$C$4:$C$1000)*1,("Var_cap"=[1]OUT_SyntheticFuels!$B$4:$B$1000)*1,[1]OUT_SyntheticFuels!N$4:N$1000)</f>
        <v>3.8981696550828099E-4</v>
      </c>
      <c r="P2037" s="7" cm="1">
        <f t="array" ref="P2037">SUMPRODUCT(("CT_CWODETHCCS"=[1]OUT_SyntheticFuels!$C$4:$C$1000)*1,("Var_cap"=[1]OUT_SyntheticFuels!$B$4:$B$1000)*1,[1]OUT_SyntheticFuels!O$4:O$1000)</f>
        <v>3.4994657600194602E-4</v>
      </c>
      <c r="Q2037" s="7" cm="1">
        <f t="array" ref="Q2037">SUMPRODUCT(("CT_CWODETHCCS"=[1]OUT_SyntheticFuels!$C$4:$C$1000)*1,("Var_cap"=[1]OUT_SyntheticFuels!$B$4:$B$1000)*1,[1]OUT_SyntheticFuels!P$4:P$1000)</f>
        <v>5.3589258772335896E-4</v>
      </c>
      <c r="S2037" s="3"/>
    </row>
    <row r="2038" spans="2:19" x14ac:dyDescent="0.5">
      <c r="B2038" s="5" t="str">
        <f t="shared" si="2209"/>
        <v>SPS1</v>
      </c>
      <c r="C2038" s="5" t="str">
        <f t="shared" si="2210"/>
        <v>CH</v>
      </c>
      <c r="D2038" t="s">
        <v>2161</v>
      </c>
      <c r="E2038" t="s">
        <v>2156</v>
      </c>
      <c r="F2038" s="7" cm="1">
        <f t="array" ref="F2038">SUMPRODUCT(("SUP_MNRBIO"=[1]OUT_SyntheticFuels!$C$4:$C$1000)*1,("Var_cap"=[1]OUT_SyntheticFuels!$B$4:$B$1000)*1,[1]OUT_SyntheticFuels!E$4:E$1000)</f>
        <v>5.36906086341742E-2</v>
      </c>
      <c r="G2038" s="7" cm="1">
        <f t="array" ref="G2038">SUMPRODUCT(("SUP_MNRBIO"=[1]OUT_SyntheticFuels!$C$4:$C$1000)*1,("Var_cap"=[1]OUT_SyntheticFuels!$B$4:$B$1000)*1,[1]OUT_SyntheticFuels!F$4:F$1000)</f>
        <v>0.16241154656204237</v>
      </c>
      <c r="H2038" s="7" cm="1">
        <f t="array" ref="H2038">SUMPRODUCT(("SUP_MNRBIO"=[1]OUT_SyntheticFuels!$C$4:$C$1000)*1,("Var_cap"=[1]OUT_SyntheticFuels!$B$4:$B$1000)*1,[1]OUT_SyntheticFuels!G$4:G$1000)</f>
        <v>0.16241576488992243</v>
      </c>
      <c r="I2038" s="7" cm="1">
        <f t="array" ref="I2038">SUMPRODUCT(("SUP_MNRBIO"=[1]OUT_SyntheticFuels!$C$4:$C$1000)*1,("Var_cap"=[1]OUT_SyntheticFuels!$B$4:$B$1000)*1,[1]OUT_SyntheticFuels!H$4:H$1000)</f>
        <v>0.16241411666294508</v>
      </c>
      <c r="J2038" s="7" cm="1">
        <f t="array" ref="J2038">SUMPRODUCT(("SUP_MNRBIO"=[1]OUT_SyntheticFuels!$C$4:$C$1000)*1,("Var_cap"=[1]OUT_SyntheticFuels!$B$4:$B$1000)*1,[1]OUT_SyntheticFuels!I$4:I$1000)</f>
        <v>0.16244874670052495</v>
      </c>
      <c r="K2038" s="7" cm="1">
        <f t="array" ref="K2038">SUMPRODUCT(("SUP_MNRBIO"=[1]OUT_SyntheticFuels!$C$4:$C$1000)*1,("Var_cap"=[1]OUT_SyntheticFuels!$B$4:$B$1000)*1,[1]OUT_SyntheticFuels!J$4:J$1000)</f>
        <v>0.16274712775125413</v>
      </c>
      <c r="L2038" s="7" cm="1">
        <f t="array" ref="L2038">SUMPRODUCT(("SUP_MNRBIO"=[1]OUT_SyntheticFuels!$C$4:$C$1000)*1,("Var_cap"=[1]OUT_SyntheticFuels!$B$4:$B$1000)*1,[1]OUT_SyntheticFuels!K$4:K$1000)</f>
        <v>0.18988369785910564</v>
      </c>
      <c r="M2038" s="7" cm="1">
        <f t="array" ref="M2038">SUMPRODUCT(("SUP_MNRBIO"=[1]OUT_SyntheticFuels!$C$4:$C$1000)*1,("Var_cap"=[1]OUT_SyntheticFuels!$B$4:$B$1000)*1,[1]OUT_SyntheticFuels!L$4:L$1000)</f>
        <v>0.25520997546383994</v>
      </c>
      <c r="N2038" s="7" cm="1">
        <f t="array" ref="N2038">SUMPRODUCT(("SUP_MNRBIO"=[1]OUT_SyntheticFuels!$C$4:$C$1000)*1,("Var_cap"=[1]OUT_SyntheticFuels!$B$4:$B$1000)*1,[1]OUT_SyntheticFuels!M$4:M$1000)</f>
        <v>0.25518892747616934</v>
      </c>
      <c r="O2038" s="7" cm="1">
        <f t="array" ref="O2038">SUMPRODUCT(("SUP_MNRBIO"=[1]OUT_SyntheticFuels!$C$4:$C$1000)*1,("Var_cap"=[1]OUT_SyntheticFuels!$B$4:$B$1000)*1,[1]OUT_SyntheticFuels!N$4:N$1000)</f>
        <v>0.340450871915075</v>
      </c>
      <c r="P2038" s="7" cm="1">
        <f t="array" ref="P2038">SUMPRODUCT(("SUP_MNRBIO"=[1]OUT_SyntheticFuels!$C$4:$C$1000)*1,("Var_cap"=[1]OUT_SyntheticFuels!$B$4:$B$1000)*1,[1]OUT_SyntheticFuels!O$4:O$1000)</f>
        <v>0.34044256744165174</v>
      </c>
      <c r="Q2038" s="7" cm="1">
        <f t="array" ref="Q2038">SUMPRODUCT(("SUP_MNRBIO"=[1]OUT_SyntheticFuels!$C$4:$C$1000)*1,("Var_cap"=[1]OUT_SyntheticFuels!$B$4:$B$1000)*1,[1]OUT_SyntheticFuels!P$4:P$1000)</f>
        <v>0.34049474490556364</v>
      </c>
      <c r="S2038" s="3"/>
    </row>
    <row r="2039" spans="2:19" x14ac:dyDescent="0.5">
      <c r="B2039" s="5" t="str">
        <f t="shared" si="2209"/>
        <v>SPS1</v>
      </c>
      <c r="C2039" s="5" t="str">
        <f t="shared" si="2210"/>
        <v>CH</v>
      </c>
      <c r="D2039" t="s">
        <v>2157</v>
      </c>
      <c r="E2039" t="s">
        <v>2156</v>
      </c>
      <c r="F2039" s="7" cm="1">
        <f t="array" ref="F2039">SUMPRODUCT(("SUP_WSTBIO"=[1]OUT_SyntheticFuels!$C$4:$C$1000)*1,("Var_cap"=[1]OUT_SyntheticFuels!$B$4:$B$1000)*1,[1]OUT_SyntheticFuels!E$4:E$1000)</f>
        <v>0.21267654636452468</v>
      </c>
      <c r="G2039" s="7" cm="1">
        <f t="array" ref="G2039">SUMPRODUCT(("SUP_WSTBIO"=[1]OUT_SyntheticFuels!$C$4:$C$1000)*1,("Var_cap"=[1]OUT_SyntheticFuels!$B$4:$B$1000)*1,[1]OUT_SyntheticFuels!F$4:F$1000)</f>
        <v>0.21705687999249262</v>
      </c>
      <c r="H2039" s="7" cm="1">
        <f t="array" ref="H2039">SUMPRODUCT(("SUP_WSTBIO"=[1]OUT_SyntheticFuels!$C$4:$C$1000)*1,("Var_cap"=[1]OUT_SyntheticFuels!$B$4:$B$1000)*1,[1]OUT_SyntheticFuels!G$4:G$1000)</f>
        <v>0.21705537983437395</v>
      </c>
      <c r="I2039" s="7" cm="1">
        <f t="array" ref="I2039">SUMPRODUCT(("SUP_WSTBIO"=[1]OUT_SyntheticFuels!$C$4:$C$1000)*1,("Var_cap"=[1]OUT_SyntheticFuels!$B$4:$B$1000)*1,[1]OUT_SyntheticFuels!H$4:H$1000)</f>
        <v>0.21924188227292252</v>
      </c>
      <c r="J2039" s="7" cm="1">
        <f t="array" ref="J2039">SUMPRODUCT(("SUP_WSTBIO"=[1]OUT_SyntheticFuels!$C$4:$C$1000)*1,("Var_cap"=[1]OUT_SyntheticFuels!$B$4:$B$1000)*1,[1]OUT_SyntheticFuels!I$4:I$1000)</f>
        <v>0.21878440046650646</v>
      </c>
      <c r="K2039" s="7" cm="1">
        <f t="array" ref="K2039">SUMPRODUCT(("SUP_WSTBIO"=[1]OUT_SyntheticFuels!$C$4:$C$1000)*1,("Var_cap"=[1]OUT_SyntheticFuels!$B$4:$B$1000)*1,[1]OUT_SyntheticFuels!J$4:J$1000)</f>
        <v>0.31763830587218861</v>
      </c>
      <c r="L2039" s="7" cm="1">
        <f t="array" ref="L2039">SUMPRODUCT(("SUP_WSTBIO"=[1]OUT_SyntheticFuels!$C$4:$C$1000)*1,("Var_cap"=[1]OUT_SyntheticFuels!$B$4:$B$1000)*1,[1]OUT_SyntheticFuels!K$4:K$1000)</f>
        <v>0.3480902931951752</v>
      </c>
      <c r="M2039" s="7" cm="1">
        <f t="array" ref="M2039">SUMPRODUCT(("SUP_WSTBIO"=[1]OUT_SyntheticFuels!$C$4:$C$1000)*1,("Var_cap"=[1]OUT_SyntheticFuels!$B$4:$B$1000)*1,[1]OUT_SyntheticFuels!L$4:L$1000)</f>
        <v>0.37189958123791683</v>
      </c>
      <c r="N2039" s="7" cm="1">
        <f t="array" ref="N2039">SUMPRODUCT(("SUP_WSTBIO"=[1]OUT_SyntheticFuels!$C$4:$C$1000)*1,("Var_cap"=[1]OUT_SyntheticFuels!$B$4:$B$1000)*1,[1]OUT_SyntheticFuels!M$4:M$1000)</f>
        <v>0.40024256810998121</v>
      </c>
      <c r="O2039" s="7" cm="1">
        <f t="array" ref="O2039">SUMPRODUCT(("SUP_WSTBIO"=[1]OUT_SyntheticFuels!$C$4:$C$1000)*1,("Var_cap"=[1]OUT_SyntheticFuels!$B$4:$B$1000)*1,[1]OUT_SyntheticFuels!N$4:N$1000)</f>
        <v>0.42754490571435483</v>
      </c>
      <c r="P2039" s="7" cm="1">
        <f t="array" ref="P2039">SUMPRODUCT(("SUP_WSTBIO"=[1]OUT_SyntheticFuels!$C$4:$C$1000)*1,("Var_cap"=[1]OUT_SyntheticFuels!$B$4:$B$1000)*1,[1]OUT_SyntheticFuels!O$4:O$1000)</f>
        <v>0.43093371023031907</v>
      </c>
      <c r="Q2039" s="7" cm="1">
        <f t="array" ref="Q2039">SUMPRODUCT(("SUP_WSTBIO"=[1]OUT_SyntheticFuels!$C$4:$C$1000)*1,("Var_cap"=[1]OUT_SyntheticFuels!$B$4:$B$1000)*1,[1]OUT_SyntheticFuels!P$4:P$1000)</f>
        <v>0.43121615413367392</v>
      </c>
      <c r="S2039" s="3"/>
    </row>
    <row r="2040" spans="2:19" x14ac:dyDescent="0.5">
      <c r="B2040" s="5" t="str">
        <f t="shared" si="2209"/>
        <v>SPS1</v>
      </c>
      <c r="C2040" s="5" t="str">
        <f t="shared" si="2210"/>
        <v>CH</v>
      </c>
      <c r="D2040" t="s">
        <v>2169</v>
      </c>
      <c r="E2040" t="s">
        <v>2156</v>
      </c>
      <c r="F2040" s="7" cm="1">
        <f t="array" ref="F2040">SUMPRODUCT(("SUP_WSTBIOCCS"=[1]OUT_SyntheticFuels!$C$4:$C$1000)*1,("Var_cap"=[1]OUT_SyntheticFuels!$B$4:$B$1000)*1,[1]OUT_SyntheticFuels!E$4:E$1000)</f>
        <v>0</v>
      </c>
      <c r="G2040" s="7" cm="1">
        <f t="array" ref="G2040">SUMPRODUCT(("SUP_WSTBIOCCS"=[1]OUT_SyntheticFuels!$C$4:$C$1000)*1,("Var_cap"=[1]OUT_SyntheticFuels!$B$4:$B$1000)*1,[1]OUT_SyntheticFuels!F$4:F$1000)</f>
        <v>0</v>
      </c>
      <c r="H2040" s="7" cm="1">
        <f t="array" ref="H2040">SUMPRODUCT(("SUP_WSTBIOCCS"=[1]OUT_SyntheticFuels!$C$4:$C$1000)*1,("Var_cap"=[1]OUT_SyntheticFuels!$B$4:$B$1000)*1,[1]OUT_SyntheticFuels!G$4:G$1000)</f>
        <v>0</v>
      </c>
      <c r="I2040" s="7" cm="1">
        <f t="array" ref="I2040">SUMPRODUCT(("SUP_WSTBIOCCS"=[1]OUT_SyntheticFuels!$C$4:$C$1000)*1,("Var_cap"=[1]OUT_SyntheticFuels!$B$4:$B$1000)*1,[1]OUT_SyntheticFuels!H$4:H$1000)</f>
        <v>0</v>
      </c>
      <c r="J2040" s="7" cm="1">
        <f t="array" ref="J2040">SUMPRODUCT(("SUP_WSTBIOCCS"=[1]OUT_SyntheticFuels!$C$4:$C$1000)*1,("Var_cap"=[1]OUT_SyntheticFuels!$B$4:$B$1000)*1,[1]OUT_SyntheticFuels!I$4:I$1000)</f>
        <v>0</v>
      </c>
      <c r="K2040" s="7" cm="1">
        <f t="array" ref="K2040">SUMPRODUCT(("SUP_WSTBIOCCS"=[1]OUT_SyntheticFuels!$C$4:$C$1000)*1,("Var_cap"=[1]OUT_SyntheticFuels!$B$4:$B$1000)*1,[1]OUT_SyntheticFuels!J$4:J$1000)</f>
        <v>0</v>
      </c>
      <c r="L2040" s="7" cm="1">
        <f t="array" ref="L2040">SUMPRODUCT(("SUP_WSTBIOCCS"=[1]OUT_SyntheticFuels!$C$4:$C$1000)*1,("Var_cap"=[1]OUT_SyntheticFuels!$B$4:$B$1000)*1,[1]OUT_SyntheticFuels!K$4:K$1000)</f>
        <v>0</v>
      </c>
      <c r="M2040" s="7" cm="1">
        <f t="array" ref="M2040">SUMPRODUCT(("SUP_WSTBIOCCS"=[1]OUT_SyntheticFuels!$C$4:$C$1000)*1,("Var_cap"=[1]OUT_SyntheticFuels!$B$4:$B$1000)*1,[1]OUT_SyntheticFuels!L$4:L$1000)</f>
        <v>0</v>
      </c>
      <c r="N2040" s="7" cm="1">
        <f t="array" ref="N2040">SUMPRODUCT(("SUP_WSTBIOCCS"=[1]OUT_SyntheticFuels!$C$4:$C$1000)*1,("Var_cap"=[1]OUT_SyntheticFuels!$B$4:$B$1000)*1,[1]OUT_SyntheticFuels!M$4:M$1000)</f>
        <v>0</v>
      </c>
      <c r="O2040" s="7" cm="1">
        <f t="array" ref="O2040">SUMPRODUCT(("SUP_WSTBIOCCS"=[1]OUT_SyntheticFuels!$C$4:$C$1000)*1,("Var_cap"=[1]OUT_SyntheticFuels!$B$4:$B$1000)*1,[1]OUT_SyntheticFuels!N$4:N$1000)</f>
        <v>0</v>
      </c>
      <c r="P2040" s="7" cm="1">
        <f t="array" ref="P2040">SUMPRODUCT(("SUP_WSTBIOCCS"=[1]OUT_SyntheticFuels!$C$4:$C$1000)*1,("Var_cap"=[1]OUT_SyntheticFuels!$B$4:$B$1000)*1,[1]OUT_SyntheticFuels!O$4:O$1000)</f>
        <v>0</v>
      </c>
      <c r="Q2040" s="7" cm="1">
        <f t="array" ref="Q2040">SUMPRODUCT(("SUP_WSTBIOCCS"=[1]OUT_SyntheticFuels!$C$4:$C$1000)*1,("Var_cap"=[1]OUT_SyntheticFuels!$B$4:$B$1000)*1,[1]OUT_SyntheticFuels!P$4:P$1000)</f>
        <v>0</v>
      </c>
      <c r="S2040" s="3"/>
    </row>
    <row r="2041" spans="2:19" x14ac:dyDescent="0.5">
      <c r="B2041" s="5" t="str">
        <f t="shared" si="2209"/>
        <v>SPS1</v>
      </c>
      <c r="C2041" s="5" t="str">
        <f t="shared" si="2210"/>
        <v>CH</v>
      </c>
      <c r="D2041" t="s">
        <v>2170</v>
      </c>
      <c r="E2041" t="s">
        <v>2156</v>
      </c>
      <c r="F2041" s="7" cm="1">
        <f t="array" ref="F2041">SUMPRODUCT(("SUP_WSTHTGBIO"=[1]OUT_SyntheticFuels!$C$4:$C$1000)*1,("Var_cap"=[1]OUT_SyntheticFuels!$B$4:$B$1000)*1,[1]OUT_SyntheticFuels!E$4:E$1000)</f>
        <v>0</v>
      </c>
      <c r="G2041" s="7" cm="1">
        <f t="array" ref="G2041">SUMPRODUCT(("SUP_WSTHTGBIO"=[1]OUT_SyntheticFuels!$C$4:$C$1000)*1,("Var_cap"=[1]OUT_SyntheticFuels!$B$4:$B$1000)*1,[1]OUT_SyntheticFuels!F$4:F$1000)</f>
        <v>0</v>
      </c>
      <c r="H2041" s="7" cm="1">
        <f t="array" ref="H2041">SUMPRODUCT(("SUP_WSTHTGBIO"=[1]OUT_SyntheticFuels!$C$4:$C$1000)*1,("Var_cap"=[1]OUT_SyntheticFuels!$B$4:$B$1000)*1,[1]OUT_SyntheticFuels!G$4:G$1000)</f>
        <v>0</v>
      </c>
      <c r="I2041" s="7" cm="1">
        <f t="array" ref="I2041">SUMPRODUCT(("SUP_WSTHTGBIO"=[1]OUT_SyntheticFuels!$C$4:$C$1000)*1,("Var_cap"=[1]OUT_SyntheticFuels!$B$4:$B$1000)*1,[1]OUT_SyntheticFuels!H$4:H$1000)</f>
        <v>0</v>
      </c>
      <c r="J2041" s="7" cm="1">
        <f t="array" ref="J2041">SUMPRODUCT(("SUP_WSTHTGBIO"=[1]OUT_SyntheticFuels!$C$4:$C$1000)*1,("Var_cap"=[1]OUT_SyntheticFuels!$B$4:$B$1000)*1,[1]OUT_SyntheticFuels!I$4:I$1000)</f>
        <v>0</v>
      </c>
      <c r="K2041" s="7" cm="1">
        <f t="array" ref="K2041">SUMPRODUCT(("SUP_WSTHTGBIO"=[1]OUT_SyntheticFuels!$C$4:$C$1000)*1,("Var_cap"=[1]OUT_SyntheticFuels!$B$4:$B$1000)*1,[1]OUT_SyntheticFuels!J$4:J$1000)</f>
        <v>1.5906427571923899E-4</v>
      </c>
      <c r="L2041" s="7" cm="1">
        <f t="array" ref="L2041">SUMPRODUCT(("SUP_WSTHTGBIO"=[1]OUT_SyntheticFuels!$C$4:$C$1000)*1,("Var_cap"=[1]OUT_SyntheticFuels!$B$4:$B$1000)*1,[1]OUT_SyntheticFuels!K$4:K$1000)</f>
        <v>1.7563750252525283E-4</v>
      </c>
      <c r="M2041" s="7" cm="1">
        <f t="array" ref="M2041">SUMPRODUCT(("SUP_WSTHTGBIO"=[1]OUT_SyntheticFuels!$C$4:$C$1000)*1,("Var_cap"=[1]OUT_SyntheticFuels!$B$4:$B$1000)*1,[1]OUT_SyntheticFuels!L$4:L$1000)</f>
        <v>4.1006238185225139E-3</v>
      </c>
      <c r="N2041" s="7" cm="1">
        <f t="array" ref="N2041">SUMPRODUCT(("SUP_WSTHTGBIO"=[1]OUT_SyntheticFuels!$C$4:$C$1000)*1,("Var_cap"=[1]OUT_SyntheticFuels!$B$4:$B$1000)*1,[1]OUT_SyntheticFuels!M$4:M$1000)</f>
        <v>3.9498217931454123E-3</v>
      </c>
      <c r="O2041" s="7" cm="1">
        <f t="array" ref="O2041">SUMPRODUCT(("SUP_WSTHTGBIO"=[1]OUT_SyntheticFuels!$C$4:$C$1000)*1,("Var_cap"=[1]OUT_SyntheticFuels!$B$4:$B$1000)*1,[1]OUT_SyntheticFuels!N$4:N$1000)</f>
        <v>3.9530340204861356E-3</v>
      </c>
      <c r="P2041" s="7" cm="1">
        <f t="array" ref="P2041">SUMPRODUCT(("SUP_WSTHTGBIO"=[1]OUT_SyntheticFuels!$C$4:$C$1000)*1,("Var_cap"=[1]OUT_SyntheticFuels!$B$4:$B$1000)*1,[1]OUT_SyntheticFuels!O$4:O$1000)</f>
        <v>8.3537231810576007E-4</v>
      </c>
      <c r="Q2041" s="7" cm="1">
        <f t="array" ref="Q2041">SUMPRODUCT(("SUP_WSTHTGBIO"=[1]OUT_SyntheticFuels!$C$4:$C$1000)*1,("Var_cap"=[1]OUT_SyntheticFuels!$B$4:$B$1000)*1,[1]OUT_SyntheticFuels!P$4:P$1000)</f>
        <v>6.2057812366942257E-4</v>
      </c>
      <c r="S2041" s="3"/>
    </row>
    <row r="2042" spans="2:19" x14ac:dyDescent="0.5">
      <c r="B2042" s="5" t="str">
        <f t="shared" si="2209"/>
        <v>SPS1</v>
      </c>
      <c r="C2042" s="5" t="str">
        <f t="shared" si="2210"/>
        <v>CH</v>
      </c>
      <c r="D2042" t="s">
        <v>2171</v>
      </c>
      <c r="E2042" t="s">
        <v>2156</v>
      </c>
      <c r="F2042" s="7" cm="1">
        <f t="array" ref="F2042">SUMPRODUCT(("SUP_WSTHTGBIOCCS"=[1]OUT_SyntheticFuels!$C$4:$C$1000)*1,("Var_cap"=[1]OUT_SyntheticFuels!$B$4:$B$1000)*1,[1]OUT_SyntheticFuels!E$4:E$1000)</f>
        <v>0</v>
      </c>
      <c r="G2042" s="7" cm="1">
        <f t="array" ref="G2042">SUMPRODUCT(("SUP_WSTHTGBIOCCS"=[1]OUT_SyntheticFuels!$C$4:$C$1000)*1,("Var_cap"=[1]OUT_SyntheticFuels!$B$4:$B$1000)*1,[1]OUT_SyntheticFuels!F$4:F$1000)</f>
        <v>0</v>
      </c>
      <c r="H2042" s="7" cm="1">
        <f t="array" ref="H2042">SUMPRODUCT(("SUP_WSTHTGBIOCCS"=[1]OUT_SyntheticFuels!$C$4:$C$1000)*1,("Var_cap"=[1]OUT_SyntheticFuels!$B$4:$B$1000)*1,[1]OUT_SyntheticFuels!G$4:G$1000)</f>
        <v>0</v>
      </c>
      <c r="I2042" s="7" cm="1">
        <f t="array" ref="I2042">SUMPRODUCT(("SUP_WSTHTGBIOCCS"=[1]OUT_SyntheticFuels!$C$4:$C$1000)*1,("Var_cap"=[1]OUT_SyntheticFuels!$B$4:$B$1000)*1,[1]OUT_SyntheticFuels!H$4:H$1000)</f>
        <v>0</v>
      </c>
      <c r="J2042" s="7" cm="1">
        <f t="array" ref="J2042">SUMPRODUCT(("SUP_WSTHTGBIOCCS"=[1]OUT_SyntheticFuels!$C$4:$C$1000)*1,("Var_cap"=[1]OUT_SyntheticFuels!$B$4:$B$1000)*1,[1]OUT_SyntheticFuels!I$4:I$1000)</f>
        <v>0</v>
      </c>
      <c r="K2042" s="7" cm="1">
        <f t="array" ref="K2042">SUMPRODUCT(("SUP_WSTHTGBIOCCS"=[1]OUT_SyntheticFuels!$C$4:$C$1000)*1,("Var_cap"=[1]OUT_SyntheticFuels!$B$4:$B$1000)*1,[1]OUT_SyntheticFuels!J$4:J$1000)</f>
        <v>2.24092664628395E-5</v>
      </c>
      <c r="L2042" s="7" cm="1">
        <f t="array" ref="L2042">SUMPRODUCT(("SUP_WSTHTGBIOCCS"=[1]OUT_SyntheticFuels!$C$4:$C$1000)*1,("Var_cap"=[1]OUT_SyntheticFuels!$B$4:$B$1000)*1,[1]OUT_SyntheticFuels!K$4:K$1000)</f>
        <v>6.1975833590530873E-5</v>
      </c>
      <c r="M2042" s="7" cm="1">
        <f t="array" ref="M2042">SUMPRODUCT(("SUP_WSTHTGBIOCCS"=[1]OUT_SyntheticFuels!$C$4:$C$1000)*1,("Var_cap"=[1]OUT_SyntheticFuels!$B$4:$B$1000)*1,[1]OUT_SyntheticFuels!L$4:L$1000)</f>
        <v>2.7635569448188432E-4</v>
      </c>
      <c r="N2042" s="7" cm="1">
        <f t="array" ref="N2042">SUMPRODUCT(("SUP_WSTHTGBIOCCS"=[1]OUT_SyntheticFuels!$C$4:$C$1000)*1,("Var_cap"=[1]OUT_SyntheticFuels!$B$4:$B$1000)*1,[1]OUT_SyntheticFuels!M$4:M$1000)</f>
        <v>1.8247473072644242E-4</v>
      </c>
      <c r="O2042" s="7" cm="1">
        <f t="array" ref="O2042">SUMPRODUCT(("SUP_WSTHTGBIOCCS"=[1]OUT_SyntheticFuels!$C$4:$C$1000)*1,("Var_cap"=[1]OUT_SyntheticFuels!$B$4:$B$1000)*1,[1]OUT_SyntheticFuels!N$4:N$1000)</f>
        <v>3.0212346198652207E-4</v>
      </c>
      <c r="P2042" s="7" cm="1">
        <f t="array" ref="P2042">SUMPRODUCT(("SUP_WSTHTGBIOCCS"=[1]OUT_SyntheticFuels!$C$4:$C$1000)*1,("Var_cap"=[1]OUT_SyntheticFuels!$B$4:$B$1000)*1,[1]OUT_SyntheticFuels!O$4:O$1000)</f>
        <v>2.6220394087140837E-4</v>
      </c>
      <c r="Q2042" s="7" cm="1">
        <f t="array" ref="Q2042">SUMPRODUCT(("SUP_WSTHTGBIOCCS"=[1]OUT_SyntheticFuels!$C$4:$C$1000)*1,("Var_cap"=[1]OUT_SyntheticFuels!$B$4:$B$1000)*1,[1]OUT_SyntheticFuels!P$4:P$1000)</f>
        <v>2.676754109339423E-4</v>
      </c>
      <c r="S2042" s="3"/>
    </row>
    <row r="2043" spans="2:19" x14ac:dyDescent="0.5">
      <c r="B2043" s="5" t="str">
        <f t="shared" si="2209"/>
        <v>SPS1</v>
      </c>
      <c r="C2043" s="5" t="str">
        <f t="shared" si="2210"/>
        <v>CH</v>
      </c>
      <c r="D2043" t="s">
        <v>2172</v>
      </c>
      <c r="E2043" t="s">
        <v>2156</v>
      </c>
      <c r="F2043" s="7" cm="1">
        <f t="array" ref="F2043">SUMPRODUCT(("SUP_WODBIO"=[1]OUT_SyntheticFuels!$C$4:$C$1000)*1,("Var_cap"=[1]OUT_SyntheticFuels!$B$4:$B$1000)*1,[1]OUT_SyntheticFuels!E$4:E$1000)</f>
        <v>5.2671933479938998E-6</v>
      </c>
      <c r="G2043" s="7" cm="1">
        <f t="array" ref="G2043">SUMPRODUCT(("SUP_WODBIO"=[1]OUT_SyntheticFuels!$C$4:$C$1000)*1,("Var_cap"=[1]OUT_SyntheticFuels!$B$4:$B$1000)*1,[1]OUT_SyntheticFuels!F$4:F$1000)</f>
        <v>8.3565989675975317E-5</v>
      </c>
      <c r="H2043" s="7" cm="1">
        <f t="array" ref="H2043">SUMPRODUCT(("SUP_WODBIO"=[1]OUT_SyntheticFuels!$C$4:$C$1000)*1,("Var_cap"=[1]OUT_SyntheticFuels!$B$4:$B$1000)*1,[1]OUT_SyntheticFuels!G$4:G$1000)</f>
        <v>8.6940042898226669E-5</v>
      </c>
      <c r="I2043" s="7" cm="1">
        <f t="array" ref="I2043">SUMPRODUCT(("SUP_WODBIO"=[1]OUT_SyntheticFuels!$C$4:$C$1000)*1,("Var_cap"=[1]OUT_SyntheticFuels!$B$4:$B$1000)*1,[1]OUT_SyntheticFuels!H$4:H$1000)</f>
        <v>8.875338002851748E-5</v>
      </c>
      <c r="J2043" s="7" cm="1">
        <f t="array" ref="J2043">SUMPRODUCT(("SUP_WODBIO"=[1]OUT_SyntheticFuels!$C$4:$C$1000)*1,("Var_cap"=[1]OUT_SyntheticFuels!$B$4:$B$1000)*1,[1]OUT_SyntheticFuels!I$4:I$1000)</f>
        <v>1.434781672655791E-4</v>
      </c>
      <c r="K2043" s="7" cm="1">
        <f t="array" ref="K2043">SUMPRODUCT(("SUP_WODBIO"=[1]OUT_SyntheticFuels!$C$4:$C$1000)*1,("Var_cap"=[1]OUT_SyntheticFuels!$B$4:$B$1000)*1,[1]OUT_SyntheticFuels!J$4:J$1000)</f>
        <v>1.1614485643138115E-4</v>
      </c>
      <c r="L2043" s="7" cm="1">
        <f t="array" ref="L2043">SUMPRODUCT(("SUP_WODBIO"=[1]OUT_SyntheticFuels!$C$4:$C$1000)*1,("Var_cap"=[1]OUT_SyntheticFuels!$B$4:$B$1000)*1,[1]OUT_SyntheticFuels!K$4:K$1000)</f>
        <v>1.0343297715432272E-4</v>
      </c>
      <c r="M2043" s="7" cm="1">
        <f t="array" ref="M2043">SUMPRODUCT(("SUP_WODBIO"=[1]OUT_SyntheticFuels!$C$4:$C$1000)*1,("Var_cap"=[1]OUT_SyntheticFuels!$B$4:$B$1000)*1,[1]OUT_SyntheticFuels!L$4:L$1000)</f>
        <v>1.5637081106036605E-4</v>
      </c>
      <c r="N2043" s="7" cm="1">
        <f t="array" ref="N2043">SUMPRODUCT(("SUP_WODBIO"=[1]OUT_SyntheticFuels!$C$4:$C$1000)*1,("Var_cap"=[1]OUT_SyntheticFuels!$B$4:$B$1000)*1,[1]OUT_SyntheticFuels!M$4:M$1000)</f>
        <v>1.1942653230182559E-4</v>
      </c>
      <c r="O2043" s="7" cm="1">
        <f t="array" ref="O2043">SUMPRODUCT(("SUP_WODBIO"=[1]OUT_SyntheticFuels!$C$4:$C$1000)*1,("Var_cap"=[1]OUT_SyntheticFuels!$B$4:$B$1000)*1,[1]OUT_SyntheticFuels!N$4:N$1000)</f>
        <v>2.1420754167666343E-4</v>
      </c>
      <c r="P2043" s="7" cm="1">
        <f t="array" ref="P2043">SUMPRODUCT(("SUP_WODBIO"=[1]OUT_SyntheticFuels!$C$4:$C$1000)*1,("Var_cap"=[1]OUT_SyntheticFuels!$B$4:$B$1000)*1,[1]OUT_SyntheticFuels!O$4:O$1000)</f>
        <v>2.377748000616823E-4</v>
      </c>
      <c r="Q2043" s="7" cm="1">
        <f t="array" ref="Q2043">SUMPRODUCT(("SUP_WODBIO"=[1]OUT_SyntheticFuels!$C$4:$C$1000)*1,("Var_cap"=[1]OUT_SyntheticFuels!$B$4:$B$1000)*1,[1]OUT_SyntheticFuels!P$4:P$1000)</f>
        <v>5.6079992057509354E-4</v>
      </c>
      <c r="S2043" s="3"/>
    </row>
    <row r="2044" spans="2:19" x14ac:dyDescent="0.5">
      <c r="B2044" s="5" t="str">
        <f t="shared" si="2209"/>
        <v>SPS1</v>
      </c>
      <c r="C2044" s="5" t="str">
        <f t="shared" si="2210"/>
        <v>CH</v>
      </c>
      <c r="D2044" t="s">
        <v>2173</v>
      </c>
      <c r="E2044" t="s">
        <v>2156</v>
      </c>
      <c r="F2044" s="7" cm="1">
        <f t="array" ref="F2044">SUMPRODUCT(("SUP_WODBIOCCS"=[1]OUT_SyntheticFuels!$C$4:$C$1000)*1,("Var_cap"=[1]OUT_SyntheticFuels!$B$4:$B$1000)*1,[1]OUT_SyntheticFuels!E$4:E$1000)</f>
        <v>0</v>
      </c>
      <c r="G2044" s="7" cm="1">
        <f t="array" ref="G2044">SUMPRODUCT(("SUP_WODBIOCCS"=[1]OUT_SyntheticFuels!$C$4:$C$1000)*1,("Var_cap"=[1]OUT_SyntheticFuels!$B$4:$B$1000)*1,[1]OUT_SyntheticFuels!F$4:F$1000)</f>
        <v>0</v>
      </c>
      <c r="H2044" s="7" cm="1">
        <f t="array" ref="H2044">SUMPRODUCT(("SUP_WODBIOCCS"=[1]OUT_SyntheticFuels!$C$4:$C$1000)*1,("Var_cap"=[1]OUT_SyntheticFuels!$B$4:$B$1000)*1,[1]OUT_SyntheticFuels!G$4:G$1000)</f>
        <v>0</v>
      </c>
      <c r="I2044" s="7" cm="1">
        <f t="array" ref="I2044">SUMPRODUCT(("SUP_WODBIOCCS"=[1]OUT_SyntheticFuels!$C$4:$C$1000)*1,("Var_cap"=[1]OUT_SyntheticFuels!$B$4:$B$1000)*1,[1]OUT_SyntheticFuels!H$4:H$1000)</f>
        <v>0</v>
      </c>
      <c r="J2044" s="7" cm="1">
        <f t="array" ref="J2044">SUMPRODUCT(("SUP_WODBIOCCS"=[1]OUT_SyntheticFuels!$C$4:$C$1000)*1,("Var_cap"=[1]OUT_SyntheticFuels!$B$4:$B$1000)*1,[1]OUT_SyntheticFuels!I$4:I$1000)</f>
        <v>0</v>
      </c>
      <c r="K2044" s="7" cm="1">
        <f t="array" ref="K2044">SUMPRODUCT(("SUP_WODBIOCCS"=[1]OUT_SyntheticFuels!$C$4:$C$1000)*1,("Var_cap"=[1]OUT_SyntheticFuels!$B$4:$B$1000)*1,[1]OUT_SyntheticFuels!J$4:J$1000)</f>
        <v>8.4969344212342202E-5</v>
      </c>
      <c r="L2044" s="7" cm="1">
        <f t="array" ref="L2044">SUMPRODUCT(("SUP_WODBIOCCS"=[1]OUT_SyntheticFuels!$C$4:$C$1000)*1,("Var_cap"=[1]OUT_SyntheticFuels!$B$4:$B$1000)*1,[1]OUT_SyntheticFuels!K$4:K$1000)</f>
        <v>1.1344010406429001E-4</v>
      </c>
      <c r="M2044" s="7" cm="1">
        <f t="array" ref="M2044">SUMPRODUCT(("SUP_WODBIOCCS"=[1]OUT_SyntheticFuels!$C$4:$C$1000)*1,("Var_cap"=[1]OUT_SyntheticFuels!$B$4:$B$1000)*1,[1]OUT_SyntheticFuels!L$4:L$1000)</f>
        <v>2.10329558915238E-4</v>
      </c>
      <c r="N2044" s="7" cm="1">
        <f t="array" ref="N2044">SUMPRODUCT(("SUP_WODBIOCCS"=[1]OUT_SyntheticFuels!$C$4:$C$1000)*1,("Var_cap"=[1]OUT_SyntheticFuels!$B$4:$B$1000)*1,[1]OUT_SyntheticFuels!M$4:M$1000)</f>
        <v>3.08431293362773E-4</v>
      </c>
      <c r="O2044" s="7" cm="1">
        <f t="array" ref="O2044">SUMPRODUCT(("SUP_WODBIOCCS"=[1]OUT_SyntheticFuels!$C$4:$C$1000)*1,("Var_cap"=[1]OUT_SyntheticFuels!$B$4:$B$1000)*1,[1]OUT_SyntheticFuels!N$4:N$1000)</f>
        <v>6.0393507859486195E-4</v>
      </c>
      <c r="P2044" s="7" cm="1">
        <f t="array" ref="P2044">SUMPRODUCT(("SUP_WODBIOCCS"=[1]OUT_SyntheticFuels!$C$4:$C$1000)*1,("Var_cap"=[1]OUT_SyntheticFuels!$B$4:$B$1000)*1,[1]OUT_SyntheticFuels!O$4:O$1000)</f>
        <v>5.8410906640109196E-4</v>
      </c>
      <c r="Q2044" s="7" cm="1">
        <f t="array" ref="Q2044">SUMPRODUCT(("SUP_WODBIOCCS"=[1]OUT_SyntheticFuels!$C$4:$C$1000)*1,("Var_cap"=[1]OUT_SyntheticFuels!$B$4:$B$1000)*1,[1]OUT_SyntheticFuels!P$4:P$1000)</f>
        <v>7.9046096028438997E-4</v>
      </c>
      <c r="S2044" s="3"/>
    </row>
    <row r="2045" spans="2:19" x14ac:dyDescent="0.5">
      <c r="B2045" s="5" t="str">
        <f t="shared" si="2209"/>
        <v>SPS1</v>
      </c>
      <c r="C2045" s="5" t="str">
        <f t="shared" si="2210"/>
        <v>CH</v>
      </c>
      <c r="D2045" t="s">
        <v>2174</v>
      </c>
      <c r="E2045" t="s">
        <v>2156</v>
      </c>
      <c r="F2045" s="7" cm="1">
        <f t="array" ref="F2045">SUMPRODUCT(("SUP_BIONGA"=[1]OUT_SyntheticFuels!$C$4:$C$1000)*1,("Var_cap"=[1]OUT_SyntheticFuels!$B$4:$B$1000)*1,[1]OUT_SyntheticFuels!E$4:E$1000)</f>
        <v>4.2362554976266363E-2</v>
      </c>
      <c r="G2045" s="7" cm="1">
        <f t="array" ref="G2045">SUMPRODUCT(("SUP_BIONGA"=[1]OUT_SyntheticFuels!$C$4:$C$1000)*1,("Var_cap"=[1]OUT_SyntheticFuels!$B$4:$B$1000)*1,[1]OUT_SyntheticFuels!F$4:F$1000)</f>
        <v>0.11119401658970192</v>
      </c>
      <c r="H2045" s="7" cm="1">
        <f t="array" ref="H2045">SUMPRODUCT(("SUP_BIONGA"=[1]OUT_SyntheticFuels!$C$4:$C$1000)*1,("Var_cap"=[1]OUT_SyntheticFuels!$B$4:$B$1000)*1,[1]OUT_SyntheticFuels!G$4:G$1000)</f>
        <v>8.9400037057707493E-2</v>
      </c>
      <c r="I2045" s="7" cm="1">
        <f t="array" ref="I2045">SUMPRODUCT(("SUP_BIONGA"=[1]OUT_SyntheticFuels!$C$4:$C$1000)*1,("Var_cap"=[1]OUT_SyntheticFuels!$B$4:$B$1000)*1,[1]OUT_SyntheticFuels!H$4:H$1000)</f>
        <v>8.92084980355424E-2</v>
      </c>
      <c r="J2045" s="7" cm="1">
        <f t="array" ref="J2045">SUMPRODUCT(("SUP_BIONGA"=[1]OUT_SyntheticFuels!$C$4:$C$1000)*1,("Var_cap"=[1]OUT_SyntheticFuels!$B$4:$B$1000)*1,[1]OUT_SyntheticFuels!I$4:I$1000)</f>
        <v>8.5431803177501084E-2</v>
      </c>
      <c r="K2045" s="7" cm="1">
        <f t="array" ref="K2045">SUMPRODUCT(("SUP_BIONGA"=[1]OUT_SyntheticFuels!$C$4:$C$1000)*1,("Var_cap"=[1]OUT_SyntheticFuels!$B$4:$B$1000)*1,[1]OUT_SyntheticFuels!J$4:J$1000)</f>
        <v>9.2033478095257512E-2</v>
      </c>
      <c r="L2045" s="7" cm="1">
        <f t="array" ref="L2045">SUMPRODUCT(("SUP_BIONGA"=[1]OUT_SyntheticFuels!$C$4:$C$1000)*1,("Var_cap"=[1]OUT_SyntheticFuels!$B$4:$B$1000)*1,[1]OUT_SyntheticFuels!K$4:K$1000)</f>
        <v>0.14335510576049523</v>
      </c>
      <c r="M2045" s="7" cm="1">
        <f t="array" ref="M2045">SUMPRODUCT(("SUP_BIONGA"=[1]OUT_SyntheticFuels!$C$4:$C$1000)*1,("Var_cap"=[1]OUT_SyntheticFuels!$B$4:$B$1000)*1,[1]OUT_SyntheticFuels!L$4:L$1000)</f>
        <v>0.20598119593180692</v>
      </c>
      <c r="N2045" s="7" cm="1">
        <f t="array" ref="N2045">SUMPRODUCT(("SUP_BIONGA"=[1]OUT_SyntheticFuels!$C$4:$C$1000)*1,("Var_cap"=[1]OUT_SyntheticFuels!$B$4:$B$1000)*1,[1]OUT_SyntheticFuels!M$4:M$1000)</f>
        <v>0.27575460663249113</v>
      </c>
      <c r="O2045" s="7" cm="1">
        <f t="array" ref="O2045">SUMPRODUCT(("SUP_BIONGA"=[1]OUT_SyntheticFuels!$C$4:$C$1000)*1,("Var_cap"=[1]OUT_SyntheticFuels!$B$4:$B$1000)*1,[1]OUT_SyntheticFuels!N$4:N$1000)</f>
        <v>0.34503662198471552</v>
      </c>
      <c r="P2045" s="7" cm="1">
        <f t="array" ref="P2045">SUMPRODUCT(("SUP_BIONGA"=[1]OUT_SyntheticFuels!$C$4:$C$1000)*1,("Var_cap"=[1]OUT_SyntheticFuels!$B$4:$B$1000)*1,[1]OUT_SyntheticFuels!O$4:O$1000)</f>
        <v>0.3450856600389498</v>
      </c>
      <c r="Q2045" s="7" cm="1">
        <f t="array" ref="Q2045">SUMPRODUCT(("SUP_BIONGA"=[1]OUT_SyntheticFuels!$C$4:$C$1000)*1,("Var_cap"=[1]OUT_SyntheticFuels!$B$4:$B$1000)*1,[1]OUT_SyntheticFuels!P$4:P$1000)</f>
        <v>0.34518904675386286</v>
      </c>
      <c r="S2045" s="3"/>
    </row>
    <row r="2046" spans="2:19" x14ac:dyDescent="0.5">
      <c r="B2046" s="5" t="str">
        <f t="shared" si="2209"/>
        <v>SPS1</v>
      </c>
      <c r="C2046" s="5" t="str">
        <f t="shared" si="2210"/>
        <v>CH</v>
      </c>
      <c r="D2046" t="s">
        <v>2175</v>
      </c>
      <c r="E2046" t="s">
        <v>2156</v>
      </c>
      <c r="F2046" s="7" cm="1">
        <f t="array" ref="F2046">SUMPRODUCT(("CT_CWODPLT"=[1]OUT_SyntheticFuels!$C$4:$C$1000)*1,("Var_cap"=[1]OUT_SyntheticFuels!$B$4:$B$1000)*1,[1]OUT_SyntheticFuels!E$4:E$1000)</f>
        <v>0.35882791049715296</v>
      </c>
      <c r="G2046" s="7" cm="1">
        <f t="array" ref="G2046">SUMPRODUCT(("CT_CWODPLT"=[1]OUT_SyntheticFuels!$C$4:$C$1000)*1,("Var_cap"=[1]OUT_SyntheticFuels!$B$4:$B$1000)*1,[1]OUT_SyntheticFuels!F$4:F$1000)</f>
        <v>0.40971627845689979</v>
      </c>
      <c r="H2046" s="7" cm="1">
        <f t="array" ref="H2046">SUMPRODUCT(("CT_CWODPLT"=[1]OUT_SyntheticFuels!$C$4:$C$1000)*1,("Var_cap"=[1]OUT_SyntheticFuels!$B$4:$B$1000)*1,[1]OUT_SyntheticFuels!G$4:G$1000)</f>
        <v>0.39358047977507848</v>
      </c>
      <c r="I2046" s="7" cm="1">
        <f t="array" ref="I2046">SUMPRODUCT(("CT_CWODPLT"=[1]OUT_SyntheticFuels!$C$4:$C$1000)*1,("Var_cap"=[1]OUT_SyntheticFuels!$B$4:$B$1000)*1,[1]OUT_SyntheticFuels!H$4:H$1000)</f>
        <v>0.39357417106050274</v>
      </c>
      <c r="J2046" s="7" cm="1">
        <f t="array" ref="J2046">SUMPRODUCT(("CT_CWODPLT"=[1]OUT_SyntheticFuels!$C$4:$C$1000)*1,("Var_cap"=[1]OUT_SyntheticFuels!$B$4:$B$1000)*1,[1]OUT_SyntheticFuels!I$4:I$1000)</f>
        <v>0.41434162772559985</v>
      </c>
      <c r="K2046" s="7" cm="1">
        <f t="array" ref="K2046">SUMPRODUCT(("CT_CWODPLT"=[1]OUT_SyntheticFuels!$C$4:$C$1000)*1,("Var_cap"=[1]OUT_SyntheticFuels!$B$4:$B$1000)*1,[1]OUT_SyntheticFuels!J$4:J$1000)</f>
        <v>0.43613788330932174</v>
      </c>
      <c r="L2046" s="7" cm="1">
        <f t="array" ref="L2046">SUMPRODUCT(("CT_CWODPLT"=[1]OUT_SyntheticFuels!$C$4:$C$1000)*1,("Var_cap"=[1]OUT_SyntheticFuels!$B$4:$B$1000)*1,[1]OUT_SyntheticFuels!K$4:K$1000)</f>
        <v>0.43718451615331644</v>
      </c>
      <c r="M2046" s="7" cm="1">
        <f t="array" ref="M2046">SUMPRODUCT(("CT_CWODPLT"=[1]OUT_SyntheticFuels!$C$4:$C$1000)*1,("Var_cap"=[1]OUT_SyntheticFuels!$B$4:$B$1000)*1,[1]OUT_SyntheticFuels!L$4:L$1000)</f>
        <v>0.43733422012892159</v>
      </c>
      <c r="N2046" s="7" cm="1">
        <f t="array" ref="N2046">SUMPRODUCT(("CT_CWODPLT"=[1]OUT_SyntheticFuels!$C$4:$C$1000)*1,("Var_cap"=[1]OUT_SyntheticFuels!$B$4:$B$1000)*1,[1]OUT_SyntheticFuels!M$4:M$1000)</f>
        <v>0.42501771285245338</v>
      </c>
      <c r="O2046" s="7" cm="1">
        <f t="array" ref="O2046">SUMPRODUCT(("CT_CWODPLT"=[1]OUT_SyntheticFuels!$C$4:$C$1000)*1,("Var_cap"=[1]OUT_SyntheticFuels!$B$4:$B$1000)*1,[1]OUT_SyntheticFuels!N$4:N$1000)</f>
        <v>0.44341522905839725</v>
      </c>
      <c r="P2046" s="7" cm="1">
        <f t="array" ref="P2046">SUMPRODUCT(("CT_CWODPLT"=[1]OUT_SyntheticFuels!$C$4:$C$1000)*1,("Var_cap"=[1]OUT_SyntheticFuels!$B$4:$B$1000)*1,[1]OUT_SyntheticFuels!O$4:O$1000)</f>
        <v>0.43482224388460994</v>
      </c>
      <c r="Q2046" s="7" cm="1">
        <f t="array" ref="Q2046">SUMPRODUCT(("CT_CWODPLT"=[1]OUT_SyntheticFuels!$C$4:$C$1000)*1,("Var_cap"=[1]OUT_SyntheticFuels!$B$4:$B$1000)*1,[1]OUT_SyntheticFuels!P$4:P$1000)</f>
        <v>0.43493745878406564</v>
      </c>
      <c r="S2046" s="3"/>
    </row>
    <row r="2047" spans="2:19" x14ac:dyDescent="0.5">
      <c r="B2047" s="5" t="str">
        <f t="shared" si="2209"/>
        <v>SPS1</v>
      </c>
      <c r="C2047" s="5" t="str">
        <f t="shared" si="2210"/>
        <v>CH</v>
      </c>
      <c r="D2047" t="s">
        <v>2176</v>
      </c>
      <c r="E2047" t="s">
        <v>2156</v>
      </c>
      <c r="F2047" s="7" cm="1">
        <f t="array" ref="F2047">SUMPRODUCT(("SUP_H2NGA"=[1]OUT_SyntheticFuels!$C$4:$C$1000)*1,("Var_cap"=[1]OUT_SyntheticFuels!$B$4:$B$1000)*1,[1]OUT_SyntheticFuels!E$4:E$1000)</f>
        <v>0</v>
      </c>
      <c r="G2047" s="7" cm="1">
        <f t="array" ref="G2047">SUMPRODUCT(("SUP_H2NGA"=[1]OUT_SyntheticFuels!$C$4:$C$1000)*1,("Var_cap"=[1]OUT_SyntheticFuels!$B$4:$B$1000)*1,[1]OUT_SyntheticFuels!F$4:F$1000)</f>
        <v>0</v>
      </c>
      <c r="H2047" s="7" cm="1">
        <f t="array" ref="H2047">SUMPRODUCT(("SUP_H2NGA"=[1]OUT_SyntheticFuels!$C$4:$C$1000)*1,("Var_cap"=[1]OUT_SyntheticFuels!$B$4:$B$1000)*1,[1]OUT_SyntheticFuels!G$4:G$1000)</f>
        <v>0</v>
      </c>
      <c r="I2047" s="7" cm="1">
        <f t="array" ref="I2047">SUMPRODUCT(("SUP_H2NGA"=[1]OUT_SyntheticFuels!$C$4:$C$1000)*1,("Var_cap"=[1]OUT_SyntheticFuels!$B$4:$B$1000)*1,[1]OUT_SyntheticFuels!H$4:H$1000)</f>
        <v>4.4500718468100402E-6</v>
      </c>
      <c r="J2047" s="7" cm="1">
        <f t="array" ref="J2047">SUMPRODUCT(("SUP_H2NGA"=[1]OUT_SyntheticFuels!$C$4:$C$1000)*1,("Var_cap"=[1]OUT_SyntheticFuels!$B$4:$B$1000)*1,[1]OUT_SyntheticFuels!I$4:I$1000)</f>
        <v>1.7715269740328241E-5</v>
      </c>
      <c r="K2047" s="7" cm="1">
        <f t="array" ref="K2047">SUMPRODUCT(("SUP_H2NGA"=[1]OUT_SyntheticFuels!$C$4:$C$1000)*1,("Var_cap"=[1]OUT_SyntheticFuels!$B$4:$B$1000)*1,[1]OUT_SyntheticFuels!J$4:J$1000)</f>
        <v>0.16957323950681866</v>
      </c>
      <c r="L2047" s="7" cm="1">
        <f t="array" ref="L2047">SUMPRODUCT(("SUP_H2NGA"=[1]OUT_SyntheticFuels!$C$4:$C$1000)*1,("Var_cap"=[1]OUT_SyntheticFuels!$B$4:$B$1000)*1,[1]OUT_SyntheticFuels!K$4:K$1000)</f>
        <v>0.69536198406138949</v>
      </c>
      <c r="M2047" s="7" cm="1">
        <f t="array" ref="M2047">SUMPRODUCT(("SUP_H2NGA"=[1]OUT_SyntheticFuels!$C$4:$C$1000)*1,("Var_cap"=[1]OUT_SyntheticFuels!$B$4:$B$1000)*1,[1]OUT_SyntheticFuels!L$4:L$1000)</f>
        <v>1.7234446993794392</v>
      </c>
      <c r="N2047" s="7" cm="1">
        <f t="array" ref="N2047">SUMPRODUCT(("SUP_H2NGA"=[1]OUT_SyntheticFuels!$C$4:$C$1000)*1,("Var_cap"=[1]OUT_SyntheticFuels!$B$4:$B$1000)*1,[1]OUT_SyntheticFuels!M$4:M$1000)</f>
        <v>1.5541906482229171</v>
      </c>
      <c r="O2047" s="7" cm="1">
        <f t="array" ref="O2047">SUMPRODUCT(("SUP_H2NGA"=[1]OUT_SyntheticFuels!$C$4:$C$1000)*1,("Var_cap"=[1]OUT_SyntheticFuels!$B$4:$B$1000)*1,[1]OUT_SyntheticFuels!N$4:N$1000)</f>
        <v>1.5542395306910282</v>
      </c>
      <c r="P2047" s="7" cm="1">
        <f t="array" ref="P2047">SUMPRODUCT(("SUP_H2NGA"=[1]OUT_SyntheticFuels!$C$4:$C$1000)*1,("Var_cap"=[1]OUT_SyntheticFuels!$B$4:$B$1000)*1,[1]OUT_SyntheticFuels!O$4:O$1000)</f>
        <v>1.4965101940873069</v>
      </c>
      <c r="Q2047" s="7" cm="1">
        <f t="array" ref="Q2047">SUMPRODUCT(("SUP_H2NGA"=[1]OUT_SyntheticFuels!$C$4:$C$1000)*1,("Var_cap"=[1]OUT_SyntheticFuels!$B$4:$B$1000)*1,[1]OUT_SyntheticFuels!P$4:P$1000)</f>
        <v>1.5041326429291464</v>
      </c>
      <c r="S2047" s="3"/>
    </row>
    <row r="2048" spans="2:19" x14ac:dyDescent="0.5">
      <c r="B2048" s="5" t="str">
        <f t="shared" si="2209"/>
        <v>SPS1</v>
      </c>
      <c r="C2048" s="5" t="str">
        <f t="shared" si="2210"/>
        <v>CH</v>
      </c>
      <c r="D2048" t="s">
        <v>2177</v>
      </c>
      <c r="E2048" t="s">
        <v>2156</v>
      </c>
      <c r="F2048" s="7" cm="1">
        <f t="array" ref="F2048">SUMPRODUCT(("SUP_H2DSL"=[1]OUT_SyntheticFuels!$C$4:$C$1000)*1,("Var_cap"=[1]OUT_SyntheticFuels!$B$4:$B$1000)*1,[1]OUT_SyntheticFuels!E$4:E$1000)</f>
        <v>0</v>
      </c>
      <c r="G2048" s="7" cm="1">
        <f t="array" ref="G2048">SUMPRODUCT(("SUP_H2DSL"=[1]OUT_SyntheticFuels!$C$4:$C$1000)*1,("Var_cap"=[1]OUT_SyntheticFuels!$B$4:$B$1000)*1,[1]OUT_SyntheticFuels!F$4:F$1000)</f>
        <v>0</v>
      </c>
      <c r="H2048" s="7" cm="1">
        <f t="array" ref="H2048">SUMPRODUCT(("SUP_H2DSL"=[1]OUT_SyntheticFuels!$C$4:$C$1000)*1,("Var_cap"=[1]OUT_SyntheticFuels!$B$4:$B$1000)*1,[1]OUT_SyntheticFuels!G$4:G$1000)</f>
        <v>0</v>
      </c>
      <c r="I2048" s="7" cm="1">
        <f t="array" ref="I2048">SUMPRODUCT(("SUP_H2DSL"=[1]OUT_SyntheticFuels!$C$4:$C$1000)*1,("Var_cap"=[1]OUT_SyntheticFuels!$B$4:$B$1000)*1,[1]OUT_SyntheticFuels!H$4:H$1000)</f>
        <v>6.73997659275475E-6</v>
      </c>
      <c r="J2048" s="7" cm="1">
        <f t="array" ref="J2048">SUMPRODUCT(("SUP_H2DSL"=[1]OUT_SyntheticFuels!$C$4:$C$1000)*1,("Var_cap"=[1]OUT_SyntheticFuels!$B$4:$B$1000)*1,[1]OUT_SyntheticFuels!I$4:I$1000)</f>
        <v>3.832203038460325E-5</v>
      </c>
      <c r="K2048" s="7" cm="1">
        <f t="array" ref="K2048">SUMPRODUCT(("SUP_H2DSL"=[1]OUT_SyntheticFuels!$C$4:$C$1000)*1,("Var_cap"=[1]OUT_SyntheticFuels!$B$4:$B$1000)*1,[1]OUT_SyntheticFuels!J$4:J$1000)</f>
        <v>0.21328376131081017</v>
      </c>
      <c r="L2048" s="7" cm="1">
        <f t="array" ref="L2048">SUMPRODUCT(("SUP_H2DSL"=[1]OUT_SyntheticFuels!$C$4:$C$1000)*1,("Var_cap"=[1]OUT_SyntheticFuels!$B$4:$B$1000)*1,[1]OUT_SyntheticFuels!K$4:K$1000)</f>
        <v>0.21331459534806801</v>
      </c>
      <c r="M2048" s="7" cm="1">
        <f t="array" ref="M2048">SUMPRODUCT(("SUP_H2DSL"=[1]OUT_SyntheticFuels!$C$4:$C$1000)*1,("Var_cap"=[1]OUT_SyntheticFuels!$B$4:$B$1000)*1,[1]OUT_SyntheticFuels!L$4:L$1000)</f>
        <v>0.11878958593584592</v>
      </c>
      <c r="N2048" s="7" cm="1">
        <f t="array" ref="N2048">SUMPRODUCT(("SUP_H2DSL"=[1]OUT_SyntheticFuels!$C$4:$C$1000)*1,("Var_cap"=[1]OUT_SyntheticFuels!$B$4:$B$1000)*1,[1]OUT_SyntheticFuels!M$4:M$1000)</f>
        <v>0.10289943572021422</v>
      </c>
      <c r="O2048" s="7" cm="1">
        <f t="array" ref="O2048">SUMPRODUCT(("SUP_H2DSL"=[1]OUT_SyntheticFuels!$C$4:$C$1000)*1,("Var_cap"=[1]OUT_SyntheticFuels!$B$4:$B$1000)*1,[1]OUT_SyntheticFuels!N$4:N$1000)</f>
        <v>2.1972429967605065E-3</v>
      </c>
      <c r="P2048" s="7" cm="1">
        <f t="array" ref="P2048">SUMPRODUCT(("SUP_H2DSL"=[1]OUT_SyntheticFuels!$C$4:$C$1000)*1,("Var_cap"=[1]OUT_SyntheticFuels!$B$4:$B$1000)*1,[1]OUT_SyntheticFuels!O$4:O$1000)</f>
        <v>1.5216524497750395E-2</v>
      </c>
      <c r="Q2048" s="7" cm="1">
        <f t="array" ref="Q2048">SUMPRODUCT(("SUP_H2DSL"=[1]OUT_SyntheticFuels!$C$4:$C$1000)*1,("Var_cap"=[1]OUT_SyntheticFuels!$B$4:$B$1000)*1,[1]OUT_SyntheticFuels!P$4:P$1000)</f>
        <v>1.5410051218263681E-2</v>
      </c>
      <c r="S2048" s="3"/>
    </row>
    <row r="2049" spans="2:19" x14ac:dyDescent="0.5">
      <c r="B2049" s="5" t="str">
        <f t="shared" si="2209"/>
        <v>SPS1</v>
      </c>
      <c r="C2049" s="5" t="str">
        <f t="shared" si="2210"/>
        <v>CH</v>
      </c>
      <c r="D2049" t="s">
        <v>2160</v>
      </c>
      <c r="E2049" t="s">
        <v>2156</v>
      </c>
      <c r="F2049" s="7" cm="1">
        <f t="array" ref="F2049">SUMPRODUCT(("SUP_H2GSL"=[1]OUT_SyntheticFuels!$C$4:$C$1000)*1,("Var_cap"=[1]OUT_SyntheticFuels!$B$4:$B$1000)*1,[1]OUT_SyntheticFuels!E$4:E$1000)</f>
        <v>0</v>
      </c>
      <c r="G2049" s="7" cm="1">
        <f t="array" ref="G2049">SUMPRODUCT(("SUP_H2GSL"=[1]OUT_SyntheticFuels!$C$4:$C$1000)*1,("Var_cap"=[1]OUT_SyntheticFuels!$B$4:$B$1000)*1,[1]OUT_SyntheticFuels!F$4:F$1000)</f>
        <v>0</v>
      </c>
      <c r="H2049" s="7" cm="1">
        <f t="array" ref="H2049">SUMPRODUCT(("SUP_H2GSL"=[1]OUT_SyntheticFuels!$C$4:$C$1000)*1,("Var_cap"=[1]OUT_SyntheticFuels!$B$4:$B$1000)*1,[1]OUT_SyntheticFuels!G$4:G$1000)</f>
        <v>0</v>
      </c>
      <c r="I2049" s="7" cm="1">
        <f t="array" ref="I2049">SUMPRODUCT(("SUP_H2GSL"=[1]OUT_SyntheticFuels!$C$4:$C$1000)*1,("Var_cap"=[1]OUT_SyntheticFuels!$B$4:$B$1000)*1,[1]OUT_SyntheticFuels!H$4:H$1000)</f>
        <v>6.49563977615269E-6</v>
      </c>
      <c r="J2049" s="7" cm="1">
        <f t="array" ref="J2049">SUMPRODUCT(("SUP_H2GSL"=[1]OUT_SyntheticFuels!$C$4:$C$1000)*1,("Var_cap"=[1]OUT_SyntheticFuels!$B$4:$B$1000)*1,[1]OUT_SyntheticFuels!I$4:I$1000)</f>
        <v>3.7429116972084169E-5</v>
      </c>
      <c r="K2049" s="7" cm="1">
        <f t="array" ref="K2049">SUMPRODUCT(("SUP_H2GSL"=[1]OUT_SyntheticFuels!$C$4:$C$1000)*1,("Var_cap"=[1]OUT_SyntheticFuels!$B$4:$B$1000)*1,[1]OUT_SyntheticFuels!J$4:J$1000)</f>
        <v>0.20084392003238902</v>
      </c>
      <c r="L2049" s="7" cm="1">
        <f t="array" ref="L2049">SUMPRODUCT(("SUP_H2GSL"=[1]OUT_SyntheticFuels!$C$4:$C$1000)*1,("Var_cap"=[1]OUT_SyntheticFuels!$B$4:$B$1000)*1,[1]OUT_SyntheticFuels!K$4:K$1000)</f>
        <v>0.20085813230395375</v>
      </c>
      <c r="M2049" s="7" cm="1">
        <f t="array" ref="M2049">SUMPRODUCT(("SUP_H2GSL"=[1]OUT_SyntheticFuels!$C$4:$C$1000)*1,("Var_cap"=[1]OUT_SyntheticFuels!$B$4:$B$1000)*1,[1]OUT_SyntheticFuels!L$4:L$1000)</f>
        <v>3.7237323450739018E-2</v>
      </c>
      <c r="N2049" s="7" cm="1">
        <f t="array" ref="N2049">SUMPRODUCT(("SUP_H2GSL"=[1]OUT_SyntheticFuels!$C$4:$C$1000)*1,("Var_cap"=[1]OUT_SyntheticFuels!$B$4:$B$1000)*1,[1]OUT_SyntheticFuels!M$4:M$1000)</f>
        <v>2.7255107351488977E-2</v>
      </c>
      <c r="O2049" s="7" cm="1">
        <f t="array" ref="O2049">SUMPRODUCT(("SUP_H2GSL"=[1]OUT_SyntheticFuels!$C$4:$C$1000)*1,("Var_cap"=[1]OUT_SyntheticFuels!$B$4:$B$1000)*1,[1]OUT_SyntheticFuels!N$4:N$1000)</f>
        <v>1.7840632877567181E-2</v>
      </c>
      <c r="P2049" s="7" cm="1">
        <f t="array" ref="P2049">SUMPRODUCT(("SUP_H2GSL"=[1]OUT_SyntheticFuels!$C$4:$C$1000)*1,("Var_cap"=[1]OUT_SyntheticFuels!$B$4:$B$1000)*1,[1]OUT_SyntheticFuels!O$4:O$1000)</f>
        <v>2.3295020952084796E-2</v>
      </c>
      <c r="Q2049" s="7" cm="1">
        <f t="array" ref="Q2049">SUMPRODUCT(("SUP_H2GSL"=[1]OUT_SyntheticFuels!$C$4:$C$1000)*1,("Var_cap"=[1]OUT_SyntheticFuels!$B$4:$B$1000)*1,[1]OUT_SyntheticFuels!P$4:P$1000)</f>
        <v>2.3406540920250095E-2</v>
      </c>
      <c r="S2049" s="3"/>
    </row>
    <row r="2050" spans="2:19" x14ac:dyDescent="0.5">
      <c r="B2050" s="9" t="str">
        <f>B2049</f>
        <v>SPS1</v>
      </c>
      <c r="C2050" s="2" t="str">
        <f>C2049</f>
        <v>CH</v>
      </c>
      <c r="D2050" s="2" t="s">
        <v>2178</v>
      </c>
      <c r="E2050" s="2" t="s">
        <v>1857</v>
      </c>
      <c r="F2050" s="3">
        <f t="shared" ref="F2050:K2050" si="2211">SUM(F2051,F2053,F2057,F2061,F2077,F2084,F2092,F2094,F2102,F2106,F2100)</f>
        <v>1.5192888320396799E-2</v>
      </c>
      <c r="G2050" s="3">
        <f t="shared" si="2211"/>
        <v>1.3547567953466091</v>
      </c>
      <c r="H2050" s="3">
        <f t="shared" si="2211"/>
        <v>5.3237584293756921</v>
      </c>
      <c r="I2050" s="3">
        <f t="shared" si="2211"/>
        <v>3.9269138596539745</v>
      </c>
      <c r="J2050" s="3">
        <f t="shared" si="2211"/>
        <v>11.119959725491364</v>
      </c>
      <c r="K2050" s="3">
        <f t="shared" si="2211"/>
        <v>13.016411283816373</v>
      </c>
      <c r="L2050" s="3">
        <f t="shared" ref="L2050:O2050" si="2212">SUM(L2051,L2053,L2057,L2061,L2077,L2084,L2092,L2094,L2102,L2106,L2100)</f>
        <v>14.762323268757543</v>
      </c>
      <c r="M2050" s="3">
        <f t="shared" si="2212"/>
        <v>7.815805502327045</v>
      </c>
      <c r="N2050" s="3">
        <f t="shared" si="2212"/>
        <v>9.6265898804728245</v>
      </c>
      <c r="O2050" s="3">
        <f t="shared" si="2212"/>
        <v>15.495477042070231</v>
      </c>
      <c r="P2050" s="3">
        <f>SUM(P2051,P2053,P2057,P2061,P2077,P2084,P2092,P2094,P2102,P2106,P2100)</f>
        <v>15.340474179005209</v>
      </c>
      <c r="Q2050" s="3">
        <f>SUM(Q2051,Q2053,Q2057,Q2061,Q2077,Q2084,Q2092,Q2094,Q2102,Q2106,Q2100)</f>
        <v>8.6780754227368266</v>
      </c>
      <c r="S2050" s="3"/>
    </row>
    <row r="2051" spans="2:19" x14ac:dyDescent="0.5">
      <c r="B2051" s="5" t="str">
        <f>B2050</f>
        <v>SPS1</v>
      </c>
      <c r="C2051" s="5" t="str">
        <f t="shared" ref="C2051:C2113" si="2213">C2050</f>
        <v>CH</v>
      </c>
      <c r="D2051" t="s">
        <v>2180</v>
      </c>
      <c r="E2051" t="str">
        <f t="shared" ref="E2051:E2082" si="2214">E2050</f>
        <v>GWe/yr.</v>
      </c>
      <c r="F2051" s="1">
        <f t="shared" ref="F2051:O2051" si="2215">+F2052</f>
        <v>0</v>
      </c>
      <c r="G2051" s="1">
        <f t="shared" si="2215"/>
        <v>1.23259260642986</v>
      </c>
      <c r="H2051" s="1">
        <f t="shared" si="2215"/>
        <v>0.820197200601264</v>
      </c>
      <c r="I2051" s="1">
        <f t="shared" si="2215"/>
        <v>0</v>
      </c>
      <c r="J2051" s="1">
        <f t="shared" si="2215"/>
        <v>0</v>
      </c>
      <c r="K2051" s="1">
        <f t="shared" si="2215"/>
        <v>0</v>
      </c>
      <c r="L2051" s="1">
        <f t="shared" si="2215"/>
        <v>0</v>
      </c>
      <c r="M2051" s="1">
        <f t="shared" si="2215"/>
        <v>0</v>
      </c>
      <c r="N2051" s="1">
        <f t="shared" si="2215"/>
        <v>0</v>
      </c>
      <c r="O2051" s="1">
        <f t="shared" si="2215"/>
        <v>0</v>
      </c>
      <c r="P2051" s="1">
        <f>+P2052</f>
        <v>0</v>
      </c>
      <c r="Q2051" s="1">
        <f>+Q2052</f>
        <v>0</v>
      </c>
      <c r="S2051" s="3"/>
    </row>
    <row r="2052" spans="2:19" x14ac:dyDescent="0.5">
      <c r="B2052" s="5" t="str">
        <f t="shared" ref="B2052:B2113" si="2216">B2051</f>
        <v>SPS1</v>
      </c>
      <c r="C2052" s="5" t="str">
        <f t="shared" si="2213"/>
        <v>CH</v>
      </c>
      <c r="D2052" t="s">
        <v>2181</v>
      </c>
      <c r="E2052" t="str">
        <f t="shared" si="2214"/>
        <v>GWe/yr.</v>
      </c>
      <c r="F2052" s="1">
        <f>'[1]Electricity and CHPs_NCAP'!B$14</f>
        <v>0</v>
      </c>
      <c r="G2052" s="1">
        <f>'[1]Electricity and CHPs_NCAP'!C$14</f>
        <v>1.23259260642986</v>
      </c>
      <c r="H2052" s="1">
        <f>'[1]Electricity and CHPs_NCAP'!D$14</f>
        <v>0.820197200601264</v>
      </c>
      <c r="I2052" s="1">
        <f>'[1]Electricity and CHPs_NCAP'!E$14</f>
        <v>0</v>
      </c>
      <c r="J2052" s="1">
        <f>'[1]Electricity and CHPs_NCAP'!F$14</f>
        <v>0</v>
      </c>
      <c r="K2052" s="1">
        <f>'[1]Electricity and CHPs_NCAP'!G$14</f>
        <v>0</v>
      </c>
      <c r="L2052" s="1">
        <f>'[1]Electricity and CHPs_NCAP'!H$14</f>
        <v>0</v>
      </c>
      <c r="M2052" s="1">
        <f>'[1]Electricity and CHPs_NCAP'!I$14</f>
        <v>0</v>
      </c>
      <c r="N2052" s="1">
        <f>'[1]Electricity and CHPs_NCAP'!J$14</f>
        <v>0</v>
      </c>
      <c r="O2052" s="1">
        <f>'[1]Electricity and CHPs_NCAP'!K$14</f>
        <v>0</v>
      </c>
      <c r="P2052" s="1">
        <f>'[1]Electricity and CHPs_NCAP'!L$14</f>
        <v>0</v>
      </c>
      <c r="Q2052" s="1">
        <f>'[1]Electricity and CHPs_NCAP'!M$14</f>
        <v>0</v>
      </c>
      <c r="S2052" s="3"/>
    </row>
    <row r="2053" spans="2:19" x14ac:dyDescent="0.5">
      <c r="B2053" s="5" t="str">
        <f t="shared" si="2216"/>
        <v>SPS1</v>
      </c>
      <c r="C2053" s="5" t="str">
        <f t="shared" si="2213"/>
        <v>CH</v>
      </c>
      <c r="D2053" t="s">
        <v>2182</v>
      </c>
      <c r="E2053" t="str">
        <f t="shared" si="2214"/>
        <v>GWe/yr.</v>
      </c>
      <c r="F2053" s="1">
        <f t="shared" ref="F2053:K2053" si="2217">SUM(F2054:F2056)</f>
        <v>0</v>
      </c>
      <c r="G2053" s="1">
        <f t="shared" si="2217"/>
        <v>8.9992140462583619E-3</v>
      </c>
      <c r="H2053" s="1">
        <f t="shared" si="2217"/>
        <v>0.29932790413741783</v>
      </c>
      <c r="I2053" s="1">
        <f t="shared" si="2217"/>
        <v>5.2694975513205164E-2</v>
      </c>
      <c r="J2053" s="1">
        <f t="shared" si="2217"/>
        <v>0.30685041641718913</v>
      </c>
      <c r="K2053" s="1">
        <f t="shared" si="2217"/>
        <v>1.9800516317743993E-3</v>
      </c>
      <c r="L2053" s="1">
        <f t="shared" ref="L2053:O2053" si="2218">SUM(L2054:L2056)</f>
        <v>0.22013679089300192</v>
      </c>
      <c r="M2053" s="1">
        <f t="shared" si="2218"/>
        <v>3.4331923217520709E-4</v>
      </c>
      <c r="N2053" s="1">
        <f t="shared" si="2218"/>
        <v>2.4583391735113184E-5</v>
      </c>
      <c r="O2053" s="1">
        <f t="shared" si="2218"/>
        <v>1.6084849251511539E-3</v>
      </c>
      <c r="P2053" s="1">
        <f>SUM(P2054:P2056)</f>
        <v>2.3525528505181058E-5</v>
      </c>
      <c r="Q2053" s="1">
        <f>SUM(Q2054:Q2056)</f>
        <v>1.2037836301249272E-3</v>
      </c>
      <c r="S2053" s="3"/>
    </row>
    <row r="2054" spans="2:19" x14ac:dyDescent="0.5">
      <c r="B2054" s="5" t="str">
        <f t="shared" si="2216"/>
        <v>SPS1</v>
      </c>
      <c r="C2054" s="5" t="str">
        <f t="shared" si="2213"/>
        <v>CH</v>
      </c>
      <c r="D2054" t="s">
        <v>2183</v>
      </c>
      <c r="E2054" t="str">
        <f t="shared" si="2214"/>
        <v>GWe/yr.</v>
      </c>
      <c r="F2054" s="1">
        <f>'[1]Electricity and CHPs_NCAP'!B$15</f>
        <v>0</v>
      </c>
      <c r="G2054" s="1">
        <f>'[1]Electricity and CHPs_NCAP'!C$15</f>
        <v>6.6949311896209503E-3</v>
      </c>
      <c r="H2054" s="1">
        <f>'[1]Electricity and CHPs_NCAP'!D$15</f>
        <v>2.3202002096010248E-2</v>
      </c>
      <c r="I2054" s="1">
        <f>'[1]Electricity and CHPs_NCAP'!E$15</f>
        <v>5.0903566607413582E-2</v>
      </c>
      <c r="J2054" s="1">
        <f>'[1]Electricity and CHPs_NCAP'!F$15</f>
        <v>0.30684090478885351</v>
      </c>
      <c r="K2054" s="1">
        <f>'[1]Electricity and CHPs_NCAP'!G$15</f>
        <v>1.5835977509141704E-3</v>
      </c>
      <c r="L2054" s="1">
        <f>'[1]Electricity and CHPs_NCAP'!H$15</f>
        <v>1.1618304350371589E-6</v>
      </c>
      <c r="M2054" s="1">
        <f>'[1]Electricity and CHPs_NCAP'!I$15</f>
        <v>5.9566768172720045E-6</v>
      </c>
      <c r="N2054" s="1">
        <f>'[1]Electricity and CHPs_NCAP'!J$15</f>
        <v>4.1149184694610394E-6</v>
      </c>
      <c r="O2054" s="1">
        <f>'[1]Electricity and CHPs_NCAP'!K$15</f>
        <v>1.0979855118029615E-5</v>
      </c>
      <c r="P2054" s="1">
        <f>'[1]Electricity and CHPs_NCAP'!L$15</f>
        <v>3.4580774321595498E-7</v>
      </c>
      <c r="Q2054" s="1">
        <f>'[1]Electricity and CHPs_NCAP'!M$15</f>
        <v>1.40899370605974E-7</v>
      </c>
      <c r="S2054" s="3"/>
    </row>
    <row r="2055" spans="2:19" x14ac:dyDescent="0.5">
      <c r="B2055" s="5" t="str">
        <f t="shared" si="2216"/>
        <v>SPS1</v>
      </c>
      <c r="C2055" s="5" t="str">
        <f t="shared" si="2213"/>
        <v>CH</v>
      </c>
      <c r="D2055" t="s">
        <v>2184</v>
      </c>
      <c r="E2055" t="str">
        <f t="shared" si="2214"/>
        <v>GWe/yr.</v>
      </c>
      <c r="F2055" s="1">
        <f>'[1]Electricity and CHPs_NCAP'!B$16</f>
        <v>0</v>
      </c>
      <c r="G2055" s="1">
        <f>'[1]Electricity and CHPs_NCAP'!C$16</f>
        <v>1.3800692388564351E-3</v>
      </c>
      <c r="H2055" s="1">
        <f>'[1]Electricity and CHPs_NCAP'!D$16</f>
        <v>0.27611639190584214</v>
      </c>
      <c r="I2055" s="1">
        <f>'[1]Electricity and CHPs_NCAP'!E$16</f>
        <v>1.7858356886956714E-3</v>
      </c>
      <c r="J2055" s="1">
        <f>'[1]Electricity and CHPs_NCAP'!F$16</f>
        <v>4.2672968380723124E-6</v>
      </c>
      <c r="K2055" s="1">
        <f>'[1]Electricity and CHPs_NCAP'!G$16</f>
        <v>1.3912069230422993E-5</v>
      </c>
      <c r="L2055" s="1">
        <f>'[1]Electricity and CHPs_NCAP'!H$16</f>
        <v>0.22013267805654738</v>
      </c>
      <c r="M2055" s="1">
        <f>'[1]Electricity and CHPs_NCAP'!I$16</f>
        <v>1.2429856367230108E-5</v>
      </c>
      <c r="N2055" s="1">
        <f>'[1]Electricity and CHPs_NCAP'!J$16</f>
        <v>3.2300232286449461E-6</v>
      </c>
      <c r="O2055" s="1">
        <f>'[1]Electricity and CHPs_NCAP'!K$16</f>
        <v>3.4657773797304217E-5</v>
      </c>
      <c r="P2055" s="1">
        <f>'[1]Electricity and CHPs_NCAP'!L$16</f>
        <v>2.3179720761965102E-5</v>
      </c>
      <c r="Q2055" s="1">
        <f>'[1]Electricity and CHPs_NCAP'!M$16</f>
        <v>1.2036427307543212E-3</v>
      </c>
      <c r="S2055" s="3"/>
    </row>
    <row r="2056" spans="2:19" x14ac:dyDescent="0.5">
      <c r="B2056" s="5" t="str">
        <f t="shared" si="2216"/>
        <v>SPS1</v>
      </c>
      <c r="C2056" s="5" t="str">
        <f t="shared" si="2213"/>
        <v>CH</v>
      </c>
      <c r="D2056" t="s">
        <v>2185</v>
      </c>
      <c r="E2056" t="str">
        <f t="shared" si="2214"/>
        <v>GWe/yr.</v>
      </c>
      <c r="F2056" s="1">
        <f>'[1]Electricity and CHPs_NCAP'!B$17</f>
        <v>0</v>
      </c>
      <c r="G2056" s="1">
        <f>'[1]Electricity and CHPs_NCAP'!C$17</f>
        <v>9.2421361778097602E-4</v>
      </c>
      <c r="H2056" s="1">
        <f>'[1]Electricity and CHPs_NCAP'!D$17</f>
        <v>9.5101355654210804E-6</v>
      </c>
      <c r="I2056" s="1">
        <f>'[1]Electricity and CHPs_NCAP'!E$17</f>
        <v>5.5732170959101701E-6</v>
      </c>
      <c r="J2056" s="1">
        <f>'[1]Electricity and CHPs_NCAP'!F$17</f>
        <v>5.2443314975727096E-6</v>
      </c>
      <c r="K2056" s="1">
        <f>'[1]Electricity and CHPs_NCAP'!G$17</f>
        <v>3.8254181162980597E-4</v>
      </c>
      <c r="L2056" s="1">
        <f>'[1]Electricity and CHPs_NCAP'!H$17</f>
        <v>2.9510060195230002E-6</v>
      </c>
      <c r="M2056" s="1">
        <f>'[1]Electricity and CHPs_NCAP'!I$17</f>
        <v>3.24932698990705E-4</v>
      </c>
      <c r="N2056" s="1">
        <f>'[1]Electricity and CHPs_NCAP'!J$17</f>
        <v>1.7238450037007199E-5</v>
      </c>
      <c r="O2056" s="1">
        <f>'[1]Electricity and CHPs_NCAP'!K$17</f>
        <v>1.56284729623582E-3</v>
      </c>
      <c r="P2056" s="1">
        <f>'[1]Electricity and CHPs_NCAP'!L$17</f>
        <v>0</v>
      </c>
      <c r="Q2056" s="1">
        <f>'[1]Electricity and CHPs_NCAP'!M$17</f>
        <v>0</v>
      </c>
      <c r="S2056" s="3"/>
    </row>
    <row r="2057" spans="2:19" x14ac:dyDescent="0.5">
      <c r="B2057" s="5" t="str">
        <f t="shared" si="2216"/>
        <v>SPS1</v>
      </c>
      <c r="C2057" s="5" t="str">
        <f t="shared" si="2213"/>
        <v>CH</v>
      </c>
      <c r="D2057" t="s">
        <v>2186</v>
      </c>
      <c r="E2057" t="str">
        <f t="shared" si="2214"/>
        <v>GWe/yr.</v>
      </c>
      <c r="F2057" s="1">
        <f t="shared" ref="F2057:K2057" si="2219">SUM(F2058:F2060)</f>
        <v>0</v>
      </c>
      <c r="G2057" s="1">
        <f t="shared" si="2219"/>
        <v>1.9246035534445993E-2</v>
      </c>
      <c r="H2057" s="1">
        <f t="shared" si="2219"/>
        <v>9.9546526792321042E-3</v>
      </c>
      <c r="I2057" s="1">
        <f t="shared" si="2219"/>
        <v>4.1040461157312087E-2</v>
      </c>
      <c r="J2057" s="1">
        <f t="shared" si="2219"/>
        <v>8.7587701945179581E-3</v>
      </c>
      <c r="K2057" s="1">
        <f t="shared" si="2219"/>
        <v>3.3434032138951719E-4</v>
      </c>
      <c r="L2057" s="1">
        <f t="shared" ref="L2057:O2057" si="2220">SUM(L2058:L2060)</f>
        <v>3.6990564618383091E-4</v>
      </c>
      <c r="M2057" s="1">
        <f t="shared" si="2220"/>
        <v>9.5243654966980698E-5</v>
      </c>
      <c r="N2057" s="1">
        <f t="shared" si="2220"/>
        <v>8.8788138169751927E-4</v>
      </c>
      <c r="O2057" s="1">
        <f t="shared" si="2220"/>
        <v>2.5247362939202042E-3</v>
      </c>
      <c r="P2057" s="1">
        <f>SUM(P2058:P2060)</f>
        <v>8.8822029664793376E-4</v>
      </c>
      <c r="Q2057" s="1">
        <f>SUM(Q2058:Q2060)</f>
        <v>4.2020057413788966E-3</v>
      </c>
      <c r="S2057" s="3"/>
    </row>
    <row r="2058" spans="2:19" x14ac:dyDescent="0.5">
      <c r="B2058" s="5" t="str">
        <f t="shared" si="2216"/>
        <v>SPS1</v>
      </c>
      <c r="C2058" s="5" t="str">
        <f t="shared" si="2213"/>
        <v>CH</v>
      </c>
      <c r="D2058" t="s">
        <v>2187</v>
      </c>
      <c r="E2058" t="str">
        <f t="shared" si="2214"/>
        <v>GWe/yr.</v>
      </c>
      <c r="F2058" s="1">
        <f>'[1]Electricity and CHPs_NCAP'!B$18</f>
        <v>0</v>
      </c>
      <c r="G2058" s="1">
        <f>'[1]Electricity and CHPs_NCAP'!C$18</f>
        <v>4.20684801000835E-5</v>
      </c>
      <c r="H2058" s="1">
        <f>'[1]Electricity and CHPs_NCAP'!D$18</f>
        <v>9.9429109828546997E-3</v>
      </c>
      <c r="I2058" s="1">
        <f>'[1]Electricity and CHPs_NCAP'!E$18</f>
        <v>4.1025362688751801E-2</v>
      </c>
      <c r="J2058" s="1">
        <f>'[1]Electricity and CHPs_NCAP'!F$18</f>
        <v>8.6968632482103802E-3</v>
      </c>
      <c r="K2058" s="1">
        <f>'[1]Electricity and CHPs_NCAP'!G$18</f>
        <v>8.3219939953513194E-5</v>
      </c>
      <c r="L2058" s="1">
        <f>'[1]Electricity and CHPs_NCAP'!H$18</f>
        <v>3.7772909608976902E-5</v>
      </c>
      <c r="M2058" s="1">
        <f>'[1]Electricity and CHPs_NCAP'!I$18</f>
        <v>5.4359749380303598E-5</v>
      </c>
      <c r="N2058" s="1">
        <f>'[1]Electricity and CHPs_NCAP'!J$18</f>
        <v>7.7204909588222994E-5</v>
      </c>
      <c r="O2058" s="1">
        <f>'[1]Electricity and CHPs_NCAP'!K$18</f>
        <v>1.6390670001492501E-3</v>
      </c>
      <c r="P2058" s="1">
        <f>'[1]Electricity and CHPs_NCAP'!L$18</f>
        <v>8.7059288834326703E-5</v>
      </c>
      <c r="Q2058" s="1">
        <f>'[1]Electricity and CHPs_NCAP'!M$18</f>
        <v>1.7360581619240299E-3</v>
      </c>
      <c r="S2058" s="3"/>
    </row>
    <row r="2059" spans="2:19" x14ac:dyDescent="0.5">
      <c r="B2059" s="5" t="str">
        <f t="shared" si="2216"/>
        <v>SPS1</v>
      </c>
      <c r="C2059" s="5" t="str">
        <f t="shared" si="2213"/>
        <v>CH</v>
      </c>
      <c r="D2059" t="s">
        <v>2188</v>
      </c>
      <c r="E2059" t="str">
        <f t="shared" si="2214"/>
        <v>GWe/yr.</v>
      </c>
      <c r="F2059" s="1">
        <f>'[1]Electricity and CHPs_NCAP'!B$28</f>
        <v>0</v>
      </c>
      <c r="G2059" s="1">
        <f>'[1]Electricity and CHPs_NCAP'!C$28</f>
        <v>1.0125246203408799E-5</v>
      </c>
      <c r="H2059" s="1">
        <f>'[1]Electricity and CHPs_NCAP'!D$28</f>
        <v>1.1741696377403801E-5</v>
      </c>
      <c r="I2059" s="1">
        <f>'[1]Electricity and CHPs_NCAP'!E$28</f>
        <v>1.5098468560287101E-5</v>
      </c>
      <c r="J2059" s="1">
        <f>'[1]Electricity and CHPs_NCAP'!F$28</f>
        <v>6.1906946307578101E-5</v>
      </c>
      <c r="K2059" s="1">
        <f>'[1]Electricity and CHPs_NCAP'!G$28</f>
        <v>2.5112038143600401E-4</v>
      </c>
      <c r="L2059" s="1">
        <f>'[1]Electricity and CHPs_NCAP'!H$28</f>
        <v>3.3213273657485402E-4</v>
      </c>
      <c r="M2059" s="1">
        <f>'[1]Electricity and CHPs_NCAP'!I$28</f>
        <v>4.08839055866771E-5</v>
      </c>
      <c r="N2059" s="1">
        <f>'[1]Electricity and CHPs_NCAP'!J$28</f>
        <v>6.1483847045975306E-5</v>
      </c>
      <c r="O2059" s="1">
        <f>'[1]Electricity and CHPs_NCAP'!K$28</f>
        <v>4.33722371545273E-4</v>
      </c>
      <c r="P2059" s="1">
        <f>'[1]Electricity and CHPs_NCAP'!L$28</f>
        <v>2.3239600813455E-4</v>
      </c>
      <c r="Q2059" s="1">
        <f>'[1]Electricity and CHPs_NCAP'!M$28</f>
        <v>8.2497445352980705E-4</v>
      </c>
      <c r="S2059" s="3"/>
    </row>
    <row r="2060" spans="2:19" x14ac:dyDescent="0.5">
      <c r="B2060" s="5" t="str">
        <f t="shared" si="2216"/>
        <v>SPS1</v>
      </c>
      <c r="C2060" s="5" t="str">
        <f t="shared" si="2213"/>
        <v>CH</v>
      </c>
      <c r="D2060" t="s">
        <v>2189</v>
      </c>
      <c r="E2060" t="str">
        <f t="shared" si="2214"/>
        <v>GWe/yr.</v>
      </c>
      <c r="F2060" s="1">
        <f>'[1]Electricity and CHPs_NCAP'!B$41</f>
        <v>0</v>
      </c>
      <c r="G2060" s="1">
        <f>'[1]Electricity and CHPs_NCAP'!C$41</f>
        <v>1.9193841808142501E-2</v>
      </c>
      <c r="H2060" s="1">
        <f>'[1]Electricity and CHPs_NCAP'!D$41</f>
        <v>0</v>
      </c>
      <c r="I2060" s="1">
        <f>'[1]Electricity and CHPs_NCAP'!E$41</f>
        <v>0</v>
      </c>
      <c r="J2060" s="1">
        <f>'[1]Electricity and CHPs_NCAP'!F$41</f>
        <v>0</v>
      </c>
      <c r="K2060" s="1">
        <f>'[1]Electricity and CHPs_NCAP'!G$41</f>
        <v>0</v>
      </c>
      <c r="L2060" s="1">
        <f>'[1]Electricity and CHPs_NCAP'!H$41</f>
        <v>0</v>
      </c>
      <c r="M2060" s="1">
        <f>'[1]Electricity and CHPs_NCAP'!I$41</f>
        <v>0</v>
      </c>
      <c r="N2060" s="1">
        <f>'[1]Electricity and CHPs_NCAP'!J$41</f>
        <v>7.4919262506332096E-4</v>
      </c>
      <c r="O2060" s="1">
        <f>'[1]Electricity and CHPs_NCAP'!K$41</f>
        <v>4.5194692222568102E-4</v>
      </c>
      <c r="P2060" s="1">
        <f>'[1]Electricity and CHPs_NCAP'!L$41</f>
        <v>5.6876499967905701E-4</v>
      </c>
      <c r="Q2060" s="1">
        <f>'[1]Electricity and CHPs_NCAP'!M$41</f>
        <v>1.6409731259250601E-3</v>
      </c>
      <c r="S2060" s="3"/>
    </row>
    <row r="2061" spans="2:19" x14ac:dyDescent="0.5">
      <c r="B2061" s="5" t="str">
        <f t="shared" si="2216"/>
        <v>SPS1</v>
      </c>
      <c r="C2061" s="5" t="str">
        <f t="shared" si="2213"/>
        <v>CH</v>
      </c>
      <c r="D2061" t="s">
        <v>2190</v>
      </c>
      <c r="E2061" t="str">
        <f t="shared" si="2214"/>
        <v>GWe/yr.</v>
      </c>
      <c r="F2061" s="1">
        <f t="shared" ref="F2061:K2061" si="2221">SUM(F2062:F2076)</f>
        <v>0</v>
      </c>
      <c r="G2061" s="1">
        <f t="shared" si="2221"/>
        <v>7.0177456982621234E-2</v>
      </c>
      <c r="H2061" s="1">
        <f t="shared" si="2221"/>
        <v>7.1668163115784387E-3</v>
      </c>
      <c r="I2061" s="1">
        <f t="shared" si="2221"/>
        <v>1.8150717587220859E-2</v>
      </c>
      <c r="J2061" s="1">
        <f t="shared" si="2221"/>
        <v>9.3543136959683609E-2</v>
      </c>
      <c r="K2061" s="1">
        <f t="shared" si="2221"/>
        <v>3.133904656840876E-2</v>
      </c>
      <c r="L2061" s="1">
        <f t="shared" ref="L2061:O2061" si="2222">SUM(L2062:L2076)</f>
        <v>1.4013786150454526E-2</v>
      </c>
      <c r="M2061" s="1">
        <f t="shared" si="2222"/>
        <v>7.9558263122761569E-2</v>
      </c>
      <c r="N2061" s="1">
        <f t="shared" si="2222"/>
        <v>0.19982870939860095</v>
      </c>
      <c r="O2061" s="1">
        <f t="shared" si="2222"/>
        <v>6.6841185301253936E-2</v>
      </c>
      <c r="P2061" s="1">
        <f>SUM(P2062:P2076)</f>
        <v>8.8533816268644885E-2</v>
      </c>
      <c r="Q2061" s="1">
        <f>SUM(Q2062:Q2076)</f>
        <v>0.11148024897526665</v>
      </c>
      <c r="S2061" s="3"/>
    </row>
    <row r="2062" spans="2:19" x14ac:dyDescent="0.5">
      <c r="B2062" s="5" t="str">
        <f t="shared" si="2216"/>
        <v>SPS1</v>
      </c>
      <c r="C2062" s="5" t="str">
        <f t="shared" si="2213"/>
        <v>CH</v>
      </c>
      <c r="D2062" t="s">
        <v>2191</v>
      </c>
      <c r="E2062" t="str">
        <f t="shared" si="2214"/>
        <v>GWe/yr.</v>
      </c>
      <c r="F2062" s="1">
        <f>'[1]Electricity and CHPs_NCAP'!B$21</f>
        <v>0</v>
      </c>
      <c r="G2062" s="1">
        <f>'[1]Electricity and CHPs_NCAP'!C$21</f>
        <v>0</v>
      </c>
      <c r="H2062" s="1">
        <f>'[1]Electricity and CHPs_NCAP'!D$21</f>
        <v>0</v>
      </c>
      <c r="I2062" s="1">
        <f>'[1]Electricity and CHPs_NCAP'!E$21</f>
        <v>0</v>
      </c>
      <c r="J2062" s="1">
        <f>'[1]Electricity and CHPs_NCAP'!F$21</f>
        <v>0</v>
      </c>
      <c r="K2062" s="1">
        <f>'[1]Electricity and CHPs_NCAP'!G$21</f>
        <v>3.3885016587975299E-4</v>
      </c>
      <c r="L2062" s="1">
        <f>'[1]Electricity and CHPs_NCAP'!H$21</f>
        <v>7.0930925494161999E-4</v>
      </c>
      <c r="M2062" s="1">
        <f>'[1]Electricity and CHPs_NCAP'!I$21</f>
        <v>4.6296617214672199E-4</v>
      </c>
      <c r="N2062" s="1">
        <f>'[1]Electricity and CHPs_NCAP'!J$21</f>
        <v>2.2150564978677101E-4</v>
      </c>
      <c r="O2062" s="1">
        <f>'[1]Electricity and CHPs_NCAP'!K$21</f>
        <v>1.4633263349228199E-5</v>
      </c>
      <c r="P2062" s="1">
        <f>'[1]Electricity and CHPs_NCAP'!L$21</f>
        <v>1.34087059205404E-3</v>
      </c>
      <c r="Q2062" s="1">
        <f>'[1]Electricity and CHPs_NCAP'!M$21</f>
        <v>0</v>
      </c>
      <c r="S2062" s="3"/>
    </row>
    <row r="2063" spans="2:19" x14ac:dyDescent="0.5">
      <c r="B2063" s="5" t="str">
        <f t="shared" si="2216"/>
        <v>SPS1</v>
      </c>
      <c r="C2063" s="5" t="str">
        <f t="shared" si="2213"/>
        <v>CH</v>
      </c>
      <c r="D2063" t="s">
        <v>2192</v>
      </c>
      <c r="E2063" t="str">
        <f t="shared" si="2214"/>
        <v>GWe/yr.</v>
      </c>
      <c r="F2063" s="1">
        <f>'[1]Electricity and CHPs_NCAP'!B$22</f>
        <v>0</v>
      </c>
      <c r="G2063" s="1">
        <f>'[1]Electricity and CHPs_NCAP'!C$22</f>
        <v>0</v>
      </c>
      <c r="H2063" s="1">
        <f>'[1]Electricity and CHPs_NCAP'!D$22</f>
        <v>0</v>
      </c>
      <c r="I2063" s="1">
        <f>'[1]Electricity and CHPs_NCAP'!E$22</f>
        <v>0</v>
      </c>
      <c r="J2063" s="1">
        <f>'[1]Electricity and CHPs_NCAP'!F$22</f>
        <v>3.1806590800214801E-3</v>
      </c>
      <c r="K2063" s="1">
        <f>'[1]Electricity and CHPs_NCAP'!G$22</f>
        <v>2.76051698973681E-5</v>
      </c>
      <c r="L2063" s="1">
        <f>'[1]Electricity and CHPs_NCAP'!H$22</f>
        <v>7.4397093076279498E-5</v>
      </c>
      <c r="M2063" s="1">
        <f>'[1]Electricity and CHPs_NCAP'!I$22</f>
        <v>7.9845881205770899E-4</v>
      </c>
      <c r="N2063" s="1">
        <f>'[1]Electricity and CHPs_NCAP'!J$22</f>
        <v>1.8048848818988199E-4</v>
      </c>
      <c r="O2063" s="1">
        <f>'[1]Electricity and CHPs_NCAP'!K$22</f>
        <v>6.7413523244383704E-4</v>
      </c>
      <c r="P2063" s="1">
        <f>'[1]Electricity and CHPs_NCAP'!L$22</f>
        <v>5.1461635340560698E-3</v>
      </c>
      <c r="Q2063" s="1">
        <f>'[1]Electricity and CHPs_NCAP'!M$22</f>
        <v>0</v>
      </c>
      <c r="S2063" s="3"/>
    </row>
    <row r="2064" spans="2:19" x14ac:dyDescent="0.5">
      <c r="B2064" s="5" t="str">
        <f t="shared" si="2216"/>
        <v>SPS1</v>
      </c>
      <c r="C2064" s="5" t="str">
        <f t="shared" si="2213"/>
        <v>CH</v>
      </c>
      <c r="D2064" t="s">
        <v>2193</v>
      </c>
      <c r="E2064" t="str">
        <f t="shared" si="2214"/>
        <v>GWe/yr.</v>
      </c>
      <c r="F2064" s="1">
        <f>'[1]Electricity and CHPs_NCAP'!B$23</f>
        <v>0</v>
      </c>
      <c r="G2064" s="1">
        <f>'[1]Electricity and CHPs_NCAP'!C$23</f>
        <v>0</v>
      </c>
      <c r="H2064" s="1">
        <f>'[1]Electricity and CHPs_NCAP'!D$23</f>
        <v>0</v>
      </c>
      <c r="I2064" s="1">
        <f>'[1]Electricity and CHPs_NCAP'!E$23</f>
        <v>0</v>
      </c>
      <c r="J2064" s="1">
        <f>'[1]Electricity and CHPs_NCAP'!F$23</f>
        <v>0</v>
      </c>
      <c r="K2064" s="1">
        <f>'[1]Electricity and CHPs_NCAP'!G$23</f>
        <v>0</v>
      </c>
      <c r="L2064" s="1">
        <f>'[1]Electricity and CHPs_NCAP'!H$23</f>
        <v>7.1251397699680303E-4</v>
      </c>
      <c r="M2064" s="1">
        <f>'[1]Electricity and CHPs_NCAP'!I$23</f>
        <v>0</v>
      </c>
      <c r="N2064" s="1">
        <f>'[1]Electricity and CHPs_NCAP'!J$23</f>
        <v>0.14041532719216099</v>
      </c>
      <c r="O2064" s="1">
        <f>'[1]Electricity and CHPs_NCAP'!K$23</f>
        <v>3.8373068018431697E-2</v>
      </c>
      <c r="P2064" s="1">
        <f>'[1]Electricity and CHPs_NCAP'!L$23</f>
        <v>1.0925323654947701E-4</v>
      </c>
      <c r="Q2064" s="1">
        <f>'[1]Electricity and CHPs_NCAP'!M$23</f>
        <v>0</v>
      </c>
      <c r="S2064" s="3"/>
    </row>
    <row r="2065" spans="2:19" x14ac:dyDescent="0.5">
      <c r="B2065" s="5" t="str">
        <f t="shared" si="2216"/>
        <v>SPS1</v>
      </c>
      <c r="C2065" s="5" t="str">
        <f t="shared" si="2213"/>
        <v>CH</v>
      </c>
      <c r="D2065" t="s">
        <v>2194</v>
      </c>
      <c r="E2065" t="str">
        <f t="shared" si="2214"/>
        <v>GWe/yr.</v>
      </c>
      <c r="F2065" s="1">
        <f>'[1]Electricity and CHPs_NCAP'!B$24</f>
        <v>0</v>
      </c>
      <c r="G2065" s="1">
        <f>'[1]Electricity and CHPs_NCAP'!C$24</f>
        <v>1.1342559740751501E-6</v>
      </c>
      <c r="H2065" s="1">
        <f>'[1]Electricity and CHPs_NCAP'!D$24</f>
        <v>0</v>
      </c>
      <c r="I2065" s="1">
        <f>'[1]Electricity and CHPs_NCAP'!E$24</f>
        <v>0</v>
      </c>
      <c r="J2065" s="1">
        <f>'[1]Electricity and CHPs_NCAP'!F$24</f>
        <v>0</v>
      </c>
      <c r="K2065" s="1">
        <f>'[1]Electricity and CHPs_NCAP'!G$24</f>
        <v>0</v>
      </c>
      <c r="L2065" s="1">
        <f>'[1]Electricity and CHPs_NCAP'!H$24</f>
        <v>0</v>
      </c>
      <c r="M2065" s="1">
        <f>'[1]Electricity and CHPs_NCAP'!I$24</f>
        <v>0</v>
      </c>
      <c r="N2065" s="1">
        <f>'[1]Electricity and CHPs_NCAP'!J$24</f>
        <v>0</v>
      </c>
      <c r="O2065" s="1">
        <f>'[1]Electricity and CHPs_NCAP'!K$24</f>
        <v>0</v>
      </c>
      <c r="P2065" s="1">
        <f>'[1]Electricity and CHPs_NCAP'!L$24</f>
        <v>0</v>
      </c>
      <c r="Q2065" s="1">
        <f>'[1]Electricity and CHPs_NCAP'!M$24</f>
        <v>0</v>
      </c>
      <c r="S2065" s="3"/>
    </row>
    <row r="2066" spans="2:19" x14ac:dyDescent="0.5">
      <c r="B2066" s="5" t="str">
        <f t="shared" si="2216"/>
        <v>SPS1</v>
      </c>
      <c r="C2066" s="5" t="str">
        <f t="shared" si="2213"/>
        <v>CH</v>
      </c>
      <c r="D2066" t="s">
        <v>2195</v>
      </c>
      <c r="E2066" t="str">
        <f t="shared" si="2214"/>
        <v>GWe/yr.</v>
      </c>
      <c r="F2066" s="1">
        <f>'[1]Electricity and CHPs_NCAP'!B$29</f>
        <v>0</v>
      </c>
      <c r="G2066" s="1">
        <f>'[1]Electricity and CHPs_NCAP'!C$29</f>
        <v>0</v>
      </c>
      <c r="H2066" s="1">
        <f>'[1]Electricity and CHPs_NCAP'!D$29</f>
        <v>0</v>
      </c>
      <c r="I2066" s="1">
        <f>'[1]Electricity and CHPs_NCAP'!E$29</f>
        <v>0</v>
      </c>
      <c r="J2066" s="1">
        <f>'[1]Electricity and CHPs_NCAP'!F$29</f>
        <v>0</v>
      </c>
      <c r="K2066" s="1">
        <f>'[1]Electricity and CHPs_NCAP'!G$29</f>
        <v>0</v>
      </c>
      <c r="L2066" s="1">
        <f>'[1]Electricity and CHPs_NCAP'!H$29</f>
        <v>0</v>
      </c>
      <c r="M2066" s="1">
        <f>'[1]Electricity and CHPs_NCAP'!I$29</f>
        <v>0</v>
      </c>
      <c r="N2066" s="1">
        <f>'[1]Electricity and CHPs_NCAP'!J$29</f>
        <v>0</v>
      </c>
      <c r="O2066" s="1">
        <f>'[1]Electricity and CHPs_NCAP'!K$29</f>
        <v>0</v>
      </c>
      <c r="P2066" s="1">
        <f>'[1]Electricity and CHPs_NCAP'!L$29</f>
        <v>0</v>
      </c>
      <c r="Q2066" s="1">
        <f>'[1]Electricity and CHPs_NCAP'!M$29</f>
        <v>0</v>
      </c>
      <c r="S2066" s="3"/>
    </row>
    <row r="2067" spans="2:19" x14ac:dyDescent="0.5">
      <c r="B2067" s="5" t="str">
        <f t="shared" si="2216"/>
        <v>SPS1</v>
      </c>
      <c r="C2067" s="5" t="str">
        <f t="shared" si="2213"/>
        <v>CH</v>
      </c>
      <c r="D2067" t="s">
        <v>2196</v>
      </c>
      <c r="E2067" t="str">
        <f t="shared" si="2214"/>
        <v>GWe/yr.</v>
      </c>
      <c r="F2067" s="1">
        <f>'[1]Electricity and CHPs_NCAP'!B$39</f>
        <v>0</v>
      </c>
      <c r="G2067" s="1">
        <f>'[1]Electricity and CHPs_NCAP'!C$39</f>
        <v>2.3819755259836402E-6</v>
      </c>
      <c r="H2067" s="1">
        <f>'[1]Electricity and CHPs_NCAP'!D$39</f>
        <v>5.2868094791549097E-5</v>
      </c>
      <c r="I2067" s="1">
        <f>'[1]Electricity and CHPs_NCAP'!E$39</f>
        <v>5.8569897573825603E-3</v>
      </c>
      <c r="J2067" s="1">
        <f>'[1]Electricity and CHPs_NCAP'!F$39</f>
        <v>4.5682946387180998E-2</v>
      </c>
      <c r="K2067" s="1">
        <f>'[1]Electricity and CHPs_NCAP'!G$39</f>
        <v>6.8203340213843829E-6</v>
      </c>
      <c r="L2067" s="1">
        <f>'[1]Electricity and CHPs_NCAP'!H$39</f>
        <v>1.4639959816450799E-5</v>
      </c>
      <c r="M2067" s="1">
        <f>'[1]Electricity and CHPs_NCAP'!I$39</f>
        <v>2.35653942042288E-2</v>
      </c>
      <c r="N2067" s="1">
        <f>'[1]Electricity and CHPs_NCAP'!J$39</f>
        <v>2.4757635395406399E-2</v>
      </c>
      <c r="O2067" s="1">
        <f>'[1]Electricity and CHPs_NCAP'!K$39</f>
        <v>2.7119980189222698E-3</v>
      </c>
      <c r="P2067" s="1">
        <f>'[1]Electricity and CHPs_NCAP'!L$39</f>
        <v>1.4841500793031001E-2</v>
      </c>
      <c r="Q2067" s="1">
        <f>'[1]Electricity and CHPs_NCAP'!M$39</f>
        <v>2.5477897425873901E-2</v>
      </c>
      <c r="S2067" s="3"/>
    </row>
    <row r="2068" spans="2:19" x14ac:dyDescent="0.5">
      <c r="B2068" s="5" t="str">
        <f t="shared" si="2216"/>
        <v>SPS1</v>
      </c>
      <c r="C2068" s="5" t="str">
        <f t="shared" si="2213"/>
        <v>CH</v>
      </c>
      <c r="D2068" t="s">
        <v>2197</v>
      </c>
      <c r="E2068" t="str">
        <f t="shared" si="2214"/>
        <v>GWe/yr.</v>
      </c>
      <c r="F2068" s="1">
        <f>'[1]Electricity and CHPs_NCAP'!B$40</f>
        <v>0</v>
      </c>
      <c r="G2068" s="1">
        <f>'[1]Electricity and CHPs_NCAP'!C$40</f>
        <v>0</v>
      </c>
      <c r="H2068" s="1">
        <f>'[1]Electricity and CHPs_NCAP'!D$40</f>
        <v>0</v>
      </c>
      <c r="I2068" s="1">
        <f>'[1]Electricity and CHPs_NCAP'!E$40</f>
        <v>0</v>
      </c>
      <c r="J2068" s="1">
        <f>'[1]Electricity and CHPs_NCAP'!F$40</f>
        <v>0</v>
      </c>
      <c r="K2068" s="1">
        <f>'[1]Electricity and CHPs_NCAP'!G$40</f>
        <v>9.7689313989450998E-4</v>
      </c>
      <c r="L2068" s="1">
        <f>'[1]Electricity and CHPs_NCAP'!H$40</f>
        <v>3.5146057473211498E-5</v>
      </c>
      <c r="M2068" s="1">
        <f>'[1]Electricity and CHPs_NCAP'!I$40</f>
        <v>8.6565785307103592E-3</v>
      </c>
      <c r="N2068" s="1">
        <f>'[1]Electricity and CHPs_NCAP'!J$40</f>
        <v>2.1923298540171198E-3</v>
      </c>
      <c r="O2068" s="1">
        <f>'[1]Electricity and CHPs_NCAP'!K$40</f>
        <v>2.0624077420637898E-3</v>
      </c>
      <c r="P2068" s="1">
        <f>'[1]Electricity and CHPs_NCAP'!L$40</f>
        <v>2.1248594253840598E-3</v>
      </c>
      <c r="Q2068" s="1">
        <f>'[1]Electricity and CHPs_NCAP'!M$40</f>
        <v>1.1575219857907101E-2</v>
      </c>
      <c r="S2068" s="3"/>
    </row>
    <row r="2069" spans="2:19" x14ac:dyDescent="0.5">
      <c r="B2069" s="5" t="str">
        <f t="shared" si="2216"/>
        <v>SPS1</v>
      </c>
      <c r="C2069" s="5" t="str">
        <f t="shared" si="2213"/>
        <v>CH</v>
      </c>
      <c r="D2069" t="s">
        <v>2198</v>
      </c>
      <c r="E2069" t="str">
        <f t="shared" si="2214"/>
        <v>GWe/yr.</v>
      </c>
      <c r="F2069" s="1">
        <f>'[1]Electricity and CHPs_NCAP'!B$47</f>
        <v>0</v>
      </c>
      <c r="G2069" s="1">
        <f>'[1]Electricity and CHPs_NCAP'!C$47</f>
        <v>0</v>
      </c>
      <c r="H2069" s="1">
        <f>'[1]Electricity and CHPs_NCAP'!D$47</f>
        <v>0</v>
      </c>
      <c r="I2069" s="1">
        <f>'[1]Electricity and CHPs_NCAP'!E$47</f>
        <v>0</v>
      </c>
      <c r="J2069" s="1">
        <f>'[1]Electricity and CHPs_NCAP'!F$47</f>
        <v>5.6525776573472801E-4</v>
      </c>
      <c r="K2069" s="1">
        <f>'[1]Electricity and CHPs_NCAP'!G$47</f>
        <v>1.1940664721524401E-4</v>
      </c>
      <c r="L2069" s="1">
        <f>'[1]Electricity and CHPs_NCAP'!H$47</f>
        <v>1.11630157792611E-5</v>
      </c>
      <c r="M2069" s="1">
        <f>'[1]Electricity and CHPs_NCAP'!I$47</f>
        <v>8.2029733502977096E-4</v>
      </c>
      <c r="N2069" s="1">
        <f>'[1]Electricity and CHPs_NCAP'!J$47</f>
        <v>3.9679006991959397E-6</v>
      </c>
      <c r="O2069" s="1">
        <f>'[1]Electricity and CHPs_NCAP'!K$47</f>
        <v>2.38721832889566E-4</v>
      </c>
      <c r="P2069" s="1">
        <f>'[1]Electricity and CHPs_NCAP'!L$47</f>
        <v>4.6167878210221202E-4</v>
      </c>
      <c r="Q2069" s="1">
        <f>'[1]Electricity and CHPs_NCAP'!M$47</f>
        <v>2.94693495868483E-4</v>
      </c>
      <c r="S2069" s="3"/>
    </row>
    <row r="2070" spans="2:19" x14ac:dyDescent="0.5">
      <c r="B2070" s="5" t="str">
        <f t="shared" si="2216"/>
        <v>SPS1</v>
      </c>
      <c r="C2070" s="5" t="str">
        <f t="shared" si="2213"/>
        <v>CH</v>
      </c>
      <c r="D2070" t="s">
        <v>2199</v>
      </c>
      <c r="E2070" t="str">
        <f t="shared" si="2214"/>
        <v>GWe/yr.</v>
      </c>
      <c r="F2070" s="1">
        <f>'[1]Electricity and CHPs_NCAP'!B$48</f>
        <v>0</v>
      </c>
      <c r="G2070" s="1">
        <f>'[1]Electricity and CHPs_NCAP'!C$48</f>
        <v>4.7543161195844064E-4</v>
      </c>
      <c r="H2070" s="1">
        <f>'[1]Electricity and CHPs_NCAP'!D$48</f>
        <v>0</v>
      </c>
      <c r="I2070" s="1">
        <f>'[1]Electricity and CHPs_NCAP'!E$48</f>
        <v>0</v>
      </c>
      <c r="J2070" s="1">
        <f>'[1]Electricity and CHPs_NCAP'!F$48</f>
        <v>0</v>
      </c>
      <c r="K2070" s="1">
        <f>'[1]Electricity and CHPs_NCAP'!G$48</f>
        <v>0</v>
      </c>
      <c r="L2070" s="1">
        <f>'[1]Electricity and CHPs_NCAP'!H$48</f>
        <v>0</v>
      </c>
      <c r="M2070" s="1">
        <f>'[1]Electricity and CHPs_NCAP'!I$48</f>
        <v>0</v>
      </c>
      <c r="N2070" s="1">
        <f>'[1]Electricity and CHPs_NCAP'!J$48</f>
        <v>6.3966965980981198E-4</v>
      </c>
      <c r="O2070" s="1">
        <f>'[1]Electricity and CHPs_NCAP'!K$48</f>
        <v>3.3041812227553E-4</v>
      </c>
      <c r="P2070" s="1">
        <f>'[1]Electricity and CHPs_NCAP'!L$48</f>
        <v>1.704811879156867E-3</v>
      </c>
      <c r="Q2070" s="1">
        <f>'[1]Electricity and CHPs_NCAP'!M$48</f>
        <v>3.3905181579432808E-4</v>
      </c>
      <c r="S2070" s="3"/>
    </row>
    <row r="2071" spans="2:19" x14ac:dyDescent="0.5">
      <c r="B2071" s="5" t="str">
        <f t="shared" si="2216"/>
        <v>SPS1</v>
      </c>
      <c r="C2071" s="5" t="str">
        <f t="shared" si="2213"/>
        <v>CH</v>
      </c>
      <c r="D2071" t="s">
        <v>2200</v>
      </c>
      <c r="E2071" t="str">
        <f t="shared" si="2214"/>
        <v>GWe/yr.</v>
      </c>
      <c r="F2071" s="1">
        <f>'[1]Electricity and CHPs_NCAP'!B$49</f>
        <v>0</v>
      </c>
      <c r="G2071" s="1">
        <f>'[1]Electricity and CHPs_NCAP'!C$49</f>
        <v>0</v>
      </c>
      <c r="H2071" s="1">
        <f>'[1]Electricity and CHPs_NCAP'!D$49</f>
        <v>0</v>
      </c>
      <c r="I2071" s="1">
        <f>'[1]Electricity and CHPs_NCAP'!E$49</f>
        <v>0</v>
      </c>
      <c r="J2071" s="1">
        <f>'[1]Electricity and CHPs_NCAP'!F$49</f>
        <v>0</v>
      </c>
      <c r="K2071" s="1">
        <f>'[1]Electricity and CHPs_NCAP'!G$49</f>
        <v>0</v>
      </c>
      <c r="L2071" s="1">
        <f>'[1]Electricity and CHPs_NCAP'!H$49</f>
        <v>0</v>
      </c>
      <c r="M2071" s="1">
        <f>'[1]Electricity and CHPs_NCAP'!I$49</f>
        <v>0</v>
      </c>
      <c r="N2071" s="1">
        <f>'[1]Electricity and CHPs_NCAP'!J$49</f>
        <v>3.8875667046381102E-4</v>
      </c>
      <c r="O2071" s="1">
        <f>'[1]Electricity and CHPs_NCAP'!K$49</f>
        <v>2.93833608218869E-4</v>
      </c>
      <c r="P2071" s="1">
        <f>'[1]Electricity and CHPs_NCAP'!L$49</f>
        <v>1.2772804658859709E-5</v>
      </c>
      <c r="Q2071" s="1">
        <f>'[1]Electricity and CHPs_NCAP'!M$49</f>
        <v>7.0520272667877601E-4</v>
      </c>
      <c r="S2071" s="3"/>
    </row>
    <row r="2072" spans="2:19" x14ac:dyDescent="0.5">
      <c r="B2072" s="5" t="str">
        <f t="shared" si="2216"/>
        <v>SPS1</v>
      </c>
      <c r="C2072" s="5" t="str">
        <f t="shared" si="2213"/>
        <v>CH</v>
      </c>
      <c r="D2072" t="s">
        <v>2201</v>
      </c>
      <c r="E2072" t="str">
        <f t="shared" si="2214"/>
        <v>GWe/yr.</v>
      </c>
      <c r="F2072" s="1">
        <f>'[1]Electricity and CHPs_NCAP'!B$51</f>
        <v>0</v>
      </c>
      <c r="G2072" s="1">
        <f>'[1]Electricity and CHPs_NCAP'!C$51</f>
        <v>2.4794936493804298E-3</v>
      </c>
      <c r="H2072" s="1">
        <f>'[1]Electricity and CHPs_NCAP'!D$51</f>
        <v>0</v>
      </c>
      <c r="I2072" s="1">
        <f>'[1]Electricity and CHPs_NCAP'!E$51</f>
        <v>0</v>
      </c>
      <c r="J2072" s="1">
        <f>'[1]Electricity and CHPs_NCAP'!F$51</f>
        <v>0</v>
      </c>
      <c r="K2072" s="1">
        <f>'[1]Electricity and CHPs_NCAP'!G$51</f>
        <v>0</v>
      </c>
      <c r="L2072" s="1">
        <f>'[1]Electricity and CHPs_NCAP'!H$51</f>
        <v>0</v>
      </c>
      <c r="M2072" s="1">
        <f>'[1]Electricity and CHPs_NCAP'!I$51</f>
        <v>0</v>
      </c>
      <c r="N2072" s="1">
        <f>'[1]Electricity and CHPs_NCAP'!J$51</f>
        <v>1.4053324857209088E-3</v>
      </c>
      <c r="O2072" s="1">
        <f>'[1]Electricity and CHPs_NCAP'!K$51</f>
        <v>5.4026803583659246E-3</v>
      </c>
      <c r="P2072" s="1">
        <f>'[1]Electricity and CHPs_NCAP'!L$51</f>
        <v>2.7746028924526909E-3</v>
      </c>
      <c r="Q2072" s="1">
        <f>'[1]Electricity and CHPs_NCAP'!M$51</f>
        <v>6.5377794622785189E-3</v>
      </c>
      <c r="S2072" s="3"/>
    </row>
    <row r="2073" spans="2:19" x14ac:dyDescent="0.5">
      <c r="B2073" s="5" t="str">
        <f t="shared" si="2216"/>
        <v>SPS1</v>
      </c>
      <c r="C2073" s="5" t="str">
        <f t="shared" si="2213"/>
        <v>CH</v>
      </c>
      <c r="D2073" t="s">
        <v>2202</v>
      </c>
      <c r="E2073" t="str">
        <f t="shared" si="2214"/>
        <v>GWe/yr.</v>
      </c>
      <c r="F2073" s="1">
        <f>'[1]Electricity and CHPs_NCAP'!B$52</f>
        <v>0</v>
      </c>
      <c r="G2073" s="1">
        <f>'[1]Electricity and CHPs_NCAP'!C$52</f>
        <v>0</v>
      </c>
      <c r="H2073" s="1">
        <f>'[1]Electricity and CHPs_NCAP'!D$52</f>
        <v>0</v>
      </c>
      <c r="I2073" s="1">
        <f>'[1]Electricity and CHPs_NCAP'!E$52</f>
        <v>0</v>
      </c>
      <c r="J2073" s="1">
        <f>'[1]Electricity and CHPs_NCAP'!F$52</f>
        <v>0</v>
      </c>
      <c r="K2073" s="1">
        <f>'[1]Electricity and CHPs_NCAP'!G$52</f>
        <v>0</v>
      </c>
      <c r="L2073" s="1">
        <f>'[1]Electricity and CHPs_NCAP'!H$52</f>
        <v>0</v>
      </c>
      <c r="M2073" s="1">
        <f>'[1]Electricity and CHPs_NCAP'!I$52</f>
        <v>0</v>
      </c>
      <c r="N2073" s="1">
        <f>'[1]Electricity and CHPs_NCAP'!J$52</f>
        <v>1.135097107452069E-3</v>
      </c>
      <c r="O2073" s="1">
        <f>'[1]Electricity and CHPs_NCAP'!K$52</f>
        <v>7.5312779070320205E-4</v>
      </c>
      <c r="P2073" s="1">
        <f>'[1]Electricity and CHPs_NCAP'!L$52</f>
        <v>2.475684015529036E-4</v>
      </c>
      <c r="Q2073" s="1">
        <f>'[1]Electricity and CHPs_NCAP'!M$52</f>
        <v>2.3186224203267918E-3</v>
      </c>
      <c r="S2073" s="3"/>
    </row>
    <row r="2074" spans="2:19" x14ac:dyDescent="0.5">
      <c r="B2074" s="5" t="str">
        <f t="shared" si="2216"/>
        <v>SPS1</v>
      </c>
      <c r="C2074" s="5" t="str">
        <f t="shared" si="2213"/>
        <v>CH</v>
      </c>
      <c r="D2074" t="s">
        <v>2203</v>
      </c>
      <c r="E2074" t="str">
        <f t="shared" si="2214"/>
        <v>GWe/yr.</v>
      </c>
      <c r="F2074" s="1">
        <f>'[1]Electricity and CHPs_NCAP'!B$54</f>
        <v>0</v>
      </c>
      <c r="G2074" s="1">
        <f>'[1]Electricity and CHPs_NCAP'!C$54</f>
        <v>2.6266551818290101E-2</v>
      </c>
      <c r="H2074" s="1">
        <f>'[1]Electricity and CHPs_NCAP'!D$54</f>
        <v>7.1139482167868898E-3</v>
      </c>
      <c r="I2074" s="1">
        <f>'[1]Electricity and CHPs_NCAP'!E$54</f>
        <v>1.22937278298383E-2</v>
      </c>
      <c r="J2074" s="1">
        <f>'[1]Electricity and CHPs_NCAP'!F$54</f>
        <v>4.4114273726746402E-2</v>
      </c>
      <c r="K2074" s="1">
        <f>'[1]Electricity and CHPs_NCAP'!G$54</f>
        <v>2.9869471111500501E-2</v>
      </c>
      <c r="L2074" s="1">
        <f>'[1]Electricity and CHPs_NCAP'!H$54</f>
        <v>1.24566167923709E-2</v>
      </c>
      <c r="M2074" s="1">
        <f>'[1]Electricity and CHPs_NCAP'!I$54</f>
        <v>4.52545680685882E-2</v>
      </c>
      <c r="N2074" s="1">
        <f>'[1]Electricity and CHPs_NCAP'!J$54</f>
        <v>2.69285753734726E-2</v>
      </c>
      <c r="O2074" s="1">
        <f>'[1]Electricity and CHPs_NCAP'!K$54</f>
        <v>1.53988520585103E-2</v>
      </c>
      <c r="P2074" s="1">
        <f>'[1]Electricity and CHPs_NCAP'!L$54</f>
        <v>5.9102894622295801E-2</v>
      </c>
      <c r="Q2074" s="1">
        <f>'[1]Electricity and CHPs_NCAP'!M$54</f>
        <v>6.1503517516337099E-2</v>
      </c>
      <c r="S2074" s="3"/>
    </row>
    <row r="2075" spans="2:19" x14ac:dyDescent="0.5">
      <c r="B2075" s="5" t="str">
        <f t="shared" si="2216"/>
        <v>SPS1</v>
      </c>
      <c r="C2075" s="5" t="str">
        <f t="shared" si="2213"/>
        <v>CH</v>
      </c>
      <c r="D2075" t="s">
        <v>2204</v>
      </c>
      <c r="E2075" t="str">
        <f t="shared" si="2214"/>
        <v>GWe/yr.</v>
      </c>
      <c r="F2075" s="1">
        <f>'[1]Electricity and CHPs_NCAP'!B$55</f>
        <v>0</v>
      </c>
      <c r="G2075" s="1">
        <f>'[1]Electricity and CHPs_NCAP'!C$55</f>
        <v>4.0952463671492197E-2</v>
      </c>
      <c r="H2075" s="1">
        <f>'[1]Electricity and CHPs_NCAP'!D$55</f>
        <v>0</v>
      </c>
      <c r="I2075" s="1">
        <f>'[1]Electricity and CHPs_NCAP'!E$55</f>
        <v>0</v>
      </c>
      <c r="J2075" s="1">
        <f>'[1]Electricity and CHPs_NCAP'!F$55</f>
        <v>0</v>
      </c>
      <c r="K2075" s="1">
        <f>'[1]Electricity and CHPs_NCAP'!G$55</f>
        <v>0</v>
      </c>
      <c r="L2075" s="1">
        <f>'[1]Electricity and CHPs_NCAP'!H$55</f>
        <v>0</v>
      </c>
      <c r="M2075" s="1">
        <f>'[1]Electricity and CHPs_NCAP'!I$55</f>
        <v>0</v>
      </c>
      <c r="N2075" s="1">
        <f>'[1]Electricity and CHPs_NCAP'!J$55</f>
        <v>9.9367003570885589E-4</v>
      </c>
      <c r="O2075" s="1">
        <f>'[1]Electricity and CHPs_NCAP'!K$55</f>
        <v>2.0601555916913299E-4</v>
      </c>
      <c r="P2075" s="1">
        <f>'[1]Electricity and CHPs_NCAP'!L$55</f>
        <v>5.0256434345735505E-4</v>
      </c>
      <c r="Q2075" s="1">
        <f>'[1]Electricity and CHPs_NCAP'!M$55</f>
        <v>1.32064631145305E-3</v>
      </c>
      <c r="S2075" s="3"/>
    </row>
    <row r="2076" spans="2:19" x14ac:dyDescent="0.5">
      <c r="B2076" s="5" t="str">
        <f t="shared" si="2216"/>
        <v>SPS1</v>
      </c>
      <c r="C2076" s="5" t="str">
        <f t="shared" si="2213"/>
        <v>CH</v>
      </c>
      <c r="D2076" t="s">
        <v>2205</v>
      </c>
      <c r="E2076" t="str">
        <f t="shared" si="2214"/>
        <v>GWe/yr.</v>
      </c>
      <c r="F2076" s="1">
        <f>'[1]Electricity and CHPs_NCAP'!B$58</f>
        <v>0</v>
      </c>
      <c r="G2076" s="1">
        <f>'[1]Electricity and CHPs_NCAP'!C$58</f>
        <v>0</v>
      </c>
      <c r="H2076" s="1">
        <f>'[1]Electricity and CHPs_NCAP'!D$58</f>
        <v>0</v>
      </c>
      <c r="I2076" s="1">
        <f>'[1]Electricity and CHPs_NCAP'!E$58</f>
        <v>0</v>
      </c>
      <c r="J2076" s="1">
        <f>'[1]Electricity and CHPs_NCAP'!F$58</f>
        <v>0</v>
      </c>
      <c r="K2076" s="1">
        <f>'[1]Electricity and CHPs_NCAP'!G$58</f>
        <v>0</v>
      </c>
      <c r="L2076" s="1">
        <f>'[1]Electricity and CHPs_NCAP'!H$58</f>
        <v>0</v>
      </c>
      <c r="M2076" s="1">
        <f>'[1]Electricity and CHPs_NCAP'!I$58</f>
        <v>0</v>
      </c>
      <c r="N2076" s="1">
        <f>'[1]Electricity and CHPs_NCAP'!J$58</f>
        <v>5.6635358571253199E-4</v>
      </c>
      <c r="O2076" s="1">
        <f>'[1]Electricity and CHPs_NCAP'!K$58</f>
        <v>3.8129369591058702E-4</v>
      </c>
      <c r="P2076" s="1">
        <f>'[1]Electricity and CHPs_NCAP'!L$58</f>
        <v>1.6427496189354499E-4</v>
      </c>
      <c r="Q2076" s="1">
        <f>'[1]Electricity and CHPs_NCAP'!M$58</f>
        <v>1.40761794274859E-3</v>
      </c>
      <c r="S2076" s="3"/>
    </row>
    <row r="2077" spans="2:19" x14ac:dyDescent="0.5">
      <c r="B2077" s="5" t="str">
        <f t="shared" si="2216"/>
        <v>SPS1</v>
      </c>
      <c r="C2077" s="5" t="str">
        <f t="shared" si="2213"/>
        <v>CH</v>
      </c>
      <c r="D2077" t="s">
        <v>2206</v>
      </c>
      <c r="E2077" t="str">
        <f t="shared" si="2214"/>
        <v>GWe/yr.</v>
      </c>
      <c r="F2077" s="1">
        <f t="shared" ref="F2077:K2077" si="2223">SUM(F2078:F2083)</f>
        <v>0</v>
      </c>
      <c r="G2077" s="1">
        <f t="shared" si="2223"/>
        <v>2.1475771308189981E-6</v>
      </c>
      <c r="H2077" s="1">
        <f t="shared" si="2223"/>
        <v>6.2885252421173419E-6</v>
      </c>
      <c r="I2077" s="1">
        <f t="shared" si="2223"/>
        <v>5.2615921990719662E-2</v>
      </c>
      <c r="J2077" s="1">
        <f t="shared" si="2223"/>
        <v>0.16039178865841194</v>
      </c>
      <c r="K2077" s="1">
        <f t="shared" si="2223"/>
        <v>8.2027524654653253E-2</v>
      </c>
      <c r="L2077" s="1">
        <f t="shared" ref="L2077:O2077" si="2224">SUM(L2078:L2083)</f>
        <v>0.18945887620262308</v>
      </c>
      <c r="M2077" s="1">
        <f t="shared" si="2224"/>
        <v>6.0220200442716254E-2</v>
      </c>
      <c r="N2077" s="1">
        <f t="shared" si="2224"/>
        <v>6.8140175442200912E-3</v>
      </c>
      <c r="O2077" s="1">
        <f t="shared" si="2224"/>
        <v>4.9621939927291546E-2</v>
      </c>
      <c r="P2077" s="1">
        <f>SUM(P2078:P2083)</f>
        <v>0.12710959588389684</v>
      </c>
      <c r="Q2077" s="1">
        <f>SUM(Q2078:Q2083)</f>
        <v>8.476943683911202E-2</v>
      </c>
      <c r="S2077" s="3"/>
    </row>
    <row r="2078" spans="2:19" x14ac:dyDescent="0.5">
      <c r="B2078" s="5" t="str">
        <f t="shared" si="2216"/>
        <v>SPS1</v>
      </c>
      <c r="C2078" s="5" t="str">
        <f t="shared" si="2213"/>
        <v>CH</v>
      </c>
      <c r="D2078" t="s">
        <v>2207</v>
      </c>
      <c r="E2078" t="str">
        <f t="shared" si="2214"/>
        <v>GWe/yr.</v>
      </c>
      <c r="F2078" s="1">
        <f>'[1]Electricity and CHPs_NCAP'!B$19</f>
        <v>0</v>
      </c>
      <c r="G2078" s="1">
        <f>'[1]Electricity and CHPs_NCAP'!C$19</f>
        <v>6.8185651125037795E-7</v>
      </c>
      <c r="H2078" s="1">
        <f>'[1]Electricity and CHPs_NCAP'!D$19</f>
        <v>1.7067821963116699E-6</v>
      </c>
      <c r="I2078" s="1">
        <f>'[1]Electricity and CHPs_NCAP'!E$19</f>
        <v>5.11169900611688E-2</v>
      </c>
      <c r="J2078" s="1">
        <f>'[1]Electricity and CHPs_NCAP'!F$19</f>
        <v>0.14963105178369501</v>
      </c>
      <c r="K2078" s="1">
        <f>'[1]Electricity and CHPs_NCAP'!G$19</f>
        <v>2.39655542716577E-5</v>
      </c>
      <c r="L2078" s="1">
        <f>'[1]Electricity and CHPs_NCAP'!H$19</f>
        <v>1.8696454552091399E-6</v>
      </c>
      <c r="M2078" s="1">
        <f>'[1]Electricity and CHPs_NCAP'!I$19</f>
        <v>9.5318505946018694E-5</v>
      </c>
      <c r="N2078" s="1">
        <f>'[1]Electricity and CHPs_NCAP'!J$19</f>
        <v>6.8070008474776598E-3</v>
      </c>
      <c r="O2078" s="1">
        <f>'[1]Electricity and CHPs_NCAP'!K$19</f>
        <v>4.23989882673649E-2</v>
      </c>
      <c r="P2078" s="1">
        <f>'[1]Electricity and CHPs_NCAP'!L$19</f>
        <v>0.121551218467181</v>
      </c>
      <c r="Q2078" s="1">
        <f>'[1]Electricity and CHPs_NCAP'!M$19</f>
        <v>2.7546373572943199E-2</v>
      </c>
      <c r="S2078" s="3"/>
    </row>
    <row r="2079" spans="2:19" x14ac:dyDescent="0.5">
      <c r="B2079" s="5" t="str">
        <f t="shared" si="2216"/>
        <v>SPS1</v>
      </c>
      <c r="C2079" s="5" t="str">
        <f t="shared" si="2213"/>
        <v>CH</v>
      </c>
      <c r="D2079" t="s">
        <v>2208</v>
      </c>
      <c r="E2079" t="str">
        <f t="shared" si="2214"/>
        <v>GWe/yr.</v>
      </c>
      <c r="F2079" s="1">
        <f>'[1]Electricity and CHPs_NCAP'!B$20</f>
        <v>0</v>
      </c>
      <c r="G2079" s="1">
        <f>'[1]Electricity and CHPs_NCAP'!C$20</f>
        <v>0</v>
      </c>
      <c r="H2079" s="1">
        <f>'[1]Electricity and CHPs_NCAP'!D$20</f>
        <v>0</v>
      </c>
      <c r="I2079" s="1">
        <f>'[1]Electricity and CHPs_NCAP'!E$20</f>
        <v>0</v>
      </c>
      <c r="J2079" s="1">
        <f>'[1]Electricity and CHPs_NCAP'!F$20</f>
        <v>0</v>
      </c>
      <c r="K2079" s="1">
        <f>'[1]Electricity and CHPs_NCAP'!G$20</f>
        <v>4.5854316019595498E-2</v>
      </c>
      <c r="L2079" s="1">
        <f>'[1]Electricity and CHPs_NCAP'!H$20</f>
        <v>0.140991249133913</v>
      </c>
      <c r="M2079" s="1">
        <f>'[1]Electricity and CHPs_NCAP'!I$20</f>
        <v>1.11327862362459E-5</v>
      </c>
      <c r="N2079" s="1">
        <f>'[1]Electricity and CHPs_NCAP'!J$20</f>
        <v>1.08858324787125E-6</v>
      </c>
      <c r="O2079" s="1">
        <f>'[1]Electricity and CHPs_NCAP'!K$20</f>
        <v>4.1481980576722701E-6</v>
      </c>
      <c r="P2079" s="1">
        <f>'[1]Electricity and CHPs_NCAP'!L$20</f>
        <v>5.9575575102864697E-6</v>
      </c>
      <c r="Q2079" s="1">
        <f>'[1]Electricity and CHPs_NCAP'!M$20</f>
        <v>2.9465485852756702E-2</v>
      </c>
      <c r="S2079" s="3"/>
    </row>
    <row r="2080" spans="2:19" x14ac:dyDescent="0.5">
      <c r="B2080" s="5" t="str">
        <f t="shared" si="2216"/>
        <v>SPS1</v>
      </c>
      <c r="C2080" s="5" t="str">
        <f t="shared" si="2213"/>
        <v>CH</v>
      </c>
      <c r="D2080" t="s">
        <v>2209</v>
      </c>
      <c r="E2080" t="str">
        <f t="shared" si="2214"/>
        <v>GWe/yr.</v>
      </c>
      <c r="F2080" s="1">
        <f>'[1]Electricity and CHPs_NCAP'!B$26</f>
        <v>0</v>
      </c>
      <c r="G2080" s="1">
        <f>'[1]Electricity and CHPs_NCAP'!C$26</f>
        <v>3.3812487434284999E-7</v>
      </c>
      <c r="H2080" s="1">
        <f>'[1]Electricity and CHPs_NCAP'!D$26</f>
        <v>6.2533055541552202E-7</v>
      </c>
      <c r="I2080" s="1">
        <f>'[1]Electricity and CHPs_NCAP'!E$26</f>
        <v>2.2981333138953499E-6</v>
      </c>
      <c r="J2080" s="1">
        <f>'[1]Electricity and CHPs_NCAP'!F$26</f>
        <v>5.7081491896724497E-3</v>
      </c>
      <c r="K2080" s="1">
        <f>'[1]Electricity and CHPs_NCAP'!G$26</f>
        <v>1.35198029886907E-2</v>
      </c>
      <c r="L2080" s="1">
        <f>'[1]Electricity and CHPs_NCAP'!H$26</f>
        <v>1.39205544245379E-5</v>
      </c>
      <c r="M2080" s="1">
        <f>'[1]Electricity and CHPs_NCAP'!I$26</f>
        <v>2.42414696454703E-2</v>
      </c>
      <c r="N2080" s="1">
        <f>'[1]Electricity and CHPs_NCAP'!J$26</f>
        <v>1.60295600296381E-6</v>
      </c>
      <c r="O2080" s="1">
        <f>'[1]Electricity and CHPs_NCAP'!K$26</f>
        <v>3.8164678956149204E-6</v>
      </c>
      <c r="P2080" s="1">
        <f>'[1]Electricity and CHPs_NCAP'!L$26</f>
        <v>1.49535522907376E-5</v>
      </c>
      <c r="Q2080" s="1">
        <f>'[1]Electricity and CHPs_NCAP'!M$26</f>
        <v>7.4599966201395196E-3</v>
      </c>
      <c r="S2080" s="3"/>
    </row>
    <row r="2081" spans="2:19" x14ac:dyDescent="0.5">
      <c r="B2081" s="5" t="str">
        <f t="shared" si="2216"/>
        <v>SPS1</v>
      </c>
      <c r="C2081" s="5" t="str">
        <f t="shared" si="2213"/>
        <v>CH</v>
      </c>
      <c r="D2081" t="s">
        <v>2210</v>
      </c>
      <c r="E2081" t="str">
        <f t="shared" si="2214"/>
        <v>GWe/yr.</v>
      </c>
      <c r="F2081" s="1">
        <f>'[1]Electricity and CHPs_NCAP'!B$27</f>
        <v>0</v>
      </c>
      <c r="G2081" s="1">
        <f>'[1]Electricity and CHPs_NCAP'!C$27</f>
        <v>0</v>
      </c>
      <c r="H2081" s="1">
        <f>'[1]Electricity and CHPs_NCAP'!D$27</f>
        <v>0</v>
      </c>
      <c r="I2081" s="1">
        <f>'[1]Electricity and CHPs_NCAP'!E$27</f>
        <v>0</v>
      </c>
      <c r="J2081" s="1">
        <f>'[1]Electricity and CHPs_NCAP'!F$27</f>
        <v>0</v>
      </c>
      <c r="K2081" s="1">
        <f>'[1]Electricity and CHPs_NCAP'!G$27</f>
        <v>1.8944193355246001E-2</v>
      </c>
      <c r="L2081" s="1">
        <f>'[1]Electricity and CHPs_NCAP'!H$27</f>
        <v>2.3045792841892902E-2</v>
      </c>
      <c r="M2081" s="1">
        <f>'[1]Electricity and CHPs_NCAP'!I$27</f>
        <v>8.5302988389406899E-4</v>
      </c>
      <c r="N2081" s="1">
        <f>'[1]Electricity and CHPs_NCAP'!J$27</f>
        <v>3.10090024551049E-6</v>
      </c>
      <c r="O2081" s="1">
        <f>'[1]Electricity and CHPs_NCAP'!K$27</f>
        <v>7.2104582583562699E-3</v>
      </c>
      <c r="P2081" s="1">
        <f>'[1]Electricity and CHPs_NCAP'!L$27</f>
        <v>5.4353567020785001E-3</v>
      </c>
      <c r="Q2081" s="1">
        <f>'[1]Electricity and CHPs_NCAP'!M$27</f>
        <v>2.0189019234246298E-2</v>
      </c>
      <c r="S2081" s="3"/>
    </row>
    <row r="2082" spans="2:19" x14ac:dyDescent="0.5">
      <c r="B2082" s="5" t="str">
        <f t="shared" si="2216"/>
        <v>SPS1</v>
      </c>
      <c r="C2082" s="5" t="str">
        <f t="shared" si="2213"/>
        <v>CH</v>
      </c>
      <c r="D2082" t="s">
        <v>2211</v>
      </c>
      <c r="E2082" t="str">
        <f t="shared" si="2214"/>
        <v>GWe/yr.</v>
      </c>
      <c r="F2082" s="1">
        <f>'[1]Electricity and CHPs_NCAP'!B$44</f>
        <v>0</v>
      </c>
      <c r="G2082" s="1">
        <f>'[1]Electricity and CHPs_NCAP'!C$44</f>
        <v>1.12759574522577E-6</v>
      </c>
      <c r="H2082" s="1">
        <f>'[1]Electricity and CHPs_NCAP'!D$44</f>
        <v>3.9564124903901503E-6</v>
      </c>
      <c r="I2082" s="1">
        <f>'[1]Electricity and CHPs_NCAP'!E$44</f>
        <v>1.4966337962369701E-3</v>
      </c>
      <c r="J2082" s="1">
        <f>'[1]Electricity and CHPs_NCAP'!F$44</f>
        <v>5.0525876850444898E-3</v>
      </c>
      <c r="K2082" s="1">
        <f>'[1]Electricity and CHPs_NCAP'!G$44</f>
        <v>1.83928032654557E-6</v>
      </c>
      <c r="L2082" s="1">
        <f>'[1]Electricity and CHPs_NCAP'!H$44</f>
        <v>8.01227169067675E-7</v>
      </c>
      <c r="M2082" s="1">
        <f>'[1]Electricity and CHPs_NCAP'!I$44</f>
        <v>1.21218033252128E-6</v>
      </c>
      <c r="N2082" s="1">
        <f>'[1]Electricity and CHPs_NCAP'!J$44</f>
        <v>7.75855745184959E-7</v>
      </c>
      <c r="O2082" s="1">
        <f>'[1]Electricity and CHPs_NCAP'!K$44</f>
        <v>3.61985326812437E-6</v>
      </c>
      <c r="P2082" s="1">
        <f>'[1]Electricity and CHPs_NCAP'!L$44</f>
        <v>1.00461485869306E-4</v>
      </c>
      <c r="Q2082" s="1">
        <f>'[1]Electricity and CHPs_NCAP'!M$44</f>
        <v>1.0200841731443E-4</v>
      </c>
      <c r="S2082" s="3"/>
    </row>
    <row r="2083" spans="2:19" x14ac:dyDescent="0.5">
      <c r="B2083" s="5" t="str">
        <f t="shared" si="2216"/>
        <v>SPS1</v>
      </c>
      <c r="C2083" s="5" t="str">
        <f t="shared" si="2213"/>
        <v>CH</v>
      </c>
      <c r="D2083" t="s">
        <v>2212</v>
      </c>
      <c r="E2083" t="str">
        <f t="shared" ref="E2083:E2113" si="2225">E2082</f>
        <v>GWe/yr.</v>
      </c>
      <c r="F2083" s="1">
        <f>'[1]Electricity and CHPs_NCAP'!B$45</f>
        <v>0</v>
      </c>
      <c r="G2083" s="1">
        <f>'[1]Electricity and CHPs_NCAP'!C$45</f>
        <v>0</v>
      </c>
      <c r="H2083" s="1">
        <f>'[1]Electricity and CHPs_NCAP'!D$45</f>
        <v>0</v>
      </c>
      <c r="I2083" s="1">
        <f>'[1]Electricity and CHPs_NCAP'!E$45</f>
        <v>0</v>
      </c>
      <c r="J2083" s="1">
        <f>'[1]Electricity and CHPs_NCAP'!F$45</f>
        <v>0</v>
      </c>
      <c r="K2083" s="1">
        <f>'[1]Electricity and CHPs_NCAP'!G$45</f>
        <v>3.68340745652286E-3</v>
      </c>
      <c r="L2083" s="1">
        <f>'[1]Electricity and CHPs_NCAP'!H$45</f>
        <v>2.5405242799768399E-2</v>
      </c>
      <c r="M2083" s="1">
        <f>'[1]Electricity and CHPs_NCAP'!I$45</f>
        <v>3.5018037440837098E-2</v>
      </c>
      <c r="N2083" s="1">
        <f>'[1]Electricity and CHPs_NCAP'!J$45</f>
        <v>4.4840150089964699E-7</v>
      </c>
      <c r="O2083" s="1">
        <f>'[1]Electricity and CHPs_NCAP'!K$45</f>
        <v>9.0888234896810203E-7</v>
      </c>
      <c r="P2083" s="1">
        <f>'[1]Electricity and CHPs_NCAP'!L$45</f>
        <v>1.6481189670036601E-6</v>
      </c>
      <c r="Q2083" s="1">
        <f>'[1]Electricity and CHPs_NCAP'!M$45</f>
        <v>6.5531417118625E-6</v>
      </c>
      <c r="S2083" s="3"/>
    </row>
    <row r="2084" spans="2:19" x14ac:dyDescent="0.5">
      <c r="B2084" s="5" t="str">
        <f t="shared" si="2216"/>
        <v>SPS1</v>
      </c>
      <c r="C2084" s="5" t="str">
        <f t="shared" si="2213"/>
        <v>CH</v>
      </c>
      <c r="D2084" t="s">
        <v>2213</v>
      </c>
      <c r="E2084" t="str">
        <f t="shared" si="2225"/>
        <v>GWe/yr.</v>
      </c>
      <c r="F2084" s="1">
        <f t="shared" ref="F2084:K2084" si="2226">SUM(F2085:F2091)</f>
        <v>0</v>
      </c>
      <c r="G2084" s="1">
        <f t="shared" si="2226"/>
        <v>1.6558005882082106E-2</v>
      </c>
      <c r="H2084" s="1">
        <f t="shared" si="2226"/>
        <v>3.6486448269747201E-2</v>
      </c>
      <c r="I2084" s="1">
        <f t="shared" si="2226"/>
        <v>1.3137652680819054E-2</v>
      </c>
      <c r="J2084" s="1">
        <f t="shared" si="2226"/>
        <v>2.8525337955446546E-2</v>
      </c>
      <c r="K2084" s="1">
        <f t="shared" si="2226"/>
        <v>0.12841870571350436</v>
      </c>
      <c r="L2084" s="1">
        <f t="shared" ref="L2084:O2084" si="2227">SUM(L2085:L2091)</f>
        <v>9.6325855502914851E-2</v>
      </c>
      <c r="M2084" s="1">
        <f t="shared" si="2227"/>
        <v>6.884047640069714E-2</v>
      </c>
      <c r="N2084" s="1">
        <f t="shared" si="2227"/>
        <v>5.8125187193294611E-2</v>
      </c>
      <c r="O2084" s="1">
        <f t="shared" si="2227"/>
        <v>0.12878920373789024</v>
      </c>
      <c r="P2084" s="1">
        <f>SUM(P2085:P2091)</f>
        <v>6.1179073608823832E-2</v>
      </c>
      <c r="Q2084" s="1">
        <f>SUM(Q2085:Q2091)</f>
        <v>4.72985130600116E-2</v>
      </c>
      <c r="S2084" s="3"/>
    </row>
    <row r="2085" spans="2:19" x14ac:dyDescent="0.5">
      <c r="B2085" s="5" t="str">
        <f t="shared" si="2216"/>
        <v>SPS1</v>
      </c>
      <c r="C2085" s="5" t="str">
        <f t="shared" si="2213"/>
        <v>CH</v>
      </c>
      <c r="D2085" t="s">
        <v>2214</v>
      </c>
      <c r="E2085" t="str">
        <f t="shared" si="2225"/>
        <v>GWe/yr.</v>
      </c>
      <c r="F2085" s="1">
        <f>'[1]Electricity and CHPs_NCAP'!B$25</f>
        <v>0</v>
      </c>
      <c r="G2085" s="1">
        <f>'[1]Electricity and CHPs_NCAP'!C$25</f>
        <v>4.2233807230467299E-7</v>
      </c>
      <c r="H2085" s="1">
        <f>'[1]Electricity and CHPs_NCAP'!D$25</f>
        <v>1.27226563251018E-2</v>
      </c>
      <c r="I2085" s="1">
        <f>'[1]Electricity and CHPs_NCAP'!E$25</f>
        <v>2.5032709112213101E-6</v>
      </c>
      <c r="J2085" s="1">
        <f>'[1]Electricity and CHPs_NCAP'!F$25</f>
        <v>2.6824000008970401E-4</v>
      </c>
      <c r="K2085" s="1">
        <f>'[1]Electricity and CHPs_NCAP'!G$25</f>
        <v>4.5787973318811202E-2</v>
      </c>
      <c r="L2085" s="1">
        <f>'[1]Electricity and CHPs_NCAP'!H$25</f>
        <v>3.8685647114745998E-3</v>
      </c>
      <c r="M2085" s="1">
        <f>'[1]Electricity and CHPs_NCAP'!I$25</f>
        <v>1.51985647537478E-5</v>
      </c>
      <c r="N2085" s="1">
        <f>'[1]Electricity and CHPs_NCAP'!J$25</f>
        <v>2.3051140933547801E-5</v>
      </c>
      <c r="O2085" s="1">
        <f>'[1]Electricity and CHPs_NCAP'!K$25</f>
        <v>3.9180780768908997E-2</v>
      </c>
      <c r="P2085" s="1">
        <f>'[1]Electricity and CHPs_NCAP'!L$25</f>
        <v>3.6875952267410401E-3</v>
      </c>
      <c r="Q2085" s="1">
        <f>'[1]Electricity and CHPs_NCAP'!M$25</f>
        <v>4.8475511209701799E-4</v>
      </c>
      <c r="S2085" s="3"/>
    </row>
    <row r="2086" spans="2:19" x14ac:dyDescent="0.5">
      <c r="B2086" s="5" t="str">
        <f t="shared" si="2216"/>
        <v>SPS1</v>
      </c>
      <c r="C2086" s="5" t="str">
        <f t="shared" si="2213"/>
        <v>CH</v>
      </c>
      <c r="D2086" t="s">
        <v>2215</v>
      </c>
      <c r="E2086" t="str">
        <f t="shared" si="2225"/>
        <v>GWe/yr.</v>
      </c>
      <c r="F2086" s="1">
        <f>'[1]Electricity and CHPs_NCAP'!B$31</f>
        <v>0</v>
      </c>
      <c r="G2086" s="1">
        <f>'[1]Electricity and CHPs_NCAP'!C$31</f>
        <v>0</v>
      </c>
      <c r="H2086" s="1">
        <f>'[1]Electricity and CHPs_NCAP'!D$31</f>
        <v>0</v>
      </c>
      <c r="I2086" s="1">
        <f>'[1]Electricity and CHPs_NCAP'!E$31</f>
        <v>0</v>
      </c>
      <c r="J2086" s="1">
        <f>'[1]Electricity and CHPs_NCAP'!F$31</f>
        <v>0</v>
      </c>
      <c r="K2086" s="1">
        <f>'[1]Electricity and CHPs_NCAP'!G$31</f>
        <v>4.1125144332905902E-4</v>
      </c>
      <c r="L2086" s="1">
        <f>'[1]Electricity and CHPs_NCAP'!H$31</f>
        <v>9.9307438329636604E-4</v>
      </c>
      <c r="M2086" s="1">
        <f>'[1]Electricity and CHPs_NCAP'!I$31</f>
        <v>1.73055503328042E-2</v>
      </c>
      <c r="N2086" s="1">
        <f>'[1]Electricity and CHPs_NCAP'!J$31</f>
        <v>6.6693803031053796E-6</v>
      </c>
      <c r="O2086" s="1">
        <f>'[1]Electricity and CHPs_NCAP'!K$31</f>
        <v>5.8350365967677001E-6</v>
      </c>
      <c r="P2086" s="1">
        <f>'[1]Electricity and CHPs_NCAP'!L$31</f>
        <v>5.3690789543222597E-4</v>
      </c>
      <c r="Q2086" s="1">
        <f>'[1]Electricity and CHPs_NCAP'!M$31</f>
        <v>0</v>
      </c>
      <c r="S2086" s="3"/>
    </row>
    <row r="2087" spans="2:19" x14ac:dyDescent="0.5">
      <c r="B2087" s="5" t="str">
        <f t="shared" si="2216"/>
        <v>SPS1</v>
      </c>
      <c r="C2087" s="5" t="str">
        <f t="shared" si="2213"/>
        <v>CH</v>
      </c>
      <c r="D2087" t="s">
        <v>2216</v>
      </c>
      <c r="E2087" t="str">
        <f t="shared" si="2225"/>
        <v>GWe/yr.</v>
      </c>
      <c r="F2087" s="1">
        <f>'[1]Electricity and CHPs_NCAP'!B$42</f>
        <v>0</v>
      </c>
      <c r="G2087" s="1">
        <f>'[1]Electricity and CHPs_NCAP'!C$42</f>
        <v>1.65575835440098E-2</v>
      </c>
      <c r="H2087" s="1">
        <f>'[1]Electricity and CHPs_NCAP'!D$42</f>
        <v>2.3763791944645399E-2</v>
      </c>
      <c r="I2087" s="1">
        <f>'[1]Electricity and CHPs_NCAP'!E$42</f>
        <v>1.23812574809303E-2</v>
      </c>
      <c r="J2087" s="1">
        <f>'[1]Electricity and CHPs_NCAP'!F$42</f>
        <v>2.74096812653448E-2</v>
      </c>
      <c r="K2087" s="1">
        <f>'[1]Electricity and CHPs_NCAP'!G$42</f>
        <v>1.48864223567382E-2</v>
      </c>
      <c r="L2087" s="1">
        <f>'[1]Electricity and CHPs_NCAP'!H$42</f>
        <v>5.8815319340624597E-6</v>
      </c>
      <c r="M2087" s="1">
        <f>'[1]Electricity and CHPs_NCAP'!I$42</f>
        <v>1.6499261591468501E-4</v>
      </c>
      <c r="N2087" s="1">
        <f>'[1]Electricity and CHPs_NCAP'!J$42</f>
        <v>3.8562202098795602E-6</v>
      </c>
      <c r="O2087" s="1">
        <f>'[1]Electricity and CHPs_NCAP'!K$42</f>
        <v>1.2258151794944001E-4</v>
      </c>
      <c r="P2087" s="1">
        <f>'[1]Electricity and CHPs_NCAP'!L$42</f>
        <v>1.6794646352360999E-4</v>
      </c>
      <c r="Q2087" s="1">
        <f>'[1]Electricity and CHPs_NCAP'!M$42</f>
        <v>7.53829939521648E-5</v>
      </c>
      <c r="S2087" s="3"/>
    </row>
    <row r="2088" spans="2:19" x14ac:dyDescent="0.5">
      <c r="B2088" s="5" t="str">
        <f t="shared" si="2216"/>
        <v>SPS1</v>
      </c>
      <c r="C2088" s="5" t="str">
        <f t="shared" si="2213"/>
        <v>CH</v>
      </c>
      <c r="D2088" t="s">
        <v>2217</v>
      </c>
      <c r="E2088" t="str">
        <f t="shared" si="2225"/>
        <v>GWe/yr.</v>
      </c>
      <c r="F2088" s="1">
        <f>'[1]Electricity and CHPs_NCAP'!B$43</f>
        <v>0</v>
      </c>
      <c r="G2088" s="1">
        <f>'[1]Electricity and CHPs_NCAP'!C$43</f>
        <v>0</v>
      </c>
      <c r="H2088" s="1">
        <f>'[1]Electricity and CHPs_NCAP'!D$43</f>
        <v>0</v>
      </c>
      <c r="I2088" s="1">
        <f>'[1]Electricity and CHPs_NCAP'!E$43</f>
        <v>0</v>
      </c>
      <c r="J2088" s="1">
        <f>'[1]Electricity and CHPs_NCAP'!F$43</f>
        <v>0</v>
      </c>
      <c r="K2088" s="1">
        <f>'[1]Electricity and CHPs_NCAP'!G$43</f>
        <v>6.1913505367343198E-2</v>
      </c>
      <c r="L2088" s="1">
        <f>'[1]Electricity and CHPs_NCAP'!H$43</f>
        <v>8.7073062996178702E-2</v>
      </c>
      <c r="M2088" s="1">
        <f>'[1]Electricity and CHPs_NCAP'!I$43</f>
        <v>4.3064811762046497E-2</v>
      </c>
      <c r="N2088" s="1">
        <f>'[1]Electricity and CHPs_NCAP'!J$43</f>
        <v>5.4729326954881197E-2</v>
      </c>
      <c r="O2088" s="1">
        <f>'[1]Electricity and CHPs_NCAP'!K$43</f>
        <v>8.9078615646754095E-2</v>
      </c>
      <c r="P2088" s="1">
        <f>'[1]Electricity and CHPs_NCAP'!L$43</f>
        <v>5.08598675317537E-2</v>
      </c>
      <c r="Q2088" s="1">
        <f>'[1]Electricity and CHPs_NCAP'!M$43</f>
        <v>4.5548438191017997E-2</v>
      </c>
      <c r="S2088" s="3"/>
    </row>
    <row r="2089" spans="2:19" x14ac:dyDescent="0.5">
      <c r="B2089" s="5" t="str">
        <f t="shared" si="2216"/>
        <v>SPS1</v>
      </c>
      <c r="C2089" s="5" t="str">
        <f t="shared" si="2213"/>
        <v>CH</v>
      </c>
      <c r="D2089" t="s">
        <v>2218</v>
      </c>
      <c r="E2089" t="str">
        <f t="shared" si="2225"/>
        <v>GWe/yr.</v>
      </c>
      <c r="F2089" s="1">
        <f>'[1]Electricity and CHPs_NCAP'!B$50</f>
        <v>0</v>
      </c>
      <c r="G2089" s="1">
        <f>'[1]Electricity and CHPs_NCAP'!C$50</f>
        <v>0</v>
      </c>
      <c r="H2089" s="1">
        <f>'[1]Electricity and CHPs_NCAP'!D$50</f>
        <v>0</v>
      </c>
      <c r="I2089" s="1">
        <f>'[1]Electricity and CHPs_NCAP'!E$50</f>
        <v>2.0942622794661121E-4</v>
      </c>
      <c r="J2089" s="1">
        <f>'[1]Electricity and CHPs_NCAP'!F$50</f>
        <v>2.06377542244048E-4</v>
      </c>
      <c r="K2089" s="1">
        <f>'[1]Electricity and CHPs_NCAP'!G$50</f>
        <v>6.3433052909475695E-4</v>
      </c>
      <c r="L2089" s="1">
        <f>'[1]Electricity and CHPs_NCAP'!H$50</f>
        <v>1.950812572750886E-4</v>
      </c>
      <c r="M2089" s="1">
        <f>'[1]Electricity and CHPs_NCAP'!I$50</f>
        <v>9.6719456478357299E-4</v>
      </c>
      <c r="N2089" s="1">
        <f>'[1]Electricity and CHPs_NCAP'!J$50</f>
        <v>2.6311902867293339E-6</v>
      </c>
      <c r="O2089" s="1">
        <f>'[1]Electricity and CHPs_NCAP'!K$50</f>
        <v>1.376611436177772E-5</v>
      </c>
      <c r="P2089" s="1">
        <f>'[1]Electricity and CHPs_NCAP'!L$50</f>
        <v>9.0399830963007704E-4</v>
      </c>
      <c r="Q2089" s="1">
        <f>'[1]Electricity and CHPs_NCAP'!M$50</f>
        <v>3.7562927489154843E-4</v>
      </c>
      <c r="S2089" s="3"/>
    </row>
    <row r="2090" spans="2:19" x14ac:dyDescent="0.5">
      <c r="B2090" s="5" t="str">
        <f t="shared" si="2216"/>
        <v>SPS1</v>
      </c>
      <c r="C2090" s="5" t="str">
        <f t="shared" si="2213"/>
        <v>CH</v>
      </c>
      <c r="D2090" t="s">
        <v>2219</v>
      </c>
      <c r="E2090" t="str">
        <f t="shared" si="2225"/>
        <v>GWe/yr.</v>
      </c>
      <c r="F2090" s="1">
        <f>'[1]Electricity and CHPs_NCAP'!B$53</f>
        <v>0</v>
      </c>
      <c r="G2090" s="1">
        <f>'[1]Electricity and CHPs_NCAP'!C$53</f>
        <v>0</v>
      </c>
      <c r="H2090" s="1">
        <f>'[1]Electricity and CHPs_NCAP'!D$53</f>
        <v>0</v>
      </c>
      <c r="I2090" s="1">
        <f>'[1]Electricity and CHPs_NCAP'!E$53</f>
        <v>3.0106819548743899E-4</v>
      </c>
      <c r="J2090" s="1">
        <f>'[1]Electricity and CHPs_NCAP'!F$53</f>
        <v>4.6458647201883798E-4</v>
      </c>
      <c r="K2090" s="1">
        <f>'[1]Electricity and CHPs_NCAP'!G$53</f>
        <v>4.4077967268851079E-3</v>
      </c>
      <c r="L2090" s="1">
        <f>'[1]Electricity and CHPs_NCAP'!H$53</f>
        <v>4.089755822811101E-3</v>
      </c>
      <c r="M2090" s="1">
        <f>'[1]Electricity and CHPs_NCAP'!I$53</f>
        <v>6.734347510018503E-3</v>
      </c>
      <c r="N2090" s="1">
        <f>'[1]Electricity and CHPs_NCAP'!J$53</f>
        <v>3.3499533154759463E-3</v>
      </c>
      <c r="O2090" s="1">
        <f>'[1]Electricity and CHPs_NCAP'!K$53</f>
        <v>3.165946220977209E-4</v>
      </c>
      <c r="P2090" s="1">
        <f>'[1]Electricity and CHPs_NCAP'!L$53</f>
        <v>4.2018474106989938E-3</v>
      </c>
      <c r="Q2090" s="1">
        <f>'[1]Electricity and CHPs_NCAP'!M$53</f>
        <v>4.7171782576029881E-4</v>
      </c>
      <c r="S2090" s="3"/>
    </row>
    <row r="2091" spans="2:19" x14ac:dyDescent="0.5">
      <c r="B2091" s="5" t="str">
        <f t="shared" si="2216"/>
        <v>SPS1</v>
      </c>
      <c r="C2091" s="5" t="str">
        <f t="shared" si="2213"/>
        <v>CH</v>
      </c>
      <c r="D2091" t="s">
        <v>2220</v>
      </c>
      <c r="E2091" t="str">
        <f t="shared" si="2225"/>
        <v>GWe/yr.</v>
      </c>
      <c r="F2091" s="1">
        <f>'[1]Electricity and CHPs_NCAP'!B$56</f>
        <v>0</v>
      </c>
      <c r="G2091" s="1">
        <f>'[1]Electricity and CHPs_NCAP'!C$56</f>
        <v>0</v>
      </c>
      <c r="H2091" s="1">
        <f>'[1]Electricity and CHPs_NCAP'!D$56</f>
        <v>0</v>
      </c>
      <c r="I2091" s="1">
        <f>'[1]Electricity and CHPs_NCAP'!E$56</f>
        <v>2.4339750554348101E-4</v>
      </c>
      <c r="J2091" s="1">
        <f>'[1]Electricity and CHPs_NCAP'!F$56</f>
        <v>1.76452675749156E-4</v>
      </c>
      <c r="K2091" s="1">
        <f>'[1]Electricity and CHPs_NCAP'!G$56</f>
        <v>3.77425971302842E-4</v>
      </c>
      <c r="L2091" s="1">
        <f>'[1]Electricity and CHPs_NCAP'!H$56</f>
        <v>1.0043479994492099E-4</v>
      </c>
      <c r="M2091" s="1">
        <f>'[1]Electricity and CHPs_NCAP'!I$56</f>
        <v>5.8838105037593998E-4</v>
      </c>
      <c r="N2091" s="1">
        <f>'[1]Electricity and CHPs_NCAP'!J$56</f>
        <v>9.6989912042142499E-6</v>
      </c>
      <c r="O2091" s="1">
        <f>'[1]Electricity and CHPs_NCAP'!K$56</f>
        <v>7.10300312214635E-5</v>
      </c>
      <c r="P2091" s="1">
        <f>'[1]Electricity and CHPs_NCAP'!L$56</f>
        <v>8.2091077104418802E-4</v>
      </c>
      <c r="Q2091" s="1">
        <f>'[1]Electricity and CHPs_NCAP'!M$56</f>
        <v>3.4258966229256901E-4</v>
      </c>
      <c r="S2091" s="3"/>
    </row>
    <row r="2092" spans="2:19" x14ac:dyDescent="0.5">
      <c r="B2092" s="5" t="str">
        <f t="shared" si="2216"/>
        <v>SPS1</v>
      </c>
      <c r="C2092" s="5" t="str">
        <f t="shared" si="2213"/>
        <v>CH</v>
      </c>
      <c r="D2092" t="s">
        <v>2221</v>
      </c>
      <c r="E2092" t="str">
        <f t="shared" si="2225"/>
        <v>GWe/yr.</v>
      </c>
      <c r="F2092" s="1">
        <f t="shared" ref="F2092:O2092" si="2228">F2093</f>
        <v>0</v>
      </c>
      <c r="G2092" s="1">
        <f t="shared" si="2228"/>
        <v>7.1321513504371001E-3</v>
      </c>
      <c r="H2092" s="1">
        <f t="shared" si="2228"/>
        <v>0.292006818668267</v>
      </c>
      <c r="I2092" s="1">
        <f t="shared" si="2228"/>
        <v>0.28587254862032402</v>
      </c>
      <c r="J2092" s="1">
        <f t="shared" si="2228"/>
        <v>0.240707848366322</v>
      </c>
      <c r="K2092" s="1">
        <f t="shared" si="2228"/>
        <v>0.67910669176714</v>
      </c>
      <c r="L2092" s="1">
        <f t="shared" si="2228"/>
        <v>1.38424345055873</v>
      </c>
      <c r="M2092" s="1">
        <f t="shared" si="2228"/>
        <v>0.338855329897367</v>
      </c>
      <c r="N2092" s="1">
        <f t="shared" si="2228"/>
        <v>0.19084298075591999</v>
      </c>
      <c r="O2092" s="1">
        <f t="shared" si="2228"/>
        <v>0.858807926890232</v>
      </c>
      <c r="P2092" s="1">
        <f>P2093</f>
        <v>1.2083154839179</v>
      </c>
      <c r="Q2092" s="1">
        <f>Q2093</f>
        <v>0</v>
      </c>
      <c r="S2092" s="3"/>
    </row>
    <row r="2093" spans="2:19" x14ac:dyDescent="0.5">
      <c r="B2093" s="5" t="str">
        <f t="shared" si="2216"/>
        <v>SPS1</v>
      </c>
      <c r="C2093" s="5" t="str">
        <f t="shared" si="2213"/>
        <v>CH</v>
      </c>
      <c r="D2093" t="s">
        <v>2222</v>
      </c>
      <c r="E2093" t="str">
        <f t="shared" si="2225"/>
        <v>GWe/yr.</v>
      </c>
      <c r="F2093" s="1">
        <f>'[1]Electricity and CHPs_NCAP'!B$33</f>
        <v>0</v>
      </c>
      <c r="G2093" s="1">
        <f>'[1]Electricity and CHPs_NCAP'!C$33</f>
        <v>7.1321513504371001E-3</v>
      </c>
      <c r="H2093" s="1">
        <f>'[1]Electricity and CHPs_NCAP'!D$33</f>
        <v>0.292006818668267</v>
      </c>
      <c r="I2093" s="1">
        <f>'[1]Electricity and CHPs_NCAP'!E$33</f>
        <v>0.28587254862032402</v>
      </c>
      <c r="J2093" s="1">
        <f>'[1]Electricity and CHPs_NCAP'!F$33</f>
        <v>0.240707848366322</v>
      </c>
      <c r="K2093" s="1">
        <f>'[1]Electricity and CHPs_NCAP'!G$33</f>
        <v>0.67910669176714</v>
      </c>
      <c r="L2093" s="1">
        <f>'[1]Electricity and CHPs_NCAP'!H$33</f>
        <v>1.38424345055873</v>
      </c>
      <c r="M2093" s="1">
        <f>'[1]Electricity and CHPs_NCAP'!I$33</f>
        <v>0.338855329897367</v>
      </c>
      <c r="N2093" s="1">
        <f>'[1]Electricity and CHPs_NCAP'!J$33</f>
        <v>0.19084298075591999</v>
      </c>
      <c r="O2093" s="1">
        <f>'[1]Electricity and CHPs_NCAP'!K$33</f>
        <v>0.858807926890232</v>
      </c>
      <c r="P2093" s="1">
        <f>'[1]Electricity and CHPs_NCAP'!L$33</f>
        <v>1.2083154839179</v>
      </c>
      <c r="Q2093" s="1">
        <f>'[1]Electricity and CHPs_NCAP'!M$33</f>
        <v>0</v>
      </c>
      <c r="S2093" s="3"/>
    </row>
    <row r="2094" spans="2:19" x14ac:dyDescent="0.5">
      <c r="B2094" s="5" t="str">
        <f t="shared" si="2216"/>
        <v>SPS1</v>
      </c>
      <c r="C2094" s="5" t="str">
        <f t="shared" si="2213"/>
        <v>CH</v>
      </c>
      <c r="D2094" t="s">
        <v>2223</v>
      </c>
      <c r="E2094" t="str">
        <f t="shared" si="2225"/>
        <v>GWe/yr.</v>
      </c>
      <c r="F2094" s="1">
        <f t="shared" ref="F2094:K2094" si="2229">SUM(F2095:F2099)</f>
        <v>0</v>
      </c>
      <c r="G2094" s="1">
        <f t="shared" si="2229"/>
        <v>9.6735995309894207E-6</v>
      </c>
      <c r="H2094" s="1">
        <f t="shared" si="2229"/>
        <v>3.8584152696836664</v>
      </c>
      <c r="I2094" s="1">
        <f t="shared" si="2229"/>
        <v>3.3442316844145554</v>
      </c>
      <c r="J2094" s="1">
        <f t="shared" si="2229"/>
        <v>9.9330665900787256</v>
      </c>
      <c r="K2094" s="1">
        <f t="shared" si="2229"/>
        <v>11.155956403520063</v>
      </c>
      <c r="L2094" s="1">
        <f t="shared" ref="L2094:O2094" si="2230">SUM(L2095:L2099)</f>
        <v>12.009454957462895</v>
      </c>
      <c r="M2094" s="1">
        <f t="shared" si="2230"/>
        <v>5.520397972182125</v>
      </c>
      <c r="N2094" s="1">
        <f t="shared" si="2230"/>
        <v>8.551090867471018</v>
      </c>
      <c r="O2094" s="1">
        <f t="shared" si="2230"/>
        <v>12.824586810522542</v>
      </c>
      <c r="P2094" s="1">
        <f>SUM(P2095:P2099)</f>
        <v>12.477658591977518</v>
      </c>
      <c r="Q2094" s="1">
        <f>SUM(Q2095:Q2099)</f>
        <v>7.6755787572280436</v>
      </c>
      <c r="S2094" s="3"/>
    </row>
    <row r="2095" spans="2:19" x14ac:dyDescent="0.5">
      <c r="B2095" s="5" t="str">
        <f t="shared" si="2216"/>
        <v>SPS1</v>
      </c>
      <c r="C2095" s="5" t="str">
        <f t="shared" si="2213"/>
        <v>CH</v>
      </c>
      <c r="D2095" t="s">
        <v>2224</v>
      </c>
      <c r="E2095" t="str">
        <f t="shared" si="2225"/>
        <v>GWe/yr.</v>
      </c>
      <c r="F2095" s="1">
        <f>'[1]Electricity and CHPs_NCAP'!B$34</f>
        <v>0</v>
      </c>
      <c r="G2095" s="1">
        <f>'[1]Electricity and CHPs_NCAP'!C$34</f>
        <v>0</v>
      </c>
      <c r="H2095" s="1">
        <f>'[1]Electricity and CHPs_NCAP'!D$34</f>
        <v>3.4190482324348101E-4</v>
      </c>
      <c r="I2095" s="1">
        <f>'[1]Electricity and CHPs_NCAP'!E$34</f>
        <v>0.18450187610252111</v>
      </c>
      <c r="J2095" s="1">
        <f>'[1]Electricity and CHPs_NCAP'!F$34</f>
        <v>1.9811343795739558</v>
      </c>
      <c r="K2095" s="1">
        <f>'[1]Electricity and CHPs_NCAP'!G$34</f>
        <v>1.2089121309952671</v>
      </c>
      <c r="L2095" s="1">
        <f>'[1]Electricity and CHPs_NCAP'!H$34</f>
        <v>1.5571475798397421</v>
      </c>
      <c r="M2095" s="1">
        <f>'[1]Electricity and CHPs_NCAP'!I$34</f>
        <v>0.64086727740083937</v>
      </c>
      <c r="N2095" s="1">
        <f>'[1]Electricity and CHPs_NCAP'!J$34</f>
        <v>5.5861764566727027E-6</v>
      </c>
      <c r="O2095" s="1">
        <f>'[1]Electricity and CHPs_NCAP'!K$34</f>
        <v>1.217367211409188E-5</v>
      </c>
      <c r="P2095" s="1">
        <f>'[1]Electricity and CHPs_NCAP'!L$34</f>
        <v>0.1528932629466539</v>
      </c>
      <c r="Q2095" s="1">
        <f>'[1]Electricity and CHPs_NCAP'!M$34</f>
        <v>0.8280621834492492</v>
      </c>
      <c r="S2095" s="3"/>
    </row>
    <row r="2096" spans="2:19" x14ac:dyDescent="0.5">
      <c r="B2096" s="5" t="str">
        <f t="shared" si="2216"/>
        <v>SPS1</v>
      </c>
      <c r="C2096" s="5" t="str">
        <f t="shared" si="2213"/>
        <v>CH</v>
      </c>
      <c r="D2096" t="s">
        <v>2225</v>
      </c>
      <c r="E2096" t="str">
        <f t="shared" si="2225"/>
        <v>GWe/yr.</v>
      </c>
      <c r="F2096" s="1">
        <f>'[1]Electricity and CHPs_NCAP'!B$35</f>
        <v>0</v>
      </c>
      <c r="G2096" s="1">
        <f>'[1]Electricity and CHPs_NCAP'!C$35</f>
        <v>6.8105370851207303E-8</v>
      </c>
      <c r="H2096" s="1">
        <f>'[1]Electricity and CHPs_NCAP'!D$35</f>
        <v>0.73129221353368401</v>
      </c>
      <c r="I2096" s="1">
        <f>'[1]Electricity and CHPs_NCAP'!E$35</f>
        <v>3.9383059211171402E-6</v>
      </c>
      <c r="J2096" s="1">
        <f>'[1]Electricity and CHPs_NCAP'!F$35</f>
        <v>2.9512473762060201</v>
      </c>
      <c r="K2096" s="1">
        <f>'[1]Electricity and CHPs_NCAP'!G$35</f>
        <v>0.86940561266174399</v>
      </c>
      <c r="L2096" s="1">
        <f>'[1]Electricity and CHPs_NCAP'!H$35</f>
        <v>1.4563712713252801</v>
      </c>
      <c r="M2096" s="1">
        <f>'[1]Electricity and CHPs_NCAP'!I$35</f>
        <v>0.40532004824907503</v>
      </c>
      <c r="N2096" s="1">
        <f>'[1]Electricity and CHPs_NCAP'!J$35</f>
        <v>2.4604144349452701</v>
      </c>
      <c r="O2096" s="1">
        <f>'[1]Electricity and CHPs_NCAP'!K$35</f>
        <v>1.9547379817991</v>
      </c>
      <c r="P2096" s="1">
        <f>'[1]Electricity and CHPs_NCAP'!L$35</f>
        <v>1.7765537355108101</v>
      </c>
      <c r="Q2096" s="1">
        <f>'[1]Electricity and CHPs_NCAP'!M$35</f>
        <v>0.74183510767009697</v>
      </c>
      <c r="S2096" s="3"/>
    </row>
    <row r="2097" spans="2:19" x14ac:dyDescent="0.5">
      <c r="B2097" s="5" t="str">
        <f t="shared" si="2216"/>
        <v>SPS1</v>
      </c>
      <c r="C2097" s="5" t="str">
        <f t="shared" si="2213"/>
        <v>CH</v>
      </c>
      <c r="D2097" t="s">
        <v>2226</v>
      </c>
      <c r="E2097" t="str">
        <f t="shared" si="2225"/>
        <v>GWe/yr.</v>
      </c>
      <c r="F2097" s="1">
        <f>'[1]Electricity and CHPs_NCAP'!B$36</f>
        <v>0</v>
      </c>
      <c r="G2097" s="1">
        <f>'[1]Electricity and CHPs_NCAP'!C$36</f>
        <v>4.4550686912023866E-6</v>
      </c>
      <c r="H2097" s="1">
        <f>'[1]Electricity and CHPs_NCAP'!D$36</f>
        <v>1.8749018202622958</v>
      </c>
      <c r="I2097" s="1">
        <f>'[1]Electricity and CHPs_NCAP'!E$36</f>
        <v>1.5528198347159878</v>
      </c>
      <c r="J2097" s="1">
        <f>'[1]Electricity and CHPs_NCAP'!F$36</f>
        <v>0.46225849698921684</v>
      </c>
      <c r="K2097" s="1">
        <f>'[1]Electricity and CHPs_NCAP'!G$36</f>
        <v>0.75126670123738193</v>
      </c>
      <c r="L2097" s="1">
        <f>'[1]Electricity and CHPs_NCAP'!H$36</f>
        <v>5.9907613310908499</v>
      </c>
      <c r="M2097" s="1">
        <f>'[1]Electricity and CHPs_NCAP'!I$36</f>
        <v>2.278145890499784</v>
      </c>
      <c r="N2097" s="1">
        <f>'[1]Electricity and CHPs_NCAP'!J$36</f>
        <v>0.90517469055238142</v>
      </c>
      <c r="O2097" s="1">
        <f>'[1]Electricity and CHPs_NCAP'!K$36</f>
        <v>1.3004248484373684</v>
      </c>
      <c r="P2097" s="1">
        <f>'[1]Electricity and CHPs_NCAP'!L$36</f>
        <v>6.525069908177394</v>
      </c>
      <c r="Q2097" s="1">
        <f>'[1]Electricity and CHPs_NCAP'!M$36</f>
        <v>2.8397208325236565</v>
      </c>
      <c r="S2097" s="3"/>
    </row>
    <row r="2098" spans="2:19" x14ac:dyDescent="0.5">
      <c r="B2098" s="5" t="str">
        <f t="shared" si="2216"/>
        <v>SPS1</v>
      </c>
      <c r="C2098" s="5" t="str">
        <f t="shared" si="2213"/>
        <v>CH</v>
      </c>
      <c r="D2098" t="s">
        <v>2227</v>
      </c>
      <c r="E2098" t="str">
        <f t="shared" si="2225"/>
        <v>GWe/yr.</v>
      </c>
      <c r="F2098" s="1">
        <f>'[1]Electricity and CHPs_NCAP'!B$37</f>
        <v>0</v>
      </c>
      <c r="G2098" s="1">
        <f>'[1]Electricity and CHPs_NCAP'!C$37</f>
        <v>5.0883486833245429E-6</v>
      </c>
      <c r="H2098" s="1">
        <f>'[1]Electricity and CHPs_NCAP'!D$37</f>
        <v>1.2518197120486101</v>
      </c>
      <c r="I2098" s="1">
        <f>'[1]Electricity and CHPs_NCAP'!E$37</f>
        <v>1.6067521622612131</v>
      </c>
      <c r="J2098" s="1">
        <f>'[1]Electricity and CHPs_NCAP'!F$37</f>
        <v>4.0158071491177498</v>
      </c>
      <c r="K2098" s="1">
        <f>'[1]Electricity and CHPs_NCAP'!G$37</f>
        <v>2.2464694457281302</v>
      </c>
      <c r="L2098" s="1">
        <f>'[1]Electricity and CHPs_NCAP'!H$37</f>
        <v>2.3986362184547998</v>
      </c>
      <c r="M2098" s="1">
        <f>'[1]Electricity and CHPs_NCAP'!I$37</f>
        <v>1.8282068549624571</v>
      </c>
      <c r="N2098" s="1">
        <f>'[1]Electricity and CHPs_NCAP'!J$37</f>
        <v>3.6294649445126597</v>
      </c>
      <c r="O2098" s="1">
        <f>'[1]Electricity and CHPs_NCAP'!K$37</f>
        <v>3.7302073774137696</v>
      </c>
      <c r="P2098" s="1">
        <f>'[1]Electricity and CHPs_NCAP'!L$37</f>
        <v>2.9896671680715601</v>
      </c>
      <c r="Q2098" s="1">
        <f>'[1]Electricity and CHPs_NCAP'!M$37</f>
        <v>2.4493884760343798</v>
      </c>
      <c r="S2098" s="3"/>
    </row>
    <row r="2099" spans="2:19" x14ac:dyDescent="0.5">
      <c r="B2099" s="5" t="str">
        <f t="shared" si="2216"/>
        <v>SPS1</v>
      </c>
      <c r="C2099" s="5" t="str">
        <f t="shared" si="2213"/>
        <v>CH</v>
      </c>
      <c r="D2099" t="s">
        <v>2228</v>
      </c>
      <c r="E2099" t="str">
        <f t="shared" si="2225"/>
        <v>GWe/yr.</v>
      </c>
      <c r="F2099" s="1">
        <f>'[1]Electricity and CHPs_NCAP'!B$38</f>
        <v>0</v>
      </c>
      <c r="G2099" s="1">
        <f>'[1]Electricity and CHPs_NCAP'!C$38</f>
        <v>6.2076785611284601E-8</v>
      </c>
      <c r="H2099" s="1">
        <f>'[1]Electricity and CHPs_NCAP'!D$38</f>
        <v>5.9619015832858502E-5</v>
      </c>
      <c r="I2099" s="1">
        <f>'[1]Electricity and CHPs_NCAP'!E$38</f>
        <v>1.5387302891215699E-4</v>
      </c>
      <c r="J2099" s="1">
        <f>'[1]Electricity and CHPs_NCAP'!F$38</f>
        <v>0.52261918819178199</v>
      </c>
      <c r="K2099" s="1">
        <f>'[1]Electricity and CHPs_NCAP'!G$38</f>
        <v>6.0799025128975401</v>
      </c>
      <c r="L2099" s="1">
        <f>'[1]Electricity and CHPs_NCAP'!H$38</f>
        <v>0.60653855675222101</v>
      </c>
      <c r="M2099" s="1">
        <f>'[1]Electricity and CHPs_NCAP'!I$38</f>
        <v>0.36785790106997002</v>
      </c>
      <c r="N2099" s="1">
        <f>'[1]Electricity and CHPs_NCAP'!J$38</f>
        <v>1.55603121128425</v>
      </c>
      <c r="O2099" s="1">
        <f>'[1]Electricity and CHPs_NCAP'!K$38</f>
        <v>5.8392044292001897</v>
      </c>
      <c r="P2099" s="1">
        <f>'[1]Electricity and CHPs_NCAP'!L$38</f>
        <v>1.0334745172711</v>
      </c>
      <c r="Q2099" s="1">
        <f>'[1]Electricity and CHPs_NCAP'!M$38</f>
        <v>0.81657215755066104</v>
      </c>
      <c r="S2099" s="3"/>
    </row>
    <row r="2100" spans="2:19" x14ac:dyDescent="0.5">
      <c r="B2100" s="5" t="str">
        <f t="shared" si="2216"/>
        <v>SPS1</v>
      </c>
      <c r="C2100" s="5" t="str">
        <f t="shared" si="2213"/>
        <v>CH</v>
      </c>
      <c r="D2100" t="s">
        <v>2229</v>
      </c>
      <c r="E2100" t="str">
        <f t="shared" si="2225"/>
        <v>GWe/yr.</v>
      </c>
      <c r="F2100" s="1">
        <f>'[1]Electricity and CHPs_NCAP'!B$32</f>
        <v>0</v>
      </c>
      <c r="G2100" s="1">
        <f>'[1]Electricity and CHPs_NCAP'!C$32</f>
        <v>0</v>
      </c>
      <c r="H2100" s="1">
        <f>'[1]Electricity and CHPs_NCAP'!D$32</f>
        <v>0</v>
      </c>
      <c r="I2100" s="1">
        <f>'[1]Electricity and CHPs_NCAP'!E$32</f>
        <v>0</v>
      </c>
      <c r="J2100" s="1">
        <f>'[1]Electricity and CHPs_NCAP'!F$32</f>
        <v>0</v>
      </c>
      <c r="K2100" s="1">
        <f>'[1]Electricity and CHPs_NCAP'!G$32</f>
        <v>2.1685070204031402E-3</v>
      </c>
      <c r="L2100" s="1">
        <f>'[1]Electricity and CHPs_NCAP'!H$32</f>
        <v>4.8549741465963997E-3</v>
      </c>
      <c r="M2100" s="1">
        <f>'[1]Electricity and CHPs_NCAP'!I$32</f>
        <v>1.39398053162497E-6</v>
      </c>
      <c r="N2100" s="1">
        <f>'[1]Electricity and CHPs_NCAP'!J$32</f>
        <v>5.7547916877355799E-6</v>
      </c>
      <c r="O2100" s="1">
        <f>'[1]Electricity and CHPs_NCAP'!K$32</f>
        <v>2.76785258258587E-5</v>
      </c>
      <c r="P2100" s="1">
        <f>'[1]Electricity and CHPs_NCAP'!L$32</f>
        <v>3.55971450378201E-4</v>
      </c>
      <c r="Q2100" s="1">
        <f>'[1]Electricity and CHPs_NCAP'!M$32</f>
        <v>0</v>
      </c>
      <c r="S2100" s="3"/>
    </row>
    <row r="2101" spans="2:19" x14ac:dyDescent="0.5">
      <c r="B2101" s="5" t="str">
        <f t="shared" si="2216"/>
        <v>SPS1</v>
      </c>
      <c r="C2101" s="5" t="str">
        <f t="shared" si="2213"/>
        <v>CH</v>
      </c>
      <c r="D2101" t="s">
        <v>2230</v>
      </c>
      <c r="E2101" t="str">
        <f t="shared" si="2225"/>
        <v>GWe/yr.</v>
      </c>
      <c r="F2101" s="1">
        <f t="shared" ref="F2101:K2101" si="2231">F2100</f>
        <v>0</v>
      </c>
      <c r="G2101" s="1">
        <f t="shared" si="2231"/>
        <v>0</v>
      </c>
      <c r="H2101" s="1">
        <f t="shared" si="2231"/>
        <v>0</v>
      </c>
      <c r="I2101" s="1">
        <f t="shared" si="2231"/>
        <v>0</v>
      </c>
      <c r="J2101" s="1">
        <f t="shared" si="2231"/>
        <v>0</v>
      </c>
      <c r="K2101" s="1">
        <f t="shared" si="2231"/>
        <v>2.1685070204031402E-3</v>
      </c>
      <c r="L2101" s="1">
        <f t="shared" ref="L2101:O2101" si="2232">L2100</f>
        <v>4.8549741465963997E-3</v>
      </c>
      <c r="M2101" s="1">
        <f t="shared" si="2232"/>
        <v>1.39398053162497E-6</v>
      </c>
      <c r="N2101" s="1">
        <f t="shared" si="2232"/>
        <v>5.7547916877355799E-6</v>
      </c>
      <c r="O2101" s="1">
        <f t="shared" si="2232"/>
        <v>2.76785258258587E-5</v>
      </c>
      <c r="P2101" s="1">
        <f>P2100</f>
        <v>3.55971450378201E-4</v>
      </c>
      <c r="Q2101" s="1">
        <f>Q2100</f>
        <v>0</v>
      </c>
      <c r="S2101" s="3"/>
    </row>
    <row r="2102" spans="2:19" x14ac:dyDescent="0.5">
      <c r="B2102" s="5" t="str">
        <f t="shared" si="2216"/>
        <v>SPS1</v>
      </c>
      <c r="C2102" s="5" t="str">
        <f t="shared" si="2213"/>
        <v>CH</v>
      </c>
      <c r="D2102" t="s">
        <v>2231</v>
      </c>
      <c r="E2102" t="str">
        <f t="shared" si="2225"/>
        <v>GWe/yr.</v>
      </c>
      <c r="F2102" s="1">
        <f t="shared" ref="F2102:K2102" si="2233">SUM(F2103:F2105)</f>
        <v>0</v>
      </c>
      <c r="G2102" s="1">
        <f t="shared" si="2233"/>
        <v>0</v>
      </c>
      <c r="H2102" s="1">
        <f t="shared" si="2233"/>
        <v>0</v>
      </c>
      <c r="I2102" s="1">
        <f t="shared" si="2233"/>
        <v>3.3239297866489602E-4</v>
      </c>
      <c r="J2102" s="1">
        <f t="shared" si="2233"/>
        <v>2.9233820987362717E-2</v>
      </c>
      <c r="K2102" s="1">
        <f t="shared" si="2233"/>
        <v>2.4208461377887925E-3</v>
      </c>
      <c r="L2102" s="1">
        <f t="shared" ref="L2102:O2102" si="2234">SUM(L2103:L2105)</f>
        <v>9.5892424490320559E-3</v>
      </c>
      <c r="M2102" s="1">
        <f t="shared" si="2234"/>
        <v>6.9637841592254696E-2</v>
      </c>
      <c r="N2102" s="1">
        <f t="shared" si="2234"/>
        <v>4.854106857678097E-2</v>
      </c>
      <c r="O2102" s="1">
        <f t="shared" si="2234"/>
        <v>5.0654812341867576E-2</v>
      </c>
      <c r="P2102" s="1">
        <f>SUM(P2103:P2105)</f>
        <v>0.11447243062486462</v>
      </c>
      <c r="Q2102" s="1">
        <f>SUM(Q2103:Q2105)</f>
        <v>6.5398844969977596E-2</v>
      </c>
      <c r="S2102" s="3"/>
    </row>
    <row r="2103" spans="2:19" x14ac:dyDescent="0.5">
      <c r="B2103" s="5" t="str">
        <f t="shared" si="2216"/>
        <v>SPS1</v>
      </c>
      <c r="C2103" s="5" t="str">
        <f t="shared" si="2213"/>
        <v>CH</v>
      </c>
      <c r="D2103" t="s">
        <v>2232</v>
      </c>
      <c r="E2103" t="str">
        <f t="shared" si="2225"/>
        <v>GWe/yr.</v>
      </c>
      <c r="F2103" s="1">
        <f>'[1]Electricity and CHPs_NCAP'!B$30</f>
        <v>0</v>
      </c>
      <c r="G2103" s="1">
        <f>'[1]Electricity and CHPs_NCAP'!C$30</f>
        <v>0</v>
      </c>
      <c r="H2103" s="1">
        <f>'[1]Electricity and CHPs_NCAP'!D$30</f>
        <v>0</v>
      </c>
      <c r="I2103" s="1">
        <f>'[1]Electricity and CHPs_NCAP'!E$30</f>
        <v>0</v>
      </c>
      <c r="J2103" s="1">
        <f>'[1]Electricity and CHPs_NCAP'!F$30</f>
        <v>0</v>
      </c>
      <c r="K2103" s="1">
        <f>'[1]Electricity and CHPs_NCAP'!G$30</f>
        <v>2.33217598076968E-3</v>
      </c>
      <c r="L2103" s="1">
        <f>'[1]Electricity and CHPs_NCAP'!H$30</f>
        <v>1.0178823999930801E-4</v>
      </c>
      <c r="M2103" s="1">
        <f>'[1]Electricity and CHPs_NCAP'!I$30</f>
        <v>8.0787394590117398E-4</v>
      </c>
      <c r="N2103" s="1">
        <f>'[1]Electricity and CHPs_NCAP'!J$30</f>
        <v>4.0771804774470399E-2</v>
      </c>
      <c r="O2103" s="1">
        <f>'[1]Electricity and CHPs_NCAP'!K$30</f>
        <v>3.0192759918034301E-2</v>
      </c>
      <c r="P2103" s="1">
        <f>'[1]Electricity and CHPs_NCAP'!L$30</f>
        <v>2.2622930755931801E-4</v>
      </c>
      <c r="Q2103" s="1">
        <f>'[1]Electricity and CHPs_NCAP'!M$30</f>
        <v>1.3876880858169899E-2</v>
      </c>
      <c r="S2103" s="3"/>
    </row>
    <row r="2104" spans="2:19" x14ac:dyDescent="0.5">
      <c r="B2104" s="5" t="str">
        <f t="shared" si="2216"/>
        <v>SPS1</v>
      </c>
      <c r="C2104" s="5" t="str">
        <f t="shared" si="2213"/>
        <v>CH</v>
      </c>
      <c r="D2104" t="s">
        <v>2233</v>
      </c>
      <c r="E2104" t="str">
        <f t="shared" si="2225"/>
        <v>GWe/yr.</v>
      </c>
      <c r="F2104" s="1">
        <f>'[1]Electricity and CHPs_NCAP'!B$46</f>
        <v>0</v>
      </c>
      <c r="G2104" s="1">
        <f>'[1]Electricity and CHPs_NCAP'!C$46</f>
        <v>0</v>
      </c>
      <c r="H2104" s="1">
        <f>'[1]Electricity and CHPs_NCAP'!D$46</f>
        <v>0</v>
      </c>
      <c r="I2104" s="1">
        <f>'[1]Electricity and CHPs_NCAP'!E$46</f>
        <v>0</v>
      </c>
      <c r="J2104" s="1">
        <f>'[1]Electricity and CHPs_NCAP'!F$46</f>
        <v>2.83817375545437E-2</v>
      </c>
      <c r="K2104" s="1">
        <f>'[1]Electricity and CHPs_NCAP'!G$46</f>
        <v>6.9029371633872599E-6</v>
      </c>
      <c r="L2104" s="1">
        <f>'[1]Electricity and CHPs_NCAP'!H$46</f>
        <v>9.4209560831302191E-3</v>
      </c>
      <c r="M2104" s="1">
        <f>'[1]Electricity and CHPs_NCAP'!I$46</f>
        <v>6.5429770737822801E-2</v>
      </c>
      <c r="N2104" s="1">
        <f>'[1]Electricity and CHPs_NCAP'!J$46</f>
        <v>7.2154881992568896E-3</v>
      </c>
      <c r="O2104" s="1">
        <f>'[1]Electricity and CHPs_NCAP'!K$46</f>
        <v>1.9897347269477499E-2</v>
      </c>
      <c r="P2104" s="1">
        <f>'[1]Electricity and CHPs_NCAP'!L$46</f>
        <v>0.10229306558095599</v>
      </c>
      <c r="Q2104" s="1">
        <f>'[1]Electricity and CHPs_NCAP'!M$46</f>
        <v>3.4242930338794497E-2</v>
      </c>
      <c r="S2104" s="3"/>
    </row>
    <row r="2105" spans="2:19" x14ac:dyDescent="0.5">
      <c r="B2105" s="5" t="str">
        <f t="shared" si="2216"/>
        <v>SPS1</v>
      </c>
      <c r="C2105" s="5" t="str">
        <f t="shared" si="2213"/>
        <v>CH</v>
      </c>
      <c r="D2105" t="s">
        <v>2234</v>
      </c>
      <c r="E2105" t="str">
        <f t="shared" si="2225"/>
        <v>GWe/yr.</v>
      </c>
      <c r="F2105" s="1">
        <f>'[1]Electricity and CHPs_NCAP'!B$57</f>
        <v>0</v>
      </c>
      <c r="G2105" s="1">
        <f>'[1]Electricity and CHPs_NCAP'!C$57</f>
        <v>0</v>
      </c>
      <c r="H2105" s="1">
        <f>'[1]Electricity and CHPs_NCAP'!D$57</f>
        <v>0</v>
      </c>
      <c r="I2105" s="1">
        <f>'[1]Electricity and CHPs_NCAP'!E$57</f>
        <v>3.3239297866489602E-4</v>
      </c>
      <c r="J2105" s="1">
        <f>'[1]Electricity and CHPs_NCAP'!F$57</f>
        <v>8.5208343281901599E-4</v>
      </c>
      <c r="K2105" s="1">
        <f>'[1]Electricity and CHPs_NCAP'!G$57</f>
        <v>8.1767219855725197E-5</v>
      </c>
      <c r="L2105" s="1">
        <f>'[1]Electricity and CHPs_NCAP'!H$57</f>
        <v>6.6498125902527403E-5</v>
      </c>
      <c r="M2105" s="1">
        <f>'[1]Electricity and CHPs_NCAP'!I$57</f>
        <v>3.4001969085307201E-3</v>
      </c>
      <c r="N2105" s="1">
        <f>'[1]Electricity and CHPs_NCAP'!J$57</f>
        <v>5.5377560305368495E-4</v>
      </c>
      <c r="O2105" s="1">
        <f>'[1]Electricity and CHPs_NCAP'!K$57</f>
        <v>5.6470515435577597E-4</v>
      </c>
      <c r="P2105" s="1">
        <f>'[1]Electricity and CHPs_NCAP'!L$57</f>
        <v>1.1953135736349299E-2</v>
      </c>
      <c r="Q2105" s="1">
        <f>'[1]Electricity and CHPs_NCAP'!M$57</f>
        <v>1.7279033773013201E-2</v>
      </c>
      <c r="S2105" s="3"/>
    </row>
    <row r="2106" spans="2:19" x14ac:dyDescent="0.5">
      <c r="B2106" s="5" t="str">
        <f t="shared" si="2216"/>
        <v>SPS1</v>
      </c>
      <c r="C2106" s="5" t="str">
        <f t="shared" si="2213"/>
        <v>CH</v>
      </c>
      <c r="D2106" t="s">
        <v>2235</v>
      </c>
      <c r="E2106" t="str">
        <f t="shared" si="2225"/>
        <v>GWe/yr.</v>
      </c>
      <c r="F2106" s="1">
        <f t="shared" ref="F2106:K2106" si="2235">SUM(F2107:F2113)</f>
        <v>1.5192888320396799E-2</v>
      </c>
      <c r="G2106" s="1">
        <f t="shared" si="2235"/>
        <v>3.9503944242602481E-5</v>
      </c>
      <c r="H2106" s="1">
        <f t="shared" si="2235"/>
        <v>1.9703049927753306E-4</v>
      </c>
      <c r="I2106" s="1">
        <f t="shared" si="2235"/>
        <v>0.11883750471115359</v>
      </c>
      <c r="J2106" s="1">
        <f t="shared" si="2235"/>
        <v>0.31888201587370424</v>
      </c>
      <c r="K2106" s="1">
        <f t="shared" si="2235"/>
        <v>0.93265916648124758</v>
      </c>
      <c r="L2106" s="1">
        <f t="shared" ref="L2106:O2106" si="2236">SUM(L2107:L2113)</f>
        <v>0.83387542974511197</v>
      </c>
      <c r="M2106" s="1">
        <f t="shared" si="2236"/>
        <v>1.6778554618214494</v>
      </c>
      <c r="N2106" s="1">
        <f t="shared" si="2236"/>
        <v>0.57042882996786914</v>
      </c>
      <c r="O2106" s="1">
        <f t="shared" si="2236"/>
        <v>1.5120142636042575</v>
      </c>
      <c r="P2106" s="1">
        <f>SUM(P2107:P2113)</f>
        <v>1.2619374694480279</v>
      </c>
      <c r="Q2106" s="1">
        <f>SUM(Q2107:Q2113)</f>
        <v>0.68814383229291087</v>
      </c>
      <c r="S2106" s="3"/>
    </row>
    <row r="2107" spans="2:19" x14ac:dyDescent="0.5">
      <c r="B2107" s="5" t="str">
        <f t="shared" si="2216"/>
        <v>SPS1</v>
      </c>
      <c r="C2107" s="5" t="str">
        <f t="shared" si="2213"/>
        <v>CH</v>
      </c>
      <c r="D2107" t="s">
        <v>2236</v>
      </c>
      <c r="E2107" t="str">
        <f t="shared" si="2225"/>
        <v>GWe/yr.</v>
      </c>
      <c r="F2107" s="1">
        <f>'[1]Electricity and CHPs_NCAP'!B$63</f>
        <v>0</v>
      </c>
      <c r="G2107" s="1">
        <f>'[1]Electricity and CHPs_NCAP'!C$63</f>
        <v>3.6558124524816302E-6</v>
      </c>
      <c r="H2107" s="1">
        <f>'[1]Electricity and CHPs_NCAP'!D$63</f>
        <v>3.8153451664776498E-6</v>
      </c>
      <c r="I2107" s="1">
        <f>'[1]Electricity and CHPs_NCAP'!E$63</f>
        <v>3.9830760129458299E-6</v>
      </c>
      <c r="J2107" s="1">
        <f>'[1]Electricity and CHPs_NCAP'!F$63</f>
        <v>5.2976912768082399E-6</v>
      </c>
      <c r="K2107" s="1">
        <f>'[1]Electricity and CHPs_NCAP'!G$63</f>
        <v>4.9619367041550503E-6</v>
      </c>
      <c r="L2107" s="1">
        <f>'[1]Electricity and CHPs_NCAP'!H$63</f>
        <v>4.7031750735395403E-6</v>
      </c>
      <c r="M2107" s="1">
        <f>'[1]Electricity and CHPs_NCAP'!I$63</f>
        <v>4.5866794930884697E-6</v>
      </c>
      <c r="N2107" s="1">
        <f>'[1]Electricity and CHPs_NCAP'!J$63</f>
        <v>4.4884866974018399E-6</v>
      </c>
      <c r="O2107" s="1">
        <f>'[1]Electricity and CHPs_NCAP'!K$63</f>
        <v>5.4596381616966897E-6</v>
      </c>
      <c r="P2107" s="1">
        <f>'[1]Electricity and CHPs_NCAP'!L$63</f>
        <v>6.5020233624615199E-6</v>
      </c>
      <c r="Q2107" s="1">
        <f>'[1]Electricity and CHPs_NCAP'!M$63</f>
        <v>8.2724022993921599E-6</v>
      </c>
      <c r="S2107" s="3"/>
    </row>
    <row r="2108" spans="2:19" x14ac:dyDescent="0.5">
      <c r="B2108" s="5" t="str">
        <f t="shared" si="2216"/>
        <v>SPS1</v>
      </c>
      <c r="C2108" s="5" t="str">
        <f t="shared" si="2213"/>
        <v>CH</v>
      </c>
      <c r="D2108" t="s">
        <v>2237</v>
      </c>
      <c r="E2108" t="str">
        <f t="shared" si="2225"/>
        <v>GWe/yr.</v>
      </c>
      <c r="F2108" s="1">
        <f>'[1]Electricity and CHPs_NCAP'!B$64</f>
        <v>2.4962322716105402E-3</v>
      </c>
      <c r="G2108" s="1">
        <f>'[1]Electricity and CHPs_NCAP'!C$64</f>
        <v>5.1689793537789899E-6</v>
      </c>
      <c r="H2108" s="1">
        <f>'[1]Electricity and CHPs_NCAP'!D$64</f>
        <v>1.52112930856663E-5</v>
      </c>
      <c r="I2108" s="1">
        <f>'[1]Electricity and CHPs_NCAP'!E$64</f>
        <v>3.54721929340937E-4</v>
      </c>
      <c r="J2108" s="1">
        <f>'[1]Electricity and CHPs_NCAP'!F$64</f>
        <v>0.21470933414347701</v>
      </c>
      <c r="K2108" s="1">
        <f>'[1]Electricity and CHPs_NCAP'!G$64</f>
        <v>2.12996621920746E-2</v>
      </c>
      <c r="L2108" s="1">
        <f>'[1]Electricity and CHPs_NCAP'!H$64</f>
        <v>0.103613856414168</v>
      </c>
      <c r="M2108" s="1">
        <f>'[1]Electricity and CHPs_NCAP'!I$64</f>
        <v>0.125435416887965</v>
      </c>
      <c r="N2108" s="1">
        <f>'[1]Electricity and CHPs_NCAP'!J$64</f>
        <v>6.4305258854106304E-2</v>
      </c>
      <c r="O2108" s="1">
        <f>'[1]Electricity and CHPs_NCAP'!K$64</f>
        <v>0.10796181981685</v>
      </c>
      <c r="P2108" s="1">
        <f>'[1]Electricity and CHPs_NCAP'!L$64</f>
        <v>0.11747674058086199</v>
      </c>
      <c r="Q2108" s="1">
        <f>'[1]Electricity and CHPs_NCAP'!M$64</f>
        <v>4.7773579861875803E-2</v>
      </c>
      <c r="S2108" s="3"/>
    </row>
    <row r="2109" spans="2:19" x14ac:dyDescent="0.5">
      <c r="B2109" s="5" t="str">
        <f t="shared" si="2216"/>
        <v>SPS1</v>
      </c>
      <c r="C2109" s="5" t="str">
        <f t="shared" si="2213"/>
        <v>CH</v>
      </c>
      <c r="D2109" t="s">
        <v>2238</v>
      </c>
      <c r="E2109" t="str">
        <f t="shared" si="2225"/>
        <v>GWe/yr.</v>
      </c>
      <c r="F2109" s="1">
        <f>'[1]Electricity and CHPs_NCAP'!B$65</f>
        <v>1.8669084425136399E-3</v>
      </c>
      <c r="G2109" s="1">
        <f>'[1]Electricity and CHPs_NCAP'!C$65</f>
        <v>3.9396792950754204E-6</v>
      </c>
      <c r="H2109" s="1">
        <f>'[1]Electricity and CHPs_NCAP'!D$65</f>
        <v>1.1473432583183601E-5</v>
      </c>
      <c r="I2109" s="1">
        <f>'[1]Electricity and CHPs_NCAP'!E$65</f>
        <v>2.9206673574860999E-4</v>
      </c>
      <c r="J2109" s="1">
        <f>'[1]Electricity and CHPs_NCAP'!F$65</f>
        <v>1.8989156242243201E-2</v>
      </c>
      <c r="K2109" s="1">
        <f>'[1]Electricity and CHPs_NCAP'!G$65</f>
        <v>0.72001694707946795</v>
      </c>
      <c r="L2109" s="1">
        <f>'[1]Electricity and CHPs_NCAP'!H$65</f>
        <v>0.60281379431270998</v>
      </c>
      <c r="M2109" s="1">
        <f>'[1]Electricity and CHPs_NCAP'!I$65</f>
        <v>1.34395795274761</v>
      </c>
      <c r="N2109" s="1">
        <f>'[1]Electricity and CHPs_NCAP'!J$65</f>
        <v>0.35279747678027601</v>
      </c>
      <c r="O2109" s="1">
        <f>'[1]Electricity and CHPs_NCAP'!K$65</f>
        <v>1.2169451577072701</v>
      </c>
      <c r="P2109" s="1">
        <f>'[1]Electricity and CHPs_NCAP'!L$65</f>
        <v>0.89611625023994901</v>
      </c>
      <c r="Q2109" s="1">
        <f>'[1]Electricity and CHPs_NCAP'!M$65</f>
        <v>0.51752458914684496</v>
      </c>
      <c r="S2109" s="3"/>
    </row>
    <row r="2110" spans="2:19" x14ac:dyDescent="0.5">
      <c r="B2110" s="5" t="str">
        <f t="shared" si="2216"/>
        <v>SPS1</v>
      </c>
      <c r="C2110" s="5" t="str">
        <f t="shared" si="2213"/>
        <v>CH</v>
      </c>
      <c r="D2110" t="s">
        <v>2239</v>
      </c>
      <c r="E2110" t="str">
        <f t="shared" si="2225"/>
        <v>GWe/yr.</v>
      </c>
      <c r="F2110" s="1">
        <f>'[1]Electricity and CHPs_NCAP'!B$66</f>
        <v>1.6699396181148699E-3</v>
      </c>
      <c r="G2110" s="1">
        <f>'[1]Electricity and CHPs_NCAP'!C$66</f>
        <v>3.91969354601185E-6</v>
      </c>
      <c r="H2110" s="1">
        <f>'[1]Electricity and CHPs_NCAP'!D$66</f>
        <v>2.87696721107466E-5</v>
      </c>
      <c r="I2110" s="1">
        <f>'[1]Electricity and CHPs_NCAP'!E$66</f>
        <v>2.2255756074351801E-2</v>
      </c>
      <c r="J2110" s="1">
        <f>'[1]Electricity and CHPs_NCAP'!F$66</f>
        <v>2.1781492285083501E-2</v>
      </c>
      <c r="K2110" s="1">
        <f>'[1]Electricity and CHPs_NCAP'!G$66</f>
        <v>4.1535946877596097E-2</v>
      </c>
      <c r="L2110" s="1">
        <f>'[1]Electricity and CHPs_NCAP'!H$66</f>
        <v>3.6221356505992501E-3</v>
      </c>
      <c r="M2110" s="1">
        <f>'[1]Electricity and CHPs_NCAP'!I$66</f>
        <v>7.4766334109622898E-2</v>
      </c>
      <c r="N2110" s="1">
        <f>'[1]Electricity and CHPs_NCAP'!J$66</f>
        <v>1.50992931479091E-2</v>
      </c>
      <c r="O2110" s="1">
        <f>'[1]Electricity and CHPs_NCAP'!K$66</f>
        <v>5.4458805583325699E-2</v>
      </c>
      <c r="P2110" s="1">
        <f>'[1]Electricity and CHPs_NCAP'!L$66</f>
        <v>5.4864273642277799E-2</v>
      </c>
      <c r="Q2110" s="1">
        <f>'[1]Electricity and CHPs_NCAP'!M$66</f>
        <v>2.18318664888194E-2</v>
      </c>
      <c r="S2110" s="3"/>
    </row>
    <row r="2111" spans="2:19" x14ac:dyDescent="0.5">
      <c r="B2111" s="5" t="str">
        <f t="shared" si="2216"/>
        <v>SPS1</v>
      </c>
      <c r="C2111" s="5" t="str">
        <f t="shared" si="2213"/>
        <v>CH</v>
      </c>
      <c r="D2111" t="s">
        <v>2240</v>
      </c>
      <c r="E2111" t="str">
        <f t="shared" si="2225"/>
        <v>GWe/yr.</v>
      </c>
      <c r="F2111" s="1">
        <f>'[1]Electricity and CHPs_NCAP'!B$67</f>
        <v>3.7779999613439101E-3</v>
      </c>
      <c r="G2111" s="1">
        <f>'[1]Electricity and CHPs_NCAP'!C$67</f>
        <v>9.5990991869736207E-6</v>
      </c>
      <c r="H2111" s="1">
        <f>'[1]Electricity and CHPs_NCAP'!D$67</f>
        <v>5.4990479261268096E-5</v>
      </c>
      <c r="I2111" s="1">
        <f>'[1]Electricity and CHPs_NCAP'!E$67</f>
        <v>3.3075625793181601E-2</v>
      </c>
      <c r="J2111" s="1">
        <f>'[1]Electricity and CHPs_NCAP'!F$67</f>
        <v>1.898601449843482E-2</v>
      </c>
      <c r="K2111" s="1">
        <f>'[1]Electricity and CHPs_NCAP'!G$67</f>
        <v>3.5455415488553105E-2</v>
      </c>
      <c r="L2111" s="1">
        <f>'[1]Electricity and CHPs_NCAP'!H$67</f>
        <v>4.8038584463799799E-2</v>
      </c>
      <c r="M2111" s="1">
        <f>'[1]Electricity and CHPs_NCAP'!I$67</f>
        <v>5.5808428479565797E-2</v>
      </c>
      <c r="N2111" s="1">
        <f>'[1]Electricity and CHPs_NCAP'!J$67</f>
        <v>4.2691215022231603E-2</v>
      </c>
      <c r="O2111" s="1">
        <f>'[1]Electricity and CHPs_NCAP'!K$67</f>
        <v>5.4749917505680798E-2</v>
      </c>
      <c r="P2111" s="1">
        <f>'[1]Electricity and CHPs_NCAP'!L$67</f>
        <v>6.8080766919854901E-2</v>
      </c>
      <c r="Q2111" s="1">
        <f>'[1]Electricity and CHPs_NCAP'!M$67</f>
        <v>3.7632381167777902E-2</v>
      </c>
      <c r="S2111" s="3"/>
    </row>
    <row r="2112" spans="2:19" x14ac:dyDescent="0.5">
      <c r="B2112" s="5" t="str">
        <f t="shared" si="2216"/>
        <v>SPS1</v>
      </c>
      <c r="C2112" s="5" t="str">
        <f t="shared" si="2213"/>
        <v>CH</v>
      </c>
      <c r="D2112" t="s">
        <v>2241</v>
      </c>
      <c r="E2112" t="str">
        <f t="shared" si="2225"/>
        <v>GWe/yr.</v>
      </c>
      <c r="F2112" s="1">
        <f>'[1]Electricity and CHPs_NCAP'!B$68</f>
        <v>3.7765300509513102E-3</v>
      </c>
      <c r="G2112" s="1">
        <f>'[1]Electricity and CHPs_NCAP'!C$68</f>
        <v>9.6308410626324196E-6</v>
      </c>
      <c r="H2112" s="1">
        <f>'[1]Electricity and CHPs_NCAP'!D$68</f>
        <v>5.6035498960126703E-5</v>
      </c>
      <c r="I2112" s="1">
        <f>'[1]Electricity and CHPs_NCAP'!E$68</f>
        <v>3.37433780749197E-2</v>
      </c>
      <c r="J2112" s="1">
        <f>'[1]Electricity and CHPs_NCAP'!F$68</f>
        <v>2.96402420762048E-2</v>
      </c>
      <c r="K2112" s="1">
        <f>'[1]Electricity and CHPs_NCAP'!G$68</f>
        <v>6.42476274561984E-2</v>
      </c>
      <c r="L2112" s="1">
        <f>'[1]Electricity and CHPs_NCAP'!H$68</f>
        <v>4.7167191741101996E-2</v>
      </c>
      <c r="M2112" s="1">
        <f>'[1]Electricity and CHPs_NCAP'!I$68</f>
        <v>4.8305333610789099E-2</v>
      </c>
      <c r="N2112" s="1">
        <f>'[1]Electricity and CHPs_NCAP'!J$68</f>
        <v>5.4815354364967699E-2</v>
      </c>
      <c r="O2112" s="1">
        <f>'[1]Electricity and CHPs_NCAP'!K$68</f>
        <v>4.7878438510400502E-2</v>
      </c>
      <c r="P2112" s="1">
        <f>'[1]Electricity and CHPs_NCAP'!L$68</f>
        <v>7.4242986938878403E-2</v>
      </c>
      <c r="Q2112" s="1">
        <f>'[1]Electricity and CHPs_NCAP'!M$68</f>
        <v>3.77109653395553E-2</v>
      </c>
      <c r="S2112" s="3"/>
    </row>
    <row r="2113" spans="2:19" x14ac:dyDescent="0.5">
      <c r="B2113" s="5" t="str">
        <f t="shared" si="2216"/>
        <v>SPS1</v>
      </c>
      <c r="C2113" s="5" t="str">
        <f t="shared" si="2213"/>
        <v>CH</v>
      </c>
      <c r="D2113" t="s">
        <v>2242</v>
      </c>
      <c r="E2113" t="str">
        <f t="shared" si="2225"/>
        <v>GWe/yr.</v>
      </c>
      <c r="F2113" s="1">
        <f>'[1]Electricity and CHPs_NCAP'!B$69</f>
        <v>1.6052779758625299E-3</v>
      </c>
      <c r="G2113" s="1">
        <f>'[1]Electricity and CHPs_NCAP'!C$69</f>
        <v>3.5898393456485501E-6</v>
      </c>
      <c r="H2113" s="1">
        <f>'[1]Electricity and CHPs_NCAP'!D$69</f>
        <v>2.6734778110064102E-5</v>
      </c>
      <c r="I2113" s="1">
        <f>'[1]Electricity and CHPs_NCAP'!E$69</f>
        <v>2.9111973027598E-2</v>
      </c>
      <c r="J2113" s="1">
        <f>'[1]Electricity and CHPs_NCAP'!F$69</f>
        <v>1.47704789369841E-2</v>
      </c>
      <c r="K2113" s="1">
        <f>'[1]Electricity and CHPs_NCAP'!G$69</f>
        <v>5.00986054506532E-2</v>
      </c>
      <c r="L2113" s="1">
        <f>'[1]Electricity and CHPs_NCAP'!H$69</f>
        <v>2.8615163987659498E-2</v>
      </c>
      <c r="M2113" s="1">
        <f>'[1]Electricity and CHPs_NCAP'!I$69</f>
        <v>2.9577409306403599E-2</v>
      </c>
      <c r="N2113" s="1">
        <f>'[1]Electricity and CHPs_NCAP'!J$69</f>
        <v>4.0715743311680999E-2</v>
      </c>
      <c r="O2113" s="1">
        <f>'[1]Electricity and CHPs_NCAP'!K$69</f>
        <v>3.0014664842568699E-2</v>
      </c>
      <c r="P2113" s="1">
        <f>'[1]Electricity and CHPs_NCAP'!L$69</f>
        <v>5.1149949102843498E-2</v>
      </c>
      <c r="Q2113" s="1">
        <f>'[1]Electricity and CHPs_NCAP'!M$69</f>
        <v>2.5662177885738099E-2</v>
      </c>
      <c r="S2113" s="3"/>
    </row>
    <row r="2114" spans="2:19" x14ac:dyDescent="0.5">
      <c r="B2114" s="5" t="str">
        <f>'SPS1'!B1902</f>
        <v>SPS1</v>
      </c>
      <c r="C2114" s="5" t="str">
        <f>'SPS1'!C1902</f>
        <v>CH</v>
      </c>
      <c r="D2114" s="2" t="s">
        <v>2243</v>
      </c>
      <c r="E2114" s="2" t="s">
        <v>1972</v>
      </c>
      <c r="F2114" s="3">
        <f t="shared" ref="F2114:K2114" si="2237">SUM(F2115:F2164)</f>
        <v>5.0205718984953896E-4</v>
      </c>
      <c r="G2114" s="3">
        <f t="shared" si="2237"/>
        <v>0.43517298196147136</v>
      </c>
      <c r="H2114" s="3">
        <f t="shared" si="2237"/>
        <v>1.1216455935910041</v>
      </c>
      <c r="I2114" s="3">
        <f t="shared" si="2237"/>
        <v>1.8751761734089643</v>
      </c>
      <c r="J2114" s="3">
        <f t="shared" si="2237"/>
        <v>3.1288718360040515</v>
      </c>
      <c r="K2114" s="3">
        <f t="shared" si="2237"/>
        <v>1.9194407085039957</v>
      </c>
      <c r="L2114" s="3">
        <f t="shared" ref="L2114:O2114" si="2238">SUM(L2115:L2164)</f>
        <v>2.2453699423521516</v>
      </c>
      <c r="M2114" s="3">
        <f t="shared" si="2238"/>
        <v>2.7834696809255646</v>
      </c>
      <c r="N2114" s="3">
        <f t="shared" si="2238"/>
        <v>2.2943900969478745</v>
      </c>
      <c r="O2114" s="3">
        <f t="shared" si="2238"/>
        <v>2.1757406921496005</v>
      </c>
      <c r="P2114" s="3">
        <f>SUM(P2115:P2164)</f>
        <v>2.3601969383470554</v>
      </c>
      <c r="Q2114" s="3">
        <f>SUM(Q2115:Q2164)</f>
        <v>1.9643367288708264</v>
      </c>
      <c r="S2114" s="3"/>
    </row>
    <row r="2115" spans="2:19" x14ac:dyDescent="0.5">
      <c r="B2115" s="5" t="str">
        <f t="shared" ref="B2115:B2146" si="2239">B2114</f>
        <v>SPS1</v>
      </c>
      <c r="C2115" s="5" t="str">
        <f t="shared" ref="C2115:C2146" si="2240">C2114</f>
        <v>CH</v>
      </c>
      <c r="D2115" t="s">
        <v>2244</v>
      </c>
      <c r="E2115" t="str">
        <f t="shared" ref="E2115:E2146" si="2241">E2114</f>
        <v>Million</v>
      </c>
      <c r="F2115" s="1" cm="1">
        <f t="array" ref="F2115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5" s="1" cm="1">
        <f t="array" ref="H2115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5" s="1" cm="1">
        <f t="array" ref="I2115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5" s="1" cm="1">
        <f t="array" ref="J2115">SUMPRODUCT(("var_ncap"=[1]OUT_TransportEnergyCons!$B$4:$B$10000)*1,("-"=[1]OUT_TransportEnergyCons!$C$4:$C$10000)*1,ISNUMBER(SEARCH("T_C*bat*ext",[1]OUT_TransportEnergyCons!$A$4:$A$10000))*1,[1]OUT_TransportEnergyCons!H$4:H$10000)</f>
        <v>0</v>
      </c>
      <c r="K2115" s="1" cm="1">
        <f t="array" ref="K2115">SUMPRODUCT(("var_ncap"=[1]OUT_TransportEnergyCons!$B$4:$B$10000)*1,("-"=[1]OUT_TransportEnergyCons!$C$4:$C$10000)*1,ISNUMBER(SEARCH("T_C*bat*ext",[1]OUT_TransportEnergyCons!$A$4:$A$10000))*1,[1]OUT_TransportEnergyCons!I$4:I$10000)</f>
        <v>0</v>
      </c>
      <c r="L2115" s="1" cm="1">
        <f t="array" ref="L2115">SUMPRODUCT(("var_ncap"=[1]OUT_TransportEnergyCons!$B$4:$B$10000)*1,("-"=[1]OUT_TransportEnergyCons!$C$4:$C$10000)*1,ISNUMBER(SEARCH("T_C*bat*ext",[1]OUT_TransportEnergyCons!$A$4:$A$10000))*1,[1]OUT_TransportEnergyCons!J$4:J$10000)</f>
        <v>0</v>
      </c>
      <c r="M2115" s="1" cm="1">
        <f t="array" ref="M2115">SUMPRODUCT(("var_ncap"=[1]OUT_TransportEnergyCons!$B$4:$B$10000)*1,("-"=[1]OUT_TransportEnergyCons!$C$4:$C$10000)*1,ISNUMBER(SEARCH("T_C*bat*ext",[1]OUT_TransportEnergyCons!$A$4:$A$10000))*1,[1]OUT_TransportEnergyCons!K$4:K$10000)</f>
        <v>0</v>
      </c>
      <c r="N2115" s="1" cm="1">
        <f t="array" ref="N2115">SUMPRODUCT(("var_ncap"=[1]OUT_TransportEnergyCons!$B$4:$B$10000)*1,("-"=[1]OUT_TransportEnergyCons!$C$4:$C$10000)*1,ISNUMBER(SEARCH("T_C*bat*ext",[1]OUT_TransportEnergyCons!$A$4:$A$10000))*1,[1]OUT_TransportEnergyCons!L$4:L$10000)</f>
        <v>0</v>
      </c>
      <c r="O2115" s="1" cm="1">
        <f t="array" ref="O2115">SUMPRODUCT(("var_ncap"=[1]OUT_TransportEnergyCons!$B$4:$B$10000)*1,("-"=[1]OUT_TransportEnergyCons!$C$4:$C$10000)*1,ISNUMBER(SEARCH("T_C*bat*ext",[1]OUT_TransportEnergyCons!$A$4:$A$10000))*1,[1]OUT_TransportEnergyCons!M$4:M$10000)</f>
        <v>0</v>
      </c>
      <c r="P2115" s="1" cm="1">
        <f t="array" ref="P2115">SUMPRODUCT(("var_ncap"=[1]OUT_TransportEnergyCons!$B$4:$B$10000)*1,("-"=[1]OUT_TransportEnergyCons!$C$4:$C$10000)*1,ISNUMBER(SEARCH("T_C*bat*ext",[1]OUT_TransportEnergyCons!$A$4:$A$10000))*1,[1]OUT_TransportEnergyCons!N$4:N$10000)</f>
        <v>0</v>
      </c>
      <c r="Q2115" s="1" cm="1">
        <f t="array" ref="Q2115">SUMPRODUCT(("var_ncap"=[1]OUT_TransportEnergyCons!$B$4:$B$10000)*1,("-"=[1]OUT_TransportEnergyCons!$C$4:$C$10000)*1,ISNUMBER(SEARCH("T_C*bat*ext",[1]OUT_TransportEnergyCons!$A$4:$A$10000))*1,[1]OUT_TransportEnergyCons!O$4:O$10000)</f>
        <v>0</v>
      </c>
      <c r="S2115" s="3"/>
    </row>
    <row r="2116" spans="2:19" x14ac:dyDescent="0.5">
      <c r="B2116" s="5" t="str">
        <f t="shared" si="2239"/>
        <v>SPS1</v>
      </c>
      <c r="C2116" s="5" t="str">
        <f t="shared" si="2240"/>
        <v>CH</v>
      </c>
      <c r="D2116" t="s">
        <v>2245</v>
      </c>
      <c r="E2116" t="str">
        <f t="shared" si="2241"/>
        <v>Million</v>
      </c>
      <c r="F2116" s="1" cm="1">
        <f t="array" ref="F2116">SUMPRODUCT(("var_ncap"=[1]OUT_TransportEnergyCons!$B$4:$B$10000)*1,("-"=[1]OUT_TransportEnergyCons!$C$4:$C$10000)*1,ISNUMBER(SEARCH("T_C*bat*s1",[1]OUT_TransportEnergyCons!$A$4:$A$10000))*1,[1]OUT_TransportEnergyCons!D$4:D$10000)</f>
        <v>1.05635135143111E-4</v>
      </c>
      <c r="G2116" s="1" cm="1">
        <f t="array" ref="G2116">SUMPRODUCT(("var_ncap"=[1]OUT_TransportEnergyCons!$B$4:$B$10000)*1,("-"=[1]OUT_TransportEnergyCons!$C$4:$C$10000)*1,ISNUMBER(SEARCH("T_C*bat*s1",[1]OUT_TransportEnergyCons!$A$4:$A$10000))*1,[1]OUT_TransportEnergyCons!E$4:E$10000)</f>
        <v>4.6421745948615399E-4</v>
      </c>
      <c r="H2116" s="1" cm="1">
        <f t="array" ref="H2116">SUMPRODUCT(("var_ncap"=[1]OUT_TransportEnergyCons!$B$4:$B$10000)*1,("-"=[1]OUT_TransportEnergyCons!$C$4:$C$10000)*1,ISNUMBER(SEARCH("T_C*bat*s1",[1]OUT_TransportEnergyCons!$A$4:$A$10000))*1,[1]OUT_TransportEnergyCons!F$4:F$10000)</f>
        <v>1.4367481010665699E-4</v>
      </c>
      <c r="I2116" s="1" cm="1">
        <f t="array" ref="I2116">SUMPRODUCT(("var_ncap"=[1]OUT_TransportEnergyCons!$B$4:$B$10000)*1,("-"=[1]OUT_TransportEnergyCons!$C$4:$C$10000)*1,ISNUMBER(SEARCH("T_C*bat*s1",[1]OUT_TransportEnergyCons!$A$4:$A$10000))*1,[1]OUT_TransportEnergyCons!G$4:G$10000)</f>
        <v>0.175736390643075</v>
      </c>
      <c r="J2116" s="1" cm="1">
        <f t="array" ref="J2116">SUMPRODUCT(("var_ncap"=[1]OUT_TransportEnergyCons!$B$4:$B$10000)*1,("-"=[1]OUT_TransportEnergyCons!$C$4:$C$10000)*1,ISNUMBER(SEARCH("T_C*bat*s1",[1]OUT_TransportEnergyCons!$A$4:$A$10000))*1,[1]OUT_TransportEnergyCons!H$4:H$10000)</f>
        <v>0.17090457096313699</v>
      </c>
      <c r="K2116" s="1" cm="1">
        <f t="array" ref="K2116">SUMPRODUCT(("var_ncap"=[1]OUT_TransportEnergyCons!$B$4:$B$10000)*1,("-"=[1]OUT_TransportEnergyCons!$C$4:$C$10000)*1,ISNUMBER(SEARCH("T_C*bat*s1",[1]OUT_TransportEnergyCons!$A$4:$A$10000))*1,[1]OUT_TransportEnergyCons!I$4:I$10000)</f>
        <v>0.128163814406937</v>
      </c>
      <c r="L2116" s="1" cm="1">
        <f t="array" ref="L2116">SUMPRODUCT(("var_ncap"=[1]OUT_TransportEnergyCons!$B$4:$B$10000)*1,("-"=[1]OUT_TransportEnergyCons!$C$4:$C$10000)*1,ISNUMBER(SEARCH("T_C*bat*s1",[1]OUT_TransportEnergyCons!$A$4:$A$10000))*1,[1]OUT_TransportEnergyCons!J$4:J$10000)</f>
        <v>0.160102170387277</v>
      </c>
      <c r="M2116" s="1" cm="1">
        <f t="array" ref="M2116">SUMPRODUCT(("var_ncap"=[1]OUT_TransportEnergyCons!$B$4:$B$10000)*1,("-"=[1]OUT_TransportEnergyCons!$C$4:$C$10000)*1,ISNUMBER(SEARCH("T_C*bat*s1",[1]OUT_TransportEnergyCons!$A$4:$A$10000))*1,[1]OUT_TransportEnergyCons!K$4:K$10000)</f>
        <v>0.162687703366865</v>
      </c>
      <c r="N2116" s="1" cm="1">
        <f t="array" ref="N2116">SUMPRODUCT(("var_ncap"=[1]OUT_TransportEnergyCons!$B$4:$B$10000)*1,("-"=[1]OUT_TransportEnergyCons!$C$4:$C$10000)*1,ISNUMBER(SEARCH("T_C*bat*s1",[1]OUT_TransportEnergyCons!$A$4:$A$10000))*1,[1]OUT_TransportEnergyCons!L$4:L$10000)</f>
        <v>0.12894722632758299</v>
      </c>
      <c r="O2116" s="1" cm="1">
        <f t="array" ref="O2116">SUMPRODUCT(("var_ncap"=[1]OUT_TransportEnergyCons!$B$4:$B$10000)*1,("-"=[1]OUT_TransportEnergyCons!$C$4:$C$10000)*1,ISNUMBER(SEARCH("T_C*bat*s1",[1]OUT_TransportEnergyCons!$A$4:$A$10000))*1,[1]OUT_TransportEnergyCons!M$4:M$10000)</f>
        <v>0.137933005302048</v>
      </c>
      <c r="P2116" s="1" cm="1">
        <f t="array" ref="P2116">SUMPRODUCT(("var_ncap"=[1]OUT_TransportEnergyCons!$B$4:$B$10000)*1,("-"=[1]OUT_TransportEnergyCons!$C$4:$C$10000)*1,ISNUMBER(SEARCH("T_C*bat*s1",[1]OUT_TransportEnergyCons!$A$4:$A$10000))*1,[1]OUT_TransportEnergyCons!N$4:N$10000)</f>
        <v>0.12657556365886999</v>
      </c>
      <c r="Q2116" s="1" cm="1">
        <f t="array" ref="Q2116">SUMPRODUCT(("var_ncap"=[1]OUT_TransportEnergyCons!$B$4:$B$10000)*1,("-"=[1]OUT_TransportEnergyCons!$C$4:$C$10000)*1,ISNUMBER(SEARCH("T_C*bat*s1",[1]OUT_TransportEnergyCons!$A$4:$A$10000))*1,[1]OUT_TransportEnergyCons!O$4:O$10000)</f>
        <v>0.10085265630050801</v>
      </c>
      <c r="S2116" s="3"/>
    </row>
    <row r="2117" spans="2:19" x14ac:dyDescent="0.5">
      <c r="B2117" s="5" t="str">
        <f t="shared" si="2239"/>
        <v>SPS1</v>
      </c>
      <c r="C2117" s="5" t="str">
        <f t="shared" si="2240"/>
        <v>CH</v>
      </c>
      <c r="D2117" t="s">
        <v>2246</v>
      </c>
      <c r="E2117" t="str">
        <f t="shared" si="2241"/>
        <v>Million</v>
      </c>
      <c r="F2117" s="1" cm="1">
        <f t="array" ref="F2117">SUMPRODUCT(("var_ncap"=[1]OUT_TransportEnergyCons!$B$4:$B$10000)*1,("-"=[1]OUT_TransportEnergyCons!$C$4:$C$10000)*1,ISNUMBER(SEARCH("T_C*bat*s2",[1]OUT_TransportEnergyCons!$A$4:$A$10000))*1,[1]OUT_TransportEnergyCons!D$4:D$10000)</f>
        <v>1.0739855607045799E-4</v>
      </c>
      <c r="G2117" s="1" cm="1">
        <f t="array" ref="G2117">SUMPRODUCT(("var_ncap"=[1]OUT_TransportEnergyCons!$B$4:$B$10000)*1,("-"=[1]OUT_TransportEnergyCons!$C$4:$C$10000)*1,ISNUMBER(SEARCH("T_C*bat*s2",[1]OUT_TransportEnergyCons!$A$4:$A$10000))*1,[1]OUT_TransportEnergyCons!E$4:E$10000)</f>
        <v>1.04427074493965E-3</v>
      </c>
      <c r="H2117" s="1" cm="1">
        <f t="array" ref="H2117">SUMPRODUCT(("var_ncap"=[1]OUT_TransportEnergyCons!$B$4:$B$10000)*1,("-"=[1]OUT_TransportEnergyCons!$C$4:$C$10000)*1,ISNUMBER(SEARCH("T_C*bat*s2",[1]OUT_TransportEnergyCons!$A$4:$A$10000))*1,[1]OUT_TransportEnergyCons!F$4:F$10000)</f>
        <v>5.0989826947624205E-4</v>
      </c>
      <c r="I2117" s="1" cm="1">
        <f t="array" ref="I2117">SUMPRODUCT(("var_ncap"=[1]OUT_TransportEnergyCons!$B$4:$B$10000)*1,("-"=[1]OUT_TransportEnergyCons!$C$4:$C$10000)*1,ISNUMBER(SEARCH("T_C*bat*s2",[1]OUT_TransportEnergyCons!$A$4:$A$10000))*1,[1]OUT_TransportEnergyCons!G$4:G$10000)</f>
        <v>0.372741179010317</v>
      </c>
      <c r="J2117" s="1" cm="1">
        <f t="array" ref="J2117">SUMPRODUCT(("var_ncap"=[1]OUT_TransportEnergyCons!$B$4:$B$10000)*1,("-"=[1]OUT_TransportEnergyCons!$C$4:$C$10000)*1,ISNUMBER(SEARCH("T_C*bat*s2",[1]OUT_TransportEnergyCons!$A$4:$A$10000))*1,[1]OUT_TransportEnergyCons!H$4:H$10000)</f>
        <v>1.2662061414669801</v>
      </c>
      <c r="K2117" s="1" cm="1">
        <f t="array" ref="K2117">SUMPRODUCT(("var_ncap"=[1]OUT_TransportEnergyCons!$B$4:$B$10000)*1,("-"=[1]OUT_TransportEnergyCons!$C$4:$C$10000)*1,ISNUMBER(SEARCH("T_C*bat*s2",[1]OUT_TransportEnergyCons!$A$4:$A$10000))*1,[1]OUT_TransportEnergyCons!I$4:I$10000)</f>
        <v>0.57275140628613297</v>
      </c>
      <c r="L2117" s="1" cm="1">
        <f t="array" ref="L2117">SUMPRODUCT(("var_ncap"=[1]OUT_TransportEnergyCons!$B$4:$B$10000)*1,("-"=[1]OUT_TransportEnergyCons!$C$4:$C$10000)*1,ISNUMBER(SEARCH("T_C*bat*s2",[1]OUT_TransportEnergyCons!$A$4:$A$10000))*1,[1]OUT_TransportEnergyCons!J$4:J$10000)</f>
        <v>0.69364056353999803</v>
      </c>
      <c r="M2117" s="1" cm="1">
        <f t="array" ref="M2117">SUMPRODUCT(("var_ncap"=[1]OUT_TransportEnergyCons!$B$4:$B$10000)*1,("-"=[1]OUT_TransportEnergyCons!$C$4:$C$10000)*1,ISNUMBER(SEARCH("T_C*bat*s2",[1]OUT_TransportEnergyCons!$A$4:$A$10000))*1,[1]OUT_TransportEnergyCons!K$4:K$10000)</f>
        <v>0.99286312258250597</v>
      </c>
      <c r="N2117" s="1" cm="1">
        <f t="array" ref="N2117">SUMPRODUCT(("var_ncap"=[1]OUT_TransportEnergyCons!$B$4:$B$10000)*1,("-"=[1]OUT_TransportEnergyCons!$C$4:$C$10000)*1,ISNUMBER(SEARCH("T_C*bat*s2",[1]OUT_TransportEnergyCons!$A$4:$A$10000))*1,[1]OUT_TransportEnergyCons!L$4:L$10000)</f>
        <v>0.61644694250689402</v>
      </c>
      <c r="O2117" s="1" cm="1">
        <f t="array" ref="O2117">SUMPRODUCT(("var_ncap"=[1]OUT_TransportEnergyCons!$B$4:$B$10000)*1,("-"=[1]OUT_TransportEnergyCons!$C$4:$C$10000)*1,ISNUMBER(SEARCH("T_C*bat*s2",[1]OUT_TransportEnergyCons!$A$4:$A$10000))*1,[1]OUT_TransportEnergyCons!M$4:M$10000)</f>
        <v>0.65835202164474904</v>
      </c>
      <c r="P2117" s="1" cm="1">
        <f t="array" ref="P2117">SUMPRODUCT(("var_ncap"=[1]OUT_TransportEnergyCons!$B$4:$B$10000)*1,("-"=[1]OUT_TransportEnergyCons!$C$4:$C$10000)*1,ISNUMBER(SEARCH("T_C*bat*s2",[1]OUT_TransportEnergyCons!$A$4:$A$10000))*1,[1]OUT_TransportEnergyCons!N$4:N$10000)</f>
        <v>0.72158127402263095</v>
      </c>
      <c r="Q2117" s="1" cm="1">
        <f t="array" ref="Q2117">SUMPRODUCT(("var_ncap"=[1]OUT_TransportEnergyCons!$B$4:$B$10000)*1,("-"=[1]OUT_TransportEnergyCons!$C$4:$C$10000)*1,ISNUMBER(SEARCH("T_C*bat*s2",[1]OUT_TransportEnergyCons!$A$4:$A$10000))*1,[1]OUT_TransportEnergyCons!O$4:O$10000)</f>
        <v>0.50384018732919</v>
      </c>
      <c r="S2117" s="3"/>
    </row>
    <row r="2118" spans="2:19" x14ac:dyDescent="0.5">
      <c r="B2118" s="5" t="str">
        <f t="shared" si="2239"/>
        <v>SPS1</v>
      </c>
      <c r="C2118" s="5" t="str">
        <f t="shared" si="2240"/>
        <v>CH</v>
      </c>
      <c r="D2118" t="s">
        <v>2247</v>
      </c>
      <c r="E2118" t="str">
        <f t="shared" si="2241"/>
        <v>Million</v>
      </c>
      <c r="F2118" s="1" cm="1">
        <f t="array" ref="F2118">SUMPRODUCT(("var_ncap"=[1]OUT_TransportEnergyCons!$B$4:$B$10000)*1,("-"=[1]OUT_TransportEnergyCons!$C$4:$C$10000)*1,ISNUMBER(SEARCH("T_C*bat*s3",[1]OUT_TransportEnergyCons!$A$4:$A$10000))*1,[1]OUT_TransportEnergyCons!D$4:D$10000)</f>
        <v>1.1270179788944699E-4</v>
      </c>
      <c r="G2118" s="1" cm="1">
        <f t="array" ref="G2118">SUMPRODUCT(("var_ncap"=[1]OUT_TransportEnergyCons!$B$4:$B$10000)*1,("-"=[1]OUT_TransportEnergyCons!$C$4:$C$10000)*1,ISNUMBER(SEARCH("T_C*bat*s3",[1]OUT_TransportEnergyCons!$A$4:$A$10000))*1,[1]OUT_TransportEnergyCons!E$4:E$10000)</f>
        <v>2.9503528551282098E-3</v>
      </c>
      <c r="H2118" s="1" cm="1">
        <f t="array" ref="H2118">SUMPRODUCT(("var_ncap"=[1]OUT_TransportEnergyCons!$B$4:$B$10000)*1,("-"=[1]OUT_TransportEnergyCons!$C$4:$C$10000)*1,ISNUMBER(SEARCH("T_C*bat*s3",[1]OUT_TransportEnergyCons!$A$4:$A$10000))*1,[1]OUT_TransportEnergyCons!F$4:F$10000)</f>
        <v>0.27221654809373103</v>
      </c>
      <c r="I2118" s="1" cm="1">
        <f t="array" ref="I2118">SUMPRODUCT(("var_ncap"=[1]OUT_TransportEnergyCons!$B$4:$B$10000)*1,("-"=[1]OUT_TransportEnergyCons!$C$4:$C$10000)*1,ISNUMBER(SEARCH("T_C*bat*s3",[1]OUT_TransportEnergyCons!$A$4:$A$10000))*1,[1]OUT_TransportEnergyCons!G$4:G$10000)</f>
        <v>5.7618262033265596E-4</v>
      </c>
      <c r="J2118" s="1" cm="1">
        <f t="array" ref="J2118">SUMPRODUCT(("var_ncap"=[1]OUT_TransportEnergyCons!$B$4:$B$10000)*1,("-"=[1]OUT_TransportEnergyCons!$C$4:$C$10000)*1,ISNUMBER(SEARCH("T_C*bat*s3",[1]OUT_TransportEnergyCons!$A$4:$A$10000))*1,[1]OUT_TransportEnergyCons!H$4:H$10000)</f>
        <v>0.102712827717009</v>
      </c>
      <c r="K2118" s="1" cm="1">
        <f t="array" ref="K2118">SUMPRODUCT(("var_ncap"=[1]OUT_TransportEnergyCons!$B$4:$B$10000)*1,("-"=[1]OUT_TransportEnergyCons!$C$4:$C$10000)*1,ISNUMBER(SEARCH("T_C*bat*s3",[1]OUT_TransportEnergyCons!$A$4:$A$10000))*1,[1]OUT_TransportEnergyCons!I$4:I$10000)</f>
        <v>0.47101596782135202</v>
      </c>
      <c r="L2118" s="1" cm="1">
        <f t="array" ref="L2118">SUMPRODUCT(("var_ncap"=[1]OUT_TransportEnergyCons!$B$4:$B$10000)*1,("-"=[1]OUT_TransportEnergyCons!$C$4:$C$10000)*1,ISNUMBER(SEARCH("T_C*bat*s3",[1]OUT_TransportEnergyCons!$A$4:$A$10000))*1,[1]OUT_TransportEnergyCons!J$4:J$10000)</f>
        <v>0.10195020219350601</v>
      </c>
      <c r="M2118" s="1" cm="1">
        <f t="array" ref="M2118">SUMPRODUCT(("var_ncap"=[1]OUT_TransportEnergyCons!$B$4:$B$10000)*1,("-"=[1]OUT_TransportEnergyCons!$C$4:$C$10000)*1,ISNUMBER(SEARCH("T_C*bat*s3",[1]OUT_TransportEnergyCons!$A$4:$A$10000))*1,[1]OUT_TransportEnergyCons!K$4:K$10000)</f>
        <v>0.61803339382205402</v>
      </c>
      <c r="N2118" s="1" cm="1">
        <f t="array" ref="N2118">SUMPRODUCT(("var_ncap"=[1]OUT_TransportEnergyCons!$B$4:$B$10000)*1,("-"=[1]OUT_TransportEnergyCons!$C$4:$C$10000)*1,ISNUMBER(SEARCH("T_C*bat*s3",[1]OUT_TransportEnergyCons!$A$4:$A$10000))*1,[1]OUT_TransportEnergyCons!L$4:L$10000)</f>
        <v>0.41659691779416302</v>
      </c>
      <c r="O2118" s="1" cm="1">
        <f t="array" ref="O2118">SUMPRODUCT(("var_ncap"=[1]OUT_TransportEnergyCons!$B$4:$B$10000)*1,("-"=[1]OUT_TransportEnergyCons!$C$4:$C$10000)*1,ISNUMBER(SEARCH("T_C*bat*s3",[1]OUT_TransportEnergyCons!$A$4:$A$10000))*1,[1]OUT_TransportEnergyCons!M$4:M$10000)</f>
        <v>0.51807168834975803</v>
      </c>
      <c r="P2118" s="1" cm="1">
        <f t="array" ref="P2118">SUMPRODUCT(("var_ncap"=[1]OUT_TransportEnergyCons!$B$4:$B$10000)*1,("-"=[1]OUT_TransportEnergyCons!$C$4:$C$10000)*1,ISNUMBER(SEARCH("T_C*bat*s3",[1]OUT_TransportEnergyCons!$A$4:$A$10000))*1,[1]OUT_TransportEnergyCons!N$4:N$10000)</f>
        <v>1.4136602135932901</v>
      </c>
      <c r="Q2118" s="1" cm="1">
        <f t="array" ref="Q2118">SUMPRODUCT(("var_ncap"=[1]OUT_TransportEnergyCons!$B$4:$B$10000)*1,("-"=[1]OUT_TransportEnergyCons!$C$4:$C$10000)*1,ISNUMBER(SEARCH("T_C*bat*s3",[1]OUT_TransportEnergyCons!$A$4:$A$10000))*1,[1]OUT_TransportEnergyCons!O$4:O$10000)</f>
        <v>1.68209466011357E-3</v>
      </c>
      <c r="S2118" s="3"/>
    </row>
    <row r="2119" spans="2:19" x14ac:dyDescent="0.5">
      <c r="B2119" s="5" t="str">
        <f t="shared" si="2239"/>
        <v>SPS1</v>
      </c>
      <c r="C2119" s="5" t="str">
        <f t="shared" si="2240"/>
        <v>CH</v>
      </c>
      <c r="D2119" t="s">
        <v>2248</v>
      </c>
      <c r="E2119" t="str">
        <f t="shared" si="2241"/>
        <v>Million</v>
      </c>
      <c r="F2119" s="1" cm="1">
        <f t="array" ref="F2119">SUMPRODUCT(("var_ncap"=[1]OUT_TransportEnergyCons!$B$4:$B$10000)*1,("-"=[1]OUT_TransportEnergyCons!$C$4:$C$10000)*1,ISNUMBER(SEARCH("T_C*bat*s4",[1]OUT_TransportEnergyCons!$A$4:$A$10000))*1,[1]OUT_TransportEnergyCons!D$4:D$10000)</f>
        <v>1.7632170074652299E-4</v>
      </c>
      <c r="G2119" s="1" cm="1">
        <f t="array" ref="G2119">SUMPRODUCT(("var_ncap"=[1]OUT_TransportEnergyCons!$B$4:$B$10000)*1,("-"=[1]OUT_TransportEnergyCons!$C$4:$C$10000)*1,ISNUMBER(SEARCH("T_C*bat*s4",[1]OUT_TransportEnergyCons!$A$4:$A$10000))*1,[1]OUT_TransportEnergyCons!E$4:E$10000)</f>
        <v>7.2489056555197398E-2</v>
      </c>
      <c r="H2119" s="1" cm="1">
        <f t="array" ref="H2119">SUMPRODUCT(("var_ncap"=[1]OUT_TransportEnergyCons!$B$4:$B$10000)*1,("-"=[1]OUT_TransportEnergyCons!$C$4:$C$10000)*1,ISNUMBER(SEARCH("T_C*bat*s4",[1]OUT_TransportEnergyCons!$A$4:$A$10000))*1,[1]OUT_TransportEnergyCons!F$4:F$10000)</f>
        <v>9.2752938950533808E-3</v>
      </c>
      <c r="I2119" s="1" cm="1">
        <f t="array" ref="I2119">SUMPRODUCT(("var_ncap"=[1]OUT_TransportEnergyCons!$B$4:$B$10000)*1,("-"=[1]OUT_TransportEnergyCons!$C$4:$C$10000)*1,ISNUMBER(SEARCH("T_C*bat*s4",[1]OUT_TransportEnergyCons!$A$4:$A$10000))*1,[1]OUT_TransportEnergyCons!G$4:G$10000)</f>
        <v>0.84606749859037</v>
      </c>
      <c r="J2119" s="1" cm="1">
        <f t="array" ref="J2119">SUMPRODUCT(("var_ncap"=[1]OUT_TransportEnergyCons!$B$4:$B$10000)*1,("-"=[1]OUT_TransportEnergyCons!$C$4:$C$10000)*1,ISNUMBER(SEARCH("T_C*bat*s4",[1]OUT_TransportEnergyCons!$A$4:$A$10000))*1,[1]OUT_TransportEnergyCons!H$4:H$10000)</f>
        <v>0.86671288825674697</v>
      </c>
      <c r="K2119" s="1" cm="1">
        <f t="array" ref="K2119">SUMPRODUCT(("var_ncap"=[1]OUT_TransportEnergyCons!$B$4:$B$10000)*1,("-"=[1]OUT_TransportEnergyCons!$C$4:$C$10000)*1,ISNUMBER(SEARCH("T_C*bat*s4",[1]OUT_TransportEnergyCons!$A$4:$A$10000))*1,[1]OUT_TransportEnergyCons!I$4:I$10000)</f>
        <v>0.74749959047947601</v>
      </c>
      <c r="L2119" s="1" cm="1">
        <f t="array" ref="L2119">SUMPRODUCT(("var_ncap"=[1]OUT_TransportEnergyCons!$B$4:$B$10000)*1,("-"=[1]OUT_TransportEnergyCons!$C$4:$C$10000)*1,ISNUMBER(SEARCH("T_C*bat*s4",[1]OUT_TransportEnergyCons!$A$4:$A$10000))*1,[1]OUT_TransportEnergyCons!J$4:J$10000)</f>
        <v>0.85318987239814503</v>
      </c>
      <c r="M2119" s="1" cm="1">
        <f t="array" ref="M2119">SUMPRODUCT(("var_ncap"=[1]OUT_TransportEnergyCons!$B$4:$B$10000)*1,("-"=[1]OUT_TransportEnergyCons!$C$4:$C$10000)*1,ISNUMBER(SEARCH("T_C*bat*s4",[1]OUT_TransportEnergyCons!$A$4:$A$10000))*1,[1]OUT_TransportEnergyCons!K$4:K$10000)</f>
        <v>1.00987586789907</v>
      </c>
      <c r="N2119" s="1" cm="1">
        <f t="array" ref="N2119">SUMPRODUCT(("var_ncap"=[1]OUT_TransportEnergyCons!$B$4:$B$10000)*1,("-"=[1]OUT_TransportEnergyCons!$C$4:$C$10000)*1,ISNUMBER(SEARCH("T_C*bat*s4",[1]OUT_TransportEnergyCons!$A$4:$A$10000))*1,[1]OUT_TransportEnergyCons!L$4:L$10000)</f>
        <v>0.97607366532265705</v>
      </c>
      <c r="O2119" s="1" cm="1">
        <f t="array" ref="O2119">SUMPRODUCT(("var_ncap"=[1]OUT_TransportEnergyCons!$B$4:$B$10000)*1,("-"=[1]OUT_TransportEnergyCons!$C$4:$C$10000)*1,ISNUMBER(SEARCH("T_C*bat*s4",[1]OUT_TransportEnergyCons!$A$4:$A$10000))*1,[1]OUT_TransportEnergyCons!M$4:M$10000)</f>
        <v>0.58074545103661201</v>
      </c>
      <c r="P2119" s="1" cm="1">
        <f t="array" ref="P2119">SUMPRODUCT(("var_ncap"=[1]OUT_TransportEnergyCons!$B$4:$B$10000)*1,("-"=[1]OUT_TransportEnergyCons!$C$4:$C$10000)*1,ISNUMBER(SEARCH("T_C*bat*s4",[1]OUT_TransportEnergyCons!$A$4:$A$10000))*1,[1]OUT_TransportEnergyCons!N$4:N$10000)</f>
        <v>6.7026402123862294E-2</v>
      </c>
      <c r="Q2119" s="1" cm="1">
        <f t="array" ref="Q2119">SUMPRODUCT(("var_ncap"=[1]OUT_TransportEnergyCons!$B$4:$B$10000)*1,("-"=[1]OUT_TransportEnergyCons!$C$4:$C$10000)*1,ISNUMBER(SEARCH("T_C*bat*s4",[1]OUT_TransportEnergyCons!$A$4:$A$10000))*1,[1]OUT_TransportEnergyCons!O$4:O$10000)</f>
        <v>1.27021960775932</v>
      </c>
      <c r="S2119" s="3"/>
    </row>
    <row r="2120" spans="2:19" x14ac:dyDescent="0.5">
      <c r="B2120" s="5" t="str">
        <f t="shared" si="2239"/>
        <v>SPS1</v>
      </c>
      <c r="C2120" s="5" t="str">
        <f t="shared" si="2240"/>
        <v>CH</v>
      </c>
      <c r="D2120" t="s">
        <v>2249</v>
      </c>
      <c r="E2120" t="str">
        <f t="shared" si="2241"/>
        <v>Million</v>
      </c>
      <c r="F2120" s="1" cm="1">
        <f t="array" ref="F2120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SUMPRODUCT(("var_ncap"=[1]OUT_TransportEnergyCons!$B$4:$B$10000)*1,("-"=[1]OUT_TransportEnergyCons!$C$4:$C$10000)*1,ISNUMBER(SEARCH("T_C*pev*GSL*s1",[1]OUT_TransportEnergyCons!$A$4:$A$10000))*1,[1]OUT_TransportEnergyCons!E$4:E$10000)</f>
        <v>2.6164472270614499E-4</v>
      </c>
      <c r="H2120" s="1" cm="1">
        <f t="array" ref="H2120">SUMPRODUCT(("var_ncap"=[1]OUT_TransportEnergyCons!$B$4:$B$10000)*1,("-"=[1]OUT_TransportEnergyCons!$C$4:$C$10000)*1,ISNUMBER(SEARCH("T_C*pev*GSL*s1",[1]OUT_TransportEnergyCons!$A$4:$A$10000))*1,[1]OUT_TransportEnergyCons!F$4:F$10000)</f>
        <v>1.0775581640460799E-4</v>
      </c>
      <c r="I2120" s="1" cm="1">
        <f t="array" ref="I2120">SUMPRODUCT(("var_ncap"=[1]OUT_TransportEnergyCons!$B$4:$B$10000)*1,("-"=[1]OUT_TransportEnergyCons!$C$4:$C$10000)*1,ISNUMBER(SEARCH("T_C*pev*GSL*s1",[1]OUT_TransportEnergyCons!$A$4:$A$10000))*1,[1]OUT_TransportEnergyCons!G$4:G$10000)</f>
        <v>2.2178268674472501E-4</v>
      </c>
      <c r="J2120" s="1" cm="1">
        <f t="array" ref="J2120">SUMPRODUCT(("var_ncap"=[1]OUT_TransportEnergyCons!$B$4:$B$10000)*1,("-"=[1]OUT_TransportEnergyCons!$C$4:$C$10000)*1,ISNUMBER(SEARCH("T_C*pev*GSL*s1",[1]OUT_TransportEnergyCons!$A$4:$A$10000))*1,[1]OUT_TransportEnergyCons!H$4:H$10000)</f>
        <v>2.9364678205110698E-4</v>
      </c>
      <c r="K2120" s="1" cm="1">
        <f t="array" ref="K2120">SUMPRODUCT(("var_ncap"=[1]OUT_TransportEnergyCons!$B$4:$B$10000)*1,("-"=[1]OUT_TransportEnergyCons!$C$4:$C$10000)*1,ISNUMBER(SEARCH("T_C*pev*GSL*s1",[1]OUT_TransportEnergyCons!$A$4:$A$10000))*1,[1]OUT_TransportEnergyCons!I$4:I$10000)</f>
        <v>0</v>
      </c>
      <c r="L2120" s="1" cm="1">
        <f t="array" ref="L2120">SUMPRODUCT(("var_ncap"=[1]OUT_TransportEnergyCons!$B$4:$B$10000)*1,("-"=[1]OUT_TransportEnergyCons!$C$4:$C$10000)*1,ISNUMBER(SEARCH("T_C*pev*GSL*s1",[1]OUT_TransportEnergyCons!$A$4:$A$10000))*1,[1]OUT_TransportEnergyCons!J$4:J$10000)</f>
        <v>1.70256830533688E-4</v>
      </c>
      <c r="M2120" s="1" cm="1">
        <f t="array" ref="M2120">SUMPRODUCT(("var_ncap"=[1]OUT_TransportEnergyCons!$B$4:$B$10000)*1,("-"=[1]OUT_TransportEnergyCons!$C$4:$C$10000)*1,ISNUMBER(SEARCH("T_C*pev*GSL*s1",[1]OUT_TransportEnergyCons!$A$4:$A$10000))*1,[1]OUT_TransportEnergyCons!K$4:K$10000)</f>
        <v>0</v>
      </c>
      <c r="N2120" s="1" cm="1">
        <f t="array" ref="N2120">SUMPRODUCT(("var_ncap"=[1]OUT_TransportEnergyCons!$B$4:$B$10000)*1,("-"=[1]OUT_TransportEnergyCons!$C$4:$C$10000)*1,ISNUMBER(SEARCH("T_C*pev*GSL*s1",[1]OUT_TransportEnergyCons!$A$4:$A$10000))*1,[1]OUT_TransportEnergyCons!L$4:L$10000)</f>
        <v>9.61126065657201E-4</v>
      </c>
      <c r="O2120" s="1" cm="1">
        <f t="array" ref="O2120">SUMPRODUCT(("var_ncap"=[1]OUT_TransportEnergyCons!$B$4:$B$10000)*1,("-"=[1]OUT_TransportEnergyCons!$C$4:$C$10000)*1,ISNUMBER(SEARCH("T_C*pev*GSL*s1",[1]OUT_TransportEnergyCons!$A$4:$A$10000))*1,[1]OUT_TransportEnergyCons!M$4:M$10000)</f>
        <v>9.0430104311841296E-4</v>
      </c>
      <c r="P2120" s="1" cm="1">
        <f t="array" ref="P2120">SUMPRODUCT(("var_ncap"=[1]OUT_TransportEnergyCons!$B$4:$B$10000)*1,("-"=[1]OUT_TransportEnergyCons!$C$4:$C$10000)*1,ISNUMBER(SEARCH("T_C*pev*GSL*s1",[1]OUT_TransportEnergyCons!$A$4:$A$10000))*1,[1]OUT_TransportEnergyCons!N$4:N$10000)</f>
        <v>7.1824453023040899E-4</v>
      </c>
      <c r="Q2120" s="1" cm="1">
        <f t="array" ref="Q2120">SUMPRODUCT(("var_ncap"=[1]OUT_TransportEnergyCons!$B$4:$B$10000)*1,("-"=[1]OUT_TransportEnergyCons!$C$4:$C$10000)*1,ISNUMBER(SEARCH("T_C*pev*GSL*s1",[1]OUT_TransportEnergyCons!$A$4:$A$10000))*1,[1]OUT_TransportEnergyCons!O$4:O$10000)</f>
        <v>1.2429372669044601E-3</v>
      </c>
      <c r="S2120" s="3"/>
    </row>
    <row r="2121" spans="2:19" x14ac:dyDescent="0.5">
      <c r="B2121" s="5" t="str">
        <f t="shared" si="2239"/>
        <v>SPS1</v>
      </c>
      <c r="C2121" s="5" t="str">
        <f t="shared" si="2240"/>
        <v>CH</v>
      </c>
      <c r="D2121" t="s">
        <v>2250</v>
      </c>
      <c r="E2121" t="str">
        <f t="shared" si="2241"/>
        <v>Million</v>
      </c>
      <c r="F2121" s="1" cm="1">
        <f t="array" ref="F2121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SUMPRODUCT(("var_ncap"=[1]OUT_TransportEnergyCons!$B$4:$B$10000)*1,("-"=[1]OUT_TransportEnergyCons!$C$4:$C$10000)*1,ISNUMBER(SEARCH("T_C*pev*GSL*s2",[1]OUT_TransportEnergyCons!$A$4:$A$10000))*1,[1]OUT_TransportEnergyCons!E$4:E$10000)</f>
        <v>7.6285317746440601E-5</v>
      </c>
      <c r="H2121" s="1" cm="1">
        <f t="array" ref="H2121">SUMPRODUCT(("var_ncap"=[1]OUT_TransportEnergyCons!$B$4:$B$10000)*1,("-"=[1]OUT_TransportEnergyCons!$C$4:$C$10000)*1,ISNUMBER(SEARCH("T_C*pev*GSL*s2",[1]OUT_TransportEnergyCons!$A$4:$A$10000))*1,[1]OUT_TransportEnergyCons!F$4:F$10000)</f>
        <v>9.0891339825812205E-5</v>
      </c>
      <c r="I2121" s="1" cm="1">
        <f t="array" ref="I2121">SUMPRODUCT(("var_ncap"=[1]OUT_TransportEnergyCons!$B$4:$B$10000)*1,("-"=[1]OUT_TransportEnergyCons!$C$4:$C$10000)*1,ISNUMBER(SEARCH("T_C*pev*GSL*s2",[1]OUT_TransportEnergyCons!$A$4:$A$10000))*1,[1]OUT_TransportEnergyCons!G$4:G$10000)</f>
        <v>1.17909127246573E-2</v>
      </c>
      <c r="J2121" s="1" cm="1">
        <f t="array" ref="J2121">SUMPRODUCT(("var_ncap"=[1]OUT_TransportEnergyCons!$B$4:$B$10000)*1,("-"=[1]OUT_TransportEnergyCons!$C$4:$C$10000)*1,ISNUMBER(SEARCH("T_C*pev*GSL*s2",[1]OUT_TransportEnergyCons!$A$4:$A$10000))*1,[1]OUT_TransportEnergyCons!H$4:H$10000)</f>
        <v>4.3242169316957702E-4</v>
      </c>
      <c r="K2121" s="1" cm="1">
        <f t="array" ref="K2121">SUMPRODUCT(("var_ncap"=[1]OUT_TransportEnergyCons!$B$4:$B$10000)*1,("-"=[1]OUT_TransportEnergyCons!$C$4:$C$10000)*1,ISNUMBER(SEARCH("T_C*pev*GSL*s2",[1]OUT_TransportEnergyCons!$A$4:$A$10000))*1,[1]OUT_TransportEnergyCons!I$4:I$10000)</f>
        <v>0</v>
      </c>
      <c r="L2121" s="1" cm="1">
        <f t="array" ref="L2121">SUMPRODUCT(("var_ncap"=[1]OUT_TransportEnergyCons!$B$4:$B$10000)*1,("-"=[1]OUT_TransportEnergyCons!$C$4:$C$10000)*1,ISNUMBER(SEARCH("T_C*pev*GSL*s2",[1]OUT_TransportEnergyCons!$A$4:$A$10000))*1,[1]OUT_TransportEnergyCons!J$4:J$10000)</f>
        <v>4.9099827135240602E-4</v>
      </c>
      <c r="M2121" s="1" cm="1">
        <f t="array" ref="M2121">SUMPRODUCT(("var_ncap"=[1]OUT_TransportEnergyCons!$B$4:$B$10000)*1,("-"=[1]OUT_TransportEnergyCons!$C$4:$C$10000)*1,ISNUMBER(SEARCH("T_C*pev*GSL*s2",[1]OUT_TransportEnergyCons!$A$4:$A$10000))*1,[1]OUT_TransportEnergyCons!K$4:K$10000)</f>
        <v>0</v>
      </c>
      <c r="N2121" s="1" cm="1">
        <f t="array" ref="N2121">SUMPRODUCT(("var_ncap"=[1]OUT_TransportEnergyCons!$B$4:$B$10000)*1,("-"=[1]OUT_TransportEnergyCons!$C$4:$C$10000)*1,ISNUMBER(SEARCH("T_C*pev*GSL*s2",[1]OUT_TransportEnergyCons!$A$4:$A$10000))*1,[1]OUT_TransportEnergyCons!L$4:L$10000)</f>
        <v>2.1187569651058601E-3</v>
      </c>
      <c r="O2121" s="1" cm="1">
        <f t="array" ref="O2121">SUMPRODUCT(("var_ncap"=[1]OUT_TransportEnergyCons!$B$4:$B$10000)*1,("-"=[1]OUT_TransportEnergyCons!$C$4:$C$10000)*1,ISNUMBER(SEARCH("T_C*pev*GSL*s2",[1]OUT_TransportEnergyCons!$A$4:$A$10000))*1,[1]OUT_TransportEnergyCons!M$4:M$10000)</f>
        <v>3.3631272597947197E-4</v>
      </c>
      <c r="P2121" s="1" cm="1">
        <f t="array" ref="P2121">SUMPRODUCT(("var_ncap"=[1]OUT_TransportEnergyCons!$B$4:$B$10000)*1,("-"=[1]OUT_TransportEnergyCons!$C$4:$C$10000)*1,ISNUMBER(SEARCH("T_C*pev*GSL*s2",[1]OUT_TransportEnergyCons!$A$4:$A$10000))*1,[1]OUT_TransportEnergyCons!N$4:N$10000)</f>
        <v>2.4929372569025798E-4</v>
      </c>
      <c r="Q2121" s="1" cm="1">
        <f t="array" ref="Q2121">SUMPRODUCT(("var_ncap"=[1]OUT_TransportEnergyCons!$B$4:$B$10000)*1,("-"=[1]OUT_TransportEnergyCons!$C$4:$C$10000)*1,ISNUMBER(SEARCH("T_C*pev*GSL*s2",[1]OUT_TransportEnergyCons!$A$4:$A$10000))*1,[1]OUT_TransportEnergyCons!O$4:O$10000)</f>
        <v>4.9896150090143602E-4</v>
      </c>
      <c r="S2121" s="3"/>
    </row>
    <row r="2122" spans="2:19" x14ac:dyDescent="0.5">
      <c r="B2122" s="5" t="str">
        <f t="shared" si="2239"/>
        <v>SPS1</v>
      </c>
      <c r="C2122" s="5" t="str">
        <f t="shared" si="2240"/>
        <v>CH</v>
      </c>
      <c r="D2122" t="s">
        <v>2251</v>
      </c>
      <c r="E2122" t="str">
        <f t="shared" si="2241"/>
        <v>Million</v>
      </c>
      <c r="F2122" s="1" cm="1">
        <f t="array" ref="F2122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SUMPRODUCT(("var_ncap"=[1]OUT_TransportEnergyCons!$B$4:$B$10000)*1,("-"=[1]OUT_TransportEnergyCons!$C$4:$C$10000)*1,ISNUMBER(SEARCH("T_C*pev*GSL*s3",[1]OUT_TransportEnergyCons!$A$4:$A$10000))*1,[1]OUT_TransportEnergyCons!E$4:E$10000)</f>
        <v>1.38114766247562E-3</v>
      </c>
      <c r="H2122" s="1" cm="1">
        <f t="array" ref="H2122">SUMPRODUCT(("var_ncap"=[1]OUT_TransportEnergyCons!$B$4:$B$10000)*1,("-"=[1]OUT_TransportEnergyCons!$C$4:$C$10000)*1,ISNUMBER(SEARCH("T_C*pev*GSL*s3",[1]OUT_TransportEnergyCons!$A$4:$A$10000))*1,[1]OUT_TransportEnergyCons!F$4:F$10000)</f>
        <v>7.1071372250311696E-2</v>
      </c>
      <c r="I2122" s="1" cm="1">
        <f t="array" ref="I2122">SUMPRODUCT(("var_ncap"=[1]OUT_TransportEnergyCons!$B$4:$B$10000)*1,("-"=[1]OUT_TransportEnergyCons!$C$4:$C$10000)*1,ISNUMBER(SEARCH("T_C*pev*GSL*s3",[1]OUT_TransportEnergyCons!$A$4:$A$10000))*1,[1]OUT_TransportEnergyCons!G$4:G$10000)</f>
        <v>0.14151105219176199</v>
      </c>
      <c r="J2122" s="1" cm="1">
        <f t="array" ref="J2122">SUMPRODUCT(("var_ncap"=[1]OUT_TransportEnergyCons!$B$4:$B$10000)*1,("-"=[1]OUT_TransportEnergyCons!$C$4:$C$10000)*1,ISNUMBER(SEARCH("T_C*pev*GSL*s3",[1]OUT_TransportEnergyCons!$A$4:$A$10000))*1,[1]OUT_TransportEnergyCons!H$4:H$10000)</f>
        <v>0.43867578538978402</v>
      </c>
      <c r="K2122" s="1" cm="1">
        <f t="array" ref="K2122">SUMPRODUCT(("var_ncap"=[1]OUT_TransportEnergyCons!$B$4:$B$10000)*1,("-"=[1]OUT_TransportEnergyCons!$C$4:$C$10000)*1,ISNUMBER(SEARCH("T_C*pev*GSL*s3",[1]OUT_TransportEnergyCons!$A$4:$A$10000))*1,[1]OUT_TransportEnergyCons!I$4:I$10000)</f>
        <v>0</v>
      </c>
      <c r="L2122" s="1" cm="1">
        <f t="array" ref="L2122">SUMPRODUCT(("var_ncap"=[1]OUT_TransportEnergyCons!$B$4:$B$10000)*1,("-"=[1]OUT_TransportEnergyCons!$C$4:$C$10000)*1,ISNUMBER(SEARCH("T_C*pev*GSL*s3",[1]OUT_TransportEnergyCons!$A$4:$A$10000))*1,[1]OUT_TransportEnergyCons!J$4:J$10000)</f>
        <v>0.20596515572071</v>
      </c>
      <c r="M2122" s="1" cm="1">
        <f t="array" ref="M2122">SUMPRODUCT(("var_ncap"=[1]OUT_TransportEnergyCons!$B$4:$B$10000)*1,("-"=[1]OUT_TransportEnergyCons!$C$4:$C$10000)*1,ISNUMBER(SEARCH("T_C*pev*GSL*s3",[1]OUT_TransportEnergyCons!$A$4:$A$10000))*1,[1]OUT_TransportEnergyCons!K$4:K$10000)</f>
        <v>0</v>
      </c>
      <c r="N2122" s="1" cm="1">
        <f t="array" ref="N2122">SUMPRODUCT(("var_ncap"=[1]OUT_TransportEnergyCons!$B$4:$B$10000)*1,("-"=[1]OUT_TransportEnergyCons!$C$4:$C$10000)*1,ISNUMBER(SEARCH("T_C*pev*GSL*s3",[1]OUT_TransportEnergyCons!$A$4:$A$10000))*1,[1]OUT_TransportEnergyCons!L$4:L$10000)</f>
        <v>4.0175287362776502E-3</v>
      </c>
      <c r="O2122" s="1" cm="1">
        <f t="array" ref="O2122">SUMPRODUCT(("var_ncap"=[1]OUT_TransportEnergyCons!$B$4:$B$10000)*1,("-"=[1]OUT_TransportEnergyCons!$C$4:$C$10000)*1,ISNUMBER(SEARCH("T_C*pev*GSL*s3",[1]OUT_TransportEnergyCons!$A$4:$A$10000))*1,[1]OUT_TransportEnergyCons!M$4:M$10000)</f>
        <v>8.8289083428771996E-4</v>
      </c>
      <c r="P2122" s="1" cm="1">
        <f t="array" ref="P2122">SUMPRODUCT(("var_ncap"=[1]OUT_TransportEnergyCons!$B$4:$B$10000)*1,("-"=[1]OUT_TransportEnergyCons!$C$4:$C$10000)*1,ISNUMBER(SEARCH("T_C*pev*GSL*s3",[1]OUT_TransportEnergyCons!$A$4:$A$10000))*1,[1]OUT_TransportEnergyCons!N$4:N$10000)</f>
        <v>6.4714052942550597E-4</v>
      </c>
      <c r="Q2122" s="1" cm="1">
        <f t="array" ref="Q2122">SUMPRODUCT(("var_ncap"=[1]OUT_TransportEnergyCons!$B$4:$B$10000)*1,("-"=[1]OUT_TransportEnergyCons!$C$4:$C$10000)*1,ISNUMBER(SEARCH("T_C*pev*GSL*s3",[1]OUT_TransportEnergyCons!$A$4:$A$10000))*1,[1]OUT_TransportEnergyCons!O$4:O$10000)</f>
        <v>6.5257473486344695E-4</v>
      </c>
      <c r="S2122" s="3"/>
    </row>
    <row r="2123" spans="2:19" x14ac:dyDescent="0.5">
      <c r="B2123" s="5" t="str">
        <f t="shared" si="2239"/>
        <v>SPS1</v>
      </c>
      <c r="C2123" s="5" t="str">
        <f t="shared" si="2240"/>
        <v>CH</v>
      </c>
      <c r="D2123" t="s">
        <v>2252</v>
      </c>
      <c r="E2123" t="str">
        <f t="shared" si="2241"/>
        <v>Million</v>
      </c>
      <c r="F2123" s="1" cm="1">
        <f t="array" ref="F2123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SUMPRODUCT(("var_ncap"=[1]OUT_TransportEnergyCons!$B$4:$B$10000)*1,("-"=[1]OUT_TransportEnergyCons!$C$4:$C$10000)*1,ISNUMBER(SEARCH("T_C*pev*GSL*s4",[1]OUT_TransportEnergyCons!$A$4:$A$10000))*1,[1]OUT_TransportEnergyCons!E$4:E$10000)</f>
        <v>3.5106100143585199E-4</v>
      </c>
      <c r="H2123" s="1" cm="1">
        <f t="array" ref="H2123">SUMPRODUCT(("var_ncap"=[1]OUT_TransportEnergyCons!$B$4:$B$10000)*1,("-"=[1]OUT_TransportEnergyCons!$C$4:$C$10000)*1,ISNUMBER(SEARCH("T_C*pev*GSL*s4",[1]OUT_TransportEnergyCons!$A$4:$A$10000))*1,[1]OUT_TransportEnergyCons!F$4:F$10000)</f>
        <v>5.1845386794461201E-4</v>
      </c>
      <c r="I2123" s="1" cm="1">
        <f t="array" ref="I2123">SUMPRODUCT(("var_ncap"=[1]OUT_TransportEnergyCons!$B$4:$B$10000)*1,("-"=[1]OUT_TransportEnergyCons!$C$4:$C$10000)*1,ISNUMBER(SEARCH("T_C*pev*GSL*s4",[1]OUT_TransportEnergyCons!$A$4:$A$10000))*1,[1]OUT_TransportEnergyCons!G$4:G$10000)</f>
        <v>4.53302921982032E-3</v>
      </c>
      <c r="J2123" s="1" cm="1">
        <f t="array" ref="J2123">SUMPRODUCT(("var_ncap"=[1]OUT_TransportEnergyCons!$B$4:$B$10000)*1,("-"=[1]OUT_TransportEnergyCons!$C$4:$C$10000)*1,ISNUMBER(SEARCH("T_C*pev*GSL*s4",[1]OUT_TransportEnergyCons!$A$4:$A$10000))*1,[1]OUT_TransportEnergyCons!H$4:H$10000)</f>
        <v>7.1846926306193997E-4</v>
      </c>
      <c r="K2123" s="1" cm="1">
        <f t="array" ref="K2123">SUMPRODUCT(("var_ncap"=[1]OUT_TransportEnergyCons!$B$4:$B$10000)*1,("-"=[1]OUT_TransportEnergyCons!$C$4:$C$10000)*1,ISNUMBER(SEARCH("T_C*pev*GSL*s4",[1]OUT_TransportEnergyCons!$A$4:$A$10000))*1,[1]OUT_TransportEnergyCons!I$4:I$10000)</f>
        <v>0</v>
      </c>
      <c r="L2123" s="1" cm="1">
        <f t="array" ref="L2123">SUMPRODUCT(("var_ncap"=[1]OUT_TransportEnergyCons!$B$4:$B$10000)*1,("-"=[1]OUT_TransportEnergyCons!$C$4:$C$10000)*1,ISNUMBER(SEARCH("T_C*pev*GSL*s4",[1]OUT_TransportEnergyCons!$A$4:$A$10000))*1,[1]OUT_TransportEnergyCons!J$4:J$10000)</f>
        <v>6.8500634075573401E-4</v>
      </c>
      <c r="M2123" s="1" cm="1">
        <f t="array" ref="M2123">SUMPRODUCT(("var_ncap"=[1]OUT_TransportEnergyCons!$B$4:$B$10000)*1,("-"=[1]OUT_TransportEnergyCons!$C$4:$C$10000)*1,ISNUMBER(SEARCH("T_C*pev*GSL*s4",[1]OUT_TransportEnergyCons!$A$4:$A$10000))*1,[1]OUT_TransportEnergyCons!K$4:K$10000)</f>
        <v>0</v>
      </c>
      <c r="N2123" s="1" cm="1">
        <f t="array" ref="N2123">SUMPRODUCT(("var_ncap"=[1]OUT_TransportEnergyCons!$B$4:$B$10000)*1,("-"=[1]OUT_TransportEnergyCons!$C$4:$C$10000)*1,ISNUMBER(SEARCH("T_C*pev*GSL*s4",[1]OUT_TransportEnergyCons!$A$4:$A$10000))*1,[1]OUT_TransportEnergyCons!L$4:L$10000)</f>
        <v>8.7759840705085204E-2</v>
      </c>
      <c r="O2123" s="1" cm="1">
        <f t="array" ref="O2123">SUMPRODUCT(("var_ncap"=[1]OUT_TransportEnergyCons!$B$4:$B$10000)*1,("-"=[1]OUT_TransportEnergyCons!$C$4:$C$10000)*1,ISNUMBER(SEARCH("T_C*pev*GSL*s4",[1]OUT_TransportEnergyCons!$A$4:$A$10000))*1,[1]OUT_TransportEnergyCons!M$4:M$10000)</f>
        <v>0.159451318135336</v>
      </c>
      <c r="P2123" s="1" cm="1">
        <f t="array" ref="P2123">SUMPRODUCT(("var_ncap"=[1]OUT_TransportEnergyCons!$B$4:$B$10000)*1,("-"=[1]OUT_TransportEnergyCons!$C$4:$C$10000)*1,ISNUMBER(SEARCH("T_C*pev*GSL*s4",[1]OUT_TransportEnergyCons!$A$4:$A$10000))*1,[1]OUT_TransportEnergyCons!N$4:N$10000)</f>
        <v>1.7899328541037901E-2</v>
      </c>
      <c r="Q2123" s="1" cm="1">
        <f t="array" ref="Q2123">SUMPRODUCT(("var_ncap"=[1]OUT_TransportEnergyCons!$B$4:$B$10000)*1,("-"=[1]OUT_TransportEnergyCons!$C$4:$C$10000)*1,ISNUMBER(SEARCH("T_C*pev*GSL*s4",[1]OUT_TransportEnergyCons!$A$4:$A$10000))*1,[1]OUT_TransportEnergyCons!O$4:O$10000)</f>
        <v>5.2095578757599799E-2</v>
      </c>
      <c r="S2123" s="3"/>
    </row>
    <row r="2124" spans="2:19" x14ac:dyDescent="0.5">
      <c r="B2124" s="5" t="str">
        <f t="shared" si="2239"/>
        <v>SPS1</v>
      </c>
      <c r="C2124" s="5" t="str">
        <f t="shared" si="2240"/>
        <v>CH</v>
      </c>
      <c r="D2124" t="s">
        <v>2253</v>
      </c>
      <c r="E2124" t="str">
        <f t="shared" si="2241"/>
        <v>Million</v>
      </c>
      <c r="F2124" s="1" cm="1">
        <f t="array" ref="F2124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SUMPRODUCT(("var_ncap"=[1]OUT_TransportEnergyCons!$B$4:$B$10000)*1,("-"=[1]OUT_TransportEnergyCons!$C$4:$C$10000)*1,ISNUMBER(SEARCH("T_C*pev*dsl*s1",[1]OUT_TransportEnergyCons!$A$4:$A$10000))*1,[1]OUT_TransportEnergyCons!E$4:E$10000)</f>
        <v>2.95024149031193E-4</v>
      </c>
      <c r="H2124" s="1" cm="1">
        <f t="array" ref="H2124">SUMPRODUCT(("var_ncap"=[1]OUT_TransportEnergyCons!$B$4:$B$10000)*1,("-"=[1]OUT_TransportEnergyCons!$C$4:$C$10000)*1,ISNUMBER(SEARCH("T_C*pev*dsl*s1",[1]OUT_TransportEnergyCons!$A$4:$A$10000))*1,[1]OUT_TransportEnergyCons!F$4:F$10000)</f>
        <v>9.4846099576034002E-5</v>
      </c>
      <c r="I2124" s="1" cm="1">
        <f t="array" ref="I2124">SUMPRODUCT(("var_ncap"=[1]OUT_TransportEnergyCons!$B$4:$B$10000)*1,("-"=[1]OUT_TransportEnergyCons!$C$4:$C$10000)*1,ISNUMBER(SEARCH("T_C*pev*dsl*s1",[1]OUT_TransportEnergyCons!$A$4:$A$10000))*1,[1]OUT_TransportEnergyCons!G$4:G$10000)</f>
        <v>4.0831018093276199E-4</v>
      </c>
      <c r="J2124" s="1" cm="1">
        <f t="array" ref="J2124">SUMPRODUCT(("var_ncap"=[1]OUT_TransportEnergyCons!$B$4:$B$10000)*1,("-"=[1]OUT_TransportEnergyCons!$C$4:$C$10000)*1,ISNUMBER(SEARCH("T_C*pev*dsl*s1",[1]OUT_TransportEnergyCons!$A$4:$A$10000))*1,[1]OUT_TransportEnergyCons!H$4:H$10000)</f>
        <v>2.8060797035188E-4</v>
      </c>
      <c r="K2124" s="1" cm="1">
        <f t="array" ref="K2124">SUMPRODUCT(("var_ncap"=[1]OUT_TransportEnergyCons!$B$4:$B$10000)*1,("-"=[1]OUT_TransportEnergyCons!$C$4:$C$10000)*1,ISNUMBER(SEARCH("T_C*pev*dsl*s1",[1]OUT_TransportEnergyCons!$A$4:$A$10000))*1,[1]OUT_TransportEnergyCons!I$4:I$10000)</f>
        <v>0</v>
      </c>
      <c r="L2124" s="1" cm="1">
        <f t="array" ref="L2124">SUMPRODUCT(("var_ncap"=[1]OUT_TransportEnergyCons!$B$4:$B$10000)*1,("-"=[1]OUT_TransportEnergyCons!$C$4:$C$10000)*1,ISNUMBER(SEARCH("T_C*pev*dsl*s1",[1]OUT_TransportEnergyCons!$A$4:$A$10000))*1,[1]OUT_TransportEnergyCons!J$4:J$10000)</f>
        <v>2.14669037662517E-3</v>
      </c>
      <c r="M2124" s="1" cm="1">
        <f t="array" ref="M2124">SUMPRODUCT(("var_ncap"=[1]OUT_TransportEnergyCons!$B$4:$B$10000)*1,("-"=[1]OUT_TransportEnergyCons!$C$4:$C$10000)*1,ISNUMBER(SEARCH("T_C*pev*dsl*s1",[1]OUT_TransportEnergyCons!$A$4:$A$10000))*1,[1]OUT_TransportEnergyCons!K$4:K$10000)</f>
        <v>0</v>
      </c>
      <c r="N2124" s="1" cm="1">
        <f t="array" ref="N2124">SUMPRODUCT(("var_ncap"=[1]OUT_TransportEnergyCons!$B$4:$B$10000)*1,("-"=[1]OUT_TransportEnergyCons!$C$4:$C$10000)*1,ISNUMBER(SEARCH("T_C*pev*dsl*s1",[1]OUT_TransportEnergyCons!$A$4:$A$10000))*1,[1]OUT_TransportEnergyCons!L$4:L$10000)</f>
        <v>3.30201806337619E-3</v>
      </c>
      <c r="O2124" s="1" cm="1">
        <f t="array" ref="O2124">SUMPRODUCT(("var_ncap"=[1]OUT_TransportEnergyCons!$B$4:$B$10000)*1,("-"=[1]OUT_TransportEnergyCons!$C$4:$C$10000)*1,ISNUMBER(SEARCH("T_C*pev*dsl*s1",[1]OUT_TransportEnergyCons!$A$4:$A$10000))*1,[1]OUT_TransportEnergyCons!M$4:M$10000)</f>
        <v>2.8396920044194199E-5</v>
      </c>
      <c r="P2124" s="1" cm="1">
        <f t="array" ref="P2124">SUMPRODUCT(("var_ncap"=[1]OUT_TransportEnergyCons!$B$4:$B$10000)*1,("-"=[1]OUT_TransportEnergyCons!$C$4:$C$10000)*1,ISNUMBER(SEARCH("T_C*pev*dsl*s1",[1]OUT_TransportEnergyCons!$A$4:$A$10000))*1,[1]OUT_TransportEnergyCons!N$4:N$10000)</f>
        <v>2.51789858437568E-5</v>
      </c>
      <c r="Q2124" s="1" cm="1">
        <f t="array" ref="Q2124">SUMPRODUCT(("var_ncap"=[1]OUT_TransportEnergyCons!$B$4:$B$10000)*1,("-"=[1]OUT_TransportEnergyCons!$C$4:$C$10000)*1,ISNUMBER(SEARCH("T_C*pev*dsl*s1",[1]OUT_TransportEnergyCons!$A$4:$A$10000))*1,[1]OUT_TransportEnergyCons!O$4:O$10000)</f>
        <v>3.8663555815067303E-5</v>
      </c>
      <c r="S2124" s="3"/>
    </row>
    <row r="2125" spans="2:19" x14ac:dyDescent="0.5">
      <c r="B2125" s="5" t="str">
        <f t="shared" si="2239"/>
        <v>SPS1</v>
      </c>
      <c r="C2125" s="5" t="str">
        <f t="shared" si="2240"/>
        <v>CH</v>
      </c>
      <c r="D2125" t="s">
        <v>2254</v>
      </c>
      <c r="E2125" t="str">
        <f t="shared" si="2241"/>
        <v>Million</v>
      </c>
      <c r="F2125" s="1" cm="1">
        <f t="array" ref="F2125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SUMPRODUCT(("var_ncap"=[1]OUT_TransportEnergyCons!$B$4:$B$10000)*1,("-"=[1]OUT_TransportEnergyCons!$C$4:$C$10000)*1,ISNUMBER(SEARCH("T_C*pev*dsl*s2",[1]OUT_TransportEnergyCons!$A$4:$A$10000))*1,[1]OUT_TransportEnergyCons!E$4:E$10000)</f>
        <v>1.30016411828693E-4</v>
      </c>
      <c r="H2125" s="1" cm="1">
        <f t="array" ref="H2125">SUMPRODUCT(("var_ncap"=[1]OUT_TransportEnergyCons!$B$4:$B$10000)*1,("-"=[1]OUT_TransportEnergyCons!$C$4:$C$10000)*1,ISNUMBER(SEARCH("T_C*pev*dsl*s2",[1]OUT_TransportEnergyCons!$A$4:$A$10000))*1,[1]OUT_TransportEnergyCons!F$4:F$10000)</f>
        <v>1.02352761847132E-4</v>
      </c>
      <c r="I2125" s="1" cm="1">
        <f t="array" ref="I2125">SUMPRODUCT(("var_ncap"=[1]OUT_TransportEnergyCons!$B$4:$B$10000)*1,("-"=[1]OUT_TransportEnergyCons!$C$4:$C$10000)*1,ISNUMBER(SEARCH("T_C*pev*dsl*s2",[1]OUT_TransportEnergyCons!$A$4:$A$10000))*1,[1]OUT_TransportEnergyCons!G$4:G$10000)</f>
        <v>0.16153676993003099</v>
      </c>
      <c r="J2125" s="1" cm="1">
        <f t="array" ref="J2125">SUMPRODUCT(("var_ncap"=[1]OUT_TransportEnergyCons!$B$4:$B$10000)*1,("-"=[1]OUT_TransportEnergyCons!$C$4:$C$10000)*1,ISNUMBER(SEARCH("T_C*pev*dsl*s2",[1]OUT_TransportEnergyCons!$A$4:$A$10000))*1,[1]OUT_TransportEnergyCons!H$4:H$10000)</f>
        <v>4.3791555064141098E-4</v>
      </c>
      <c r="K2125" s="1" cm="1">
        <f t="array" ref="K2125">SUMPRODUCT(("var_ncap"=[1]OUT_TransportEnergyCons!$B$4:$B$10000)*1,("-"=[1]OUT_TransportEnergyCons!$C$4:$C$10000)*1,ISNUMBER(SEARCH("T_C*pev*dsl*s2",[1]OUT_TransportEnergyCons!$A$4:$A$10000))*1,[1]OUT_TransportEnergyCons!I$4:I$10000)</f>
        <v>0</v>
      </c>
      <c r="L2125" s="1" cm="1">
        <f t="array" ref="L2125">SUMPRODUCT(("var_ncap"=[1]OUT_TransportEnergyCons!$B$4:$B$10000)*1,("-"=[1]OUT_TransportEnergyCons!$C$4:$C$10000)*1,ISNUMBER(SEARCH("T_C*pev*dsl*s2",[1]OUT_TransportEnergyCons!$A$4:$A$10000))*1,[1]OUT_TransportEnergyCons!J$4:J$10000)</f>
        <v>6.45905528218714E-3</v>
      </c>
      <c r="M2125" s="1" cm="1">
        <f t="array" ref="M2125">SUMPRODUCT(("var_ncap"=[1]OUT_TransportEnergyCons!$B$4:$B$10000)*1,("-"=[1]OUT_TransportEnergyCons!$C$4:$C$10000)*1,ISNUMBER(SEARCH("T_C*pev*dsl*s2",[1]OUT_TransportEnergyCons!$A$4:$A$10000))*1,[1]OUT_TransportEnergyCons!K$4:K$10000)</f>
        <v>0</v>
      </c>
      <c r="N2125" s="1" cm="1">
        <f t="array" ref="N2125">SUMPRODUCT(("var_ncap"=[1]OUT_TransportEnergyCons!$B$4:$B$10000)*1,("-"=[1]OUT_TransportEnergyCons!$C$4:$C$10000)*1,ISNUMBER(SEARCH("T_C*pev*dsl*s2",[1]OUT_TransportEnergyCons!$A$4:$A$10000))*1,[1]OUT_TransportEnergyCons!L$4:L$10000)</f>
        <v>1.60266188726911E-4</v>
      </c>
      <c r="O2125" s="1" cm="1">
        <f t="array" ref="O2125">SUMPRODUCT(("var_ncap"=[1]OUT_TransportEnergyCons!$B$4:$B$10000)*1,("-"=[1]OUT_TransportEnergyCons!$C$4:$C$10000)*1,ISNUMBER(SEARCH("T_C*pev*dsl*s2",[1]OUT_TransportEnergyCons!$A$4:$A$10000))*1,[1]OUT_TransportEnergyCons!M$4:M$10000)</f>
        <v>3.0741262123011802E-5</v>
      </c>
      <c r="P2125" s="1" cm="1">
        <f t="array" ref="P2125">SUMPRODUCT(("var_ncap"=[1]OUT_TransportEnergyCons!$B$4:$B$10000)*1,("-"=[1]OUT_TransportEnergyCons!$C$4:$C$10000)*1,ISNUMBER(SEARCH("T_C*pev*dsl*s2",[1]OUT_TransportEnergyCons!$A$4:$A$10000))*1,[1]OUT_TransportEnergyCons!N$4:N$10000)</f>
        <v>2.5047387438423001E-5</v>
      </c>
      <c r="Q2125" s="1" cm="1">
        <f t="array" ref="Q2125">SUMPRODUCT(("var_ncap"=[1]OUT_TransportEnergyCons!$B$4:$B$10000)*1,("-"=[1]OUT_TransportEnergyCons!$C$4:$C$10000)*1,ISNUMBER(SEARCH("T_C*pev*dsl*s2",[1]OUT_TransportEnergyCons!$A$4:$A$10000))*1,[1]OUT_TransportEnergyCons!O$4:O$10000)</f>
        <v>4.5499413605135702E-5</v>
      </c>
      <c r="S2125" s="3"/>
    </row>
    <row r="2126" spans="2:19" x14ac:dyDescent="0.5">
      <c r="B2126" s="5" t="str">
        <f t="shared" si="2239"/>
        <v>SPS1</v>
      </c>
      <c r="C2126" s="5" t="str">
        <f t="shared" si="2240"/>
        <v>CH</v>
      </c>
      <c r="D2126" t="s">
        <v>2255</v>
      </c>
      <c r="E2126" t="str">
        <f t="shared" si="2241"/>
        <v>Million</v>
      </c>
      <c r="F2126" s="1" cm="1">
        <f t="array" ref="F2126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SUMPRODUCT(("var_ncap"=[1]OUT_TransportEnergyCons!$B$4:$B$10000)*1,("-"=[1]OUT_TransportEnergyCons!$C$4:$C$10000)*1,ISNUMBER(SEARCH("T_C*pev*dsl*s3",[1]OUT_TransportEnergyCons!$A$4:$A$10000))*1,[1]OUT_TransportEnergyCons!E$4:E$10000)</f>
        <v>3.0527751190447702E-2</v>
      </c>
      <c r="H2126" s="1" cm="1">
        <f t="array" ref="H2126">SUMPRODUCT(("var_ncap"=[1]OUT_TransportEnergyCons!$B$4:$B$10000)*1,("-"=[1]OUT_TransportEnergyCons!$C$4:$C$10000)*1,ISNUMBER(SEARCH("T_C*pev*dsl*s3",[1]OUT_TransportEnergyCons!$A$4:$A$10000))*1,[1]OUT_TransportEnergyCons!F$4:F$10000)</f>
        <v>3.9366102139091502E-2</v>
      </c>
      <c r="I2126" s="1" cm="1">
        <f t="array" ref="I2126">SUMPRODUCT(("var_ncap"=[1]OUT_TransportEnergyCons!$B$4:$B$10000)*1,("-"=[1]OUT_TransportEnergyCons!$C$4:$C$10000)*1,ISNUMBER(SEARCH("T_C*pev*dsl*s3",[1]OUT_TransportEnergyCons!$A$4:$A$10000))*1,[1]OUT_TransportEnergyCons!G$4:G$10000)</f>
        <v>1.6380291016100501E-3</v>
      </c>
      <c r="J2126" s="1" cm="1">
        <f t="array" ref="J2126">SUMPRODUCT(("var_ncap"=[1]OUT_TransportEnergyCons!$B$4:$B$10000)*1,("-"=[1]OUT_TransportEnergyCons!$C$4:$C$10000)*1,ISNUMBER(SEARCH("T_C*pev*dsl*s3",[1]OUT_TransportEnergyCons!$A$4:$A$10000))*1,[1]OUT_TransportEnergyCons!H$4:H$10000)</f>
        <v>0.28060988585928398</v>
      </c>
      <c r="K2126" s="1" cm="1">
        <f t="array" ref="K2126">SUMPRODUCT(("var_ncap"=[1]OUT_TransportEnergyCons!$B$4:$B$10000)*1,("-"=[1]OUT_TransportEnergyCons!$C$4:$C$10000)*1,ISNUMBER(SEARCH("T_C*pev*dsl*s3",[1]OUT_TransportEnergyCons!$A$4:$A$10000))*1,[1]OUT_TransportEnergyCons!I$4:I$10000)</f>
        <v>0</v>
      </c>
      <c r="L2126" s="1" cm="1">
        <f t="array" ref="L2126">SUMPRODUCT(("var_ncap"=[1]OUT_TransportEnergyCons!$B$4:$B$10000)*1,("-"=[1]OUT_TransportEnergyCons!$C$4:$C$10000)*1,ISNUMBER(SEARCH("T_C*pev*dsl*s3",[1]OUT_TransportEnergyCons!$A$4:$A$10000))*1,[1]OUT_TransportEnergyCons!J$4:J$10000)</f>
        <v>5.0177094883755803E-2</v>
      </c>
      <c r="M2126" s="1" cm="1">
        <f t="array" ref="M2126">SUMPRODUCT(("var_ncap"=[1]OUT_TransportEnergyCons!$B$4:$B$10000)*1,("-"=[1]OUT_TransportEnergyCons!$C$4:$C$10000)*1,ISNUMBER(SEARCH("T_C*pev*dsl*s3",[1]OUT_TransportEnergyCons!$A$4:$A$10000))*1,[1]OUT_TransportEnergyCons!K$4:K$10000)</f>
        <v>0</v>
      </c>
      <c r="N2126" s="1" cm="1">
        <f t="array" ref="N2126">SUMPRODUCT(("var_ncap"=[1]OUT_TransportEnergyCons!$B$4:$B$10000)*1,("-"=[1]OUT_TransportEnergyCons!$C$4:$C$10000)*1,ISNUMBER(SEARCH("T_C*pev*dsl*s3",[1]OUT_TransportEnergyCons!$A$4:$A$10000))*1,[1]OUT_TransportEnergyCons!L$4:L$10000)</f>
        <v>2.04352101343489E-4</v>
      </c>
      <c r="O2126" s="1" cm="1">
        <f t="array" ref="O2126">SUMPRODUCT(("var_ncap"=[1]OUT_TransportEnergyCons!$B$4:$B$10000)*1,("-"=[1]OUT_TransportEnergyCons!$C$4:$C$10000)*1,ISNUMBER(SEARCH("T_C*pev*dsl*s3",[1]OUT_TransportEnergyCons!$A$4:$A$10000))*1,[1]OUT_TransportEnergyCons!M$4:M$10000)</f>
        <v>3.6394489392417701E-5</v>
      </c>
      <c r="P2126" s="1" cm="1">
        <f t="array" ref="P2126">SUMPRODUCT(("var_ncap"=[1]OUT_TransportEnergyCons!$B$4:$B$10000)*1,("-"=[1]OUT_TransportEnergyCons!$C$4:$C$10000)*1,ISNUMBER(SEARCH("T_C*pev*dsl*s3",[1]OUT_TransportEnergyCons!$A$4:$A$10000))*1,[1]OUT_TransportEnergyCons!N$4:N$10000)</f>
        <v>3.1241344662618603E-5</v>
      </c>
      <c r="Q2126" s="1" cm="1">
        <f t="array" ref="Q2126">SUMPRODUCT(("var_ncap"=[1]OUT_TransportEnergyCons!$B$4:$B$10000)*1,("-"=[1]OUT_TransportEnergyCons!$C$4:$C$10000)*1,ISNUMBER(SEARCH("T_C*pev*dsl*s3",[1]OUT_TransportEnergyCons!$A$4:$A$10000))*1,[1]OUT_TransportEnergyCons!O$4:O$10000)</f>
        <v>5.2639169368890002E-5</v>
      </c>
      <c r="S2126" s="3"/>
    </row>
    <row r="2127" spans="2:19" x14ac:dyDescent="0.5">
      <c r="B2127" s="5" t="str">
        <f t="shared" si="2239"/>
        <v>SPS1</v>
      </c>
      <c r="C2127" s="5" t="str">
        <f t="shared" si="2240"/>
        <v>CH</v>
      </c>
      <c r="D2127" t="s">
        <v>2256</v>
      </c>
      <c r="E2127" t="str">
        <f t="shared" si="2241"/>
        <v>Million</v>
      </c>
      <c r="F2127" s="1" cm="1">
        <f t="array" ref="F2127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SUMPRODUCT(("var_ncap"=[1]OUT_TransportEnergyCons!$B$4:$B$10000)*1,("-"=[1]OUT_TransportEnergyCons!$C$4:$C$10000)*1,ISNUMBER(SEARCH("T_C*pev*dsl*s4",[1]OUT_TransportEnergyCons!$A$4:$A$10000))*1,[1]OUT_TransportEnergyCons!E$4:E$10000)</f>
        <v>7.9700452910297598E-4</v>
      </c>
      <c r="H2127" s="1" cm="1">
        <f t="array" ref="H2127">SUMPRODUCT(("var_ncap"=[1]OUT_TransportEnergyCons!$B$4:$B$10000)*1,("-"=[1]OUT_TransportEnergyCons!$C$4:$C$10000)*1,ISNUMBER(SEARCH("T_C*pev*dsl*s4",[1]OUT_TransportEnergyCons!$A$4:$A$10000))*1,[1]OUT_TransportEnergyCons!F$4:F$10000)</f>
        <v>6.5324730002475604E-4</v>
      </c>
      <c r="I2127" s="1" cm="1">
        <f t="array" ref="I2127">SUMPRODUCT(("var_ncap"=[1]OUT_TransportEnergyCons!$B$4:$B$10000)*1,("-"=[1]OUT_TransportEnergyCons!$C$4:$C$10000)*1,ISNUMBER(SEARCH("T_C*pev*dsl*s4",[1]OUT_TransportEnergyCons!$A$4:$A$10000))*1,[1]OUT_TransportEnergyCons!G$4:G$10000)</f>
        <v>0.15526663985650299</v>
      </c>
      <c r="J2127" s="1" cm="1">
        <f t="array" ref="J2127">SUMPRODUCT(("var_ncap"=[1]OUT_TransportEnergyCons!$B$4:$B$10000)*1,("-"=[1]OUT_TransportEnergyCons!$C$4:$C$10000)*1,ISNUMBER(SEARCH("T_C*pev*dsl*s4",[1]OUT_TransportEnergyCons!$A$4:$A$10000))*1,[1]OUT_TransportEnergyCons!H$4:H$10000)</f>
        <v>8.7537306428458095E-4</v>
      </c>
      <c r="K2127" s="1" cm="1">
        <f t="array" ref="K2127">SUMPRODUCT(("var_ncap"=[1]OUT_TransportEnergyCons!$B$4:$B$10000)*1,("-"=[1]OUT_TransportEnergyCons!$C$4:$C$10000)*1,ISNUMBER(SEARCH("T_C*pev*dsl*s4",[1]OUT_TransportEnergyCons!$A$4:$A$10000))*1,[1]OUT_TransportEnergyCons!I$4:I$10000)</f>
        <v>0</v>
      </c>
      <c r="L2127" s="1" cm="1">
        <f t="array" ref="L2127">SUMPRODUCT(("var_ncap"=[1]OUT_TransportEnergyCons!$B$4:$B$10000)*1,("-"=[1]OUT_TransportEnergyCons!$C$4:$C$10000)*1,ISNUMBER(SEARCH("T_C*pev*dsl*s4",[1]OUT_TransportEnergyCons!$A$4:$A$10000))*1,[1]OUT_TransportEnergyCons!J$4:J$10000)</f>
        <v>0.17038565117728699</v>
      </c>
      <c r="M2127" s="1" cm="1">
        <f t="array" ref="M2127">SUMPRODUCT(("var_ncap"=[1]OUT_TransportEnergyCons!$B$4:$B$10000)*1,("-"=[1]OUT_TransportEnergyCons!$C$4:$C$10000)*1,ISNUMBER(SEARCH("T_C*pev*dsl*s4",[1]OUT_TransportEnergyCons!$A$4:$A$10000))*1,[1]OUT_TransportEnergyCons!K$4:K$10000)</f>
        <v>0</v>
      </c>
      <c r="N2127" s="1" cm="1">
        <f t="array" ref="N2127">SUMPRODUCT(("var_ncap"=[1]OUT_TransportEnergyCons!$B$4:$B$10000)*1,("-"=[1]OUT_TransportEnergyCons!$C$4:$C$10000)*1,ISNUMBER(SEARCH("T_C*pev*dsl*s4",[1]OUT_TransportEnergyCons!$A$4:$A$10000))*1,[1]OUT_TransportEnergyCons!L$4:L$10000)</f>
        <v>5.7793136600708298E-2</v>
      </c>
      <c r="O2127" s="1" cm="1">
        <f t="array" ref="O2127">SUMPRODUCT(("var_ncap"=[1]OUT_TransportEnergyCons!$B$4:$B$10000)*1,("-"=[1]OUT_TransportEnergyCons!$C$4:$C$10000)*1,ISNUMBER(SEARCH("T_C*pev*dsl*s4",[1]OUT_TransportEnergyCons!$A$4:$A$10000))*1,[1]OUT_TransportEnergyCons!M$4:M$10000)</f>
        <v>0.118960779527354</v>
      </c>
      <c r="P2127" s="1" cm="1">
        <f t="array" ref="P2127">SUMPRODUCT(("var_ncap"=[1]OUT_TransportEnergyCons!$B$4:$B$10000)*1,("-"=[1]OUT_TransportEnergyCons!$C$4:$C$10000)*1,ISNUMBER(SEARCH("T_C*pev*dsl*s4",[1]OUT_TransportEnergyCons!$A$4:$A$10000))*1,[1]OUT_TransportEnergyCons!N$4:N$10000)</f>
        <v>1.17494495868642E-2</v>
      </c>
      <c r="Q2127" s="1" cm="1">
        <f t="array" ref="Q2127">SUMPRODUCT(("var_ncap"=[1]OUT_TransportEnergyCons!$B$4:$B$10000)*1,("-"=[1]OUT_TransportEnergyCons!$C$4:$C$10000)*1,ISNUMBER(SEARCH("T_C*pev*dsl*s4",[1]OUT_TransportEnergyCons!$A$4:$A$10000))*1,[1]OUT_TransportEnergyCons!O$4:O$10000)</f>
        <v>3.31051551074013E-2</v>
      </c>
      <c r="S2127" s="3"/>
    </row>
    <row r="2128" spans="2:19" x14ac:dyDescent="0.5">
      <c r="B2128" s="5" t="str">
        <f t="shared" si="2239"/>
        <v>SPS1</v>
      </c>
      <c r="C2128" s="5" t="str">
        <f t="shared" si="2240"/>
        <v>CH</v>
      </c>
      <c r="D2128" t="s">
        <v>2257</v>
      </c>
      <c r="E2128" t="str">
        <f t="shared" si="2241"/>
        <v>Million</v>
      </c>
      <c r="F2128" s="1" cm="1">
        <f t="array" ref="F2128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SUMPRODUCT(("var_ncap"=[1]OUT_TransportEnergyCons!$B$4:$B$10000)*1,("-"=[1]OUT_TransportEnergyCons!$C$4:$C$10000)*1,ISNUMBER(SEARCH("T_C*h2o*s1",[1]OUT_TransportEnergyCons!$A$4:$A$10000))*1,[1]OUT_TransportEnergyCons!E$4:E$10000)</f>
        <v>1.08095474037292E-5</v>
      </c>
      <c r="H2128" s="1" cm="1">
        <f t="array" ref="H2128">SUMPRODUCT(("var_ncap"=[1]OUT_TransportEnergyCons!$B$4:$B$10000)*1,("-"=[1]OUT_TransportEnergyCons!$C$4:$C$10000)*1,ISNUMBER(SEARCH("T_C*h2o*s1",[1]OUT_TransportEnergyCons!$A$4:$A$10000))*1,[1]OUT_TransportEnergyCons!F$4:F$10000)</f>
        <v>3.8939493709176097E-6</v>
      </c>
      <c r="I2128" s="1" cm="1">
        <f t="array" ref="I2128">SUMPRODUCT(("var_ncap"=[1]OUT_TransportEnergyCons!$B$4:$B$10000)*1,("-"=[1]OUT_TransportEnergyCons!$C$4:$C$10000)*1,ISNUMBER(SEARCH("T_C*h2o*s1",[1]OUT_TransportEnergyCons!$A$4:$A$10000))*1,[1]OUT_TransportEnergyCons!G$4:G$10000)</f>
        <v>5.7085685617843502E-8</v>
      </c>
      <c r="J2128" s="1" cm="1">
        <f t="array" ref="J2128">SUMPRODUCT(("var_ncap"=[1]OUT_TransportEnergyCons!$B$4:$B$10000)*1,("-"=[1]OUT_TransportEnergyCons!$C$4:$C$10000)*1,ISNUMBER(SEARCH("T_C*h2o*s1",[1]OUT_TransportEnergyCons!$A$4:$A$10000))*1,[1]OUT_TransportEnergyCons!H$4:H$10000)</f>
        <v>1.9992845024480499E-6</v>
      </c>
      <c r="K2128" s="1" cm="1">
        <f t="array" ref="K2128">SUMPRODUCT(("var_ncap"=[1]OUT_TransportEnergyCons!$B$4:$B$10000)*1,("-"=[1]OUT_TransportEnergyCons!$C$4:$C$10000)*1,ISNUMBER(SEARCH("T_C*h2o*s1",[1]OUT_TransportEnergyCons!$A$4:$A$10000))*1,[1]OUT_TransportEnergyCons!I$4:I$10000)</f>
        <v>1.4023635104785699E-6</v>
      </c>
      <c r="L2128" s="1" cm="1">
        <f t="array" ref="L2128">SUMPRODUCT(("var_ncap"=[1]OUT_TransportEnergyCons!$B$4:$B$10000)*1,("-"=[1]OUT_TransportEnergyCons!$C$4:$C$10000)*1,ISNUMBER(SEARCH("T_C*h2o*s1",[1]OUT_TransportEnergyCons!$A$4:$A$10000))*1,[1]OUT_TransportEnergyCons!J$4:J$10000)</f>
        <v>7.4922303664914698E-7</v>
      </c>
      <c r="M2128" s="1" cm="1">
        <f t="array" ref="M2128">SUMPRODUCT(("var_ncap"=[1]OUT_TransportEnergyCons!$B$4:$B$10000)*1,("-"=[1]OUT_TransportEnergyCons!$C$4:$C$10000)*1,ISNUMBER(SEARCH("T_C*h2o*s1",[1]OUT_TransportEnergyCons!$A$4:$A$10000))*1,[1]OUT_TransportEnergyCons!K$4:K$10000)</f>
        <v>1.0786714916415601E-6</v>
      </c>
      <c r="N2128" s="1" cm="1">
        <f t="array" ref="N2128">SUMPRODUCT(("var_ncap"=[1]OUT_TransportEnergyCons!$B$4:$B$10000)*1,("-"=[1]OUT_TransportEnergyCons!$C$4:$C$10000)*1,ISNUMBER(SEARCH("T_C*h2o*s1",[1]OUT_TransportEnergyCons!$A$4:$A$10000))*1,[1]OUT_TransportEnergyCons!L$4:L$10000)</f>
        <v>9.6127578716441604E-7</v>
      </c>
      <c r="O2128" s="1" cm="1">
        <f t="array" ref="O2128">SUMPRODUCT(("var_ncap"=[1]OUT_TransportEnergyCons!$B$4:$B$10000)*1,("-"=[1]OUT_TransportEnergyCons!$C$4:$C$10000)*1,ISNUMBER(SEARCH("T_C*h2o*s1",[1]OUT_TransportEnergyCons!$A$4:$A$10000))*1,[1]OUT_TransportEnergyCons!M$4:M$10000)</f>
        <v>8.7161425925459799E-7</v>
      </c>
      <c r="P2128" s="1" cm="1">
        <f t="array" ref="P2128">SUMPRODUCT(("var_ncap"=[1]OUT_TransportEnergyCons!$B$4:$B$10000)*1,("-"=[1]OUT_TransportEnergyCons!$C$4:$C$10000)*1,ISNUMBER(SEARCH("T_C*h2o*s1",[1]OUT_TransportEnergyCons!$A$4:$A$10000))*1,[1]OUT_TransportEnergyCons!N$4:N$10000)</f>
        <v>1.1116579497327601E-6</v>
      </c>
      <c r="Q2128" s="1" cm="1">
        <f t="array" ref="Q2128">SUMPRODUCT(("var_ncap"=[1]OUT_TransportEnergyCons!$B$4:$B$10000)*1,("-"=[1]OUT_TransportEnergyCons!$C$4:$C$10000)*1,ISNUMBER(SEARCH("T_C*h2o*s1",[1]OUT_TransportEnergyCons!$A$4:$A$10000))*1,[1]OUT_TransportEnergyCons!O$4:O$10000)</f>
        <v>1.3973041123269601E-6</v>
      </c>
      <c r="S2128" s="3"/>
    </row>
    <row r="2129" spans="2:19" x14ac:dyDescent="0.5">
      <c r="B2129" s="5" t="str">
        <f t="shared" si="2239"/>
        <v>SPS1</v>
      </c>
      <c r="C2129" s="5" t="str">
        <f t="shared" si="2240"/>
        <v>CH</v>
      </c>
      <c r="D2129" t="s">
        <v>2258</v>
      </c>
      <c r="E2129" t="str">
        <f t="shared" si="2241"/>
        <v>Million</v>
      </c>
      <c r="F2129" s="1" cm="1">
        <f t="array" ref="F2129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SUMPRODUCT(("var_ncap"=[1]OUT_TransportEnergyCons!$B$4:$B$10000)*1,("-"=[1]OUT_TransportEnergyCons!$C$4:$C$10000)*1,ISNUMBER(SEARCH("T_C*h2o*s2",[1]OUT_TransportEnergyCons!$A$4:$A$10000))*1,[1]OUT_TransportEnergyCons!E$4:E$10000)</f>
        <v>3.78791515449598E-6</v>
      </c>
      <c r="H2129" s="1" cm="1">
        <f t="array" ref="H2129">SUMPRODUCT(("var_ncap"=[1]OUT_TransportEnergyCons!$B$4:$B$10000)*1,("-"=[1]OUT_TransportEnergyCons!$C$4:$C$10000)*1,ISNUMBER(SEARCH("T_C*h2o*s2",[1]OUT_TransportEnergyCons!$A$4:$A$10000))*1,[1]OUT_TransportEnergyCons!F$4:F$10000)</f>
        <v>2.6246085003194798E-6</v>
      </c>
      <c r="I2129" s="1" cm="1">
        <f t="array" ref="I2129">SUMPRODUCT(("var_ncap"=[1]OUT_TransportEnergyCons!$B$4:$B$10000)*1,("-"=[1]OUT_TransportEnergyCons!$C$4:$C$10000)*1,ISNUMBER(SEARCH("T_C*h2o*s2",[1]OUT_TransportEnergyCons!$A$4:$A$10000))*1,[1]OUT_TransportEnergyCons!G$4:G$10000)</f>
        <v>7.5596039659561997E-7</v>
      </c>
      <c r="J2129" s="1" cm="1">
        <f t="array" ref="J2129">SUMPRODUCT(("var_ncap"=[1]OUT_TransportEnergyCons!$B$4:$B$10000)*1,("-"=[1]OUT_TransportEnergyCons!$C$4:$C$10000)*1,ISNUMBER(SEARCH("T_C*h2o*s2",[1]OUT_TransportEnergyCons!$A$4:$A$10000))*1,[1]OUT_TransportEnergyCons!H$4:H$10000)</f>
        <v>3.09595057370342E-6</v>
      </c>
      <c r="K2129" s="1" cm="1">
        <f t="array" ref="K2129">SUMPRODUCT(("var_ncap"=[1]OUT_TransportEnergyCons!$B$4:$B$10000)*1,("-"=[1]OUT_TransportEnergyCons!$C$4:$C$10000)*1,ISNUMBER(SEARCH("T_C*h2o*s2",[1]OUT_TransportEnergyCons!$A$4:$A$10000))*1,[1]OUT_TransportEnergyCons!I$4:I$10000)</f>
        <v>2.6973347213491699E-6</v>
      </c>
      <c r="L2129" s="1" cm="1">
        <f t="array" ref="L2129">SUMPRODUCT(("var_ncap"=[1]OUT_TransportEnergyCons!$B$4:$B$10000)*1,("-"=[1]OUT_TransportEnergyCons!$C$4:$C$10000)*1,ISNUMBER(SEARCH("T_C*h2o*s2",[1]OUT_TransportEnergyCons!$A$4:$A$10000))*1,[1]OUT_TransportEnergyCons!J$4:J$10000)</f>
        <v>1.9938459312407798E-6</v>
      </c>
      <c r="M2129" s="1" cm="1">
        <f t="array" ref="M2129">SUMPRODUCT(("var_ncap"=[1]OUT_TransportEnergyCons!$B$4:$B$10000)*1,("-"=[1]OUT_TransportEnergyCons!$C$4:$C$10000)*1,ISNUMBER(SEARCH("T_C*h2o*s2",[1]OUT_TransportEnergyCons!$A$4:$A$10000))*1,[1]OUT_TransportEnergyCons!K$4:K$10000)</f>
        <v>2.5774119855638701E-6</v>
      </c>
      <c r="N2129" s="1" cm="1">
        <f t="array" ref="N2129">SUMPRODUCT(("var_ncap"=[1]OUT_TransportEnergyCons!$B$4:$B$10000)*1,("-"=[1]OUT_TransportEnergyCons!$C$4:$C$10000)*1,ISNUMBER(SEARCH("T_C*h2o*s2",[1]OUT_TransportEnergyCons!$A$4:$A$10000))*1,[1]OUT_TransportEnergyCons!L$4:L$10000)</f>
        <v>2.24213532199314E-6</v>
      </c>
      <c r="O2129" s="1" cm="1">
        <f t="array" ref="O2129">SUMPRODUCT(("var_ncap"=[1]OUT_TransportEnergyCons!$B$4:$B$10000)*1,("-"=[1]OUT_TransportEnergyCons!$C$4:$C$10000)*1,ISNUMBER(SEARCH("T_C*h2o*s2",[1]OUT_TransportEnergyCons!$A$4:$A$10000))*1,[1]OUT_TransportEnergyCons!M$4:M$10000)</f>
        <v>2.0280437665799301E-6</v>
      </c>
      <c r="P2129" s="1" cm="1">
        <f t="array" ref="P2129">SUMPRODUCT(("var_ncap"=[1]OUT_TransportEnergyCons!$B$4:$B$10000)*1,("-"=[1]OUT_TransportEnergyCons!$C$4:$C$10000)*1,ISNUMBER(SEARCH("T_C*h2o*s2",[1]OUT_TransportEnergyCons!$A$4:$A$10000))*1,[1]OUT_TransportEnergyCons!N$4:N$10000)</f>
        <v>2.30115472994974E-6</v>
      </c>
      <c r="Q2129" s="1" cm="1">
        <f t="array" ref="Q2129">SUMPRODUCT(("var_ncap"=[1]OUT_TransportEnergyCons!$B$4:$B$10000)*1,("-"=[1]OUT_TransportEnergyCons!$C$4:$C$10000)*1,ISNUMBER(SEARCH("T_C*h2o*s2",[1]OUT_TransportEnergyCons!$A$4:$A$10000))*1,[1]OUT_TransportEnergyCons!O$4:O$10000)</f>
        <v>2.81649012531787E-6</v>
      </c>
      <c r="S2129" s="3"/>
    </row>
    <row r="2130" spans="2:19" x14ac:dyDescent="0.5">
      <c r="B2130" s="5" t="str">
        <f t="shared" si="2239"/>
        <v>SPS1</v>
      </c>
      <c r="C2130" s="5" t="str">
        <f t="shared" si="2240"/>
        <v>CH</v>
      </c>
      <c r="D2130" t="s">
        <v>2259</v>
      </c>
      <c r="E2130" t="str">
        <f t="shared" si="2241"/>
        <v>Million</v>
      </c>
      <c r="F2130" s="1" cm="1">
        <f t="array" ref="F2130">SUMPRODUCT(("var_ncap"=[1]OUT_TransportEnergyCons!$B$4:$B$10000)*1,("-"=[1]OUT_TransportEnergyCons!$C$4:$C$10000)*1,ISNUMBER(SEARCH("T_C*h2o*s3",[1]OUT_TransportEnergyCons!$A$4:$A$10000))*1,[1]OUT_TransportEnergyCons!D$4:D$10000)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SUMPRODUCT(("var_ncap"=[1]OUT_TransportEnergyCons!$B$4:$B$10000)*1,("-"=[1]OUT_TransportEnergyCons!$C$4:$C$10000)*1,ISNUMBER(SEARCH("T_C*h2o*s3",[1]OUT_TransportEnergyCons!$A$4:$A$10000))*1,[1]OUT_TransportEnergyCons!E$4:E$10000)</f>
        <v>3.4464161618641399E-6</v>
      </c>
      <c r="H2130" s="1" cm="1">
        <f t="array" ref="H2130">SUMPRODUCT(("var_ncap"=[1]OUT_TransportEnergyCons!$B$4:$B$10000)*1,("-"=[1]OUT_TransportEnergyCons!$C$4:$C$10000)*1,ISNUMBER(SEARCH("T_C*h2o*s3",[1]OUT_TransportEnergyCons!$A$4:$A$10000))*1,[1]OUT_TransportEnergyCons!F$4:F$10000)</f>
        <v>2.69564642416913E-6</v>
      </c>
      <c r="I2130" s="1" cm="1">
        <f t="array" ref="I2130">SUMPRODUCT(("var_ncap"=[1]OUT_TransportEnergyCons!$B$4:$B$10000)*1,("-"=[1]OUT_TransportEnergyCons!$C$4:$C$10000)*1,ISNUMBER(SEARCH("T_C*h2o*s3",[1]OUT_TransportEnergyCons!$A$4:$A$10000))*1,[1]OUT_TransportEnergyCons!G$4:G$10000)</f>
        <v>7.9474108103898505E-7</v>
      </c>
      <c r="J2130" s="1" cm="1">
        <f t="array" ref="J2130">SUMPRODUCT(("var_ncap"=[1]OUT_TransportEnergyCons!$B$4:$B$10000)*1,("-"=[1]OUT_TransportEnergyCons!$C$4:$C$10000)*1,ISNUMBER(SEARCH("T_C*h2o*s3",[1]OUT_TransportEnergyCons!$A$4:$A$10000))*1,[1]OUT_TransportEnergyCons!H$4:H$10000)</f>
        <v>2.9759507829093199E-6</v>
      </c>
      <c r="K2130" s="1" cm="1">
        <f t="array" ref="K2130">SUMPRODUCT(("var_ncap"=[1]OUT_TransportEnergyCons!$B$4:$B$10000)*1,("-"=[1]OUT_TransportEnergyCons!$C$4:$C$10000)*1,ISNUMBER(SEARCH("T_C*h2o*s3",[1]OUT_TransportEnergyCons!$A$4:$A$10000))*1,[1]OUT_TransportEnergyCons!I$4:I$10000)</f>
        <v>2.8624515981639399E-6</v>
      </c>
      <c r="L2130" s="1" cm="1">
        <f t="array" ref="L2130">SUMPRODUCT(("var_ncap"=[1]OUT_TransportEnergyCons!$B$4:$B$10000)*1,("-"=[1]OUT_TransportEnergyCons!$C$4:$C$10000)*1,ISNUMBER(SEARCH("T_C*h2o*s3",[1]OUT_TransportEnergyCons!$A$4:$A$10000))*1,[1]OUT_TransportEnergyCons!J$4:J$10000)</f>
        <v>2.2470372455708601E-6</v>
      </c>
      <c r="M2130" s="1" cm="1">
        <f t="array" ref="M2130">SUMPRODUCT(("var_ncap"=[1]OUT_TransportEnergyCons!$B$4:$B$10000)*1,("-"=[1]OUT_TransportEnergyCons!$C$4:$C$10000)*1,ISNUMBER(SEARCH("T_C*h2o*s3",[1]OUT_TransportEnergyCons!$A$4:$A$10000))*1,[1]OUT_TransportEnergyCons!K$4:K$10000)</f>
        <v>2.99429067553026E-6</v>
      </c>
      <c r="N2130" s="1" cm="1">
        <f t="array" ref="N2130">SUMPRODUCT(("var_ncap"=[1]OUT_TransportEnergyCons!$B$4:$B$10000)*1,("-"=[1]OUT_TransportEnergyCons!$C$4:$C$10000)*1,ISNUMBER(SEARCH("T_C*h2o*s3",[1]OUT_TransportEnergyCons!$A$4:$A$10000))*1,[1]OUT_TransportEnergyCons!L$4:L$10000)</f>
        <v>2.5729947463929602E-6</v>
      </c>
      <c r="O2130" s="1" cm="1">
        <f t="array" ref="O2130">SUMPRODUCT(("var_ncap"=[1]OUT_TransportEnergyCons!$B$4:$B$10000)*1,("-"=[1]OUT_TransportEnergyCons!$C$4:$C$10000)*1,ISNUMBER(SEARCH("T_C*h2o*s3",[1]OUT_TransportEnergyCons!$A$4:$A$10000))*1,[1]OUT_TransportEnergyCons!M$4:M$10000)</f>
        <v>2.2651883703687798E-6</v>
      </c>
      <c r="P2130" s="1" cm="1">
        <f t="array" ref="P2130">SUMPRODUCT(("var_ncap"=[1]OUT_TransportEnergyCons!$B$4:$B$10000)*1,("-"=[1]OUT_TransportEnergyCons!$C$4:$C$10000)*1,ISNUMBER(SEARCH("T_C*h2o*s3",[1]OUT_TransportEnergyCons!$A$4:$A$10000))*1,[1]OUT_TransportEnergyCons!N$4:N$10000)</f>
        <v>2.5655606222073199E-6</v>
      </c>
      <c r="Q2130" s="1" cm="1">
        <f t="array" ref="Q2130">SUMPRODUCT(("var_ncap"=[1]OUT_TransportEnergyCons!$B$4:$B$10000)*1,("-"=[1]OUT_TransportEnergyCons!$C$4:$C$10000)*1,ISNUMBER(SEARCH("T_C*h2o*s3",[1]OUT_TransportEnergyCons!$A$4:$A$10000))*1,[1]OUT_TransportEnergyCons!O$4:O$10000)</f>
        <v>3.0105110912810099E-6</v>
      </c>
      <c r="S2130" s="3"/>
    </row>
    <row r="2131" spans="2:19" x14ac:dyDescent="0.5">
      <c r="B2131" s="5" t="str">
        <f t="shared" si="2239"/>
        <v>SPS1</v>
      </c>
      <c r="C2131" s="5" t="str">
        <f t="shared" si="2240"/>
        <v>CH</v>
      </c>
      <c r="D2131" t="s">
        <v>2260</v>
      </c>
      <c r="E2131" t="str">
        <f t="shared" si="2241"/>
        <v>Million</v>
      </c>
      <c r="F2131" s="1" cm="1">
        <f t="array" ref="F2131">SUMPRODUCT(("var_ncap"=[1]OUT_TransportEnergyCons!$B$4:$B$10000)*1,("-"=[1]OUT_TransportEnergyCons!$C$4:$C$10000)*1,ISNUMBER(SEARCH("T_C*h2o*s4",[1]OUT_TransportEnergyCons!$A$4:$A$10000))*1,[1]OUT_TransportEnergyCons!D$4:D$10000)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SUMPRODUCT(("var_ncap"=[1]OUT_TransportEnergyCons!$B$4:$B$10000)*1,("-"=[1]OUT_TransportEnergyCons!$C$4:$C$10000)*1,ISNUMBER(SEARCH("T_C*h2o*s4",[1]OUT_TransportEnergyCons!$A$4:$A$10000))*1,[1]OUT_TransportEnergyCons!E$4:E$10000)</f>
        <v>4.6437548196820699E-6</v>
      </c>
      <c r="H2131" s="1" cm="1">
        <f t="array" ref="H2131">SUMPRODUCT(("var_ncap"=[1]OUT_TransportEnergyCons!$B$4:$B$10000)*1,("-"=[1]OUT_TransportEnergyCons!$C$4:$C$10000)*1,ISNUMBER(SEARCH("T_C*h2o*s4",[1]OUT_TransportEnergyCons!$A$4:$A$10000))*1,[1]OUT_TransportEnergyCons!F$4:F$10000)</f>
        <v>2.9690312179921499E-6</v>
      </c>
      <c r="I2131" s="1" cm="1">
        <f t="array" ref="I2131">SUMPRODUCT(("var_ncap"=[1]OUT_TransportEnergyCons!$B$4:$B$10000)*1,("-"=[1]OUT_TransportEnergyCons!$C$4:$C$10000)*1,ISNUMBER(SEARCH("T_C*h2o*s4",[1]OUT_TransportEnergyCons!$A$4:$A$10000))*1,[1]OUT_TransportEnergyCons!G$4:G$10000)</f>
        <v>7.4578987231072305E-7</v>
      </c>
      <c r="J2131" s="1" cm="1">
        <f t="array" ref="J2131">SUMPRODUCT(("var_ncap"=[1]OUT_TransportEnergyCons!$B$4:$B$10000)*1,("-"=[1]OUT_TransportEnergyCons!$C$4:$C$10000)*1,ISNUMBER(SEARCH("T_C*h2o*s4",[1]OUT_TransportEnergyCons!$A$4:$A$10000))*1,[1]OUT_TransportEnergyCons!H$4:H$10000)</f>
        <v>3.2308416915103702E-6</v>
      </c>
      <c r="K2131" s="1" cm="1">
        <f t="array" ref="K2131">SUMPRODUCT(("var_ncap"=[1]OUT_TransportEnergyCons!$B$4:$B$10000)*1,("-"=[1]OUT_TransportEnergyCons!$C$4:$C$10000)*1,ISNUMBER(SEARCH("T_C*h2o*s4",[1]OUT_TransportEnergyCons!$A$4:$A$10000))*1,[1]OUT_TransportEnergyCons!I$4:I$10000)</f>
        <v>2.9673602676215199E-6</v>
      </c>
      <c r="L2131" s="1" cm="1">
        <f t="array" ref="L2131">SUMPRODUCT(("var_ncap"=[1]OUT_TransportEnergyCons!$B$4:$B$10000)*1,("-"=[1]OUT_TransportEnergyCons!$C$4:$C$10000)*1,ISNUMBER(SEARCH("T_C*h2o*s4",[1]OUT_TransportEnergyCons!$A$4:$A$10000))*1,[1]OUT_TransportEnergyCons!J$4:J$10000)</f>
        <v>2.2348438060102801E-6</v>
      </c>
      <c r="M2131" s="1" cm="1">
        <f t="array" ref="M2131">SUMPRODUCT(("var_ncap"=[1]OUT_TransportEnergyCons!$B$4:$B$10000)*1,("-"=[1]OUT_TransportEnergyCons!$C$4:$C$10000)*1,ISNUMBER(SEARCH("T_C*h2o*s4",[1]OUT_TransportEnergyCons!$A$4:$A$10000))*1,[1]OUT_TransportEnergyCons!K$4:K$10000)</f>
        <v>2.942880916622E-6</v>
      </c>
      <c r="N2131" s="1" cm="1">
        <f t="array" ref="N2131">SUMPRODUCT(("var_ncap"=[1]OUT_TransportEnergyCons!$B$4:$B$10000)*1,("-"=[1]OUT_TransportEnergyCons!$C$4:$C$10000)*1,ISNUMBER(SEARCH("T_C*h2o*s4",[1]OUT_TransportEnergyCons!$A$4:$A$10000))*1,[1]OUT_TransportEnergyCons!L$4:L$10000)</f>
        <v>2.5431644413479901E-6</v>
      </c>
      <c r="O2131" s="1" cm="1">
        <f t="array" ref="O2131">SUMPRODUCT(("var_ncap"=[1]OUT_TransportEnergyCons!$B$4:$B$10000)*1,("-"=[1]OUT_TransportEnergyCons!$C$4:$C$10000)*1,ISNUMBER(SEARCH("T_C*h2o*s4",[1]OUT_TransportEnergyCons!$A$4:$A$10000))*1,[1]OUT_TransportEnergyCons!M$4:M$10000)</f>
        <v>2.22603240217717E-6</v>
      </c>
      <c r="P2131" s="1" cm="1">
        <f t="array" ref="P2131">SUMPRODUCT(("var_ncap"=[1]OUT_TransportEnergyCons!$B$4:$B$10000)*1,("-"=[1]OUT_TransportEnergyCons!$C$4:$C$10000)*1,ISNUMBER(SEARCH("T_C*h2o*s4",[1]OUT_TransportEnergyCons!$A$4:$A$10000))*1,[1]OUT_TransportEnergyCons!N$4:N$10000)</f>
        <v>2.5819439068230399E-6</v>
      </c>
      <c r="Q2131" s="1" cm="1">
        <f t="array" ref="Q2131">SUMPRODUCT(("var_ncap"=[1]OUT_TransportEnergyCons!$B$4:$B$10000)*1,("-"=[1]OUT_TransportEnergyCons!$C$4:$C$10000)*1,ISNUMBER(SEARCH("T_C*h2o*s4",[1]OUT_TransportEnergyCons!$A$4:$A$10000))*1,[1]OUT_TransportEnergyCons!O$4:O$10000)</f>
        <v>2.9490099060013499E-6</v>
      </c>
      <c r="S2131" s="3"/>
    </row>
    <row r="2132" spans="2:19" x14ac:dyDescent="0.5">
      <c r="B2132" s="5" t="str">
        <f t="shared" si="2239"/>
        <v>SPS1</v>
      </c>
      <c r="C2132" s="5" t="str">
        <f t="shared" si="2240"/>
        <v>CH</v>
      </c>
      <c r="D2132" t="s">
        <v>2261</v>
      </c>
      <c r="E2132" t="str">
        <f t="shared" si="2241"/>
        <v>Million</v>
      </c>
      <c r="F2132" s="1" cm="1">
        <f t="array" ref="F2132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32" s="1" cm="1">
        <f t="array" ref="J2132">SUMPRODUCT(("var_ncap"=[1]OUT_TransportEnergyCons!$B$4:$B$10000)*1,("-"=[1]OUT_TransportEnergyCons!$C$4:$C$10000)*1,ISNUMBER(SEARCH("T_C*hy*GSL*ext",[1]OUT_TransportEnergyCons!$A$4:$A$10000))*1,[1]OUT_TransportEnergyCons!H$4:H$10000)</f>
        <v>0</v>
      </c>
      <c r="K2132" s="1" cm="1">
        <f t="array" ref="K2132">SUMPRODUCT(("var_ncap"=[1]OUT_TransportEnergyCons!$B$4:$B$10000)*1,("-"=[1]OUT_TransportEnergyCons!$C$4:$C$10000)*1,ISNUMBER(SEARCH("T_C*hy*GSL*ext",[1]OUT_TransportEnergyCons!$A$4:$A$10000))*1,[1]OUT_TransportEnergyCons!I$4:I$10000)</f>
        <v>0</v>
      </c>
      <c r="L2132" s="1" cm="1">
        <f t="array" ref="L2132">SUMPRODUCT(("var_ncap"=[1]OUT_TransportEnergyCons!$B$4:$B$10000)*1,("-"=[1]OUT_TransportEnergyCons!$C$4:$C$10000)*1,ISNUMBER(SEARCH("T_C*hy*GSL*ext",[1]OUT_TransportEnergyCons!$A$4:$A$10000))*1,[1]OUT_TransportEnergyCons!J$4:J$10000)</f>
        <v>0</v>
      </c>
      <c r="M2132" s="1" cm="1">
        <f t="array" ref="M2132">SUMPRODUCT(("var_ncap"=[1]OUT_TransportEnergyCons!$B$4:$B$10000)*1,("-"=[1]OUT_TransportEnergyCons!$C$4:$C$10000)*1,ISNUMBER(SEARCH("T_C*hy*GSL*ext",[1]OUT_TransportEnergyCons!$A$4:$A$10000))*1,[1]OUT_TransportEnergyCons!K$4:K$10000)</f>
        <v>0</v>
      </c>
      <c r="N2132" s="1" cm="1">
        <f t="array" ref="N2132">SUMPRODUCT(("var_ncap"=[1]OUT_TransportEnergyCons!$B$4:$B$10000)*1,("-"=[1]OUT_TransportEnergyCons!$C$4:$C$10000)*1,ISNUMBER(SEARCH("T_C*hy*GSL*ext",[1]OUT_TransportEnergyCons!$A$4:$A$10000))*1,[1]OUT_TransportEnergyCons!L$4:L$10000)</f>
        <v>0</v>
      </c>
      <c r="O2132" s="1" cm="1">
        <f t="array" ref="O2132">SUMPRODUCT(("var_ncap"=[1]OUT_TransportEnergyCons!$B$4:$B$10000)*1,("-"=[1]OUT_TransportEnergyCons!$C$4:$C$10000)*1,ISNUMBER(SEARCH("T_C*hy*GSL*ext",[1]OUT_TransportEnergyCons!$A$4:$A$10000))*1,[1]OUT_TransportEnergyCons!M$4:M$10000)</f>
        <v>0</v>
      </c>
      <c r="P2132" s="1" cm="1">
        <f t="array" ref="P2132">SUMPRODUCT(("var_ncap"=[1]OUT_TransportEnergyCons!$B$4:$B$10000)*1,("-"=[1]OUT_TransportEnergyCons!$C$4:$C$10000)*1,ISNUMBER(SEARCH("T_C*hy*GSL*ext",[1]OUT_TransportEnergyCons!$A$4:$A$10000))*1,[1]OUT_TransportEnergyCons!N$4:N$10000)</f>
        <v>0</v>
      </c>
      <c r="Q2132" s="1" cm="1">
        <f t="array" ref="Q2132">SUMPRODUCT(("var_ncap"=[1]OUT_TransportEnergyCons!$B$4:$B$10000)*1,("-"=[1]OUT_TransportEnergyCons!$C$4:$C$10000)*1,ISNUMBER(SEARCH("T_C*hy*GSL*ext",[1]OUT_TransportEnergyCons!$A$4:$A$10000))*1,[1]OUT_TransportEnergyCons!O$4:O$10000)</f>
        <v>0</v>
      </c>
      <c r="S2132" s="3"/>
    </row>
    <row r="2133" spans="2:19" x14ac:dyDescent="0.5">
      <c r="B2133" s="5" t="str">
        <f t="shared" si="2239"/>
        <v>SPS1</v>
      </c>
      <c r="C2133" s="5" t="str">
        <f t="shared" si="2240"/>
        <v>CH</v>
      </c>
      <c r="D2133" t="s">
        <v>2262</v>
      </c>
      <c r="E2133" t="str">
        <f t="shared" si="2241"/>
        <v>Million</v>
      </c>
      <c r="F2133" s="1" cm="1">
        <f t="array" ref="F2133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SUMPRODUCT(("var_ncap"=[1]OUT_TransportEnergyCons!$B$4:$B$10000)*1,("-"=[1]OUT_TransportEnergyCons!$C$4:$C$10000)*1,ISNUMBER(SEARCH("T_C*hy*GSL*s1",[1]OUT_TransportEnergyCons!$A$4:$A$10000))*1,[1]OUT_TransportEnergyCons!E$4:E$10000)</f>
        <v>6.8827130766822497E-5</v>
      </c>
      <c r="H2133" s="1" cm="1">
        <f t="array" ref="H2133">SUMPRODUCT(("var_ncap"=[1]OUT_TransportEnergyCons!$B$4:$B$10000)*1,("-"=[1]OUT_TransportEnergyCons!$C$4:$C$10000)*1,ISNUMBER(SEARCH("T_C*hy*GSL*s1",[1]OUT_TransportEnergyCons!$A$4:$A$10000))*1,[1]OUT_TransportEnergyCons!F$4:F$10000)</f>
        <v>6.0652421850745303E-5</v>
      </c>
      <c r="I2133" s="1" cm="1">
        <f t="array" ref="I2133">SUMPRODUCT(("var_ncap"=[1]OUT_TransportEnergyCons!$B$4:$B$10000)*1,("-"=[1]OUT_TransportEnergyCons!$C$4:$C$10000)*1,ISNUMBER(SEARCH("T_C*hy*GSL*s1",[1]OUT_TransportEnergyCons!$A$4:$A$10000))*1,[1]OUT_TransportEnergyCons!G$4:G$10000)</f>
        <v>3.01341640690274E-4</v>
      </c>
      <c r="J2133" s="1" cm="1">
        <f t="array" ref="J2133">SUMPRODUCT(("var_ncap"=[1]OUT_TransportEnergyCons!$B$4:$B$10000)*1,("-"=[1]OUT_TransportEnergyCons!$C$4:$C$10000)*1,ISNUMBER(SEARCH("T_C*hy*GSL*s1",[1]OUT_TransportEnergyCons!$A$4:$A$10000))*1,[1]OUT_TransportEnergyCons!H$4:H$10000)</f>
        <v>0</v>
      </c>
      <c r="K2133" s="1" cm="1">
        <f t="array" ref="K2133">SUMPRODUCT(("var_ncap"=[1]OUT_TransportEnergyCons!$B$4:$B$10000)*1,("-"=[1]OUT_TransportEnergyCons!$C$4:$C$10000)*1,ISNUMBER(SEARCH("T_C*hy*GSL*s1",[1]OUT_TransportEnergyCons!$A$4:$A$10000))*1,[1]OUT_TransportEnergyCons!I$4:I$10000)</f>
        <v>0</v>
      </c>
      <c r="L2133" s="1" cm="1">
        <f t="array" ref="L2133">SUMPRODUCT(("var_ncap"=[1]OUT_TransportEnergyCons!$B$4:$B$10000)*1,("-"=[1]OUT_TransportEnergyCons!$C$4:$C$10000)*1,ISNUMBER(SEARCH("T_C*hy*GSL*s1",[1]OUT_TransportEnergyCons!$A$4:$A$10000))*1,[1]OUT_TransportEnergyCons!J$4:J$10000)</f>
        <v>0</v>
      </c>
      <c r="M2133" s="1" cm="1">
        <f t="array" ref="M2133">SUMPRODUCT(("var_ncap"=[1]OUT_TransportEnergyCons!$B$4:$B$10000)*1,("-"=[1]OUT_TransportEnergyCons!$C$4:$C$10000)*1,ISNUMBER(SEARCH("T_C*hy*GSL*s1",[1]OUT_TransportEnergyCons!$A$4:$A$10000))*1,[1]OUT_TransportEnergyCons!K$4:K$10000)</f>
        <v>0</v>
      </c>
      <c r="N2133" s="1" cm="1">
        <f t="array" ref="N2133">SUMPRODUCT(("var_ncap"=[1]OUT_TransportEnergyCons!$B$4:$B$10000)*1,("-"=[1]OUT_TransportEnergyCons!$C$4:$C$10000)*1,ISNUMBER(SEARCH("T_C*hy*GSL*s1",[1]OUT_TransportEnergyCons!$A$4:$A$10000))*1,[1]OUT_TransportEnergyCons!L$4:L$10000)</f>
        <v>0</v>
      </c>
      <c r="O2133" s="1" cm="1">
        <f t="array" ref="O2133">SUMPRODUCT(("var_ncap"=[1]OUT_TransportEnergyCons!$B$4:$B$10000)*1,("-"=[1]OUT_TransportEnergyCons!$C$4:$C$10000)*1,ISNUMBER(SEARCH("T_C*hy*GSL*s1",[1]OUT_TransportEnergyCons!$A$4:$A$10000))*1,[1]OUT_TransportEnergyCons!M$4:M$10000)</f>
        <v>0</v>
      </c>
      <c r="P2133" s="1" cm="1">
        <f t="array" ref="P2133">SUMPRODUCT(("var_ncap"=[1]OUT_TransportEnergyCons!$B$4:$B$10000)*1,("-"=[1]OUT_TransportEnergyCons!$C$4:$C$10000)*1,ISNUMBER(SEARCH("T_C*hy*GSL*s1",[1]OUT_TransportEnergyCons!$A$4:$A$10000))*1,[1]OUT_TransportEnergyCons!N$4:N$10000)</f>
        <v>0</v>
      </c>
      <c r="Q2133" s="1" cm="1">
        <f t="array" ref="Q2133">SUMPRODUCT(("var_ncap"=[1]OUT_TransportEnergyCons!$B$4:$B$10000)*1,("-"=[1]OUT_TransportEnergyCons!$C$4:$C$10000)*1,ISNUMBER(SEARCH("T_C*hy*GSL*s1",[1]OUT_TransportEnergyCons!$A$4:$A$10000))*1,[1]OUT_TransportEnergyCons!O$4:O$10000)</f>
        <v>0</v>
      </c>
      <c r="S2133" s="3"/>
    </row>
    <row r="2134" spans="2:19" x14ac:dyDescent="0.5">
      <c r="B2134" s="5" t="str">
        <f t="shared" si="2239"/>
        <v>SPS1</v>
      </c>
      <c r="C2134" s="5" t="str">
        <f t="shared" si="2240"/>
        <v>CH</v>
      </c>
      <c r="D2134" t="s">
        <v>2263</v>
      </c>
      <c r="E2134" t="str">
        <f t="shared" si="2241"/>
        <v>Million</v>
      </c>
      <c r="F2134" s="1" cm="1">
        <f t="array" ref="F2134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SUMPRODUCT(("var_ncap"=[1]OUT_TransportEnergyCons!$B$4:$B$10000)*1,("-"=[1]OUT_TransportEnergyCons!$C$4:$C$10000)*1,ISNUMBER(SEARCH("T_C*hy*GSL*s2",[1]OUT_TransportEnergyCons!$A$4:$A$10000))*1,[1]OUT_TransportEnergyCons!E$4:E$10000)</f>
        <v>2.5010185905470821E-2</v>
      </c>
      <c r="H2134" s="1" cm="1">
        <f t="array" ref="H2134">SUMPRODUCT(("var_ncap"=[1]OUT_TransportEnergyCons!$B$4:$B$10000)*1,("-"=[1]OUT_TransportEnergyCons!$C$4:$C$10000)*1,ISNUMBER(SEARCH("T_C*hy*GSL*s2",[1]OUT_TransportEnergyCons!$A$4:$A$10000))*1,[1]OUT_TransportEnergyCons!F$4:F$10000)</f>
        <v>9.2481357254950936E-2</v>
      </c>
      <c r="I2134" s="1" cm="1">
        <f t="array" ref="I2134">SUMPRODUCT(("var_ncap"=[1]OUT_TransportEnergyCons!$B$4:$B$10000)*1,("-"=[1]OUT_TransportEnergyCons!$C$4:$C$10000)*1,ISNUMBER(SEARCH("T_C*hy*GSL*s2",[1]OUT_TransportEnergyCons!$A$4:$A$10000))*1,[1]OUT_TransportEnergyCons!G$4:G$10000)</f>
        <v>1.9092796745359881E-4</v>
      </c>
      <c r="J2134" s="1" cm="1">
        <f t="array" ref="J2134">SUMPRODUCT(("var_ncap"=[1]OUT_TransportEnergyCons!$B$4:$B$10000)*1,("-"=[1]OUT_TransportEnergyCons!$C$4:$C$10000)*1,ISNUMBER(SEARCH("T_C*hy*GSL*s2",[1]OUT_TransportEnergyCons!$A$4:$A$10000))*1,[1]OUT_TransportEnergyCons!H$4:H$10000)</f>
        <v>0</v>
      </c>
      <c r="K2134" s="1" cm="1">
        <f t="array" ref="K2134">SUMPRODUCT(("var_ncap"=[1]OUT_TransportEnergyCons!$B$4:$B$10000)*1,("-"=[1]OUT_TransportEnergyCons!$C$4:$C$10000)*1,ISNUMBER(SEARCH("T_C*hy*GSL*s2",[1]OUT_TransportEnergyCons!$A$4:$A$10000))*1,[1]OUT_TransportEnergyCons!I$4:I$10000)</f>
        <v>0</v>
      </c>
      <c r="L2134" s="1" cm="1">
        <f t="array" ref="L2134">SUMPRODUCT(("var_ncap"=[1]OUT_TransportEnergyCons!$B$4:$B$10000)*1,("-"=[1]OUT_TransportEnergyCons!$C$4:$C$10000)*1,ISNUMBER(SEARCH("T_C*hy*GSL*s2",[1]OUT_TransportEnergyCons!$A$4:$A$10000))*1,[1]OUT_TransportEnergyCons!J$4:J$10000)</f>
        <v>0</v>
      </c>
      <c r="M2134" s="1" cm="1">
        <f t="array" ref="M2134">SUMPRODUCT(("var_ncap"=[1]OUT_TransportEnergyCons!$B$4:$B$10000)*1,("-"=[1]OUT_TransportEnergyCons!$C$4:$C$10000)*1,ISNUMBER(SEARCH("T_C*hy*GSL*s2",[1]OUT_TransportEnergyCons!$A$4:$A$10000))*1,[1]OUT_TransportEnergyCons!K$4:K$10000)</f>
        <v>0</v>
      </c>
      <c r="N2134" s="1" cm="1">
        <f t="array" ref="N2134">SUMPRODUCT(("var_ncap"=[1]OUT_TransportEnergyCons!$B$4:$B$10000)*1,("-"=[1]OUT_TransportEnergyCons!$C$4:$C$10000)*1,ISNUMBER(SEARCH("T_C*hy*GSL*s2",[1]OUT_TransportEnergyCons!$A$4:$A$10000))*1,[1]OUT_TransportEnergyCons!L$4:L$10000)</f>
        <v>0</v>
      </c>
      <c r="O2134" s="1" cm="1">
        <f t="array" ref="O2134">SUMPRODUCT(("var_ncap"=[1]OUT_TransportEnergyCons!$B$4:$B$10000)*1,("-"=[1]OUT_TransportEnergyCons!$C$4:$C$10000)*1,ISNUMBER(SEARCH("T_C*hy*GSL*s2",[1]OUT_TransportEnergyCons!$A$4:$A$10000))*1,[1]OUT_TransportEnergyCons!M$4:M$10000)</f>
        <v>0</v>
      </c>
      <c r="P2134" s="1" cm="1">
        <f t="array" ref="P2134">SUMPRODUCT(("var_ncap"=[1]OUT_TransportEnergyCons!$B$4:$B$10000)*1,("-"=[1]OUT_TransportEnergyCons!$C$4:$C$10000)*1,ISNUMBER(SEARCH("T_C*hy*GSL*s2",[1]OUT_TransportEnergyCons!$A$4:$A$10000))*1,[1]OUT_TransportEnergyCons!N$4:N$10000)</f>
        <v>0</v>
      </c>
      <c r="Q2134" s="1" cm="1">
        <f t="array" ref="Q2134">SUMPRODUCT(("var_ncap"=[1]OUT_TransportEnergyCons!$B$4:$B$10000)*1,("-"=[1]OUT_TransportEnergyCons!$C$4:$C$10000)*1,ISNUMBER(SEARCH("T_C*hy*GSL*s2",[1]OUT_TransportEnergyCons!$A$4:$A$10000))*1,[1]OUT_TransportEnergyCons!O$4:O$10000)</f>
        <v>0</v>
      </c>
      <c r="S2134" s="3"/>
    </row>
    <row r="2135" spans="2:19" x14ac:dyDescent="0.5">
      <c r="B2135" s="5" t="str">
        <f t="shared" si="2239"/>
        <v>SPS1</v>
      </c>
      <c r="C2135" s="5" t="str">
        <f t="shared" si="2240"/>
        <v>CH</v>
      </c>
      <c r="D2135" t="s">
        <v>2264</v>
      </c>
      <c r="E2135" t="str">
        <f t="shared" si="2241"/>
        <v>Million</v>
      </c>
      <c r="F2135" s="1" cm="1">
        <f t="array" ref="F2135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SUMPRODUCT(("var_ncap"=[1]OUT_TransportEnergyCons!$B$4:$B$10000)*1,("-"=[1]OUT_TransportEnergyCons!$C$4:$C$10000)*1,ISNUMBER(SEARCH("T_C*hy*GSL*s3",[1]OUT_TransportEnergyCons!$A$4:$A$10000))*1,[1]OUT_TransportEnergyCons!E$4:E$10000)</f>
        <v>0.17148159570407198</v>
      </c>
      <c r="H2135" s="1" cm="1">
        <f t="array" ref="H2135">SUMPRODUCT(("var_ncap"=[1]OUT_TransportEnergyCons!$B$4:$B$10000)*1,("-"=[1]OUT_TransportEnergyCons!$C$4:$C$10000)*1,ISNUMBER(SEARCH("T_C*hy*GSL*s3",[1]OUT_TransportEnergyCons!$A$4:$A$10000))*1,[1]OUT_TransportEnergyCons!F$4:F$10000)</f>
        <v>8.1338874790655457E-4</v>
      </c>
      <c r="I2135" s="1" cm="1">
        <f t="array" ref="I2135">SUMPRODUCT(("var_ncap"=[1]OUT_TransportEnergyCons!$B$4:$B$10000)*1,("-"=[1]OUT_TransportEnergyCons!$C$4:$C$10000)*1,ISNUMBER(SEARCH("T_C*hy*GSL*s3",[1]OUT_TransportEnergyCons!$A$4:$A$10000))*1,[1]OUT_TransportEnergyCons!G$4:G$10000)</f>
        <v>7.6944200578113811E-5</v>
      </c>
      <c r="J2135" s="1" cm="1">
        <f t="array" ref="J2135">SUMPRODUCT(("var_ncap"=[1]OUT_TransportEnergyCons!$B$4:$B$10000)*1,("-"=[1]OUT_TransportEnergyCons!$C$4:$C$10000)*1,ISNUMBER(SEARCH("T_C*hy*GSL*s3",[1]OUT_TransportEnergyCons!$A$4:$A$10000))*1,[1]OUT_TransportEnergyCons!H$4:H$10000)</f>
        <v>0</v>
      </c>
      <c r="K2135" s="1" cm="1">
        <f t="array" ref="K2135">SUMPRODUCT(("var_ncap"=[1]OUT_TransportEnergyCons!$B$4:$B$10000)*1,("-"=[1]OUT_TransportEnergyCons!$C$4:$C$10000)*1,ISNUMBER(SEARCH("T_C*hy*GSL*s3",[1]OUT_TransportEnergyCons!$A$4:$A$10000))*1,[1]OUT_TransportEnergyCons!I$4:I$10000)</f>
        <v>0</v>
      </c>
      <c r="L2135" s="1" cm="1">
        <f t="array" ref="L2135">SUMPRODUCT(("var_ncap"=[1]OUT_TransportEnergyCons!$B$4:$B$10000)*1,("-"=[1]OUT_TransportEnergyCons!$C$4:$C$10000)*1,ISNUMBER(SEARCH("T_C*hy*GSL*s3",[1]OUT_TransportEnergyCons!$A$4:$A$10000))*1,[1]OUT_TransportEnergyCons!J$4:J$10000)</f>
        <v>0</v>
      </c>
      <c r="M2135" s="1" cm="1">
        <f t="array" ref="M2135">SUMPRODUCT(("var_ncap"=[1]OUT_TransportEnergyCons!$B$4:$B$10000)*1,("-"=[1]OUT_TransportEnergyCons!$C$4:$C$10000)*1,ISNUMBER(SEARCH("T_C*hy*GSL*s3",[1]OUT_TransportEnergyCons!$A$4:$A$10000))*1,[1]OUT_TransportEnergyCons!K$4:K$10000)</f>
        <v>0</v>
      </c>
      <c r="N2135" s="1" cm="1">
        <f t="array" ref="N2135">SUMPRODUCT(("var_ncap"=[1]OUT_TransportEnergyCons!$B$4:$B$10000)*1,("-"=[1]OUT_TransportEnergyCons!$C$4:$C$10000)*1,ISNUMBER(SEARCH("T_C*hy*GSL*s3",[1]OUT_TransportEnergyCons!$A$4:$A$10000))*1,[1]OUT_TransportEnergyCons!L$4:L$10000)</f>
        <v>0</v>
      </c>
      <c r="O2135" s="1" cm="1">
        <f t="array" ref="O2135">SUMPRODUCT(("var_ncap"=[1]OUT_TransportEnergyCons!$B$4:$B$10000)*1,("-"=[1]OUT_TransportEnergyCons!$C$4:$C$10000)*1,ISNUMBER(SEARCH("T_C*hy*GSL*s3",[1]OUT_TransportEnergyCons!$A$4:$A$10000))*1,[1]OUT_TransportEnergyCons!M$4:M$10000)</f>
        <v>0</v>
      </c>
      <c r="P2135" s="1" cm="1">
        <f t="array" ref="P2135">SUMPRODUCT(("var_ncap"=[1]OUT_TransportEnergyCons!$B$4:$B$10000)*1,("-"=[1]OUT_TransportEnergyCons!$C$4:$C$10000)*1,ISNUMBER(SEARCH("T_C*hy*GSL*s3",[1]OUT_TransportEnergyCons!$A$4:$A$10000))*1,[1]OUT_TransportEnergyCons!N$4:N$10000)</f>
        <v>0</v>
      </c>
      <c r="Q2135" s="1" cm="1">
        <f t="array" ref="Q2135">SUMPRODUCT(("var_ncap"=[1]OUT_TransportEnergyCons!$B$4:$B$10000)*1,("-"=[1]OUT_TransportEnergyCons!$C$4:$C$10000)*1,ISNUMBER(SEARCH("T_C*hy*GSL*s3",[1]OUT_TransportEnergyCons!$A$4:$A$10000))*1,[1]OUT_TransportEnergyCons!O$4:O$10000)</f>
        <v>0</v>
      </c>
      <c r="S2135" s="3"/>
    </row>
    <row r="2136" spans="2:19" x14ac:dyDescent="0.5">
      <c r="B2136" s="5" t="str">
        <f t="shared" si="2239"/>
        <v>SPS1</v>
      </c>
      <c r="C2136" s="5" t="str">
        <f t="shared" si="2240"/>
        <v>CH</v>
      </c>
      <c r="D2136" t="s">
        <v>2265</v>
      </c>
      <c r="E2136" t="str">
        <f t="shared" si="2241"/>
        <v>Million</v>
      </c>
      <c r="F2136" s="1" cm="1">
        <f t="array" ref="F2136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SUMPRODUCT(("var_ncap"=[1]OUT_TransportEnergyCons!$B$4:$B$10000)*1,("-"=[1]OUT_TransportEnergyCons!$C$4:$C$10000)*1,ISNUMBER(SEARCH("T_C*hy*GSL*s4",[1]OUT_TransportEnergyCons!$A$4:$A$10000))*1,[1]OUT_TransportEnergyCons!E$4:E$10000)</f>
        <v>1.4345240756815001E-4</v>
      </c>
      <c r="H2136" s="1" cm="1">
        <f t="array" ref="H2136">SUMPRODUCT(("var_ncap"=[1]OUT_TransportEnergyCons!$B$4:$B$10000)*1,("-"=[1]OUT_TransportEnergyCons!$C$4:$C$10000)*1,ISNUMBER(SEARCH("T_C*hy*GSL*s4",[1]OUT_TransportEnergyCons!$A$4:$A$10000))*1,[1]OUT_TransportEnergyCons!F$4:F$10000)</f>
        <v>1.5795488645705069E-4</v>
      </c>
      <c r="I2136" s="1" cm="1">
        <f t="array" ref="I2136">SUMPRODUCT(("var_ncap"=[1]OUT_TransportEnergyCons!$B$4:$B$10000)*1,("-"=[1]OUT_TransportEnergyCons!$C$4:$C$10000)*1,ISNUMBER(SEARCH("T_C*hy*GSL*s4",[1]OUT_TransportEnergyCons!$A$4:$A$10000))*1,[1]OUT_TransportEnergyCons!G$4:G$10000)</f>
        <v>1.5689223999593651E-4</v>
      </c>
      <c r="J2136" s="1" cm="1">
        <f t="array" ref="J2136">SUMPRODUCT(("var_ncap"=[1]OUT_TransportEnergyCons!$B$4:$B$10000)*1,("-"=[1]OUT_TransportEnergyCons!$C$4:$C$10000)*1,ISNUMBER(SEARCH("T_C*hy*GSL*s4",[1]OUT_TransportEnergyCons!$A$4:$A$10000))*1,[1]OUT_TransportEnergyCons!H$4:H$10000)</f>
        <v>0</v>
      </c>
      <c r="K2136" s="1" cm="1">
        <f t="array" ref="K2136">SUMPRODUCT(("var_ncap"=[1]OUT_TransportEnergyCons!$B$4:$B$10000)*1,("-"=[1]OUT_TransportEnergyCons!$C$4:$C$10000)*1,ISNUMBER(SEARCH("T_C*hy*GSL*s4",[1]OUT_TransportEnergyCons!$A$4:$A$10000))*1,[1]OUT_TransportEnergyCons!I$4:I$10000)</f>
        <v>0</v>
      </c>
      <c r="L2136" s="1" cm="1">
        <f t="array" ref="L2136">SUMPRODUCT(("var_ncap"=[1]OUT_TransportEnergyCons!$B$4:$B$10000)*1,("-"=[1]OUT_TransportEnergyCons!$C$4:$C$10000)*1,ISNUMBER(SEARCH("T_C*hy*GSL*s4",[1]OUT_TransportEnergyCons!$A$4:$A$10000))*1,[1]OUT_TransportEnergyCons!J$4:J$10000)</f>
        <v>0</v>
      </c>
      <c r="M2136" s="1" cm="1">
        <f t="array" ref="M2136">SUMPRODUCT(("var_ncap"=[1]OUT_TransportEnergyCons!$B$4:$B$10000)*1,("-"=[1]OUT_TransportEnergyCons!$C$4:$C$10000)*1,ISNUMBER(SEARCH("T_C*hy*GSL*s4",[1]OUT_TransportEnergyCons!$A$4:$A$10000))*1,[1]OUT_TransportEnergyCons!K$4:K$10000)</f>
        <v>0</v>
      </c>
      <c r="N2136" s="1" cm="1">
        <f t="array" ref="N2136">SUMPRODUCT(("var_ncap"=[1]OUT_TransportEnergyCons!$B$4:$B$10000)*1,("-"=[1]OUT_TransportEnergyCons!$C$4:$C$10000)*1,ISNUMBER(SEARCH("T_C*hy*GSL*s4",[1]OUT_TransportEnergyCons!$A$4:$A$10000))*1,[1]OUT_TransportEnergyCons!L$4:L$10000)</f>
        <v>0</v>
      </c>
      <c r="O2136" s="1" cm="1">
        <f t="array" ref="O2136">SUMPRODUCT(("var_ncap"=[1]OUT_TransportEnergyCons!$B$4:$B$10000)*1,("-"=[1]OUT_TransportEnergyCons!$C$4:$C$10000)*1,ISNUMBER(SEARCH("T_C*hy*GSL*s4",[1]OUT_TransportEnergyCons!$A$4:$A$10000))*1,[1]OUT_TransportEnergyCons!M$4:M$10000)</f>
        <v>0</v>
      </c>
      <c r="P2136" s="1" cm="1">
        <f t="array" ref="P2136">SUMPRODUCT(("var_ncap"=[1]OUT_TransportEnergyCons!$B$4:$B$10000)*1,("-"=[1]OUT_TransportEnergyCons!$C$4:$C$10000)*1,ISNUMBER(SEARCH("T_C*hy*GSL*s4",[1]OUT_TransportEnergyCons!$A$4:$A$10000))*1,[1]OUT_TransportEnergyCons!N$4:N$10000)</f>
        <v>0</v>
      </c>
      <c r="Q2136" s="1" cm="1">
        <f t="array" ref="Q2136">SUMPRODUCT(("var_ncap"=[1]OUT_TransportEnergyCons!$B$4:$B$10000)*1,("-"=[1]OUT_TransportEnergyCons!$C$4:$C$10000)*1,ISNUMBER(SEARCH("T_C*hy*GSL*s4",[1]OUT_TransportEnergyCons!$A$4:$A$10000))*1,[1]OUT_TransportEnergyCons!O$4:O$10000)</f>
        <v>0</v>
      </c>
      <c r="S2136" s="3"/>
    </row>
    <row r="2137" spans="2:19" x14ac:dyDescent="0.5">
      <c r="B2137" s="5" t="str">
        <f t="shared" si="2239"/>
        <v>SPS1</v>
      </c>
      <c r="C2137" s="5" t="str">
        <f t="shared" si="2240"/>
        <v>CH</v>
      </c>
      <c r="D2137" t="s">
        <v>2266</v>
      </c>
      <c r="E2137" t="str">
        <f t="shared" si="2241"/>
        <v>Million</v>
      </c>
      <c r="F2137" s="1" cm="1">
        <f t="array" ref="F2137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7" s="1" cm="1">
        <f t="array" ref="H2137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7" s="1" cm="1">
        <f t="array" ref="I2137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7" s="1" cm="1">
        <f t="array" ref="J2137">SUMPRODUCT(("var_ncap"=[1]OUT_TransportEnergyCons!$B$4:$B$10000)*1,("-"=[1]OUT_TransportEnergyCons!$C$4:$C$10000)*1,ISNUMBER(SEARCH("T_C*ICE*GSL*ext",[1]OUT_TransportEnergyCons!$A$4:$A$10000))*1,[1]OUT_TransportEnergyCons!H$4:H$10000)</f>
        <v>0</v>
      </c>
      <c r="K2137" s="1" cm="1">
        <f t="array" ref="K2137">SUMPRODUCT(("var_ncap"=[1]OUT_TransportEnergyCons!$B$4:$B$10000)*1,("-"=[1]OUT_TransportEnergyCons!$C$4:$C$10000)*1,ISNUMBER(SEARCH("T_C*ICE*GSL*ext",[1]OUT_TransportEnergyCons!$A$4:$A$10000))*1,[1]OUT_TransportEnergyCons!I$4:I$10000)</f>
        <v>0</v>
      </c>
      <c r="L2137" s="1" cm="1">
        <f t="array" ref="L2137">SUMPRODUCT(("var_ncap"=[1]OUT_TransportEnergyCons!$B$4:$B$10000)*1,("-"=[1]OUT_TransportEnergyCons!$C$4:$C$10000)*1,ISNUMBER(SEARCH("T_C*ICE*GSL*ext",[1]OUT_TransportEnergyCons!$A$4:$A$10000))*1,[1]OUT_TransportEnergyCons!J$4:J$10000)</f>
        <v>0</v>
      </c>
      <c r="M2137" s="1" cm="1">
        <f t="array" ref="M2137">SUMPRODUCT(("var_ncap"=[1]OUT_TransportEnergyCons!$B$4:$B$10000)*1,("-"=[1]OUT_TransportEnergyCons!$C$4:$C$10000)*1,ISNUMBER(SEARCH("T_C*ICE*GSL*ext",[1]OUT_TransportEnergyCons!$A$4:$A$10000))*1,[1]OUT_TransportEnergyCons!K$4:K$10000)</f>
        <v>0</v>
      </c>
      <c r="N2137" s="1" cm="1">
        <f t="array" ref="N2137">SUMPRODUCT(("var_ncap"=[1]OUT_TransportEnergyCons!$B$4:$B$10000)*1,("-"=[1]OUT_TransportEnergyCons!$C$4:$C$10000)*1,ISNUMBER(SEARCH("T_C*ICE*GSL*ext",[1]OUT_TransportEnergyCons!$A$4:$A$10000))*1,[1]OUT_TransportEnergyCons!L$4:L$10000)</f>
        <v>0</v>
      </c>
      <c r="O2137" s="1" cm="1">
        <f t="array" ref="O2137">SUMPRODUCT(("var_ncap"=[1]OUT_TransportEnergyCons!$B$4:$B$10000)*1,("-"=[1]OUT_TransportEnergyCons!$C$4:$C$10000)*1,ISNUMBER(SEARCH("T_C*ICE*GSL*ext",[1]OUT_TransportEnergyCons!$A$4:$A$10000))*1,[1]OUT_TransportEnergyCons!M$4:M$10000)</f>
        <v>0</v>
      </c>
      <c r="P2137" s="1" cm="1">
        <f t="array" ref="P2137">SUMPRODUCT(("var_ncap"=[1]OUT_TransportEnergyCons!$B$4:$B$10000)*1,("-"=[1]OUT_TransportEnergyCons!$C$4:$C$10000)*1,ISNUMBER(SEARCH("T_C*ICE*GSL*ext",[1]OUT_TransportEnergyCons!$A$4:$A$10000))*1,[1]OUT_TransportEnergyCons!N$4:N$10000)</f>
        <v>0</v>
      </c>
      <c r="Q2137" s="1" cm="1">
        <f t="array" ref="Q2137">SUMPRODUCT(("var_ncap"=[1]OUT_TransportEnergyCons!$B$4:$B$10000)*1,("-"=[1]OUT_TransportEnergyCons!$C$4:$C$10000)*1,ISNUMBER(SEARCH("T_C*ICE*GSL*ext",[1]OUT_TransportEnergyCons!$A$4:$A$10000))*1,[1]OUT_TransportEnergyCons!O$4:O$10000)</f>
        <v>0</v>
      </c>
      <c r="S2137" s="3"/>
    </row>
    <row r="2138" spans="2:19" x14ac:dyDescent="0.5">
      <c r="B2138" s="5" t="str">
        <f t="shared" si="2239"/>
        <v>SPS1</v>
      </c>
      <c r="C2138" s="5" t="str">
        <f t="shared" si="2240"/>
        <v>CH</v>
      </c>
      <c r="D2138" t="s">
        <v>2267</v>
      </c>
      <c r="E2138" t="str">
        <f t="shared" si="2241"/>
        <v>Million</v>
      </c>
      <c r="F2138" s="1" cm="1">
        <f t="array" ref="F2138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SUMPRODUCT(("var_ncap"=[1]OUT_TransportEnergyCons!$B$4:$B$10000)*1,("-"=[1]OUT_TransportEnergyCons!$C$4:$C$10000)*1,ISNUMBER(SEARCH("T_C*ICE*GSL*s1",[1]OUT_TransportEnergyCons!$A$4:$A$10000))*1,[1]OUT_TransportEnergyCons!E$4:E$10000)</f>
        <v>2.5357372202095801E-2</v>
      </c>
      <c r="H2138" s="1" cm="1">
        <f t="array" ref="H2138">SUMPRODUCT(("var_ncap"=[1]OUT_TransportEnergyCons!$B$4:$B$10000)*1,("-"=[1]OUT_TransportEnergyCons!$C$4:$C$10000)*1,ISNUMBER(SEARCH("T_C*ICE*GSL*s1",[1]OUT_TransportEnergyCons!$A$4:$A$10000))*1,[1]OUT_TransportEnergyCons!F$4:F$10000)</f>
        <v>6.0786929446512303E-2</v>
      </c>
      <c r="I2138" s="1" cm="1">
        <f t="array" ref="I2138">SUMPRODUCT(("var_ncap"=[1]OUT_TransportEnergyCons!$B$4:$B$10000)*1,("-"=[1]OUT_TransportEnergyCons!$C$4:$C$10000)*1,ISNUMBER(SEARCH("T_C*ICE*GSL*s1",[1]OUT_TransportEnergyCons!$A$4:$A$10000))*1,[1]OUT_TransportEnergyCons!G$4:G$10000)</f>
        <v>2.7871795561004199E-4</v>
      </c>
      <c r="J2138" s="1" cm="1">
        <f t="array" ref="J2138">SUMPRODUCT(("var_ncap"=[1]OUT_TransportEnergyCons!$B$4:$B$10000)*1,("-"=[1]OUT_TransportEnergyCons!$C$4:$C$10000)*1,ISNUMBER(SEARCH("T_C*ICE*GSL*s1",[1]OUT_TransportEnergyCons!$A$4:$A$10000))*1,[1]OUT_TransportEnergyCons!H$4:H$10000)</f>
        <v>0</v>
      </c>
      <c r="K2138" s="1" cm="1">
        <f t="array" ref="K2138">SUMPRODUCT(("var_ncap"=[1]OUT_TransportEnergyCons!$B$4:$B$10000)*1,("-"=[1]OUT_TransportEnergyCons!$C$4:$C$10000)*1,ISNUMBER(SEARCH("T_C*ICE*GSL*s1",[1]OUT_TransportEnergyCons!$A$4:$A$10000))*1,[1]OUT_TransportEnergyCons!I$4:I$10000)</f>
        <v>0</v>
      </c>
      <c r="L2138" s="1" cm="1">
        <f t="array" ref="L2138">SUMPRODUCT(("var_ncap"=[1]OUT_TransportEnergyCons!$B$4:$B$10000)*1,("-"=[1]OUT_TransportEnergyCons!$C$4:$C$10000)*1,ISNUMBER(SEARCH("T_C*ICE*GSL*s1",[1]OUT_TransportEnergyCons!$A$4:$A$10000))*1,[1]OUT_TransportEnergyCons!J$4:J$10000)</f>
        <v>0</v>
      </c>
      <c r="M2138" s="1" cm="1">
        <f t="array" ref="M2138">SUMPRODUCT(("var_ncap"=[1]OUT_TransportEnergyCons!$B$4:$B$10000)*1,("-"=[1]OUT_TransportEnergyCons!$C$4:$C$10000)*1,ISNUMBER(SEARCH("T_C*ICE*GSL*s1",[1]OUT_TransportEnergyCons!$A$4:$A$10000))*1,[1]OUT_TransportEnergyCons!K$4:K$10000)</f>
        <v>0</v>
      </c>
      <c r="N2138" s="1" cm="1">
        <f t="array" ref="N2138">SUMPRODUCT(("var_ncap"=[1]OUT_TransportEnergyCons!$B$4:$B$10000)*1,("-"=[1]OUT_TransportEnergyCons!$C$4:$C$10000)*1,ISNUMBER(SEARCH("T_C*ICE*GSL*s1",[1]OUT_TransportEnergyCons!$A$4:$A$10000))*1,[1]OUT_TransportEnergyCons!L$4:L$10000)</f>
        <v>0</v>
      </c>
      <c r="O2138" s="1" cm="1">
        <f t="array" ref="O2138">SUMPRODUCT(("var_ncap"=[1]OUT_TransportEnergyCons!$B$4:$B$10000)*1,("-"=[1]OUT_TransportEnergyCons!$C$4:$C$10000)*1,ISNUMBER(SEARCH("T_C*ICE*GSL*s1",[1]OUT_TransportEnergyCons!$A$4:$A$10000))*1,[1]OUT_TransportEnergyCons!M$4:M$10000)</f>
        <v>0</v>
      </c>
      <c r="P2138" s="1" cm="1">
        <f t="array" ref="P2138">SUMPRODUCT(("var_ncap"=[1]OUT_TransportEnergyCons!$B$4:$B$10000)*1,("-"=[1]OUT_TransportEnergyCons!$C$4:$C$10000)*1,ISNUMBER(SEARCH("T_C*ICE*GSL*s1",[1]OUT_TransportEnergyCons!$A$4:$A$10000))*1,[1]OUT_TransportEnergyCons!N$4:N$10000)</f>
        <v>0</v>
      </c>
      <c r="Q2138" s="1" cm="1">
        <f t="array" ref="Q2138">SUMPRODUCT(("var_ncap"=[1]OUT_TransportEnergyCons!$B$4:$B$10000)*1,("-"=[1]OUT_TransportEnergyCons!$C$4:$C$10000)*1,ISNUMBER(SEARCH("T_C*ICE*GSL*s1",[1]OUT_TransportEnergyCons!$A$4:$A$10000))*1,[1]OUT_TransportEnergyCons!O$4:O$10000)</f>
        <v>0</v>
      </c>
      <c r="S2138" s="3"/>
    </row>
    <row r="2139" spans="2:19" x14ac:dyDescent="0.5">
      <c r="B2139" s="5" t="str">
        <f t="shared" si="2239"/>
        <v>SPS1</v>
      </c>
      <c r="C2139" s="5" t="str">
        <f t="shared" si="2240"/>
        <v>CH</v>
      </c>
      <c r="D2139" t="s">
        <v>2268</v>
      </c>
      <c r="E2139" t="str">
        <f t="shared" si="2241"/>
        <v>Million</v>
      </c>
      <c r="F2139" s="1" cm="1">
        <f t="array" ref="F2139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SUMPRODUCT(("var_ncap"=[1]OUT_TransportEnergyCons!$B$4:$B$10000)*1,("-"=[1]OUT_TransportEnergyCons!$C$4:$C$10000)*1,ISNUMBER(SEARCH("T_C*ICE*GSL*s2",[1]OUT_TransportEnergyCons!$A$4:$A$10000))*1,[1]OUT_TransportEnergyCons!E$4:E$10000)</f>
        <v>1.7926214736986701E-4</v>
      </c>
      <c r="H2139" s="1" cm="1">
        <f t="array" ref="H2139">SUMPRODUCT(("var_ncap"=[1]OUT_TransportEnergyCons!$B$4:$B$10000)*1,("-"=[1]OUT_TransportEnergyCons!$C$4:$C$10000)*1,ISNUMBER(SEARCH("T_C*ICE*GSL*s2",[1]OUT_TransportEnergyCons!$A$4:$A$10000))*1,[1]OUT_TransportEnergyCons!F$4:F$10000)</f>
        <v>9.3282426857681303E-2</v>
      </c>
      <c r="I2139" s="1" cm="1">
        <f t="array" ref="I2139">SUMPRODUCT(("var_ncap"=[1]OUT_TransportEnergyCons!$B$4:$B$10000)*1,("-"=[1]OUT_TransportEnergyCons!$C$4:$C$10000)*1,ISNUMBER(SEARCH("T_C*ICE*GSL*s2",[1]OUT_TransportEnergyCons!$A$4:$A$10000))*1,[1]OUT_TransportEnergyCons!G$4:G$10000)</f>
        <v>1.44702614869767E-4</v>
      </c>
      <c r="J2139" s="1" cm="1">
        <f t="array" ref="J2139">SUMPRODUCT(("var_ncap"=[1]OUT_TransportEnergyCons!$B$4:$B$10000)*1,("-"=[1]OUT_TransportEnergyCons!$C$4:$C$10000)*1,ISNUMBER(SEARCH("T_C*ICE*GSL*s2",[1]OUT_TransportEnergyCons!$A$4:$A$10000))*1,[1]OUT_TransportEnergyCons!H$4:H$10000)</f>
        <v>0</v>
      </c>
      <c r="K2139" s="1" cm="1">
        <f t="array" ref="K2139">SUMPRODUCT(("var_ncap"=[1]OUT_TransportEnergyCons!$B$4:$B$10000)*1,("-"=[1]OUT_TransportEnergyCons!$C$4:$C$10000)*1,ISNUMBER(SEARCH("T_C*ICE*GSL*s2",[1]OUT_TransportEnergyCons!$A$4:$A$10000))*1,[1]OUT_TransportEnergyCons!I$4:I$10000)</f>
        <v>0</v>
      </c>
      <c r="L2139" s="1" cm="1">
        <f t="array" ref="L2139">SUMPRODUCT(("var_ncap"=[1]OUT_TransportEnergyCons!$B$4:$B$10000)*1,("-"=[1]OUT_TransportEnergyCons!$C$4:$C$10000)*1,ISNUMBER(SEARCH("T_C*ICE*GSL*s2",[1]OUT_TransportEnergyCons!$A$4:$A$10000))*1,[1]OUT_TransportEnergyCons!J$4:J$10000)</f>
        <v>0</v>
      </c>
      <c r="M2139" s="1" cm="1">
        <f t="array" ref="M2139">SUMPRODUCT(("var_ncap"=[1]OUT_TransportEnergyCons!$B$4:$B$10000)*1,("-"=[1]OUT_TransportEnergyCons!$C$4:$C$10000)*1,ISNUMBER(SEARCH("T_C*ICE*GSL*s2",[1]OUT_TransportEnergyCons!$A$4:$A$10000))*1,[1]OUT_TransportEnergyCons!K$4:K$10000)</f>
        <v>0</v>
      </c>
      <c r="N2139" s="1" cm="1">
        <f t="array" ref="N2139">SUMPRODUCT(("var_ncap"=[1]OUT_TransportEnergyCons!$B$4:$B$10000)*1,("-"=[1]OUT_TransportEnergyCons!$C$4:$C$10000)*1,ISNUMBER(SEARCH("T_C*ICE*GSL*s2",[1]OUT_TransportEnergyCons!$A$4:$A$10000))*1,[1]OUT_TransportEnergyCons!L$4:L$10000)</f>
        <v>0</v>
      </c>
      <c r="O2139" s="1" cm="1">
        <f t="array" ref="O2139">SUMPRODUCT(("var_ncap"=[1]OUT_TransportEnergyCons!$B$4:$B$10000)*1,("-"=[1]OUT_TransportEnergyCons!$C$4:$C$10000)*1,ISNUMBER(SEARCH("T_C*ICE*GSL*s2",[1]OUT_TransportEnergyCons!$A$4:$A$10000))*1,[1]OUT_TransportEnergyCons!M$4:M$10000)</f>
        <v>0</v>
      </c>
      <c r="P2139" s="1" cm="1">
        <f t="array" ref="P2139">SUMPRODUCT(("var_ncap"=[1]OUT_TransportEnergyCons!$B$4:$B$10000)*1,("-"=[1]OUT_TransportEnergyCons!$C$4:$C$10000)*1,ISNUMBER(SEARCH("T_C*ICE*GSL*s2",[1]OUT_TransportEnergyCons!$A$4:$A$10000))*1,[1]OUT_TransportEnergyCons!N$4:N$10000)</f>
        <v>0</v>
      </c>
      <c r="Q2139" s="1" cm="1">
        <f t="array" ref="Q2139">SUMPRODUCT(("var_ncap"=[1]OUT_TransportEnergyCons!$B$4:$B$10000)*1,("-"=[1]OUT_TransportEnergyCons!$C$4:$C$10000)*1,ISNUMBER(SEARCH("T_C*ICE*GSL*s2",[1]OUT_TransportEnergyCons!$A$4:$A$10000))*1,[1]OUT_TransportEnergyCons!O$4:O$10000)</f>
        <v>0</v>
      </c>
      <c r="S2139" s="3"/>
    </row>
    <row r="2140" spans="2:19" x14ac:dyDescent="0.5">
      <c r="B2140" s="5" t="str">
        <f t="shared" si="2239"/>
        <v>SPS1</v>
      </c>
      <c r="C2140" s="5" t="str">
        <f t="shared" si="2240"/>
        <v>CH</v>
      </c>
      <c r="D2140" t="s">
        <v>2269</v>
      </c>
      <c r="E2140" t="str">
        <f t="shared" si="2241"/>
        <v>Million</v>
      </c>
      <c r="F2140" s="1" cm="1">
        <f t="array" ref="F2140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SUMPRODUCT(("var_ncap"=[1]OUT_TransportEnergyCons!$B$4:$B$10000)*1,("-"=[1]OUT_TransportEnergyCons!$C$4:$C$10000)*1,ISNUMBER(SEARCH("T_C*ICE*GSL*s3",[1]OUT_TransportEnergyCons!$A$4:$A$10000))*1,[1]OUT_TransportEnergyCons!E$4:E$10000)</f>
        <v>1.29852886484959E-4</v>
      </c>
      <c r="H2140" s="1" cm="1">
        <f t="array" ref="H2140">SUMPRODUCT(("var_ncap"=[1]OUT_TransportEnergyCons!$B$4:$B$10000)*1,("-"=[1]OUT_TransportEnergyCons!$C$4:$C$10000)*1,ISNUMBER(SEARCH("T_C*ICE*GSL*s3",[1]OUT_TransportEnergyCons!$A$4:$A$10000))*1,[1]OUT_TransportEnergyCons!F$4:F$10000)</f>
        <v>0.17820374801320699</v>
      </c>
      <c r="I2140" s="1" cm="1">
        <f t="array" ref="I2140">SUMPRODUCT(("var_ncap"=[1]OUT_TransportEnergyCons!$B$4:$B$10000)*1,("-"=[1]OUT_TransportEnergyCons!$C$4:$C$10000)*1,ISNUMBER(SEARCH("T_C*ICE*GSL*s3",[1]OUT_TransportEnergyCons!$A$4:$A$10000))*1,[1]OUT_TransportEnergyCons!G$4:G$10000)</f>
        <v>7.3485483107719104E-5</v>
      </c>
      <c r="J2140" s="1" cm="1">
        <f t="array" ref="J2140">SUMPRODUCT(("var_ncap"=[1]OUT_TransportEnergyCons!$B$4:$B$10000)*1,("-"=[1]OUT_TransportEnergyCons!$C$4:$C$10000)*1,ISNUMBER(SEARCH("T_C*ICE*GSL*s3",[1]OUT_TransportEnergyCons!$A$4:$A$10000))*1,[1]OUT_TransportEnergyCons!H$4:H$10000)</f>
        <v>0</v>
      </c>
      <c r="K2140" s="1" cm="1">
        <f t="array" ref="K2140">SUMPRODUCT(("var_ncap"=[1]OUT_TransportEnergyCons!$B$4:$B$10000)*1,("-"=[1]OUT_TransportEnergyCons!$C$4:$C$10000)*1,ISNUMBER(SEARCH("T_C*ICE*GSL*s3",[1]OUT_TransportEnergyCons!$A$4:$A$10000))*1,[1]OUT_TransportEnergyCons!I$4:I$10000)</f>
        <v>0</v>
      </c>
      <c r="L2140" s="1" cm="1">
        <f t="array" ref="L2140">SUMPRODUCT(("var_ncap"=[1]OUT_TransportEnergyCons!$B$4:$B$10000)*1,("-"=[1]OUT_TransportEnergyCons!$C$4:$C$10000)*1,ISNUMBER(SEARCH("T_C*ICE*GSL*s3",[1]OUT_TransportEnergyCons!$A$4:$A$10000))*1,[1]OUT_TransportEnergyCons!J$4:J$10000)</f>
        <v>0</v>
      </c>
      <c r="M2140" s="1" cm="1">
        <f t="array" ref="M2140">SUMPRODUCT(("var_ncap"=[1]OUT_TransportEnergyCons!$B$4:$B$10000)*1,("-"=[1]OUT_TransportEnergyCons!$C$4:$C$10000)*1,ISNUMBER(SEARCH("T_C*ICE*GSL*s3",[1]OUT_TransportEnergyCons!$A$4:$A$10000))*1,[1]OUT_TransportEnergyCons!K$4:K$10000)</f>
        <v>0</v>
      </c>
      <c r="N2140" s="1" cm="1">
        <f t="array" ref="N2140">SUMPRODUCT(("var_ncap"=[1]OUT_TransportEnergyCons!$B$4:$B$10000)*1,("-"=[1]OUT_TransportEnergyCons!$C$4:$C$10000)*1,ISNUMBER(SEARCH("T_C*ICE*GSL*s3",[1]OUT_TransportEnergyCons!$A$4:$A$10000))*1,[1]OUT_TransportEnergyCons!L$4:L$10000)</f>
        <v>0</v>
      </c>
      <c r="O2140" s="1" cm="1">
        <f t="array" ref="O2140">SUMPRODUCT(("var_ncap"=[1]OUT_TransportEnergyCons!$B$4:$B$10000)*1,("-"=[1]OUT_TransportEnergyCons!$C$4:$C$10000)*1,ISNUMBER(SEARCH("T_C*ICE*GSL*s3",[1]OUT_TransportEnergyCons!$A$4:$A$10000))*1,[1]OUT_TransportEnergyCons!M$4:M$10000)</f>
        <v>0</v>
      </c>
      <c r="P2140" s="1" cm="1">
        <f t="array" ref="P2140">SUMPRODUCT(("var_ncap"=[1]OUT_TransportEnergyCons!$B$4:$B$10000)*1,("-"=[1]OUT_TransportEnergyCons!$C$4:$C$10000)*1,ISNUMBER(SEARCH("T_C*ICE*GSL*s3",[1]OUT_TransportEnergyCons!$A$4:$A$10000))*1,[1]OUT_TransportEnergyCons!N$4:N$10000)</f>
        <v>0</v>
      </c>
      <c r="Q2140" s="1" cm="1">
        <f t="array" ref="Q2140">SUMPRODUCT(("var_ncap"=[1]OUT_TransportEnergyCons!$B$4:$B$10000)*1,("-"=[1]OUT_TransportEnergyCons!$C$4:$C$10000)*1,ISNUMBER(SEARCH("T_C*ICE*GSL*s3",[1]OUT_TransportEnergyCons!$A$4:$A$10000))*1,[1]OUT_TransportEnergyCons!O$4:O$10000)</f>
        <v>0</v>
      </c>
      <c r="S2140" s="3"/>
    </row>
    <row r="2141" spans="2:19" x14ac:dyDescent="0.5">
      <c r="B2141" s="5" t="str">
        <f t="shared" si="2239"/>
        <v>SPS1</v>
      </c>
      <c r="C2141" s="5" t="str">
        <f t="shared" si="2240"/>
        <v>CH</v>
      </c>
      <c r="D2141" t="s">
        <v>2270</v>
      </c>
      <c r="E2141" t="str">
        <f t="shared" si="2241"/>
        <v>Million</v>
      </c>
      <c r="F2141" s="1" cm="1">
        <f t="array" ref="F2141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SUMPRODUCT(("var_ncap"=[1]OUT_TransportEnergyCons!$B$4:$B$10000)*1,("-"=[1]OUT_TransportEnergyCons!$C$4:$C$10000)*1,ISNUMBER(SEARCH("T_C*ICE*GSL*s4",[1]OUT_TransportEnergyCons!$A$4:$A$10000))*1,[1]OUT_TransportEnergyCons!E$4:E$10000)</f>
        <v>7.0502352607903403E-5</v>
      </c>
      <c r="H2141" s="1" cm="1">
        <f t="array" ref="H2141">SUMPRODUCT(("var_ncap"=[1]OUT_TransportEnergyCons!$B$4:$B$10000)*1,("-"=[1]OUT_TransportEnergyCons!$C$4:$C$10000)*1,ISNUMBER(SEARCH("T_C*ICE*GSL*s4",[1]OUT_TransportEnergyCons!$A$4:$A$10000))*1,[1]OUT_TransportEnergyCons!F$4:F$10000)</f>
        <v>0.14764000834618701</v>
      </c>
      <c r="I2141" s="1" cm="1">
        <f t="array" ref="I2141">SUMPRODUCT(("var_ncap"=[1]OUT_TransportEnergyCons!$B$4:$B$10000)*1,("-"=[1]OUT_TransportEnergyCons!$C$4:$C$10000)*1,ISNUMBER(SEARCH("T_C*ICE*GSL*s4",[1]OUT_TransportEnergyCons!$A$4:$A$10000))*1,[1]OUT_TransportEnergyCons!G$4:G$10000)</f>
        <v>2.7663752212465302E-4</v>
      </c>
      <c r="J2141" s="1" cm="1">
        <f t="array" ref="J2141">SUMPRODUCT(("var_ncap"=[1]OUT_TransportEnergyCons!$B$4:$B$10000)*1,("-"=[1]OUT_TransportEnergyCons!$C$4:$C$10000)*1,ISNUMBER(SEARCH("T_C*ICE*GSL*s4",[1]OUT_TransportEnergyCons!$A$4:$A$10000))*1,[1]OUT_TransportEnergyCons!H$4:H$10000)</f>
        <v>0</v>
      </c>
      <c r="K2141" s="1" cm="1">
        <f t="array" ref="K2141">SUMPRODUCT(("var_ncap"=[1]OUT_TransportEnergyCons!$B$4:$B$10000)*1,("-"=[1]OUT_TransportEnergyCons!$C$4:$C$10000)*1,ISNUMBER(SEARCH("T_C*ICE*GSL*s4",[1]OUT_TransportEnergyCons!$A$4:$A$10000))*1,[1]OUT_TransportEnergyCons!I$4:I$10000)</f>
        <v>0</v>
      </c>
      <c r="L2141" s="1" cm="1">
        <f t="array" ref="L2141">SUMPRODUCT(("var_ncap"=[1]OUT_TransportEnergyCons!$B$4:$B$10000)*1,("-"=[1]OUT_TransportEnergyCons!$C$4:$C$10000)*1,ISNUMBER(SEARCH("T_C*ICE*GSL*s4",[1]OUT_TransportEnergyCons!$A$4:$A$10000))*1,[1]OUT_TransportEnergyCons!J$4:J$10000)</f>
        <v>0</v>
      </c>
      <c r="M2141" s="1" cm="1">
        <f t="array" ref="M2141">SUMPRODUCT(("var_ncap"=[1]OUT_TransportEnergyCons!$B$4:$B$10000)*1,("-"=[1]OUT_TransportEnergyCons!$C$4:$C$10000)*1,ISNUMBER(SEARCH("T_C*ICE*GSL*s4",[1]OUT_TransportEnergyCons!$A$4:$A$10000))*1,[1]OUT_TransportEnergyCons!K$4:K$10000)</f>
        <v>0</v>
      </c>
      <c r="N2141" s="1" cm="1">
        <f t="array" ref="N2141">SUMPRODUCT(("var_ncap"=[1]OUT_TransportEnergyCons!$B$4:$B$10000)*1,("-"=[1]OUT_TransportEnergyCons!$C$4:$C$10000)*1,ISNUMBER(SEARCH("T_C*ICE*GSL*s4",[1]OUT_TransportEnergyCons!$A$4:$A$10000))*1,[1]OUT_TransportEnergyCons!L$4:L$10000)</f>
        <v>0</v>
      </c>
      <c r="O2141" s="1" cm="1">
        <f t="array" ref="O2141">SUMPRODUCT(("var_ncap"=[1]OUT_TransportEnergyCons!$B$4:$B$10000)*1,("-"=[1]OUT_TransportEnergyCons!$C$4:$C$10000)*1,ISNUMBER(SEARCH("T_C*ICE*GSL*s4",[1]OUT_TransportEnergyCons!$A$4:$A$10000))*1,[1]OUT_TransportEnergyCons!M$4:M$10000)</f>
        <v>0</v>
      </c>
      <c r="P2141" s="1" cm="1">
        <f t="array" ref="P2141">SUMPRODUCT(("var_ncap"=[1]OUT_TransportEnergyCons!$B$4:$B$10000)*1,("-"=[1]OUT_TransportEnergyCons!$C$4:$C$10000)*1,ISNUMBER(SEARCH("T_C*ICE*GSL*s4",[1]OUT_TransportEnergyCons!$A$4:$A$10000))*1,[1]OUT_TransportEnergyCons!N$4:N$10000)</f>
        <v>0</v>
      </c>
      <c r="Q2141" s="1" cm="1">
        <f t="array" ref="Q2141">SUMPRODUCT(("var_ncap"=[1]OUT_TransportEnergyCons!$B$4:$B$10000)*1,("-"=[1]OUT_TransportEnergyCons!$C$4:$C$10000)*1,ISNUMBER(SEARCH("T_C*ICE*GSL*s4",[1]OUT_TransportEnergyCons!$A$4:$A$10000))*1,[1]OUT_TransportEnergyCons!O$4:O$10000)</f>
        <v>0</v>
      </c>
      <c r="S2141" s="3"/>
    </row>
    <row r="2142" spans="2:19" x14ac:dyDescent="0.5">
      <c r="B2142" s="5" t="str">
        <f t="shared" si="2239"/>
        <v>SPS1</v>
      </c>
      <c r="C2142" s="5" t="str">
        <f t="shared" si="2240"/>
        <v>CH</v>
      </c>
      <c r="D2142" t="s">
        <v>2271</v>
      </c>
      <c r="E2142" t="str">
        <f t="shared" si="2241"/>
        <v>Million</v>
      </c>
      <c r="F2142" s="1" cm="1">
        <f t="array" ref="F2142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SUMPRODUCT(("var_ncap"=[1]OUT_TransportEnergyCons!$B$4:$B$10000)*1,("-"=[1]OUT_TransportEnergyCons!$C$4:$C$10000)*1,ISNUMBER(SEARCH("T_C*mhy*GSL*s1",[1]OUT_TransportEnergyCons!$A$4:$A$10000))*1,[1]OUT_TransportEnergyCons!E$4:E$10000)</f>
        <v>1.43396132712074E-5</v>
      </c>
      <c r="H2142" s="1" cm="1">
        <f t="array" ref="H2142">SUMPRODUCT(("var_ncap"=[1]OUT_TransportEnergyCons!$B$4:$B$10000)*1,("-"=[1]OUT_TransportEnergyCons!$C$4:$C$10000)*1,ISNUMBER(SEARCH("T_C*mhy*GSL*s1",[1]OUT_TransportEnergyCons!$A$4:$A$10000))*1,[1]OUT_TransportEnergyCons!F$4:F$10000)</f>
        <v>1.84651141682709E-5</v>
      </c>
      <c r="I2142" s="1" cm="1">
        <f t="array" ref="I2142">SUMPRODUCT(("var_ncap"=[1]OUT_TransportEnergyCons!$B$4:$B$10000)*1,("-"=[1]OUT_TransportEnergyCons!$C$4:$C$10000)*1,ISNUMBER(SEARCH("T_C*mhy*GSL*s1",[1]OUT_TransportEnergyCons!$A$4:$A$10000))*1,[1]OUT_TransportEnergyCons!G$4:G$10000)</f>
        <v>1.3328986432710799E-4</v>
      </c>
      <c r="J2142" s="1" cm="1">
        <f t="array" ref="J2142">SUMPRODUCT(("var_ncap"=[1]OUT_TransportEnergyCons!$B$4:$B$10000)*1,("-"=[1]OUT_TransportEnergyCons!$C$4:$C$10000)*1,ISNUMBER(SEARCH("T_C*mhy*GSL*s1",[1]OUT_TransportEnergyCons!$A$4:$A$10000))*1,[1]OUT_TransportEnergyCons!H$4:H$10000)</f>
        <v>0</v>
      </c>
      <c r="K2142" s="1" cm="1">
        <f t="array" ref="K2142">SUMPRODUCT(("var_ncap"=[1]OUT_TransportEnergyCons!$B$4:$B$10000)*1,("-"=[1]OUT_TransportEnergyCons!$C$4:$C$10000)*1,ISNUMBER(SEARCH("T_C*mhy*GSL*s1",[1]OUT_TransportEnergyCons!$A$4:$A$10000))*1,[1]OUT_TransportEnergyCons!I$4:I$10000)</f>
        <v>0</v>
      </c>
      <c r="L2142" s="1" cm="1">
        <f t="array" ref="L2142">SUMPRODUCT(("var_ncap"=[1]OUT_TransportEnergyCons!$B$4:$B$10000)*1,("-"=[1]OUT_TransportEnergyCons!$C$4:$C$10000)*1,ISNUMBER(SEARCH("T_C*mhy*GSL*s1",[1]OUT_TransportEnergyCons!$A$4:$A$10000))*1,[1]OUT_TransportEnergyCons!J$4:J$10000)</f>
        <v>0</v>
      </c>
      <c r="M2142" s="1" cm="1">
        <f t="array" ref="M2142">SUMPRODUCT(("var_ncap"=[1]OUT_TransportEnergyCons!$B$4:$B$10000)*1,("-"=[1]OUT_TransportEnergyCons!$C$4:$C$10000)*1,ISNUMBER(SEARCH("T_C*mhy*GSL*s1",[1]OUT_TransportEnergyCons!$A$4:$A$10000))*1,[1]OUT_TransportEnergyCons!K$4:K$10000)</f>
        <v>0</v>
      </c>
      <c r="N2142" s="1" cm="1">
        <f t="array" ref="N2142">SUMPRODUCT(("var_ncap"=[1]OUT_TransportEnergyCons!$B$4:$B$10000)*1,("-"=[1]OUT_TransportEnergyCons!$C$4:$C$10000)*1,ISNUMBER(SEARCH("T_C*mhy*GSL*s1",[1]OUT_TransportEnergyCons!$A$4:$A$10000))*1,[1]OUT_TransportEnergyCons!L$4:L$10000)</f>
        <v>0</v>
      </c>
      <c r="O2142" s="1" cm="1">
        <f t="array" ref="O2142">SUMPRODUCT(("var_ncap"=[1]OUT_TransportEnergyCons!$B$4:$B$10000)*1,("-"=[1]OUT_TransportEnergyCons!$C$4:$C$10000)*1,ISNUMBER(SEARCH("T_C*mhy*GSL*s1",[1]OUT_TransportEnergyCons!$A$4:$A$10000))*1,[1]OUT_TransportEnergyCons!M$4:M$10000)</f>
        <v>0</v>
      </c>
      <c r="P2142" s="1" cm="1">
        <f t="array" ref="P2142">SUMPRODUCT(("var_ncap"=[1]OUT_TransportEnergyCons!$B$4:$B$10000)*1,("-"=[1]OUT_TransportEnergyCons!$C$4:$C$10000)*1,ISNUMBER(SEARCH("T_C*mhy*GSL*s1",[1]OUT_TransportEnergyCons!$A$4:$A$10000))*1,[1]OUT_TransportEnergyCons!N$4:N$10000)</f>
        <v>0</v>
      </c>
      <c r="Q2142" s="1" cm="1">
        <f t="array" ref="Q2142">SUMPRODUCT(("var_ncap"=[1]OUT_TransportEnergyCons!$B$4:$B$10000)*1,("-"=[1]OUT_TransportEnergyCons!$C$4:$C$10000)*1,ISNUMBER(SEARCH("T_C*mhy*GSL*s1",[1]OUT_TransportEnergyCons!$A$4:$A$10000))*1,[1]OUT_TransportEnergyCons!O$4:O$10000)</f>
        <v>0</v>
      </c>
      <c r="S2142" s="3"/>
    </row>
    <row r="2143" spans="2:19" x14ac:dyDescent="0.5">
      <c r="B2143" s="5" t="str">
        <f t="shared" si="2239"/>
        <v>SPS1</v>
      </c>
      <c r="C2143" s="5" t="str">
        <f t="shared" si="2240"/>
        <v>CH</v>
      </c>
      <c r="D2143" t="s">
        <v>2272</v>
      </c>
      <c r="E2143" t="str">
        <f t="shared" si="2241"/>
        <v>Million</v>
      </c>
      <c r="F2143" s="1" cm="1">
        <f t="array" ref="F2143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SUMPRODUCT(("var_ncap"=[1]OUT_TransportEnergyCons!$B$4:$B$10000)*1,("-"=[1]OUT_TransportEnergyCons!$C$4:$C$10000)*1,ISNUMBER(SEARCH("T_C*mhy*GSL*s2",[1]OUT_TransportEnergyCons!$A$4:$A$10000))*1,[1]OUT_TransportEnergyCons!E$4:E$10000)</f>
        <v>9.4700797405193303E-6</v>
      </c>
      <c r="H2143" s="1" cm="1">
        <f t="array" ref="H2143">SUMPRODUCT(("var_ncap"=[1]OUT_TransportEnergyCons!$B$4:$B$10000)*1,("-"=[1]OUT_TransportEnergyCons!$C$4:$C$10000)*1,ISNUMBER(SEARCH("T_C*mhy*GSL*s2",[1]OUT_TransportEnergyCons!$A$4:$A$10000))*1,[1]OUT_TransportEnergyCons!F$4:F$10000)</f>
        <v>1.66054470446411E-5</v>
      </c>
      <c r="I2143" s="1" cm="1">
        <f t="array" ref="I2143">SUMPRODUCT(("var_ncap"=[1]OUT_TransportEnergyCons!$B$4:$B$10000)*1,("-"=[1]OUT_TransportEnergyCons!$C$4:$C$10000)*1,ISNUMBER(SEARCH("T_C*mhy*GSL*s2",[1]OUT_TransportEnergyCons!$A$4:$A$10000))*1,[1]OUT_TransportEnergyCons!G$4:G$10000)</f>
        <v>8.1609653327832803E-5</v>
      </c>
      <c r="J2143" s="1" cm="1">
        <f t="array" ref="J2143">SUMPRODUCT(("var_ncap"=[1]OUT_TransportEnergyCons!$B$4:$B$10000)*1,("-"=[1]OUT_TransportEnergyCons!$C$4:$C$10000)*1,ISNUMBER(SEARCH("T_C*mhy*GSL*s2",[1]OUT_TransportEnergyCons!$A$4:$A$10000))*1,[1]OUT_TransportEnergyCons!H$4:H$10000)</f>
        <v>0</v>
      </c>
      <c r="K2143" s="1" cm="1">
        <f t="array" ref="K2143">SUMPRODUCT(("var_ncap"=[1]OUT_TransportEnergyCons!$B$4:$B$10000)*1,("-"=[1]OUT_TransportEnergyCons!$C$4:$C$10000)*1,ISNUMBER(SEARCH("T_C*mhy*GSL*s2",[1]OUT_TransportEnergyCons!$A$4:$A$10000))*1,[1]OUT_TransportEnergyCons!I$4:I$10000)</f>
        <v>0</v>
      </c>
      <c r="L2143" s="1" cm="1">
        <f t="array" ref="L2143">SUMPRODUCT(("var_ncap"=[1]OUT_TransportEnergyCons!$B$4:$B$10000)*1,("-"=[1]OUT_TransportEnergyCons!$C$4:$C$10000)*1,ISNUMBER(SEARCH("T_C*mhy*GSL*s2",[1]OUT_TransportEnergyCons!$A$4:$A$10000))*1,[1]OUT_TransportEnergyCons!J$4:J$10000)</f>
        <v>0</v>
      </c>
      <c r="M2143" s="1" cm="1">
        <f t="array" ref="M2143">SUMPRODUCT(("var_ncap"=[1]OUT_TransportEnergyCons!$B$4:$B$10000)*1,("-"=[1]OUT_TransportEnergyCons!$C$4:$C$10000)*1,ISNUMBER(SEARCH("T_C*mhy*GSL*s2",[1]OUT_TransportEnergyCons!$A$4:$A$10000))*1,[1]OUT_TransportEnergyCons!K$4:K$10000)</f>
        <v>0</v>
      </c>
      <c r="N2143" s="1" cm="1">
        <f t="array" ref="N2143">SUMPRODUCT(("var_ncap"=[1]OUT_TransportEnergyCons!$B$4:$B$10000)*1,("-"=[1]OUT_TransportEnergyCons!$C$4:$C$10000)*1,ISNUMBER(SEARCH("T_C*mhy*GSL*s2",[1]OUT_TransportEnergyCons!$A$4:$A$10000))*1,[1]OUT_TransportEnergyCons!L$4:L$10000)</f>
        <v>0</v>
      </c>
      <c r="O2143" s="1" cm="1">
        <f t="array" ref="O2143">SUMPRODUCT(("var_ncap"=[1]OUT_TransportEnergyCons!$B$4:$B$10000)*1,("-"=[1]OUT_TransportEnergyCons!$C$4:$C$10000)*1,ISNUMBER(SEARCH("T_C*mhy*GSL*s2",[1]OUT_TransportEnergyCons!$A$4:$A$10000))*1,[1]OUT_TransportEnergyCons!M$4:M$10000)</f>
        <v>0</v>
      </c>
      <c r="P2143" s="1" cm="1">
        <f t="array" ref="P2143">SUMPRODUCT(("var_ncap"=[1]OUT_TransportEnergyCons!$B$4:$B$10000)*1,("-"=[1]OUT_TransportEnergyCons!$C$4:$C$10000)*1,ISNUMBER(SEARCH("T_C*mhy*GSL*s2",[1]OUT_TransportEnergyCons!$A$4:$A$10000))*1,[1]OUT_TransportEnergyCons!N$4:N$10000)</f>
        <v>0</v>
      </c>
      <c r="Q2143" s="1" cm="1">
        <f t="array" ref="Q2143">SUMPRODUCT(("var_ncap"=[1]OUT_TransportEnergyCons!$B$4:$B$10000)*1,("-"=[1]OUT_TransportEnergyCons!$C$4:$C$10000)*1,ISNUMBER(SEARCH("T_C*mhy*GSL*s2",[1]OUT_TransportEnergyCons!$A$4:$A$10000))*1,[1]OUT_TransportEnergyCons!O$4:O$10000)</f>
        <v>0</v>
      </c>
      <c r="S2143" s="3"/>
    </row>
    <row r="2144" spans="2:19" x14ac:dyDescent="0.5">
      <c r="B2144" s="5" t="str">
        <f t="shared" si="2239"/>
        <v>SPS1</v>
      </c>
      <c r="C2144" s="5" t="str">
        <f t="shared" si="2240"/>
        <v>CH</v>
      </c>
      <c r="D2144" t="s">
        <v>2273</v>
      </c>
      <c r="E2144" t="str">
        <f t="shared" si="2241"/>
        <v>Million</v>
      </c>
      <c r="F2144" s="1" cm="1">
        <f t="array" ref="F2144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SUMPRODUCT(("var_ncap"=[1]OUT_TransportEnergyCons!$B$4:$B$10000)*1,("-"=[1]OUT_TransportEnergyCons!$C$4:$C$10000)*1,ISNUMBER(SEARCH("T_C*mhy*GSL*s3",[1]OUT_TransportEnergyCons!$A$4:$A$10000))*1,[1]OUT_TransportEnergyCons!E$4:E$10000)</f>
        <v>9.4308651649687694E-6</v>
      </c>
      <c r="H2144" s="1" cm="1">
        <f t="array" ref="H2144">SUMPRODUCT(("var_ncap"=[1]OUT_TransportEnergyCons!$B$4:$B$10000)*1,("-"=[1]OUT_TransportEnergyCons!$C$4:$C$10000)*1,ISNUMBER(SEARCH("T_C*mhy*GSL*s3",[1]OUT_TransportEnergyCons!$A$4:$A$10000))*1,[1]OUT_TransportEnergyCons!F$4:F$10000)</f>
        <v>1.6652002216231599E-5</v>
      </c>
      <c r="I2144" s="1" cm="1">
        <f t="array" ref="I2144">SUMPRODUCT(("var_ncap"=[1]OUT_TransportEnergyCons!$B$4:$B$10000)*1,("-"=[1]OUT_TransportEnergyCons!$C$4:$C$10000)*1,ISNUMBER(SEARCH("T_C*mhy*GSL*s3",[1]OUT_TransportEnergyCons!$A$4:$A$10000))*1,[1]OUT_TransportEnergyCons!G$4:G$10000)</f>
        <v>4.8323609636281803E-5</v>
      </c>
      <c r="J2144" s="1" cm="1">
        <f t="array" ref="J2144">SUMPRODUCT(("var_ncap"=[1]OUT_TransportEnergyCons!$B$4:$B$10000)*1,("-"=[1]OUT_TransportEnergyCons!$C$4:$C$10000)*1,ISNUMBER(SEARCH("T_C*mhy*GSL*s3",[1]OUT_TransportEnergyCons!$A$4:$A$10000))*1,[1]OUT_TransportEnergyCons!H$4:H$10000)</f>
        <v>0</v>
      </c>
      <c r="K2144" s="1" cm="1">
        <f t="array" ref="K2144">SUMPRODUCT(("var_ncap"=[1]OUT_TransportEnergyCons!$B$4:$B$10000)*1,("-"=[1]OUT_TransportEnergyCons!$C$4:$C$10000)*1,ISNUMBER(SEARCH("T_C*mhy*GSL*s3",[1]OUT_TransportEnergyCons!$A$4:$A$10000))*1,[1]OUT_TransportEnergyCons!I$4:I$10000)</f>
        <v>0</v>
      </c>
      <c r="L2144" s="1" cm="1">
        <f t="array" ref="L2144">SUMPRODUCT(("var_ncap"=[1]OUT_TransportEnergyCons!$B$4:$B$10000)*1,("-"=[1]OUT_TransportEnergyCons!$C$4:$C$10000)*1,ISNUMBER(SEARCH("T_C*mhy*GSL*s3",[1]OUT_TransportEnergyCons!$A$4:$A$10000))*1,[1]OUT_TransportEnergyCons!J$4:J$10000)</f>
        <v>0</v>
      </c>
      <c r="M2144" s="1" cm="1">
        <f t="array" ref="M2144">SUMPRODUCT(("var_ncap"=[1]OUT_TransportEnergyCons!$B$4:$B$10000)*1,("-"=[1]OUT_TransportEnergyCons!$C$4:$C$10000)*1,ISNUMBER(SEARCH("T_C*mhy*GSL*s3",[1]OUT_TransportEnergyCons!$A$4:$A$10000))*1,[1]OUT_TransportEnergyCons!K$4:K$10000)</f>
        <v>0</v>
      </c>
      <c r="N2144" s="1" cm="1">
        <f t="array" ref="N2144">SUMPRODUCT(("var_ncap"=[1]OUT_TransportEnergyCons!$B$4:$B$10000)*1,("-"=[1]OUT_TransportEnergyCons!$C$4:$C$10000)*1,ISNUMBER(SEARCH("T_C*mhy*GSL*s3",[1]OUT_TransportEnergyCons!$A$4:$A$10000))*1,[1]OUT_TransportEnergyCons!L$4:L$10000)</f>
        <v>0</v>
      </c>
      <c r="O2144" s="1" cm="1">
        <f t="array" ref="O2144">SUMPRODUCT(("var_ncap"=[1]OUT_TransportEnergyCons!$B$4:$B$10000)*1,("-"=[1]OUT_TransportEnergyCons!$C$4:$C$10000)*1,ISNUMBER(SEARCH("T_C*mhy*GSL*s3",[1]OUT_TransportEnergyCons!$A$4:$A$10000))*1,[1]OUT_TransportEnergyCons!M$4:M$10000)</f>
        <v>0</v>
      </c>
      <c r="P2144" s="1" cm="1">
        <f t="array" ref="P2144">SUMPRODUCT(("var_ncap"=[1]OUT_TransportEnergyCons!$B$4:$B$10000)*1,("-"=[1]OUT_TransportEnergyCons!$C$4:$C$10000)*1,ISNUMBER(SEARCH("T_C*mhy*GSL*s3",[1]OUT_TransportEnergyCons!$A$4:$A$10000))*1,[1]OUT_TransportEnergyCons!N$4:N$10000)</f>
        <v>0</v>
      </c>
      <c r="Q2144" s="1" cm="1">
        <f t="array" ref="Q2144">SUMPRODUCT(("var_ncap"=[1]OUT_TransportEnergyCons!$B$4:$B$10000)*1,("-"=[1]OUT_TransportEnergyCons!$C$4:$C$10000)*1,ISNUMBER(SEARCH("T_C*mhy*GSL*s3",[1]OUT_TransportEnergyCons!$A$4:$A$10000))*1,[1]OUT_TransportEnergyCons!O$4:O$10000)</f>
        <v>0</v>
      </c>
      <c r="S2144" s="3"/>
    </row>
    <row r="2145" spans="2:19" x14ac:dyDescent="0.5">
      <c r="B2145" s="5" t="str">
        <f t="shared" si="2239"/>
        <v>SPS1</v>
      </c>
      <c r="C2145" s="5" t="str">
        <f t="shared" si="2240"/>
        <v>CH</v>
      </c>
      <c r="D2145" t="s">
        <v>2274</v>
      </c>
      <c r="E2145" t="str">
        <f t="shared" si="2241"/>
        <v>Million</v>
      </c>
      <c r="F2145" s="1" cm="1">
        <f t="array" ref="F2145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SUMPRODUCT(("var_ncap"=[1]OUT_TransportEnergyCons!$B$4:$B$10000)*1,("-"=[1]OUT_TransportEnergyCons!$C$4:$C$10000)*1,ISNUMBER(SEARCH("T_C*mhy*GSL*s4",[1]OUT_TransportEnergyCons!$A$4:$A$10000))*1,[1]OUT_TransportEnergyCons!E$4:E$10000)</f>
        <v>1.2223857796055E-5</v>
      </c>
      <c r="H2145" s="1" cm="1">
        <f t="array" ref="H2145">SUMPRODUCT(("var_ncap"=[1]OUT_TransportEnergyCons!$B$4:$B$10000)*1,("-"=[1]OUT_TransportEnergyCons!$C$4:$C$10000)*1,ISNUMBER(SEARCH("T_C*mhy*GSL*s4",[1]OUT_TransportEnergyCons!$A$4:$A$10000))*1,[1]OUT_TransportEnergyCons!F$4:F$10000)</f>
        <v>2.3307736434808699E-5</v>
      </c>
      <c r="I2145" s="1" cm="1">
        <f t="array" ref="I2145">SUMPRODUCT(("var_ncap"=[1]OUT_TransportEnergyCons!$B$4:$B$10000)*1,("-"=[1]OUT_TransportEnergyCons!$C$4:$C$10000)*1,ISNUMBER(SEARCH("T_C*mhy*GSL*s4",[1]OUT_TransportEnergyCons!$A$4:$A$10000))*1,[1]OUT_TransportEnergyCons!G$4:G$10000)</f>
        <v>1.14211146080374E-4</v>
      </c>
      <c r="J2145" s="1" cm="1">
        <f t="array" ref="J2145">SUMPRODUCT(("var_ncap"=[1]OUT_TransportEnergyCons!$B$4:$B$10000)*1,("-"=[1]OUT_TransportEnergyCons!$C$4:$C$10000)*1,ISNUMBER(SEARCH("T_C*mhy*GSL*s4",[1]OUT_TransportEnergyCons!$A$4:$A$10000))*1,[1]OUT_TransportEnergyCons!H$4:H$10000)</f>
        <v>0</v>
      </c>
      <c r="K2145" s="1" cm="1">
        <f t="array" ref="K2145">SUMPRODUCT(("var_ncap"=[1]OUT_TransportEnergyCons!$B$4:$B$10000)*1,("-"=[1]OUT_TransportEnergyCons!$C$4:$C$10000)*1,ISNUMBER(SEARCH("T_C*mhy*GSL*s4",[1]OUT_TransportEnergyCons!$A$4:$A$10000))*1,[1]OUT_TransportEnergyCons!I$4:I$10000)</f>
        <v>0</v>
      </c>
      <c r="L2145" s="1" cm="1">
        <f t="array" ref="L2145">SUMPRODUCT(("var_ncap"=[1]OUT_TransportEnergyCons!$B$4:$B$10000)*1,("-"=[1]OUT_TransportEnergyCons!$C$4:$C$10000)*1,ISNUMBER(SEARCH("T_C*mhy*GSL*s4",[1]OUT_TransportEnergyCons!$A$4:$A$10000))*1,[1]OUT_TransportEnergyCons!J$4:J$10000)</f>
        <v>0</v>
      </c>
      <c r="M2145" s="1" cm="1">
        <f t="array" ref="M2145">SUMPRODUCT(("var_ncap"=[1]OUT_TransportEnergyCons!$B$4:$B$10000)*1,("-"=[1]OUT_TransportEnergyCons!$C$4:$C$10000)*1,ISNUMBER(SEARCH("T_C*mhy*GSL*s4",[1]OUT_TransportEnergyCons!$A$4:$A$10000))*1,[1]OUT_TransportEnergyCons!K$4:K$10000)</f>
        <v>0</v>
      </c>
      <c r="N2145" s="1" cm="1">
        <f t="array" ref="N2145">SUMPRODUCT(("var_ncap"=[1]OUT_TransportEnergyCons!$B$4:$B$10000)*1,("-"=[1]OUT_TransportEnergyCons!$C$4:$C$10000)*1,ISNUMBER(SEARCH("T_C*mhy*GSL*s4",[1]OUT_TransportEnergyCons!$A$4:$A$10000))*1,[1]OUT_TransportEnergyCons!L$4:L$10000)</f>
        <v>0</v>
      </c>
      <c r="O2145" s="1" cm="1">
        <f t="array" ref="O2145">SUMPRODUCT(("var_ncap"=[1]OUT_TransportEnergyCons!$B$4:$B$10000)*1,("-"=[1]OUT_TransportEnergyCons!$C$4:$C$10000)*1,ISNUMBER(SEARCH("T_C*mhy*GSL*s4",[1]OUT_TransportEnergyCons!$A$4:$A$10000))*1,[1]OUT_TransportEnergyCons!M$4:M$10000)</f>
        <v>0</v>
      </c>
      <c r="P2145" s="1" cm="1">
        <f t="array" ref="P2145">SUMPRODUCT(("var_ncap"=[1]OUT_TransportEnergyCons!$B$4:$B$10000)*1,("-"=[1]OUT_TransportEnergyCons!$C$4:$C$10000)*1,ISNUMBER(SEARCH("T_C*mhy*GSL*s4",[1]OUT_TransportEnergyCons!$A$4:$A$10000))*1,[1]OUT_TransportEnergyCons!N$4:N$10000)</f>
        <v>0</v>
      </c>
      <c r="Q2145" s="1" cm="1">
        <f t="array" ref="Q2145">SUMPRODUCT(("var_ncap"=[1]OUT_TransportEnergyCons!$B$4:$B$10000)*1,("-"=[1]OUT_TransportEnergyCons!$C$4:$C$10000)*1,ISNUMBER(SEARCH("T_C*mhy*GSL*s4",[1]OUT_TransportEnergyCons!$A$4:$A$10000))*1,[1]OUT_TransportEnergyCons!O$4:O$10000)</f>
        <v>0</v>
      </c>
      <c r="S2145" s="3"/>
    </row>
    <row r="2146" spans="2:19" x14ac:dyDescent="0.5">
      <c r="B2146" s="5" t="str">
        <f t="shared" si="2239"/>
        <v>SPS1</v>
      </c>
      <c r="C2146" s="5" t="str">
        <f t="shared" si="2240"/>
        <v>CH</v>
      </c>
      <c r="D2146" t="s">
        <v>2275</v>
      </c>
      <c r="E2146" t="str">
        <f t="shared" si="2241"/>
        <v>Million</v>
      </c>
      <c r="F2146" s="1" cm="1">
        <f t="array" ref="F2146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6" s="1" cm="1">
        <f t="array" ref="J2146">SUMPRODUCT(("var_ncap"=[1]OUT_TransportEnergyCons!$B$4:$B$10000)*1,("-"=[1]OUT_TransportEnergyCons!$C$4:$C$10000)*1,ISNUMBER(SEARCH("T_C*hy*dsl*ext",[1]OUT_TransportEnergyCons!$A$4:$A$10000))*1,[1]OUT_TransportEnergyCons!H$4:H$10000)</f>
        <v>0</v>
      </c>
      <c r="K2146" s="1" cm="1">
        <f t="array" ref="K2146">SUMPRODUCT(("var_ncap"=[1]OUT_TransportEnergyCons!$B$4:$B$10000)*1,("-"=[1]OUT_TransportEnergyCons!$C$4:$C$10000)*1,ISNUMBER(SEARCH("T_C*hy*dsl*ext",[1]OUT_TransportEnergyCons!$A$4:$A$10000))*1,[1]OUT_TransportEnergyCons!I$4:I$10000)</f>
        <v>0</v>
      </c>
      <c r="L2146" s="1" cm="1">
        <f t="array" ref="L2146">SUMPRODUCT(("var_ncap"=[1]OUT_TransportEnergyCons!$B$4:$B$10000)*1,("-"=[1]OUT_TransportEnergyCons!$C$4:$C$10000)*1,ISNUMBER(SEARCH("T_C*hy*dsl*ext",[1]OUT_TransportEnergyCons!$A$4:$A$10000))*1,[1]OUT_TransportEnergyCons!J$4:J$10000)</f>
        <v>0</v>
      </c>
      <c r="M2146" s="1" cm="1">
        <f t="array" ref="M2146">SUMPRODUCT(("var_ncap"=[1]OUT_TransportEnergyCons!$B$4:$B$10000)*1,("-"=[1]OUT_TransportEnergyCons!$C$4:$C$10000)*1,ISNUMBER(SEARCH("T_C*hy*dsl*ext",[1]OUT_TransportEnergyCons!$A$4:$A$10000))*1,[1]OUT_TransportEnergyCons!K$4:K$10000)</f>
        <v>0</v>
      </c>
      <c r="N2146" s="1" cm="1">
        <f t="array" ref="N2146">SUMPRODUCT(("var_ncap"=[1]OUT_TransportEnergyCons!$B$4:$B$10000)*1,("-"=[1]OUT_TransportEnergyCons!$C$4:$C$10000)*1,ISNUMBER(SEARCH("T_C*hy*dsl*ext",[1]OUT_TransportEnergyCons!$A$4:$A$10000))*1,[1]OUT_TransportEnergyCons!L$4:L$10000)</f>
        <v>0</v>
      </c>
      <c r="O2146" s="1" cm="1">
        <f t="array" ref="O2146">SUMPRODUCT(("var_ncap"=[1]OUT_TransportEnergyCons!$B$4:$B$10000)*1,("-"=[1]OUT_TransportEnergyCons!$C$4:$C$10000)*1,ISNUMBER(SEARCH("T_C*hy*dsl*ext",[1]OUT_TransportEnergyCons!$A$4:$A$10000))*1,[1]OUT_TransportEnergyCons!M$4:M$10000)</f>
        <v>0</v>
      </c>
      <c r="P2146" s="1" cm="1">
        <f t="array" ref="P2146">SUMPRODUCT(("var_ncap"=[1]OUT_TransportEnergyCons!$B$4:$B$10000)*1,("-"=[1]OUT_TransportEnergyCons!$C$4:$C$10000)*1,ISNUMBER(SEARCH("T_C*hy*dsl*ext",[1]OUT_TransportEnergyCons!$A$4:$A$10000))*1,[1]OUT_TransportEnergyCons!N$4:N$10000)</f>
        <v>0</v>
      </c>
      <c r="Q2146" s="1" cm="1">
        <f t="array" ref="Q2146">SUMPRODUCT(("var_ncap"=[1]OUT_TransportEnergyCons!$B$4:$B$10000)*1,("-"=[1]OUT_TransportEnergyCons!$C$4:$C$10000)*1,ISNUMBER(SEARCH("T_C*hy*dsl*ext",[1]OUT_TransportEnergyCons!$A$4:$A$10000))*1,[1]OUT_TransportEnergyCons!O$4:O$10000)</f>
        <v>0</v>
      </c>
      <c r="S2146" s="3"/>
    </row>
    <row r="2147" spans="2:19" x14ac:dyDescent="0.5">
      <c r="B2147" s="5" t="str">
        <f t="shared" ref="B2147:B2164" si="2242">B2146</f>
        <v>SPS1</v>
      </c>
      <c r="C2147" s="5" t="str">
        <f t="shared" ref="C2147:C2164" si="2243">C2146</f>
        <v>CH</v>
      </c>
      <c r="D2147" t="s">
        <v>2276</v>
      </c>
      <c r="E2147" t="str">
        <f t="shared" ref="E2147:E2164" si="2244">E2146</f>
        <v>Million</v>
      </c>
      <c r="F2147" s="1" cm="1">
        <f t="array" ref="F2147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SUMPRODUCT(("var_ncap"=[1]OUT_TransportEnergyCons!$B$4:$B$10000)*1,("-"=[1]OUT_TransportEnergyCons!$C$4:$C$10000)*1,ISNUMBER(SEARCH("T_C*hy*dsl*s1",[1]OUT_TransportEnergyCons!$A$4:$A$10000))*1,[1]OUT_TransportEnergyCons!E$4:E$10000)</f>
        <v>1.115577840490973E-4</v>
      </c>
      <c r="H2147" s="1" cm="1">
        <f t="array" ref="H2147">SUMPRODUCT(("var_ncap"=[1]OUT_TransportEnergyCons!$B$4:$B$10000)*1,("-"=[1]OUT_TransportEnergyCons!$C$4:$C$10000)*1,ISNUMBER(SEARCH("T_C*hy*dsl*s1",[1]OUT_TransportEnergyCons!$A$4:$A$10000))*1,[1]OUT_TransportEnergyCons!F$4:F$10000)</f>
        <v>7.0319315829628105E-5</v>
      </c>
      <c r="I2147" s="1" cm="1">
        <f t="array" ref="I2147">SUMPRODUCT(("var_ncap"=[1]OUT_TransportEnergyCons!$B$4:$B$10000)*1,("-"=[1]OUT_TransportEnergyCons!$C$4:$C$10000)*1,ISNUMBER(SEARCH("T_C*hy*dsl*s1",[1]OUT_TransportEnergyCons!$A$4:$A$10000))*1,[1]OUT_TransportEnergyCons!G$4:G$10000)</f>
        <v>4.2906743357434298E-4</v>
      </c>
      <c r="J2147" s="1" cm="1">
        <f t="array" ref="J2147">SUMPRODUCT(("var_ncap"=[1]OUT_TransportEnergyCons!$B$4:$B$10000)*1,("-"=[1]OUT_TransportEnergyCons!$C$4:$C$10000)*1,ISNUMBER(SEARCH("T_C*hy*dsl*s1",[1]OUT_TransportEnergyCons!$A$4:$A$10000))*1,[1]OUT_TransportEnergyCons!H$4:H$10000)</f>
        <v>0</v>
      </c>
      <c r="K2147" s="1" cm="1">
        <f t="array" ref="K2147">SUMPRODUCT(("var_ncap"=[1]OUT_TransportEnergyCons!$B$4:$B$10000)*1,("-"=[1]OUT_TransportEnergyCons!$C$4:$C$10000)*1,ISNUMBER(SEARCH("T_C*hy*dsl*s1",[1]OUT_TransportEnergyCons!$A$4:$A$10000))*1,[1]OUT_TransportEnergyCons!I$4:I$10000)</f>
        <v>0</v>
      </c>
      <c r="L2147" s="1" cm="1">
        <f t="array" ref="L2147">SUMPRODUCT(("var_ncap"=[1]OUT_TransportEnergyCons!$B$4:$B$10000)*1,("-"=[1]OUT_TransportEnergyCons!$C$4:$C$10000)*1,ISNUMBER(SEARCH("T_C*hy*dsl*s1",[1]OUT_TransportEnergyCons!$A$4:$A$10000))*1,[1]OUT_TransportEnergyCons!J$4:J$10000)</f>
        <v>0</v>
      </c>
      <c r="M2147" s="1" cm="1">
        <f t="array" ref="M2147">SUMPRODUCT(("var_ncap"=[1]OUT_TransportEnergyCons!$B$4:$B$10000)*1,("-"=[1]OUT_TransportEnergyCons!$C$4:$C$10000)*1,ISNUMBER(SEARCH("T_C*hy*dsl*s1",[1]OUT_TransportEnergyCons!$A$4:$A$10000))*1,[1]OUT_TransportEnergyCons!K$4:K$10000)</f>
        <v>0</v>
      </c>
      <c r="N2147" s="1" cm="1">
        <f t="array" ref="N2147">SUMPRODUCT(("var_ncap"=[1]OUT_TransportEnergyCons!$B$4:$B$10000)*1,("-"=[1]OUT_TransportEnergyCons!$C$4:$C$10000)*1,ISNUMBER(SEARCH("T_C*hy*dsl*s1",[1]OUT_TransportEnergyCons!$A$4:$A$10000))*1,[1]OUT_TransportEnergyCons!L$4:L$10000)</f>
        <v>0</v>
      </c>
      <c r="O2147" s="1" cm="1">
        <f t="array" ref="O2147">SUMPRODUCT(("var_ncap"=[1]OUT_TransportEnergyCons!$B$4:$B$10000)*1,("-"=[1]OUT_TransportEnergyCons!$C$4:$C$10000)*1,ISNUMBER(SEARCH("T_C*hy*dsl*s1",[1]OUT_TransportEnergyCons!$A$4:$A$10000))*1,[1]OUT_TransportEnergyCons!M$4:M$10000)</f>
        <v>0</v>
      </c>
      <c r="P2147" s="1" cm="1">
        <f t="array" ref="P2147">SUMPRODUCT(("var_ncap"=[1]OUT_TransportEnergyCons!$B$4:$B$10000)*1,("-"=[1]OUT_TransportEnergyCons!$C$4:$C$10000)*1,ISNUMBER(SEARCH("T_C*hy*dsl*s1",[1]OUT_TransportEnergyCons!$A$4:$A$10000))*1,[1]OUT_TransportEnergyCons!N$4:N$10000)</f>
        <v>0</v>
      </c>
      <c r="Q2147" s="1" cm="1">
        <f t="array" ref="Q2147">SUMPRODUCT(("var_ncap"=[1]OUT_TransportEnergyCons!$B$4:$B$10000)*1,("-"=[1]OUT_TransportEnergyCons!$C$4:$C$10000)*1,ISNUMBER(SEARCH("T_C*hy*dsl*s1",[1]OUT_TransportEnergyCons!$A$4:$A$10000))*1,[1]OUT_TransportEnergyCons!O$4:O$10000)</f>
        <v>0</v>
      </c>
      <c r="S2147" s="3"/>
    </row>
    <row r="2148" spans="2:19" x14ac:dyDescent="0.5">
      <c r="B2148" s="5" t="str">
        <f t="shared" si="2242"/>
        <v>SPS1</v>
      </c>
      <c r="C2148" s="5" t="str">
        <f t="shared" si="2243"/>
        <v>CH</v>
      </c>
      <c r="D2148" t="s">
        <v>2277</v>
      </c>
      <c r="E2148" t="str">
        <f t="shared" si="2244"/>
        <v>Million</v>
      </c>
      <c r="F2148" s="1" cm="1">
        <f t="array" ref="F2148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SUMPRODUCT(("var_ncap"=[1]OUT_TransportEnergyCons!$B$4:$B$10000)*1,("-"=[1]OUT_TransportEnergyCons!$C$4:$C$10000)*1,ISNUMBER(SEARCH("T_C*hy*dsl*s2",[1]OUT_TransportEnergyCons!$A$4:$A$10000))*1,[1]OUT_TransportEnergyCons!E$4:E$10000)</f>
        <v>9.6465817315946153E-2</v>
      </c>
      <c r="H2148" s="1" cm="1">
        <f t="array" ref="H2148">SUMPRODUCT(("var_ncap"=[1]OUT_TransportEnergyCons!$B$4:$B$10000)*1,("-"=[1]OUT_TransportEnergyCons!$C$4:$C$10000)*1,ISNUMBER(SEARCH("T_C*hy*dsl*s2",[1]OUT_TransportEnergyCons!$A$4:$A$10000))*1,[1]OUT_TransportEnergyCons!F$4:F$10000)</f>
        <v>0.15318850378269658</v>
      </c>
      <c r="I2148" s="1" cm="1">
        <f t="array" ref="I2148">SUMPRODUCT(("var_ncap"=[1]OUT_TransportEnergyCons!$B$4:$B$10000)*1,("-"=[1]OUT_TransportEnergyCons!$C$4:$C$10000)*1,ISNUMBER(SEARCH("T_C*hy*dsl*s2",[1]OUT_TransportEnergyCons!$A$4:$A$10000))*1,[1]OUT_TransportEnergyCons!G$4:G$10000)</f>
        <v>1.7471372033298879E-4</v>
      </c>
      <c r="J2148" s="1" cm="1">
        <f t="array" ref="J2148">SUMPRODUCT(("var_ncap"=[1]OUT_TransportEnergyCons!$B$4:$B$10000)*1,("-"=[1]OUT_TransportEnergyCons!$C$4:$C$10000)*1,ISNUMBER(SEARCH("T_C*hy*dsl*s2",[1]OUT_TransportEnergyCons!$A$4:$A$10000))*1,[1]OUT_TransportEnergyCons!H$4:H$10000)</f>
        <v>0</v>
      </c>
      <c r="K2148" s="1" cm="1">
        <f t="array" ref="K2148">SUMPRODUCT(("var_ncap"=[1]OUT_TransportEnergyCons!$B$4:$B$10000)*1,("-"=[1]OUT_TransportEnergyCons!$C$4:$C$10000)*1,ISNUMBER(SEARCH("T_C*hy*dsl*s2",[1]OUT_TransportEnergyCons!$A$4:$A$10000))*1,[1]OUT_TransportEnergyCons!I$4:I$10000)</f>
        <v>0</v>
      </c>
      <c r="L2148" s="1" cm="1">
        <f t="array" ref="L2148">SUMPRODUCT(("var_ncap"=[1]OUT_TransportEnergyCons!$B$4:$B$10000)*1,("-"=[1]OUT_TransportEnergyCons!$C$4:$C$10000)*1,ISNUMBER(SEARCH("T_C*hy*dsl*s2",[1]OUT_TransportEnergyCons!$A$4:$A$10000))*1,[1]OUT_TransportEnergyCons!J$4:J$10000)</f>
        <v>0</v>
      </c>
      <c r="M2148" s="1" cm="1">
        <f t="array" ref="M2148">SUMPRODUCT(("var_ncap"=[1]OUT_TransportEnergyCons!$B$4:$B$10000)*1,("-"=[1]OUT_TransportEnergyCons!$C$4:$C$10000)*1,ISNUMBER(SEARCH("T_C*hy*dsl*s2",[1]OUT_TransportEnergyCons!$A$4:$A$10000))*1,[1]OUT_TransportEnergyCons!K$4:K$10000)</f>
        <v>0</v>
      </c>
      <c r="N2148" s="1" cm="1">
        <f t="array" ref="N2148">SUMPRODUCT(("var_ncap"=[1]OUT_TransportEnergyCons!$B$4:$B$10000)*1,("-"=[1]OUT_TransportEnergyCons!$C$4:$C$10000)*1,ISNUMBER(SEARCH("T_C*hy*dsl*s2",[1]OUT_TransportEnergyCons!$A$4:$A$10000))*1,[1]OUT_TransportEnergyCons!L$4:L$10000)</f>
        <v>0</v>
      </c>
      <c r="O2148" s="1" cm="1">
        <f t="array" ref="O2148">SUMPRODUCT(("var_ncap"=[1]OUT_TransportEnergyCons!$B$4:$B$10000)*1,("-"=[1]OUT_TransportEnergyCons!$C$4:$C$10000)*1,ISNUMBER(SEARCH("T_C*hy*dsl*s2",[1]OUT_TransportEnergyCons!$A$4:$A$10000))*1,[1]OUT_TransportEnergyCons!M$4:M$10000)</f>
        <v>0</v>
      </c>
      <c r="P2148" s="1" cm="1">
        <f t="array" ref="P2148">SUMPRODUCT(("var_ncap"=[1]OUT_TransportEnergyCons!$B$4:$B$10000)*1,("-"=[1]OUT_TransportEnergyCons!$C$4:$C$10000)*1,ISNUMBER(SEARCH("T_C*hy*dsl*s2",[1]OUT_TransportEnergyCons!$A$4:$A$10000))*1,[1]OUT_TransportEnergyCons!N$4:N$10000)</f>
        <v>0</v>
      </c>
      <c r="Q2148" s="1" cm="1">
        <f t="array" ref="Q2148">SUMPRODUCT(("var_ncap"=[1]OUT_TransportEnergyCons!$B$4:$B$10000)*1,("-"=[1]OUT_TransportEnergyCons!$C$4:$C$10000)*1,ISNUMBER(SEARCH("T_C*hy*dsl*s2",[1]OUT_TransportEnergyCons!$A$4:$A$10000))*1,[1]OUT_TransportEnergyCons!O$4:O$10000)</f>
        <v>0</v>
      </c>
      <c r="S2148" s="3"/>
    </row>
    <row r="2149" spans="2:19" x14ac:dyDescent="0.5">
      <c r="B2149" s="5" t="str">
        <f t="shared" si="2242"/>
        <v>SPS1</v>
      </c>
      <c r="C2149" s="5" t="str">
        <f t="shared" si="2243"/>
        <v>CH</v>
      </c>
      <c r="D2149" t="s">
        <v>2278</v>
      </c>
      <c r="E2149" t="str">
        <f t="shared" si="2244"/>
        <v>Million</v>
      </c>
      <c r="F2149" s="1" cm="1">
        <f t="array" ref="F2149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SUMPRODUCT(("var_ncap"=[1]OUT_TransportEnergyCons!$B$4:$B$10000)*1,("-"=[1]OUT_TransportEnergyCons!$C$4:$C$10000)*1,ISNUMBER(SEARCH("T_C*hy*dsl*s3",[1]OUT_TransportEnergyCons!$A$4:$A$10000))*1,[1]OUT_TransportEnergyCons!E$4:E$10000)</f>
        <v>1.4783436697842682E-4</v>
      </c>
      <c r="H2149" s="1" cm="1">
        <f t="array" ref="H2149">SUMPRODUCT(("var_ncap"=[1]OUT_TransportEnergyCons!$B$4:$B$10000)*1,("-"=[1]OUT_TransportEnergyCons!$C$4:$C$10000)*1,ISNUMBER(SEARCH("T_C*hy*dsl*s3",[1]OUT_TransportEnergyCons!$A$4:$A$10000))*1,[1]OUT_TransportEnergyCons!F$4:F$10000)</f>
        <v>1.2090310760921121E-4</v>
      </c>
      <c r="I2149" s="1" cm="1">
        <f t="array" ref="I2149">SUMPRODUCT(("var_ncap"=[1]OUT_TransportEnergyCons!$B$4:$B$10000)*1,("-"=[1]OUT_TransportEnergyCons!$C$4:$C$10000)*1,ISNUMBER(SEARCH("T_C*hy*dsl*s3",[1]OUT_TransportEnergyCons!$A$4:$A$10000))*1,[1]OUT_TransportEnergyCons!G$4:G$10000)</f>
        <v>6.6722072686798897E-5</v>
      </c>
      <c r="J2149" s="1" cm="1">
        <f t="array" ref="J2149">SUMPRODUCT(("var_ncap"=[1]OUT_TransportEnergyCons!$B$4:$B$10000)*1,("-"=[1]OUT_TransportEnergyCons!$C$4:$C$10000)*1,ISNUMBER(SEARCH("T_C*hy*dsl*s3",[1]OUT_TransportEnergyCons!$A$4:$A$10000))*1,[1]OUT_TransportEnergyCons!H$4:H$10000)</f>
        <v>0</v>
      </c>
      <c r="K2149" s="1" cm="1">
        <f t="array" ref="K2149">SUMPRODUCT(("var_ncap"=[1]OUT_TransportEnergyCons!$B$4:$B$10000)*1,("-"=[1]OUT_TransportEnergyCons!$C$4:$C$10000)*1,ISNUMBER(SEARCH("T_C*hy*dsl*s3",[1]OUT_TransportEnergyCons!$A$4:$A$10000))*1,[1]OUT_TransportEnergyCons!I$4:I$10000)</f>
        <v>0</v>
      </c>
      <c r="L2149" s="1" cm="1">
        <f t="array" ref="L2149">SUMPRODUCT(("var_ncap"=[1]OUT_TransportEnergyCons!$B$4:$B$10000)*1,("-"=[1]OUT_TransportEnergyCons!$C$4:$C$10000)*1,ISNUMBER(SEARCH("T_C*hy*dsl*s3",[1]OUT_TransportEnergyCons!$A$4:$A$10000))*1,[1]OUT_TransportEnergyCons!J$4:J$10000)</f>
        <v>0</v>
      </c>
      <c r="M2149" s="1" cm="1">
        <f t="array" ref="M2149">SUMPRODUCT(("var_ncap"=[1]OUT_TransportEnergyCons!$B$4:$B$10000)*1,("-"=[1]OUT_TransportEnergyCons!$C$4:$C$10000)*1,ISNUMBER(SEARCH("T_C*hy*dsl*s3",[1]OUT_TransportEnergyCons!$A$4:$A$10000))*1,[1]OUT_TransportEnergyCons!K$4:K$10000)</f>
        <v>0</v>
      </c>
      <c r="N2149" s="1" cm="1">
        <f t="array" ref="N2149">SUMPRODUCT(("var_ncap"=[1]OUT_TransportEnergyCons!$B$4:$B$10000)*1,("-"=[1]OUT_TransportEnergyCons!$C$4:$C$10000)*1,ISNUMBER(SEARCH("T_C*hy*dsl*s3",[1]OUT_TransportEnergyCons!$A$4:$A$10000))*1,[1]OUT_TransportEnergyCons!L$4:L$10000)</f>
        <v>0</v>
      </c>
      <c r="O2149" s="1" cm="1">
        <f t="array" ref="O2149">SUMPRODUCT(("var_ncap"=[1]OUT_TransportEnergyCons!$B$4:$B$10000)*1,("-"=[1]OUT_TransportEnergyCons!$C$4:$C$10000)*1,ISNUMBER(SEARCH("T_C*hy*dsl*s3",[1]OUT_TransportEnergyCons!$A$4:$A$10000))*1,[1]OUT_TransportEnergyCons!M$4:M$10000)</f>
        <v>0</v>
      </c>
      <c r="P2149" s="1" cm="1">
        <f t="array" ref="P2149">SUMPRODUCT(("var_ncap"=[1]OUT_TransportEnergyCons!$B$4:$B$10000)*1,("-"=[1]OUT_TransportEnergyCons!$C$4:$C$10000)*1,ISNUMBER(SEARCH("T_C*hy*dsl*s3",[1]OUT_TransportEnergyCons!$A$4:$A$10000))*1,[1]OUT_TransportEnergyCons!N$4:N$10000)</f>
        <v>0</v>
      </c>
      <c r="Q2149" s="1" cm="1">
        <f t="array" ref="Q2149">SUMPRODUCT(("var_ncap"=[1]OUT_TransportEnergyCons!$B$4:$B$10000)*1,("-"=[1]OUT_TransportEnergyCons!$C$4:$C$10000)*1,ISNUMBER(SEARCH("T_C*hy*dsl*s3",[1]OUT_TransportEnergyCons!$A$4:$A$10000))*1,[1]OUT_TransportEnergyCons!O$4:O$10000)</f>
        <v>0</v>
      </c>
      <c r="S2149" s="3"/>
    </row>
    <row r="2150" spans="2:19" x14ac:dyDescent="0.5">
      <c r="B2150" s="5" t="str">
        <f t="shared" si="2242"/>
        <v>SPS1</v>
      </c>
      <c r="C2150" s="5" t="str">
        <f t="shared" si="2243"/>
        <v>CH</v>
      </c>
      <c r="D2150" t="s">
        <v>2279</v>
      </c>
      <c r="E2150" t="str">
        <f t="shared" si="2244"/>
        <v>Million</v>
      </c>
      <c r="F2150" s="1" cm="1">
        <f t="array" ref="F2150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SUMPRODUCT(("var_ncap"=[1]OUT_TransportEnergyCons!$B$4:$B$10000)*1,("-"=[1]OUT_TransportEnergyCons!$C$4:$C$10000)*1,ISNUMBER(SEARCH("T_C*hy*dsl*s4",[1]OUT_TransportEnergyCons!$A$4:$A$10000))*1,[1]OUT_TransportEnergyCons!E$4:E$10000)</f>
        <v>1.9592302198153264E-4</v>
      </c>
      <c r="H2150" s="1" cm="1">
        <f t="array" ref="H2150">SUMPRODUCT(("var_ncap"=[1]OUT_TransportEnergyCons!$B$4:$B$10000)*1,("-"=[1]OUT_TransportEnergyCons!$C$4:$C$10000)*1,ISNUMBER(SEARCH("T_C*hy*dsl*s4",[1]OUT_TransportEnergyCons!$A$4:$A$10000))*1,[1]OUT_TransportEnergyCons!F$4:F$10000)</f>
        <v>1.6289641648090721E-4</v>
      </c>
      <c r="I2150" s="1" cm="1">
        <f t="array" ref="I2150">SUMPRODUCT(("var_ncap"=[1]OUT_TransportEnergyCons!$B$4:$B$10000)*1,("-"=[1]OUT_TransportEnergyCons!$C$4:$C$10000)*1,ISNUMBER(SEARCH("T_C*hy*dsl*s4",[1]OUT_TransportEnergyCons!$A$4:$A$10000))*1,[1]OUT_TransportEnergyCons!G$4:G$10000)</f>
        <v>7.3359475416784093E-5</v>
      </c>
      <c r="J2150" s="1" cm="1">
        <f t="array" ref="J2150">SUMPRODUCT(("var_ncap"=[1]OUT_TransportEnergyCons!$B$4:$B$10000)*1,("-"=[1]OUT_TransportEnergyCons!$C$4:$C$10000)*1,ISNUMBER(SEARCH("T_C*hy*dsl*s4",[1]OUT_TransportEnergyCons!$A$4:$A$10000))*1,[1]OUT_TransportEnergyCons!H$4:H$10000)</f>
        <v>0</v>
      </c>
      <c r="K2150" s="1" cm="1">
        <f t="array" ref="K2150">SUMPRODUCT(("var_ncap"=[1]OUT_TransportEnergyCons!$B$4:$B$10000)*1,("-"=[1]OUT_TransportEnergyCons!$C$4:$C$10000)*1,ISNUMBER(SEARCH("T_C*hy*dsl*s4",[1]OUT_TransportEnergyCons!$A$4:$A$10000))*1,[1]OUT_TransportEnergyCons!I$4:I$10000)</f>
        <v>0</v>
      </c>
      <c r="L2150" s="1" cm="1">
        <f t="array" ref="L2150">SUMPRODUCT(("var_ncap"=[1]OUT_TransportEnergyCons!$B$4:$B$10000)*1,("-"=[1]OUT_TransportEnergyCons!$C$4:$C$10000)*1,ISNUMBER(SEARCH("T_C*hy*dsl*s4",[1]OUT_TransportEnergyCons!$A$4:$A$10000))*1,[1]OUT_TransportEnergyCons!J$4:J$10000)</f>
        <v>0</v>
      </c>
      <c r="M2150" s="1" cm="1">
        <f t="array" ref="M2150">SUMPRODUCT(("var_ncap"=[1]OUT_TransportEnergyCons!$B$4:$B$10000)*1,("-"=[1]OUT_TransportEnergyCons!$C$4:$C$10000)*1,ISNUMBER(SEARCH("T_C*hy*dsl*s4",[1]OUT_TransportEnergyCons!$A$4:$A$10000))*1,[1]OUT_TransportEnergyCons!K$4:K$10000)</f>
        <v>0</v>
      </c>
      <c r="N2150" s="1" cm="1">
        <f t="array" ref="N2150">SUMPRODUCT(("var_ncap"=[1]OUT_TransportEnergyCons!$B$4:$B$10000)*1,("-"=[1]OUT_TransportEnergyCons!$C$4:$C$10000)*1,ISNUMBER(SEARCH("T_C*hy*dsl*s4",[1]OUT_TransportEnergyCons!$A$4:$A$10000))*1,[1]OUT_TransportEnergyCons!L$4:L$10000)</f>
        <v>0</v>
      </c>
      <c r="O2150" s="1" cm="1">
        <f t="array" ref="O2150">SUMPRODUCT(("var_ncap"=[1]OUT_TransportEnergyCons!$B$4:$B$10000)*1,("-"=[1]OUT_TransportEnergyCons!$C$4:$C$10000)*1,ISNUMBER(SEARCH("T_C*hy*dsl*s4",[1]OUT_TransportEnergyCons!$A$4:$A$10000))*1,[1]OUT_TransportEnergyCons!M$4:M$10000)</f>
        <v>0</v>
      </c>
      <c r="P2150" s="1" cm="1">
        <f t="array" ref="P2150">SUMPRODUCT(("var_ncap"=[1]OUT_TransportEnergyCons!$B$4:$B$10000)*1,("-"=[1]OUT_TransportEnergyCons!$C$4:$C$10000)*1,ISNUMBER(SEARCH("T_C*hy*dsl*s4",[1]OUT_TransportEnergyCons!$A$4:$A$10000))*1,[1]OUT_TransportEnergyCons!N$4:N$10000)</f>
        <v>0</v>
      </c>
      <c r="Q2150" s="1" cm="1">
        <f t="array" ref="Q2150">SUMPRODUCT(("var_ncap"=[1]OUT_TransportEnergyCons!$B$4:$B$10000)*1,("-"=[1]OUT_TransportEnergyCons!$C$4:$C$10000)*1,ISNUMBER(SEARCH("T_C*hy*dsl*s4",[1]OUT_TransportEnergyCons!$A$4:$A$10000))*1,[1]OUT_TransportEnergyCons!O$4:O$10000)</f>
        <v>0</v>
      </c>
      <c r="S2150" s="3"/>
    </row>
    <row r="2151" spans="2:19" x14ac:dyDescent="0.5">
      <c r="B2151" s="5" t="str">
        <f t="shared" si="2242"/>
        <v>SPS1</v>
      </c>
      <c r="C2151" s="5" t="str">
        <f t="shared" si="2243"/>
        <v>CH</v>
      </c>
      <c r="D2151" t="s">
        <v>2280</v>
      </c>
      <c r="E2151" t="str">
        <f t="shared" si="2244"/>
        <v>Million</v>
      </c>
      <c r="F2151" s="1" cm="1">
        <f t="array" ref="F2151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51" s="1" cm="1">
        <f t="array" ref="H2151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51" s="1" cm="1">
        <f t="array" ref="I2151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51" s="1" cm="1">
        <f t="array" ref="J2151">SUMPRODUCT(("var_ncap"=[1]OUT_TransportEnergyCons!$B$4:$B$10000)*1,("-"=[1]OUT_TransportEnergyCons!$C$4:$C$10000)*1,ISNUMBER(SEARCH("T_C*ICE*dsl*ext",[1]OUT_TransportEnergyCons!$A$4:$A$10000))*1,[1]OUT_TransportEnergyCons!H$4:H$10000)</f>
        <v>0</v>
      </c>
      <c r="K2151" s="1" cm="1">
        <f t="array" ref="K2151">SUMPRODUCT(("var_ncap"=[1]OUT_TransportEnergyCons!$B$4:$B$10000)*1,("-"=[1]OUT_TransportEnergyCons!$C$4:$C$10000)*1,ISNUMBER(SEARCH("T_C*ICE*dsl*ext",[1]OUT_TransportEnergyCons!$A$4:$A$10000))*1,[1]OUT_TransportEnergyCons!I$4:I$10000)</f>
        <v>0</v>
      </c>
      <c r="L2151" s="1" cm="1">
        <f t="array" ref="L2151">SUMPRODUCT(("var_ncap"=[1]OUT_TransportEnergyCons!$B$4:$B$10000)*1,("-"=[1]OUT_TransportEnergyCons!$C$4:$C$10000)*1,ISNUMBER(SEARCH("T_C*ICE*dsl*ext",[1]OUT_TransportEnergyCons!$A$4:$A$10000))*1,[1]OUT_TransportEnergyCons!J$4:J$10000)</f>
        <v>0</v>
      </c>
      <c r="M2151" s="1" cm="1">
        <f t="array" ref="M2151">SUMPRODUCT(("var_ncap"=[1]OUT_TransportEnergyCons!$B$4:$B$10000)*1,("-"=[1]OUT_TransportEnergyCons!$C$4:$C$10000)*1,ISNUMBER(SEARCH("T_C*ICE*dsl*ext",[1]OUT_TransportEnergyCons!$A$4:$A$10000))*1,[1]OUT_TransportEnergyCons!K$4:K$10000)</f>
        <v>0</v>
      </c>
      <c r="N2151" s="1" cm="1">
        <f t="array" ref="N2151">SUMPRODUCT(("var_ncap"=[1]OUT_TransportEnergyCons!$B$4:$B$10000)*1,("-"=[1]OUT_TransportEnergyCons!$C$4:$C$10000)*1,ISNUMBER(SEARCH("T_C*ICE*dsl*ext",[1]OUT_TransportEnergyCons!$A$4:$A$10000))*1,[1]OUT_TransportEnergyCons!L$4:L$10000)</f>
        <v>0</v>
      </c>
      <c r="O2151" s="1" cm="1">
        <f t="array" ref="O2151">SUMPRODUCT(("var_ncap"=[1]OUT_TransportEnergyCons!$B$4:$B$10000)*1,("-"=[1]OUT_TransportEnergyCons!$C$4:$C$10000)*1,ISNUMBER(SEARCH("T_C*ICE*dsl*ext",[1]OUT_TransportEnergyCons!$A$4:$A$10000))*1,[1]OUT_TransportEnergyCons!M$4:M$10000)</f>
        <v>0</v>
      </c>
      <c r="P2151" s="1" cm="1">
        <f t="array" ref="P2151">SUMPRODUCT(("var_ncap"=[1]OUT_TransportEnergyCons!$B$4:$B$10000)*1,("-"=[1]OUT_TransportEnergyCons!$C$4:$C$10000)*1,ISNUMBER(SEARCH("T_C*ICE*dsl*ext",[1]OUT_TransportEnergyCons!$A$4:$A$10000))*1,[1]OUT_TransportEnergyCons!N$4:N$10000)</f>
        <v>0</v>
      </c>
      <c r="Q2151" s="1" cm="1">
        <f t="array" ref="Q2151">SUMPRODUCT(("var_ncap"=[1]OUT_TransportEnergyCons!$B$4:$B$10000)*1,("-"=[1]OUT_TransportEnergyCons!$C$4:$C$10000)*1,ISNUMBER(SEARCH("T_C*ICE*dsl*ext",[1]OUT_TransportEnergyCons!$A$4:$A$10000))*1,[1]OUT_TransportEnergyCons!O$4:O$10000)</f>
        <v>0</v>
      </c>
      <c r="S2151" s="3"/>
    </row>
    <row r="2152" spans="2:19" x14ac:dyDescent="0.5">
      <c r="B2152" s="5" t="str">
        <f t="shared" si="2242"/>
        <v>SPS1</v>
      </c>
      <c r="C2152" s="5" t="str">
        <f t="shared" si="2243"/>
        <v>CH</v>
      </c>
      <c r="D2152" t="s">
        <v>2281</v>
      </c>
      <c r="E2152" t="str">
        <f t="shared" si="2244"/>
        <v>Million</v>
      </c>
      <c r="F2152" s="1" cm="1">
        <f t="array" ref="F2152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SUMPRODUCT(("var_ncap"=[1]OUT_TransportEnergyCons!$B$4:$B$10000)*1,("-"=[1]OUT_TransportEnergyCons!$C$4:$C$10000)*1,ISNUMBER(SEARCH("T_C*ICE*dsl*s1",[1]OUT_TransportEnergyCons!$A$4:$A$10000))*1,[1]OUT_TransportEnergyCons!E$4:E$10000)</f>
        <v>4.8191775356978203E-3</v>
      </c>
      <c r="H2152" s="1" cm="1">
        <f t="array" ref="H2152">SUMPRODUCT(("var_ncap"=[1]OUT_TransportEnergyCons!$B$4:$B$10000)*1,("-"=[1]OUT_TransportEnergyCons!$C$4:$C$10000)*1,ISNUMBER(SEARCH("T_C*ICE*dsl*s1",[1]OUT_TransportEnergyCons!$A$4:$A$10000))*1,[1]OUT_TransportEnergyCons!F$4:F$10000)</f>
        <v>9.8921867790152898E-5</v>
      </c>
      <c r="I2152" s="1" cm="1">
        <f t="array" ref="I2152">SUMPRODUCT(("var_ncap"=[1]OUT_TransportEnergyCons!$B$4:$B$10000)*1,("-"=[1]OUT_TransportEnergyCons!$C$4:$C$10000)*1,ISNUMBER(SEARCH("T_C*ICE*dsl*s1",[1]OUT_TransportEnergyCons!$A$4:$A$10000))*1,[1]OUT_TransportEnergyCons!G$4:G$10000)</f>
        <v>1.21343185422783E-4</v>
      </c>
      <c r="J2152" s="1" cm="1">
        <f t="array" ref="J2152">SUMPRODUCT(("var_ncap"=[1]OUT_TransportEnergyCons!$B$4:$B$10000)*1,("-"=[1]OUT_TransportEnergyCons!$C$4:$C$10000)*1,ISNUMBER(SEARCH("T_C*ICE*dsl*s1",[1]OUT_TransportEnergyCons!$A$4:$A$10000))*1,[1]OUT_TransportEnergyCons!H$4:H$10000)</f>
        <v>0</v>
      </c>
      <c r="K2152" s="1" cm="1">
        <f t="array" ref="K2152">SUMPRODUCT(("var_ncap"=[1]OUT_TransportEnergyCons!$B$4:$B$10000)*1,("-"=[1]OUT_TransportEnergyCons!$C$4:$C$10000)*1,ISNUMBER(SEARCH("T_C*ICE*dsl*s1",[1]OUT_TransportEnergyCons!$A$4:$A$10000))*1,[1]OUT_TransportEnergyCons!I$4:I$10000)</f>
        <v>0</v>
      </c>
      <c r="L2152" s="1" cm="1">
        <f t="array" ref="L2152">SUMPRODUCT(("var_ncap"=[1]OUT_TransportEnergyCons!$B$4:$B$10000)*1,("-"=[1]OUT_TransportEnergyCons!$C$4:$C$10000)*1,ISNUMBER(SEARCH("T_C*ICE*dsl*s1",[1]OUT_TransportEnergyCons!$A$4:$A$10000))*1,[1]OUT_TransportEnergyCons!J$4:J$10000)</f>
        <v>0</v>
      </c>
      <c r="M2152" s="1" cm="1">
        <f t="array" ref="M2152">SUMPRODUCT(("var_ncap"=[1]OUT_TransportEnergyCons!$B$4:$B$10000)*1,("-"=[1]OUT_TransportEnergyCons!$C$4:$C$10000)*1,ISNUMBER(SEARCH("T_C*ICE*dsl*s1",[1]OUT_TransportEnergyCons!$A$4:$A$10000))*1,[1]OUT_TransportEnergyCons!K$4:K$10000)</f>
        <v>0</v>
      </c>
      <c r="N2152" s="1" cm="1">
        <f t="array" ref="N2152">SUMPRODUCT(("var_ncap"=[1]OUT_TransportEnergyCons!$B$4:$B$10000)*1,("-"=[1]OUT_TransportEnergyCons!$C$4:$C$10000)*1,ISNUMBER(SEARCH("T_C*ICE*dsl*s1",[1]OUT_TransportEnergyCons!$A$4:$A$10000))*1,[1]OUT_TransportEnergyCons!L$4:L$10000)</f>
        <v>0</v>
      </c>
      <c r="O2152" s="1" cm="1">
        <f t="array" ref="O2152">SUMPRODUCT(("var_ncap"=[1]OUT_TransportEnergyCons!$B$4:$B$10000)*1,("-"=[1]OUT_TransportEnergyCons!$C$4:$C$10000)*1,ISNUMBER(SEARCH("T_C*ICE*dsl*s1",[1]OUT_TransportEnergyCons!$A$4:$A$10000))*1,[1]OUT_TransportEnergyCons!M$4:M$10000)</f>
        <v>0</v>
      </c>
      <c r="P2152" s="1" cm="1">
        <f t="array" ref="P2152">SUMPRODUCT(("var_ncap"=[1]OUT_TransportEnergyCons!$B$4:$B$10000)*1,("-"=[1]OUT_TransportEnergyCons!$C$4:$C$10000)*1,ISNUMBER(SEARCH("T_C*ICE*dsl*s1",[1]OUT_TransportEnergyCons!$A$4:$A$10000))*1,[1]OUT_TransportEnergyCons!N$4:N$10000)</f>
        <v>0</v>
      </c>
      <c r="Q2152" s="1" cm="1">
        <f t="array" ref="Q2152">SUMPRODUCT(("var_ncap"=[1]OUT_TransportEnergyCons!$B$4:$B$10000)*1,("-"=[1]OUT_TransportEnergyCons!$C$4:$C$10000)*1,ISNUMBER(SEARCH("T_C*ICE*dsl*s1",[1]OUT_TransportEnergyCons!$A$4:$A$10000))*1,[1]OUT_TransportEnergyCons!O$4:O$10000)</f>
        <v>0</v>
      </c>
      <c r="S2152" s="3"/>
    </row>
    <row r="2153" spans="2:19" x14ac:dyDescent="0.5">
      <c r="B2153" s="5" t="str">
        <f t="shared" si="2242"/>
        <v>SPS1</v>
      </c>
      <c r="C2153" s="5" t="str">
        <f t="shared" si="2243"/>
        <v>CH</v>
      </c>
      <c r="D2153" t="s">
        <v>2282</v>
      </c>
      <c r="E2153" t="str">
        <f t="shared" si="2244"/>
        <v>Million</v>
      </c>
      <c r="F2153" s="1" cm="1">
        <f t="array" ref="F2153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SUMPRODUCT(("var_ncap"=[1]OUT_TransportEnergyCons!$B$4:$B$10000)*1,("-"=[1]OUT_TransportEnergyCons!$C$4:$C$10000)*1,ISNUMBER(SEARCH("T_C*ICE*dsl*s2",[1]OUT_TransportEnergyCons!$A$4:$A$10000))*1,[1]OUT_TransportEnergyCons!E$4:E$10000)</f>
        <v>6.2840862718671595E-5</v>
      </c>
      <c r="H2153" s="1" cm="1">
        <f t="array" ref="H2153">SUMPRODUCT(("var_ncap"=[1]OUT_TransportEnergyCons!$B$4:$B$10000)*1,("-"=[1]OUT_TransportEnergyCons!$C$4:$C$10000)*1,ISNUMBER(SEARCH("T_C*ICE*dsl*s2",[1]OUT_TransportEnergyCons!$A$4:$A$10000))*1,[1]OUT_TransportEnergyCons!F$4:F$10000)</f>
        <v>6.4155193597677099E-5</v>
      </c>
      <c r="I2153" s="1" cm="1">
        <f t="array" ref="I2153">SUMPRODUCT(("var_ncap"=[1]OUT_TransportEnergyCons!$B$4:$B$10000)*1,("-"=[1]OUT_TransportEnergyCons!$C$4:$C$10000)*1,ISNUMBER(SEARCH("T_C*ICE*dsl*s2",[1]OUT_TransportEnergyCons!$A$4:$A$10000))*1,[1]OUT_TransportEnergyCons!G$4:G$10000)</f>
        <v>5.82851468585619E-5</v>
      </c>
      <c r="J2153" s="1" cm="1">
        <f t="array" ref="J2153">SUMPRODUCT(("var_ncap"=[1]OUT_TransportEnergyCons!$B$4:$B$10000)*1,("-"=[1]OUT_TransportEnergyCons!$C$4:$C$10000)*1,ISNUMBER(SEARCH("T_C*ICE*dsl*s2",[1]OUT_TransportEnergyCons!$A$4:$A$10000))*1,[1]OUT_TransportEnergyCons!H$4:H$10000)</f>
        <v>0</v>
      </c>
      <c r="K2153" s="1" cm="1">
        <f t="array" ref="K2153">SUMPRODUCT(("var_ncap"=[1]OUT_TransportEnergyCons!$B$4:$B$10000)*1,("-"=[1]OUT_TransportEnergyCons!$C$4:$C$10000)*1,ISNUMBER(SEARCH("T_C*ICE*dsl*s2",[1]OUT_TransportEnergyCons!$A$4:$A$10000))*1,[1]OUT_TransportEnergyCons!I$4:I$10000)</f>
        <v>0</v>
      </c>
      <c r="L2153" s="1" cm="1">
        <f t="array" ref="L2153">SUMPRODUCT(("var_ncap"=[1]OUT_TransportEnergyCons!$B$4:$B$10000)*1,("-"=[1]OUT_TransportEnergyCons!$C$4:$C$10000)*1,ISNUMBER(SEARCH("T_C*ICE*dsl*s2",[1]OUT_TransportEnergyCons!$A$4:$A$10000))*1,[1]OUT_TransportEnergyCons!J$4:J$10000)</f>
        <v>0</v>
      </c>
      <c r="M2153" s="1" cm="1">
        <f t="array" ref="M2153">SUMPRODUCT(("var_ncap"=[1]OUT_TransportEnergyCons!$B$4:$B$10000)*1,("-"=[1]OUT_TransportEnergyCons!$C$4:$C$10000)*1,ISNUMBER(SEARCH("T_C*ICE*dsl*s2",[1]OUT_TransportEnergyCons!$A$4:$A$10000))*1,[1]OUT_TransportEnergyCons!K$4:K$10000)</f>
        <v>0</v>
      </c>
      <c r="N2153" s="1" cm="1">
        <f t="array" ref="N2153">SUMPRODUCT(("var_ncap"=[1]OUT_TransportEnergyCons!$B$4:$B$10000)*1,("-"=[1]OUT_TransportEnergyCons!$C$4:$C$10000)*1,ISNUMBER(SEARCH("T_C*ICE*dsl*s2",[1]OUT_TransportEnergyCons!$A$4:$A$10000))*1,[1]OUT_TransportEnergyCons!L$4:L$10000)</f>
        <v>0</v>
      </c>
      <c r="O2153" s="1" cm="1">
        <f t="array" ref="O2153">SUMPRODUCT(("var_ncap"=[1]OUT_TransportEnergyCons!$B$4:$B$10000)*1,("-"=[1]OUT_TransportEnergyCons!$C$4:$C$10000)*1,ISNUMBER(SEARCH("T_C*ICE*dsl*s2",[1]OUT_TransportEnergyCons!$A$4:$A$10000))*1,[1]OUT_TransportEnergyCons!M$4:M$10000)</f>
        <v>0</v>
      </c>
      <c r="P2153" s="1" cm="1">
        <f t="array" ref="P2153">SUMPRODUCT(("var_ncap"=[1]OUT_TransportEnergyCons!$B$4:$B$10000)*1,("-"=[1]OUT_TransportEnergyCons!$C$4:$C$10000)*1,ISNUMBER(SEARCH("T_C*ICE*dsl*s2",[1]OUT_TransportEnergyCons!$A$4:$A$10000))*1,[1]OUT_TransportEnergyCons!N$4:N$10000)</f>
        <v>0</v>
      </c>
      <c r="Q2153" s="1" cm="1">
        <f t="array" ref="Q2153">SUMPRODUCT(("var_ncap"=[1]OUT_TransportEnergyCons!$B$4:$B$10000)*1,("-"=[1]OUT_TransportEnergyCons!$C$4:$C$10000)*1,ISNUMBER(SEARCH("T_C*ICE*dsl*s2",[1]OUT_TransportEnergyCons!$A$4:$A$10000))*1,[1]OUT_TransportEnergyCons!O$4:O$10000)</f>
        <v>0</v>
      </c>
      <c r="S2153" s="3"/>
    </row>
    <row r="2154" spans="2:19" x14ac:dyDescent="0.5">
      <c r="B2154" s="5" t="str">
        <f t="shared" si="2242"/>
        <v>SPS1</v>
      </c>
      <c r="C2154" s="5" t="str">
        <f t="shared" si="2243"/>
        <v>CH</v>
      </c>
      <c r="D2154" t="s">
        <v>2283</v>
      </c>
      <c r="E2154" t="str">
        <f t="shared" si="2244"/>
        <v>Million</v>
      </c>
      <c r="F2154" s="1" cm="1">
        <f t="array" ref="F2154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SUMPRODUCT(("var_ncap"=[1]OUT_TransportEnergyCons!$B$4:$B$10000)*1,("-"=[1]OUT_TransportEnergyCons!$C$4:$C$10000)*1,ISNUMBER(SEARCH("T_C*ICE*dsl*s3",[1]OUT_TransportEnergyCons!$A$4:$A$10000))*1,[1]OUT_TransportEnergyCons!E$4:E$10000)</f>
        <v>3.6142175533034303E-5</v>
      </c>
      <c r="H2154" s="1" cm="1">
        <f t="array" ref="H2154">SUMPRODUCT(("var_ncap"=[1]OUT_TransportEnergyCons!$B$4:$B$10000)*1,("-"=[1]OUT_TransportEnergyCons!$C$4:$C$10000)*1,ISNUMBER(SEARCH("T_C*ICE*dsl*s3",[1]OUT_TransportEnergyCons!$A$4:$A$10000))*1,[1]OUT_TransportEnergyCons!F$4:F$10000)</f>
        <v>4.2116339818044202E-5</v>
      </c>
      <c r="I2154" s="1" cm="1">
        <f t="array" ref="I2154">SUMPRODUCT(("var_ncap"=[1]OUT_TransportEnergyCons!$B$4:$B$10000)*1,("-"=[1]OUT_TransportEnergyCons!$C$4:$C$10000)*1,ISNUMBER(SEARCH("T_C*ICE*dsl*s3",[1]OUT_TransportEnergyCons!$A$4:$A$10000))*1,[1]OUT_TransportEnergyCons!G$4:G$10000)</f>
        <v>3.4564055116164897E-5</v>
      </c>
      <c r="J2154" s="1" cm="1">
        <f t="array" ref="J2154">SUMPRODUCT(("var_ncap"=[1]OUT_TransportEnergyCons!$B$4:$B$10000)*1,("-"=[1]OUT_TransportEnergyCons!$C$4:$C$10000)*1,ISNUMBER(SEARCH("T_C*ICE*dsl*s3",[1]OUT_TransportEnergyCons!$A$4:$A$10000))*1,[1]OUT_TransportEnergyCons!H$4:H$10000)</f>
        <v>0</v>
      </c>
      <c r="K2154" s="1" cm="1">
        <f t="array" ref="K2154">SUMPRODUCT(("var_ncap"=[1]OUT_TransportEnergyCons!$B$4:$B$10000)*1,("-"=[1]OUT_TransportEnergyCons!$C$4:$C$10000)*1,ISNUMBER(SEARCH("T_C*ICE*dsl*s3",[1]OUT_TransportEnergyCons!$A$4:$A$10000))*1,[1]OUT_TransportEnergyCons!I$4:I$10000)</f>
        <v>0</v>
      </c>
      <c r="L2154" s="1" cm="1">
        <f t="array" ref="L2154">SUMPRODUCT(("var_ncap"=[1]OUT_TransportEnergyCons!$B$4:$B$10000)*1,("-"=[1]OUT_TransportEnergyCons!$C$4:$C$10000)*1,ISNUMBER(SEARCH("T_C*ICE*dsl*s3",[1]OUT_TransportEnergyCons!$A$4:$A$10000))*1,[1]OUT_TransportEnergyCons!J$4:J$10000)</f>
        <v>0</v>
      </c>
      <c r="M2154" s="1" cm="1">
        <f t="array" ref="M2154">SUMPRODUCT(("var_ncap"=[1]OUT_TransportEnergyCons!$B$4:$B$10000)*1,("-"=[1]OUT_TransportEnergyCons!$C$4:$C$10000)*1,ISNUMBER(SEARCH("T_C*ICE*dsl*s3",[1]OUT_TransportEnergyCons!$A$4:$A$10000))*1,[1]OUT_TransportEnergyCons!K$4:K$10000)</f>
        <v>0</v>
      </c>
      <c r="N2154" s="1" cm="1">
        <f t="array" ref="N2154">SUMPRODUCT(("var_ncap"=[1]OUT_TransportEnergyCons!$B$4:$B$10000)*1,("-"=[1]OUT_TransportEnergyCons!$C$4:$C$10000)*1,ISNUMBER(SEARCH("T_C*ICE*dsl*s3",[1]OUT_TransportEnergyCons!$A$4:$A$10000))*1,[1]OUT_TransportEnergyCons!L$4:L$10000)</f>
        <v>0</v>
      </c>
      <c r="O2154" s="1" cm="1">
        <f t="array" ref="O2154">SUMPRODUCT(("var_ncap"=[1]OUT_TransportEnergyCons!$B$4:$B$10000)*1,("-"=[1]OUT_TransportEnergyCons!$C$4:$C$10000)*1,ISNUMBER(SEARCH("T_C*ICE*dsl*s3",[1]OUT_TransportEnergyCons!$A$4:$A$10000))*1,[1]OUT_TransportEnergyCons!M$4:M$10000)</f>
        <v>0</v>
      </c>
      <c r="P2154" s="1" cm="1">
        <f t="array" ref="P2154">SUMPRODUCT(("var_ncap"=[1]OUT_TransportEnergyCons!$B$4:$B$10000)*1,("-"=[1]OUT_TransportEnergyCons!$C$4:$C$10000)*1,ISNUMBER(SEARCH("T_C*ICE*dsl*s3",[1]OUT_TransportEnergyCons!$A$4:$A$10000))*1,[1]OUT_TransportEnergyCons!N$4:N$10000)</f>
        <v>0</v>
      </c>
      <c r="Q2154" s="1" cm="1">
        <f t="array" ref="Q2154">SUMPRODUCT(("var_ncap"=[1]OUT_TransportEnergyCons!$B$4:$B$10000)*1,("-"=[1]OUT_TransportEnergyCons!$C$4:$C$10000)*1,ISNUMBER(SEARCH("T_C*ICE*dsl*s3",[1]OUT_TransportEnergyCons!$A$4:$A$10000))*1,[1]OUT_TransportEnergyCons!O$4:O$10000)</f>
        <v>0</v>
      </c>
      <c r="S2154" s="3"/>
    </row>
    <row r="2155" spans="2:19" x14ac:dyDescent="0.5">
      <c r="B2155" s="5" t="str">
        <f t="shared" si="2242"/>
        <v>SPS1</v>
      </c>
      <c r="C2155" s="5" t="str">
        <f t="shared" si="2243"/>
        <v>CH</v>
      </c>
      <c r="D2155" t="s">
        <v>2284</v>
      </c>
      <c r="E2155" t="str">
        <f t="shared" si="2244"/>
        <v>Million</v>
      </c>
      <c r="F2155" s="1" cm="1">
        <f t="array" ref="F2155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SUMPRODUCT(("var_ncap"=[1]OUT_TransportEnergyCons!$B$4:$B$10000)*1,("-"=[1]OUT_TransportEnergyCons!$C$4:$C$10000)*1,ISNUMBER(SEARCH("T_C*ICE*dsl*s4",[1]OUT_TransportEnergyCons!$A$4:$A$10000))*1,[1]OUT_TransportEnergyCons!E$4:E$10000)</f>
        <v>1.1227300601617501E-5</v>
      </c>
      <c r="H2155" s="1" cm="1">
        <f t="array" ref="H2155">SUMPRODUCT(("var_ncap"=[1]OUT_TransportEnergyCons!$B$4:$B$10000)*1,("-"=[1]OUT_TransportEnergyCons!$C$4:$C$10000)*1,ISNUMBER(SEARCH("T_C*ICE*dsl*s4",[1]OUT_TransportEnergyCons!$A$4:$A$10000))*1,[1]OUT_TransportEnergyCons!F$4:F$10000)</f>
        <v>1.7256878783680799E-5</v>
      </c>
      <c r="I2155" s="1" cm="1">
        <f t="array" ref="I2155">SUMPRODUCT(("var_ncap"=[1]OUT_TransportEnergyCons!$B$4:$B$10000)*1,("-"=[1]OUT_TransportEnergyCons!$C$4:$C$10000)*1,ISNUMBER(SEARCH("T_C*ICE*dsl*s4",[1]OUT_TransportEnergyCons!$A$4:$A$10000))*1,[1]OUT_TransportEnergyCons!G$4:G$10000)</f>
        <v>2.8274363501736999E-5</v>
      </c>
      <c r="J2155" s="1" cm="1">
        <f t="array" ref="J2155">SUMPRODUCT(("var_ncap"=[1]OUT_TransportEnergyCons!$B$4:$B$10000)*1,("-"=[1]OUT_TransportEnergyCons!$C$4:$C$10000)*1,ISNUMBER(SEARCH("T_C*ICE*dsl*s4",[1]OUT_TransportEnergyCons!$A$4:$A$10000))*1,[1]OUT_TransportEnergyCons!H$4:H$10000)</f>
        <v>0</v>
      </c>
      <c r="K2155" s="1" cm="1">
        <f t="array" ref="K2155">SUMPRODUCT(("var_ncap"=[1]OUT_TransportEnergyCons!$B$4:$B$10000)*1,("-"=[1]OUT_TransportEnergyCons!$C$4:$C$10000)*1,ISNUMBER(SEARCH("T_C*ICE*dsl*s4",[1]OUT_TransportEnergyCons!$A$4:$A$10000))*1,[1]OUT_TransportEnergyCons!I$4:I$10000)</f>
        <v>0</v>
      </c>
      <c r="L2155" s="1" cm="1">
        <f t="array" ref="L2155">SUMPRODUCT(("var_ncap"=[1]OUT_TransportEnergyCons!$B$4:$B$10000)*1,("-"=[1]OUT_TransportEnergyCons!$C$4:$C$10000)*1,ISNUMBER(SEARCH("T_C*ICE*dsl*s4",[1]OUT_TransportEnergyCons!$A$4:$A$10000))*1,[1]OUT_TransportEnergyCons!J$4:J$10000)</f>
        <v>0</v>
      </c>
      <c r="M2155" s="1" cm="1">
        <f t="array" ref="M2155">SUMPRODUCT(("var_ncap"=[1]OUT_TransportEnergyCons!$B$4:$B$10000)*1,("-"=[1]OUT_TransportEnergyCons!$C$4:$C$10000)*1,ISNUMBER(SEARCH("T_C*ICE*dsl*s4",[1]OUT_TransportEnergyCons!$A$4:$A$10000))*1,[1]OUT_TransportEnergyCons!K$4:K$10000)</f>
        <v>0</v>
      </c>
      <c r="N2155" s="1" cm="1">
        <f t="array" ref="N2155">SUMPRODUCT(("var_ncap"=[1]OUT_TransportEnergyCons!$B$4:$B$10000)*1,("-"=[1]OUT_TransportEnergyCons!$C$4:$C$10000)*1,ISNUMBER(SEARCH("T_C*ICE*dsl*s4",[1]OUT_TransportEnergyCons!$A$4:$A$10000))*1,[1]OUT_TransportEnergyCons!L$4:L$10000)</f>
        <v>0</v>
      </c>
      <c r="O2155" s="1" cm="1">
        <f t="array" ref="O2155">SUMPRODUCT(("var_ncap"=[1]OUT_TransportEnergyCons!$B$4:$B$10000)*1,("-"=[1]OUT_TransportEnergyCons!$C$4:$C$10000)*1,ISNUMBER(SEARCH("T_C*ICE*dsl*s4",[1]OUT_TransportEnergyCons!$A$4:$A$10000))*1,[1]OUT_TransportEnergyCons!M$4:M$10000)</f>
        <v>0</v>
      </c>
      <c r="P2155" s="1" cm="1">
        <f t="array" ref="P2155">SUMPRODUCT(("var_ncap"=[1]OUT_TransportEnergyCons!$B$4:$B$10000)*1,("-"=[1]OUT_TransportEnergyCons!$C$4:$C$10000)*1,ISNUMBER(SEARCH("T_C*ICE*dsl*s4",[1]OUT_TransportEnergyCons!$A$4:$A$10000))*1,[1]OUT_TransportEnergyCons!N$4:N$10000)</f>
        <v>0</v>
      </c>
      <c r="Q2155" s="1" cm="1">
        <f t="array" ref="Q2155">SUMPRODUCT(("var_ncap"=[1]OUT_TransportEnergyCons!$B$4:$B$10000)*1,("-"=[1]OUT_TransportEnergyCons!$C$4:$C$10000)*1,ISNUMBER(SEARCH("T_C*ICE*dsl*s4",[1]OUT_TransportEnergyCons!$A$4:$A$10000))*1,[1]OUT_TransportEnergyCons!O$4:O$10000)</f>
        <v>0</v>
      </c>
      <c r="S2155" s="3"/>
    </row>
    <row r="2156" spans="2:19" x14ac:dyDescent="0.5">
      <c r="B2156" s="5" t="str">
        <f t="shared" si="2242"/>
        <v>SPS1</v>
      </c>
      <c r="C2156" s="5" t="str">
        <f t="shared" si="2243"/>
        <v>CH</v>
      </c>
      <c r="D2156" t="s">
        <v>2285</v>
      </c>
      <c r="E2156" t="str">
        <f t="shared" si="2244"/>
        <v>Million</v>
      </c>
      <c r="F2156" s="1" cm="1">
        <f t="array" ref="F2156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SUMPRODUCT(("var_ncap"=[1]OUT_TransportEnergyCons!$B$4:$B$10000)*1,("-"=[1]OUT_TransportEnergyCons!$C$4:$C$10000)*1,ISNUMBER(SEARCH("T_C*mhy*dsl*s1",[1]OUT_TransportEnergyCons!$A$4:$A$10000))*1,[1]OUT_TransportEnergyCons!E$4:E$10000)</f>
        <v>1.23040637390108E-5</v>
      </c>
      <c r="H2156" s="1" cm="1">
        <f t="array" ref="H2156">SUMPRODUCT(("var_ncap"=[1]OUT_TransportEnergyCons!$B$4:$B$10000)*1,("-"=[1]OUT_TransportEnergyCons!$C$4:$C$10000)*1,ISNUMBER(SEARCH("T_C*mhy*dsl*s1",[1]OUT_TransportEnergyCons!$A$4:$A$10000))*1,[1]OUT_TransportEnergyCons!F$4:F$10000)</f>
        <v>1.36086852720797E-5</v>
      </c>
      <c r="I2156" s="1" cm="1">
        <f t="array" ref="I2156">SUMPRODUCT(("var_ncap"=[1]OUT_TransportEnergyCons!$B$4:$B$10000)*1,("-"=[1]OUT_TransportEnergyCons!$C$4:$C$10000)*1,ISNUMBER(SEARCH("T_C*mhy*dsl*s1",[1]OUT_TransportEnergyCons!$A$4:$A$10000))*1,[1]OUT_TransportEnergyCons!G$4:G$10000)</f>
        <v>1.46027237232511E-4</v>
      </c>
      <c r="J2156" s="1" cm="1">
        <f t="array" ref="J2156">SUMPRODUCT(("var_ncap"=[1]OUT_TransportEnergyCons!$B$4:$B$10000)*1,("-"=[1]OUT_TransportEnergyCons!$C$4:$C$10000)*1,ISNUMBER(SEARCH("T_C*mhy*dsl*s1",[1]OUT_TransportEnergyCons!$A$4:$A$10000))*1,[1]OUT_TransportEnergyCons!H$4:H$10000)</f>
        <v>0</v>
      </c>
      <c r="K2156" s="1" cm="1">
        <f t="array" ref="K2156">SUMPRODUCT(("var_ncap"=[1]OUT_TransportEnergyCons!$B$4:$B$10000)*1,("-"=[1]OUT_TransportEnergyCons!$C$4:$C$10000)*1,ISNUMBER(SEARCH("T_C*mhy*dsl*s1",[1]OUT_TransportEnergyCons!$A$4:$A$10000))*1,[1]OUT_TransportEnergyCons!I$4:I$10000)</f>
        <v>0</v>
      </c>
      <c r="L2156" s="1" cm="1">
        <f t="array" ref="L2156">SUMPRODUCT(("var_ncap"=[1]OUT_TransportEnergyCons!$B$4:$B$10000)*1,("-"=[1]OUT_TransportEnergyCons!$C$4:$C$10000)*1,ISNUMBER(SEARCH("T_C*mhy*dsl*s1",[1]OUT_TransportEnergyCons!$A$4:$A$10000))*1,[1]OUT_TransportEnergyCons!J$4:J$10000)</f>
        <v>0</v>
      </c>
      <c r="M2156" s="1" cm="1">
        <f t="array" ref="M2156">SUMPRODUCT(("var_ncap"=[1]OUT_TransportEnergyCons!$B$4:$B$10000)*1,("-"=[1]OUT_TransportEnergyCons!$C$4:$C$10000)*1,ISNUMBER(SEARCH("T_C*mhy*dsl*s1",[1]OUT_TransportEnergyCons!$A$4:$A$10000))*1,[1]OUT_TransportEnergyCons!K$4:K$10000)</f>
        <v>0</v>
      </c>
      <c r="N2156" s="1" cm="1">
        <f t="array" ref="N2156">SUMPRODUCT(("var_ncap"=[1]OUT_TransportEnergyCons!$B$4:$B$10000)*1,("-"=[1]OUT_TransportEnergyCons!$C$4:$C$10000)*1,ISNUMBER(SEARCH("T_C*mhy*dsl*s1",[1]OUT_TransportEnergyCons!$A$4:$A$10000))*1,[1]OUT_TransportEnergyCons!L$4:L$10000)</f>
        <v>0</v>
      </c>
      <c r="O2156" s="1" cm="1">
        <f t="array" ref="O2156">SUMPRODUCT(("var_ncap"=[1]OUT_TransportEnergyCons!$B$4:$B$10000)*1,("-"=[1]OUT_TransportEnergyCons!$C$4:$C$10000)*1,ISNUMBER(SEARCH("T_C*mhy*dsl*s1",[1]OUT_TransportEnergyCons!$A$4:$A$10000))*1,[1]OUT_TransportEnergyCons!M$4:M$10000)</f>
        <v>0</v>
      </c>
      <c r="P2156" s="1" cm="1">
        <f t="array" ref="P2156">SUMPRODUCT(("var_ncap"=[1]OUT_TransportEnergyCons!$B$4:$B$10000)*1,("-"=[1]OUT_TransportEnergyCons!$C$4:$C$10000)*1,ISNUMBER(SEARCH("T_C*mhy*dsl*s1",[1]OUT_TransportEnergyCons!$A$4:$A$10000))*1,[1]OUT_TransportEnergyCons!N$4:N$10000)</f>
        <v>0</v>
      </c>
      <c r="Q2156" s="1" cm="1">
        <f t="array" ref="Q2156">SUMPRODUCT(("var_ncap"=[1]OUT_TransportEnergyCons!$B$4:$B$10000)*1,("-"=[1]OUT_TransportEnergyCons!$C$4:$C$10000)*1,ISNUMBER(SEARCH("T_C*mhy*dsl*s1",[1]OUT_TransportEnergyCons!$A$4:$A$10000))*1,[1]OUT_TransportEnergyCons!O$4:O$10000)</f>
        <v>0</v>
      </c>
      <c r="S2156" s="3"/>
    </row>
    <row r="2157" spans="2:19" x14ac:dyDescent="0.5">
      <c r="B2157" s="5" t="str">
        <f t="shared" si="2242"/>
        <v>SPS1</v>
      </c>
      <c r="C2157" s="5" t="str">
        <f t="shared" si="2243"/>
        <v>CH</v>
      </c>
      <c r="D2157" t="s">
        <v>2286</v>
      </c>
      <c r="E2157" t="str">
        <f t="shared" si="2244"/>
        <v>Million</v>
      </c>
      <c r="F2157" s="1" cm="1">
        <f t="array" ref="F2157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SUMPRODUCT(("var_ncap"=[1]OUT_TransportEnergyCons!$B$4:$B$10000)*1,("-"=[1]OUT_TransportEnergyCons!$C$4:$C$10000)*1,ISNUMBER(SEARCH("T_C*mhy*dsl*s2",[1]OUT_TransportEnergyCons!$A$4:$A$10000))*1,[1]OUT_TransportEnergyCons!E$4:E$10000)</f>
        <v>8.4509869514602996E-6</v>
      </c>
      <c r="H2157" s="1" cm="1">
        <f t="array" ref="H2157">SUMPRODUCT(("var_ncap"=[1]OUT_TransportEnergyCons!$B$4:$B$10000)*1,("-"=[1]OUT_TransportEnergyCons!$C$4:$C$10000)*1,ISNUMBER(SEARCH("T_C*mhy*dsl*s2",[1]OUT_TransportEnergyCons!$A$4:$A$10000))*1,[1]OUT_TransportEnergyCons!F$4:F$10000)</f>
        <v>1.2719631946562399E-5</v>
      </c>
      <c r="I2157" s="1" cm="1">
        <f t="array" ref="I2157">SUMPRODUCT(("var_ncap"=[1]OUT_TransportEnergyCons!$B$4:$B$10000)*1,("-"=[1]OUT_TransportEnergyCons!$C$4:$C$10000)*1,ISNUMBER(SEARCH("T_C*mhy*dsl*s2",[1]OUT_TransportEnergyCons!$A$4:$A$10000))*1,[1]OUT_TransportEnergyCons!G$4:G$10000)</f>
        <v>6.7132242057309804E-5</v>
      </c>
      <c r="J2157" s="1" cm="1">
        <f t="array" ref="J2157">SUMPRODUCT(("var_ncap"=[1]OUT_TransportEnergyCons!$B$4:$B$10000)*1,("-"=[1]OUT_TransportEnergyCons!$C$4:$C$10000)*1,ISNUMBER(SEARCH("T_C*mhy*dsl*s2",[1]OUT_TransportEnergyCons!$A$4:$A$10000))*1,[1]OUT_TransportEnergyCons!H$4:H$10000)</f>
        <v>0</v>
      </c>
      <c r="K2157" s="1" cm="1">
        <f t="array" ref="K2157">SUMPRODUCT(("var_ncap"=[1]OUT_TransportEnergyCons!$B$4:$B$10000)*1,("-"=[1]OUT_TransportEnergyCons!$C$4:$C$10000)*1,ISNUMBER(SEARCH("T_C*mhy*dsl*s2",[1]OUT_TransportEnergyCons!$A$4:$A$10000))*1,[1]OUT_TransportEnergyCons!I$4:I$10000)</f>
        <v>0</v>
      </c>
      <c r="L2157" s="1" cm="1">
        <f t="array" ref="L2157">SUMPRODUCT(("var_ncap"=[1]OUT_TransportEnergyCons!$B$4:$B$10000)*1,("-"=[1]OUT_TransportEnergyCons!$C$4:$C$10000)*1,ISNUMBER(SEARCH("T_C*mhy*dsl*s2",[1]OUT_TransportEnergyCons!$A$4:$A$10000))*1,[1]OUT_TransportEnergyCons!J$4:J$10000)</f>
        <v>0</v>
      </c>
      <c r="M2157" s="1" cm="1">
        <f t="array" ref="M2157">SUMPRODUCT(("var_ncap"=[1]OUT_TransportEnergyCons!$B$4:$B$10000)*1,("-"=[1]OUT_TransportEnergyCons!$C$4:$C$10000)*1,ISNUMBER(SEARCH("T_C*mhy*dsl*s2",[1]OUT_TransportEnergyCons!$A$4:$A$10000))*1,[1]OUT_TransportEnergyCons!K$4:K$10000)</f>
        <v>0</v>
      </c>
      <c r="N2157" s="1" cm="1">
        <f t="array" ref="N2157">SUMPRODUCT(("var_ncap"=[1]OUT_TransportEnergyCons!$B$4:$B$10000)*1,("-"=[1]OUT_TransportEnergyCons!$C$4:$C$10000)*1,ISNUMBER(SEARCH("T_C*mhy*dsl*s2",[1]OUT_TransportEnergyCons!$A$4:$A$10000))*1,[1]OUT_TransportEnergyCons!L$4:L$10000)</f>
        <v>0</v>
      </c>
      <c r="O2157" s="1" cm="1">
        <f t="array" ref="O2157">SUMPRODUCT(("var_ncap"=[1]OUT_TransportEnergyCons!$B$4:$B$10000)*1,("-"=[1]OUT_TransportEnergyCons!$C$4:$C$10000)*1,ISNUMBER(SEARCH("T_C*mhy*dsl*s2",[1]OUT_TransportEnergyCons!$A$4:$A$10000))*1,[1]OUT_TransportEnergyCons!M$4:M$10000)</f>
        <v>0</v>
      </c>
      <c r="P2157" s="1" cm="1">
        <f t="array" ref="P2157">SUMPRODUCT(("var_ncap"=[1]OUT_TransportEnergyCons!$B$4:$B$10000)*1,("-"=[1]OUT_TransportEnergyCons!$C$4:$C$10000)*1,ISNUMBER(SEARCH("T_C*mhy*dsl*s2",[1]OUT_TransportEnergyCons!$A$4:$A$10000))*1,[1]OUT_TransportEnergyCons!N$4:N$10000)</f>
        <v>0</v>
      </c>
      <c r="Q2157" s="1" cm="1">
        <f t="array" ref="Q2157">SUMPRODUCT(("var_ncap"=[1]OUT_TransportEnergyCons!$B$4:$B$10000)*1,("-"=[1]OUT_TransportEnergyCons!$C$4:$C$10000)*1,ISNUMBER(SEARCH("T_C*mhy*dsl*s2",[1]OUT_TransportEnergyCons!$A$4:$A$10000))*1,[1]OUT_TransportEnergyCons!O$4:O$10000)</f>
        <v>0</v>
      </c>
      <c r="S2157" s="3"/>
    </row>
    <row r="2158" spans="2:19" x14ac:dyDescent="0.5">
      <c r="B2158" s="5" t="str">
        <f t="shared" si="2242"/>
        <v>SPS1</v>
      </c>
      <c r="C2158" s="5" t="str">
        <f t="shared" si="2243"/>
        <v>CH</v>
      </c>
      <c r="D2158" t="s">
        <v>2287</v>
      </c>
      <c r="E2158" t="str">
        <f t="shared" si="2244"/>
        <v>Million</v>
      </c>
      <c r="F2158" s="1" cm="1">
        <f t="array" ref="F2158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SUMPRODUCT(("var_ncap"=[1]OUT_TransportEnergyCons!$B$4:$B$10000)*1,("-"=[1]OUT_TransportEnergyCons!$C$4:$C$10000)*1,ISNUMBER(SEARCH("T_C*mhy*dsl*s3",[1]OUT_TransportEnergyCons!$A$4:$A$10000))*1,[1]OUT_TransportEnergyCons!E$4:E$10000)</f>
        <v>8.3359287788978296E-6</v>
      </c>
      <c r="H2158" s="1" cm="1">
        <f t="array" ref="H2158">SUMPRODUCT(("var_ncap"=[1]OUT_TransportEnergyCons!$B$4:$B$10000)*1,("-"=[1]OUT_TransportEnergyCons!$C$4:$C$10000)*1,ISNUMBER(SEARCH("T_C*mhy*dsl*s3",[1]OUT_TransportEnergyCons!$A$4:$A$10000))*1,[1]OUT_TransportEnergyCons!F$4:F$10000)</f>
        <v>1.25338198560862E-5</v>
      </c>
      <c r="I2158" s="1" cm="1">
        <f t="array" ref="I2158">SUMPRODUCT(("var_ncap"=[1]OUT_TransportEnergyCons!$B$4:$B$10000)*1,("-"=[1]OUT_TransportEnergyCons!$C$4:$C$10000)*1,ISNUMBER(SEARCH("T_C*mhy*dsl*s3",[1]OUT_TransportEnergyCons!$A$4:$A$10000))*1,[1]OUT_TransportEnergyCons!G$4:G$10000)</f>
        <v>3.8655976900822797E-5</v>
      </c>
      <c r="J2158" s="1" cm="1">
        <f t="array" ref="J2158">SUMPRODUCT(("var_ncap"=[1]OUT_TransportEnergyCons!$B$4:$B$10000)*1,("-"=[1]OUT_TransportEnergyCons!$C$4:$C$10000)*1,ISNUMBER(SEARCH("T_C*mhy*dsl*s3",[1]OUT_TransportEnergyCons!$A$4:$A$10000))*1,[1]OUT_TransportEnergyCons!H$4:H$10000)</f>
        <v>0</v>
      </c>
      <c r="K2158" s="1" cm="1">
        <f t="array" ref="K2158">SUMPRODUCT(("var_ncap"=[1]OUT_TransportEnergyCons!$B$4:$B$10000)*1,("-"=[1]OUT_TransportEnergyCons!$C$4:$C$10000)*1,ISNUMBER(SEARCH("T_C*mhy*dsl*s3",[1]OUT_TransportEnergyCons!$A$4:$A$10000))*1,[1]OUT_TransportEnergyCons!I$4:I$10000)</f>
        <v>0</v>
      </c>
      <c r="L2158" s="1" cm="1">
        <f t="array" ref="L2158">SUMPRODUCT(("var_ncap"=[1]OUT_TransportEnergyCons!$B$4:$B$10000)*1,("-"=[1]OUT_TransportEnergyCons!$C$4:$C$10000)*1,ISNUMBER(SEARCH("T_C*mhy*dsl*s3",[1]OUT_TransportEnergyCons!$A$4:$A$10000))*1,[1]OUT_TransportEnergyCons!J$4:J$10000)</f>
        <v>0</v>
      </c>
      <c r="M2158" s="1" cm="1">
        <f t="array" ref="M2158">SUMPRODUCT(("var_ncap"=[1]OUT_TransportEnergyCons!$B$4:$B$10000)*1,("-"=[1]OUT_TransportEnergyCons!$C$4:$C$10000)*1,ISNUMBER(SEARCH("T_C*mhy*dsl*s3",[1]OUT_TransportEnergyCons!$A$4:$A$10000))*1,[1]OUT_TransportEnergyCons!K$4:K$10000)</f>
        <v>0</v>
      </c>
      <c r="N2158" s="1" cm="1">
        <f t="array" ref="N2158">SUMPRODUCT(("var_ncap"=[1]OUT_TransportEnergyCons!$B$4:$B$10000)*1,("-"=[1]OUT_TransportEnergyCons!$C$4:$C$10000)*1,ISNUMBER(SEARCH("T_C*mhy*dsl*s3",[1]OUT_TransportEnergyCons!$A$4:$A$10000))*1,[1]OUT_TransportEnergyCons!L$4:L$10000)</f>
        <v>0</v>
      </c>
      <c r="O2158" s="1" cm="1">
        <f t="array" ref="O2158">SUMPRODUCT(("var_ncap"=[1]OUT_TransportEnergyCons!$B$4:$B$10000)*1,("-"=[1]OUT_TransportEnergyCons!$C$4:$C$10000)*1,ISNUMBER(SEARCH("T_C*mhy*dsl*s3",[1]OUT_TransportEnergyCons!$A$4:$A$10000))*1,[1]OUT_TransportEnergyCons!M$4:M$10000)</f>
        <v>0</v>
      </c>
      <c r="P2158" s="1" cm="1">
        <f t="array" ref="P2158">SUMPRODUCT(("var_ncap"=[1]OUT_TransportEnergyCons!$B$4:$B$10000)*1,("-"=[1]OUT_TransportEnergyCons!$C$4:$C$10000)*1,ISNUMBER(SEARCH("T_C*mhy*dsl*s3",[1]OUT_TransportEnergyCons!$A$4:$A$10000))*1,[1]OUT_TransportEnergyCons!N$4:N$10000)</f>
        <v>0</v>
      </c>
      <c r="Q2158" s="1" cm="1">
        <f t="array" ref="Q2158">SUMPRODUCT(("var_ncap"=[1]OUT_TransportEnergyCons!$B$4:$B$10000)*1,("-"=[1]OUT_TransportEnergyCons!$C$4:$C$10000)*1,ISNUMBER(SEARCH("T_C*mhy*dsl*s3",[1]OUT_TransportEnergyCons!$A$4:$A$10000))*1,[1]OUT_TransportEnergyCons!O$4:O$10000)</f>
        <v>0</v>
      </c>
      <c r="S2158" s="3"/>
    </row>
    <row r="2159" spans="2:19" x14ac:dyDescent="0.5">
      <c r="B2159" s="5" t="str">
        <f t="shared" si="2242"/>
        <v>SPS1</v>
      </c>
      <c r="C2159" s="5" t="str">
        <f t="shared" si="2243"/>
        <v>CH</v>
      </c>
      <c r="D2159" t="s">
        <v>2288</v>
      </c>
      <c r="E2159" t="str">
        <f t="shared" si="2244"/>
        <v>Million</v>
      </c>
      <c r="F2159" s="1" cm="1">
        <f t="array" ref="F2159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SUMPRODUCT(("var_ncap"=[1]OUT_TransportEnergyCons!$B$4:$B$10000)*1,("-"=[1]OUT_TransportEnergyCons!$C$4:$C$10000)*1,ISNUMBER(SEARCH("T_C*mhy*dsl*s4",[1]OUT_TransportEnergyCons!$A$4:$A$10000))*1,[1]OUT_TransportEnergyCons!E$4:E$10000)</f>
        <v>6.92799631413265E-6</v>
      </c>
      <c r="H2159" s="1" cm="1">
        <f t="array" ref="H2159">SUMPRODUCT(("var_ncap"=[1]OUT_TransportEnergyCons!$B$4:$B$10000)*1,("-"=[1]OUT_TransportEnergyCons!$C$4:$C$10000)*1,ISNUMBER(SEARCH("T_C*mhy*dsl*s4",[1]OUT_TransportEnergyCons!$A$4:$A$10000))*1,[1]OUT_TransportEnergyCons!F$4:F$10000)</f>
        <v>9.9290795472101997E-6</v>
      </c>
      <c r="I2159" s="1" cm="1">
        <f t="array" ref="I2159">SUMPRODUCT(("var_ncap"=[1]OUT_TransportEnergyCons!$B$4:$B$10000)*1,("-"=[1]OUT_TransportEnergyCons!$C$4:$C$10000)*1,ISNUMBER(SEARCH("T_C*mhy*dsl*s4",[1]OUT_TransportEnergyCons!$A$4:$A$10000))*1,[1]OUT_TransportEnergyCons!G$4:G$10000)</f>
        <v>3.0774925708570698E-5</v>
      </c>
      <c r="J2159" s="1" cm="1">
        <f t="array" ref="J2159">SUMPRODUCT(("var_ncap"=[1]OUT_TransportEnergyCons!$B$4:$B$10000)*1,("-"=[1]OUT_TransportEnergyCons!$C$4:$C$10000)*1,ISNUMBER(SEARCH("T_C*mhy*dsl*s4",[1]OUT_TransportEnergyCons!$A$4:$A$10000))*1,[1]OUT_TransportEnergyCons!H$4:H$10000)</f>
        <v>0</v>
      </c>
      <c r="K2159" s="1" cm="1">
        <f t="array" ref="K2159">SUMPRODUCT(("var_ncap"=[1]OUT_TransportEnergyCons!$B$4:$B$10000)*1,("-"=[1]OUT_TransportEnergyCons!$C$4:$C$10000)*1,ISNUMBER(SEARCH("T_C*mhy*dsl*s4",[1]OUT_TransportEnergyCons!$A$4:$A$10000))*1,[1]OUT_TransportEnergyCons!I$4:I$10000)</f>
        <v>0</v>
      </c>
      <c r="L2159" s="1" cm="1">
        <f t="array" ref="L2159">SUMPRODUCT(("var_ncap"=[1]OUT_TransportEnergyCons!$B$4:$B$10000)*1,("-"=[1]OUT_TransportEnergyCons!$C$4:$C$10000)*1,ISNUMBER(SEARCH("T_C*mhy*dsl*s4",[1]OUT_TransportEnergyCons!$A$4:$A$10000))*1,[1]OUT_TransportEnergyCons!J$4:J$10000)</f>
        <v>0</v>
      </c>
      <c r="M2159" s="1" cm="1">
        <f t="array" ref="M2159">SUMPRODUCT(("var_ncap"=[1]OUT_TransportEnergyCons!$B$4:$B$10000)*1,("-"=[1]OUT_TransportEnergyCons!$C$4:$C$10000)*1,ISNUMBER(SEARCH("T_C*mhy*dsl*s4",[1]OUT_TransportEnergyCons!$A$4:$A$10000))*1,[1]OUT_TransportEnergyCons!K$4:K$10000)</f>
        <v>0</v>
      </c>
      <c r="N2159" s="1" cm="1">
        <f t="array" ref="N2159">SUMPRODUCT(("var_ncap"=[1]OUT_TransportEnergyCons!$B$4:$B$10000)*1,("-"=[1]OUT_TransportEnergyCons!$C$4:$C$10000)*1,ISNUMBER(SEARCH("T_C*mhy*dsl*s4",[1]OUT_TransportEnergyCons!$A$4:$A$10000))*1,[1]OUT_TransportEnergyCons!L$4:L$10000)</f>
        <v>0</v>
      </c>
      <c r="O2159" s="1" cm="1">
        <f t="array" ref="O2159">SUMPRODUCT(("var_ncap"=[1]OUT_TransportEnergyCons!$B$4:$B$10000)*1,("-"=[1]OUT_TransportEnergyCons!$C$4:$C$10000)*1,ISNUMBER(SEARCH("T_C*mhy*dsl*s4",[1]OUT_TransportEnergyCons!$A$4:$A$10000))*1,[1]OUT_TransportEnergyCons!M$4:M$10000)</f>
        <v>0</v>
      </c>
      <c r="P2159" s="1" cm="1">
        <f t="array" ref="P2159">SUMPRODUCT(("var_ncap"=[1]OUT_TransportEnergyCons!$B$4:$B$10000)*1,("-"=[1]OUT_TransportEnergyCons!$C$4:$C$10000)*1,ISNUMBER(SEARCH("T_C*mhy*dsl*s4",[1]OUT_TransportEnergyCons!$A$4:$A$10000))*1,[1]OUT_TransportEnergyCons!N$4:N$10000)</f>
        <v>0</v>
      </c>
      <c r="Q2159" s="1" cm="1">
        <f t="array" ref="Q2159">SUMPRODUCT(("var_ncap"=[1]OUT_TransportEnergyCons!$B$4:$B$10000)*1,("-"=[1]OUT_TransportEnergyCons!$C$4:$C$10000)*1,ISNUMBER(SEARCH("T_C*mhy*dsl*s4",[1]OUT_TransportEnergyCons!$A$4:$A$10000))*1,[1]OUT_TransportEnergyCons!O$4:O$10000)</f>
        <v>0</v>
      </c>
      <c r="S2159" s="3"/>
    </row>
    <row r="2160" spans="2:19" x14ac:dyDescent="0.5">
      <c r="B2160" s="5" t="str">
        <f t="shared" si="2242"/>
        <v>SPS1</v>
      </c>
      <c r="C2160" s="5" t="str">
        <f t="shared" si="2243"/>
        <v>CH</v>
      </c>
      <c r="D2160" t="s">
        <v>2289</v>
      </c>
      <c r="E2160" t="str">
        <f t="shared" si="2244"/>
        <v>Million</v>
      </c>
      <c r="F2160" s="1" cm="1">
        <f t="array" ref="F2160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60" s="1" cm="1">
        <f t="array" ref="G2160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60" s="1" cm="1">
        <f t="array" ref="H2160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60" s="1" cm="1">
        <f t="array" ref="I2160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60" s="1" cm="1">
        <f t="array" ref="J2160">SUMPRODUCT(("var_ncap"=[1]OUT_TransportEnergyCons!$B$4:$B$10000)*1,("-"=[1]OUT_TransportEnergyCons!$C$4:$C$10000)*1,ISNUMBER(SEARCH("T_C*ICE*nga*ext",[1]OUT_TransportEnergyCons!$A$4:$A$10000))*1,[1]OUT_TransportEnergyCons!H$4:H$10000)</f>
        <v>0</v>
      </c>
      <c r="K2160" s="1" cm="1">
        <f t="array" ref="K2160">SUMPRODUCT(("var_ncap"=[1]OUT_TransportEnergyCons!$B$4:$B$10000)*1,("-"=[1]OUT_TransportEnergyCons!$C$4:$C$10000)*1,ISNUMBER(SEARCH("T_C*ICE*nga*ext",[1]OUT_TransportEnergyCons!$A$4:$A$10000))*1,[1]OUT_TransportEnergyCons!I$4:I$10000)</f>
        <v>0</v>
      </c>
      <c r="L2160" s="1" cm="1">
        <f t="array" ref="L2160">SUMPRODUCT(("var_ncap"=[1]OUT_TransportEnergyCons!$B$4:$B$10000)*1,("-"=[1]OUT_TransportEnergyCons!$C$4:$C$10000)*1,ISNUMBER(SEARCH("T_C*ICE*nga*ext",[1]OUT_TransportEnergyCons!$A$4:$A$10000))*1,[1]OUT_TransportEnergyCons!J$4:J$10000)</f>
        <v>0</v>
      </c>
      <c r="M2160" s="1" cm="1">
        <f t="array" ref="M2160">SUMPRODUCT(("var_ncap"=[1]OUT_TransportEnergyCons!$B$4:$B$10000)*1,("-"=[1]OUT_TransportEnergyCons!$C$4:$C$10000)*1,ISNUMBER(SEARCH("T_C*ICE*nga*ext",[1]OUT_TransportEnergyCons!$A$4:$A$10000))*1,[1]OUT_TransportEnergyCons!K$4:K$10000)</f>
        <v>0</v>
      </c>
      <c r="N2160" s="1" cm="1">
        <f t="array" ref="N2160">SUMPRODUCT(("var_ncap"=[1]OUT_TransportEnergyCons!$B$4:$B$10000)*1,("-"=[1]OUT_TransportEnergyCons!$C$4:$C$10000)*1,ISNUMBER(SEARCH("T_C*ICE*nga*ext",[1]OUT_TransportEnergyCons!$A$4:$A$10000))*1,[1]OUT_TransportEnergyCons!L$4:L$10000)</f>
        <v>0</v>
      </c>
      <c r="O2160" s="1" cm="1">
        <f t="array" ref="O2160">SUMPRODUCT(("var_ncap"=[1]OUT_TransportEnergyCons!$B$4:$B$10000)*1,("-"=[1]OUT_TransportEnergyCons!$C$4:$C$10000)*1,ISNUMBER(SEARCH("T_C*ICE*nga*ext",[1]OUT_TransportEnergyCons!$A$4:$A$10000))*1,[1]OUT_TransportEnergyCons!M$4:M$10000)</f>
        <v>0</v>
      </c>
      <c r="P2160" s="1" cm="1">
        <f t="array" ref="P2160">SUMPRODUCT(("var_ncap"=[1]OUT_TransportEnergyCons!$B$4:$B$10000)*1,("-"=[1]OUT_TransportEnergyCons!$C$4:$C$10000)*1,ISNUMBER(SEARCH("T_C*ICE*nga*ext",[1]OUT_TransportEnergyCons!$A$4:$A$10000))*1,[1]OUT_TransportEnergyCons!N$4:N$10000)</f>
        <v>0</v>
      </c>
      <c r="Q2160" s="1" cm="1">
        <f t="array" ref="Q2160">SUMPRODUCT(("var_ncap"=[1]OUT_TransportEnergyCons!$B$4:$B$10000)*1,("-"=[1]OUT_TransportEnergyCons!$C$4:$C$10000)*1,ISNUMBER(SEARCH("T_C*ICE*nga*ext",[1]OUT_TransportEnergyCons!$A$4:$A$10000))*1,[1]OUT_TransportEnergyCons!O$4:O$10000)</f>
        <v>0</v>
      </c>
      <c r="S2160" s="3"/>
    </row>
    <row r="2161" spans="2:19" x14ac:dyDescent="0.5">
      <c r="B2161" s="5" t="str">
        <f t="shared" si="2242"/>
        <v>SPS1</v>
      </c>
      <c r="C2161" s="5" t="str">
        <f t="shared" si="2243"/>
        <v>CH</v>
      </c>
      <c r="D2161" t="s">
        <v>2290</v>
      </c>
      <c r="E2161" t="str">
        <f t="shared" si="2244"/>
        <v>Million</v>
      </c>
      <c r="F2161" s="1" cm="1">
        <f t="array" ref="F2161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61" s="1" cm="1">
        <f t="array" ref="G2161">SUMPRODUCT(("var_ncap"=[1]OUT_TransportEnergyCons!$B$4:$B$10000)*1,("-"=[1]OUT_TransportEnergyCons!$C$4:$C$10000)*1,ISNUMBER(SEARCH("T_C*ICE*nga*s1",[1]OUT_TransportEnergyCons!$A$4:$A$10000))*1,[1]OUT_TransportEnergyCons!E$4:E$10000)</f>
        <v>2.3390228467128299E-6</v>
      </c>
      <c r="H2161" s="1" cm="1">
        <f t="array" ref="H2161">SUMPRODUCT(("var_ncap"=[1]OUT_TransportEnergyCons!$B$4:$B$10000)*1,("-"=[1]OUT_TransportEnergyCons!$C$4:$C$10000)*1,ISNUMBER(SEARCH("T_C*ICE*nga*s1",[1]OUT_TransportEnergyCons!$A$4:$A$10000))*1,[1]OUT_TransportEnergyCons!F$4:F$10000)</f>
        <v>7.3698576995718794E-5</v>
      </c>
      <c r="I2161" s="1" cm="1">
        <f t="array" ref="I2161">SUMPRODUCT(("var_ncap"=[1]OUT_TransportEnergyCons!$B$4:$B$10000)*1,("-"=[1]OUT_TransportEnergyCons!$C$4:$C$10000)*1,ISNUMBER(SEARCH("T_C*ICE*nga*s1",[1]OUT_TransportEnergyCons!$A$4:$A$10000))*1,[1]OUT_TransportEnergyCons!G$4:G$10000)</f>
        <v>1.8478465878284801E-8</v>
      </c>
      <c r="J2161" s="1" cm="1">
        <f t="array" ref="J2161">SUMPRODUCT(("var_ncap"=[1]OUT_TransportEnergyCons!$B$4:$B$10000)*1,("-"=[1]OUT_TransportEnergyCons!$C$4:$C$10000)*1,ISNUMBER(SEARCH("T_C*ICE*nga*s1",[1]OUT_TransportEnergyCons!$A$4:$A$10000))*1,[1]OUT_TransportEnergyCons!H$4:H$10000)</f>
        <v>0</v>
      </c>
      <c r="K2161" s="1" cm="1">
        <f t="array" ref="K2161">SUMPRODUCT(("var_ncap"=[1]OUT_TransportEnergyCons!$B$4:$B$10000)*1,("-"=[1]OUT_TransportEnergyCons!$C$4:$C$10000)*1,ISNUMBER(SEARCH("T_C*ICE*nga*s1",[1]OUT_TransportEnergyCons!$A$4:$A$10000))*1,[1]OUT_TransportEnergyCons!I$4:I$10000)</f>
        <v>0</v>
      </c>
      <c r="L2161" s="1" cm="1">
        <f t="array" ref="L2161">SUMPRODUCT(("var_ncap"=[1]OUT_TransportEnergyCons!$B$4:$B$10000)*1,("-"=[1]OUT_TransportEnergyCons!$C$4:$C$10000)*1,ISNUMBER(SEARCH("T_C*ICE*nga*s1",[1]OUT_TransportEnergyCons!$A$4:$A$10000))*1,[1]OUT_TransportEnergyCons!J$4:J$10000)</f>
        <v>0</v>
      </c>
      <c r="M2161" s="1" cm="1">
        <f t="array" ref="M2161">SUMPRODUCT(("var_ncap"=[1]OUT_TransportEnergyCons!$B$4:$B$10000)*1,("-"=[1]OUT_TransportEnergyCons!$C$4:$C$10000)*1,ISNUMBER(SEARCH("T_C*ICE*nga*s1",[1]OUT_TransportEnergyCons!$A$4:$A$10000))*1,[1]OUT_TransportEnergyCons!K$4:K$10000)</f>
        <v>0</v>
      </c>
      <c r="N2161" s="1" cm="1">
        <f t="array" ref="N2161">SUMPRODUCT(("var_ncap"=[1]OUT_TransportEnergyCons!$B$4:$B$10000)*1,("-"=[1]OUT_TransportEnergyCons!$C$4:$C$10000)*1,ISNUMBER(SEARCH("T_C*ICE*nga*s1",[1]OUT_TransportEnergyCons!$A$4:$A$10000))*1,[1]OUT_TransportEnergyCons!L$4:L$10000)</f>
        <v>0</v>
      </c>
      <c r="O2161" s="1" cm="1">
        <f t="array" ref="O2161">SUMPRODUCT(("var_ncap"=[1]OUT_TransportEnergyCons!$B$4:$B$10000)*1,("-"=[1]OUT_TransportEnergyCons!$C$4:$C$10000)*1,ISNUMBER(SEARCH("T_C*ICE*nga*s1",[1]OUT_TransportEnergyCons!$A$4:$A$10000))*1,[1]OUT_TransportEnergyCons!M$4:M$10000)</f>
        <v>0</v>
      </c>
      <c r="P2161" s="1" cm="1">
        <f t="array" ref="P2161">SUMPRODUCT(("var_ncap"=[1]OUT_TransportEnergyCons!$B$4:$B$10000)*1,("-"=[1]OUT_TransportEnergyCons!$C$4:$C$10000)*1,ISNUMBER(SEARCH("T_C*ICE*nga*s1",[1]OUT_TransportEnergyCons!$A$4:$A$10000))*1,[1]OUT_TransportEnergyCons!N$4:N$10000)</f>
        <v>0</v>
      </c>
      <c r="Q2161" s="1" cm="1">
        <f t="array" ref="Q2161">SUMPRODUCT(("var_ncap"=[1]OUT_TransportEnergyCons!$B$4:$B$10000)*1,("-"=[1]OUT_TransportEnergyCons!$C$4:$C$10000)*1,ISNUMBER(SEARCH("T_C*ICE*nga*s1",[1]OUT_TransportEnergyCons!$A$4:$A$10000))*1,[1]OUT_TransportEnergyCons!O$4:O$10000)</f>
        <v>0</v>
      </c>
      <c r="S2161" s="3"/>
    </row>
    <row r="2162" spans="2:19" x14ac:dyDescent="0.5">
      <c r="B2162" s="5" t="str">
        <f t="shared" si="2242"/>
        <v>SPS1</v>
      </c>
      <c r="C2162" s="5" t="str">
        <f t="shared" si="2243"/>
        <v>CH</v>
      </c>
      <c r="D2162" t="s">
        <v>2291</v>
      </c>
      <c r="E2162" t="str">
        <f t="shared" si="2244"/>
        <v>Million</v>
      </c>
      <c r="F2162" s="1" cm="1">
        <f t="array" ref="F2162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62" s="1" cm="1">
        <f t="array" ref="G2162">SUMPRODUCT(("var_ncap"=[1]OUT_TransportEnergyCons!$B$4:$B$10000)*1,("-"=[1]OUT_TransportEnergyCons!$C$4:$C$10000)*1,ISNUMBER(SEARCH("T_C*ICE*nga*s2",[1]OUT_TransportEnergyCons!$A$4:$A$10000))*1,[1]OUT_TransportEnergyCons!E$4:E$10000)</f>
        <v>1.7211533430215599E-6</v>
      </c>
      <c r="H2162" s="1" cm="1">
        <f t="array" ref="H2162">SUMPRODUCT(("var_ncap"=[1]OUT_TransportEnergyCons!$B$4:$B$10000)*1,("-"=[1]OUT_TransportEnergyCons!$C$4:$C$10000)*1,ISNUMBER(SEARCH("T_C*ICE*nga*s2",[1]OUT_TransportEnergyCons!$A$4:$A$10000))*1,[1]OUT_TransportEnergyCons!F$4:F$10000)</f>
        <v>7.2521905763986699E-6</v>
      </c>
      <c r="I2162" s="1" cm="1">
        <f t="array" ref="I2162">SUMPRODUCT(("var_ncap"=[1]OUT_TransportEnergyCons!$B$4:$B$10000)*1,("-"=[1]OUT_TransportEnergyCons!$C$4:$C$10000)*1,ISNUMBER(SEARCH("T_C*ICE*nga*s2",[1]OUT_TransportEnergyCons!$A$4:$A$10000))*1,[1]OUT_TransportEnergyCons!G$4:G$10000)</f>
        <v>1.026842144112E-8</v>
      </c>
      <c r="J2162" s="1" cm="1">
        <f t="array" ref="J2162">SUMPRODUCT(("var_ncap"=[1]OUT_TransportEnergyCons!$B$4:$B$10000)*1,("-"=[1]OUT_TransportEnergyCons!$C$4:$C$10000)*1,ISNUMBER(SEARCH("T_C*ICE*nga*s2",[1]OUT_TransportEnergyCons!$A$4:$A$10000))*1,[1]OUT_TransportEnergyCons!H$4:H$10000)</f>
        <v>0</v>
      </c>
      <c r="K2162" s="1" cm="1">
        <f t="array" ref="K2162">SUMPRODUCT(("var_ncap"=[1]OUT_TransportEnergyCons!$B$4:$B$10000)*1,("-"=[1]OUT_TransportEnergyCons!$C$4:$C$10000)*1,ISNUMBER(SEARCH("T_C*ICE*nga*s2",[1]OUT_TransportEnergyCons!$A$4:$A$10000))*1,[1]OUT_TransportEnergyCons!I$4:I$10000)</f>
        <v>0</v>
      </c>
      <c r="L2162" s="1" cm="1">
        <f t="array" ref="L2162">SUMPRODUCT(("var_ncap"=[1]OUT_TransportEnergyCons!$B$4:$B$10000)*1,("-"=[1]OUT_TransportEnergyCons!$C$4:$C$10000)*1,ISNUMBER(SEARCH("T_C*ICE*nga*s2",[1]OUT_TransportEnergyCons!$A$4:$A$10000))*1,[1]OUT_TransportEnergyCons!J$4:J$10000)</f>
        <v>0</v>
      </c>
      <c r="M2162" s="1" cm="1">
        <f t="array" ref="M2162">SUMPRODUCT(("var_ncap"=[1]OUT_TransportEnergyCons!$B$4:$B$10000)*1,("-"=[1]OUT_TransportEnergyCons!$C$4:$C$10000)*1,ISNUMBER(SEARCH("T_C*ICE*nga*s2",[1]OUT_TransportEnergyCons!$A$4:$A$10000))*1,[1]OUT_TransportEnergyCons!K$4:K$10000)</f>
        <v>0</v>
      </c>
      <c r="N2162" s="1" cm="1">
        <f t="array" ref="N2162">SUMPRODUCT(("var_ncap"=[1]OUT_TransportEnergyCons!$B$4:$B$10000)*1,("-"=[1]OUT_TransportEnergyCons!$C$4:$C$10000)*1,ISNUMBER(SEARCH("T_C*ICE*nga*s2",[1]OUT_TransportEnergyCons!$A$4:$A$10000))*1,[1]OUT_TransportEnergyCons!L$4:L$10000)</f>
        <v>0</v>
      </c>
      <c r="O2162" s="1" cm="1">
        <f t="array" ref="O2162">SUMPRODUCT(("var_ncap"=[1]OUT_TransportEnergyCons!$B$4:$B$10000)*1,("-"=[1]OUT_TransportEnergyCons!$C$4:$C$10000)*1,ISNUMBER(SEARCH("T_C*ICE*nga*s2",[1]OUT_TransportEnergyCons!$A$4:$A$10000))*1,[1]OUT_TransportEnergyCons!M$4:M$10000)</f>
        <v>0</v>
      </c>
      <c r="P2162" s="1" cm="1">
        <f t="array" ref="P2162">SUMPRODUCT(("var_ncap"=[1]OUT_TransportEnergyCons!$B$4:$B$10000)*1,("-"=[1]OUT_TransportEnergyCons!$C$4:$C$10000)*1,ISNUMBER(SEARCH("T_C*ICE*nga*s2",[1]OUT_TransportEnergyCons!$A$4:$A$10000))*1,[1]OUT_TransportEnergyCons!N$4:N$10000)</f>
        <v>0</v>
      </c>
      <c r="Q2162" s="1" cm="1">
        <f t="array" ref="Q2162">SUMPRODUCT(("var_ncap"=[1]OUT_TransportEnergyCons!$B$4:$B$10000)*1,("-"=[1]OUT_TransportEnergyCons!$C$4:$C$10000)*1,ISNUMBER(SEARCH("T_C*ICE*nga*s2",[1]OUT_TransportEnergyCons!$A$4:$A$10000))*1,[1]OUT_TransportEnergyCons!O$4:O$10000)</f>
        <v>0</v>
      </c>
      <c r="S2162" s="3"/>
    </row>
    <row r="2163" spans="2:19" x14ac:dyDescent="0.5">
      <c r="B2163" s="5" t="str">
        <f t="shared" si="2242"/>
        <v>SPS1</v>
      </c>
      <c r="C2163" s="5" t="str">
        <f t="shared" si="2243"/>
        <v>CH</v>
      </c>
      <c r="D2163" t="s">
        <v>2292</v>
      </c>
      <c r="E2163" t="str">
        <f t="shared" si="2244"/>
        <v>Million</v>
      </c>
      <c r="F2163" s="1" cm="1">
        <f t="array" ref="F2163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63" s="1" cm="1">
        <f t="array" ref="G2163">SUMPRODUCT(("var_ncap"=[1]OUT_TransportEnergyCons!$B$4:$B$10000)*1,("-"=[1]OUT_TransportEnergyCons!$C$4:$C$10000)*1,ISNUMBER(SEARCH("T_C*ICE*nga*s3",[1]OUT_TransportEnergyCons!$A$4:$A$10000))*1,[1]OUT_TransportEnergyCons!E$4:E$10000)</f>
        <v>2.8432574215509301E-6</v>
      </c>
      <c r="H2163" s="1" cm="1">
        <f t="array" ref="H2163">SUMPRODUCT(("var_ncap"=[1]OUT_TransportEnergyCons!$B$4:$B$10000)*1,("-"=[1]OUT_TransportEnergyCons!$C$4:$C$10000)*1,ISNUMBER(SEARCH("T_C*ICE*nga*s3",[1]OUT_TransportEnergyCons!$A$4:$A$10000))*1,[1]OUT_TransportEnergyCons!F$4:F$10000)</f>
        <v>1.5687070903326702E-5</v>
      </c>
      <c r="I2163" s="1" cm="1">
        <f t="array" ref="I2163">SUMPRODUCT(("var_ncap"=[1]OUT_TransportEnergyCons!$B$4:$B$10000)*1,("-"=[1]OUT_TransportEnergyCons!$C$4:$C$10000)*1,ISNUMBER(SEARCH("T_C*ICE*nga*s3",[1]OUT_TransportEnergyCons!$A$4:$A$10000))*1,[1]OUT_TransportEnergyCons!G$4:G$10000)</f>
        <v>0</v>
      </c>
      <c r="J2163" s="1" cm="1">
        <f t="array" ref="J2163">SUMPRODUCT(("var_ncap"=[1]OUT_TransportEnergyCons!$B$4:$B$10000)*1,("-"=[1]OUT_TransportEnergyCons!$C$4:$C$10000)*1,ISNUMBER(SEARCH("T_C*ICE*nga*s3",[1]OUT_TransportEnergyCons!$A$4:$A$10000))*1,[1]OUT_TransportEnergyCons!H$4:H$10000)</f>
        <v>0</v>
      </c>
      <c r="K2163" s="1" cm="1">
        <f t="array" ref="K2163">SUMPRODUCT(("var_ncap"=[1]OUT_TransportEnergyCons!$B$4:$B$10000)*1,("-"=[1]OUT_TransportEnergyCons!$C$4:$C$10000)*1,ISNUMBER(SEARCH("T_C*ICE*nga*s3",[1]OUT_TransportEnergyCons!$A$4:$A$10000))*1,[1]OUT_TransportEnergyCons!I$4:I$10000)</f>
        <v>0</v>
      </c>
      <c r="L2163" s="1" cm="1">
        <f t="array" ref="L2163">SUMPRODUCT(("var_ncap"=[1]OUT_TransportEnergyCons!$B$4:$B$10000)*1,("-"=[1]OUT_TransportEnergyCons!$C$4:$C$10000)*1,ISNUMBER(SEARCH("T_C*ICE*nga*s3",[1]OUT_TransportEnergyCons!$A$4:$A$10000))*1,[1]OUT_TransportEnergyCons!J$4:J$10000)</f>
        <v>0</v>
      </c>
      <c r="M2163" s="1" cm="1">
        <f t="array" ref="M2163">SUMPRODUCT(("var_ncap"=[1]OUT_TransportEnergyCons!$B$4:$B$10000)*1,("-"=[1]OUT_TransportEnergyCons!$C$4:$C$10000)*1,ISNUMBER(SEARCH("T_C*ICE*nga*s3",[1]OUT_TransportEnergyCons!$A$4:$A$10000))*1,[1]OUT_TransportEnergyCons!K$4:K$10000)</f>
        <v>0</v>
      </c>
      <c r="N2163" s="1" cm="1">
        <f t="array" ref="N2163">SUMPRODUCT(("var_ncap"=[1]OUT_TransportEnergyCons!$B$4:$B$10000)*1,("-"=[1]OUT_TransportEnergyCons!$C$4:$C$10000)*1,ISNUMBER(SEARCH("T_C*ICE*nga*s3",[1]OUT_TransportEnergyCons!$A$4:$A$10000))*1,[1]OUT_TransportEnergyCons!L$4:L$10000)</f>
        <v>0</v>
      </c>
      <c r="O2163" s="1" cm="1">
        <f t="array" ref="O2163">SUMPRODUCT(("var_ncap"=[1]OUT_TransportEnergyCons!$B$4:$B$10000)*1,("-"=[1]OUT_TransportEnergyCons!$C$4:$C$10000)*1,ISNUMBER(SEARCH("T_C*ICE*nga*s3",[1]OUT_TransportEnergyCons!$A$4:$A$10000))*1,[1]OUT_TransportEnergyCons!M$4:M$10000)</f>
        <v>0</v>
      </c>
      <c r="P2163" s="1" cm="1">
        <f t="array" ref="P2163">SUMPRODUCT(("var_ncap"=[1]OUT_TransportEnergyCons!$B$4:$B$10000)*1,("-"=[1]OUT_TransportEnergyCons!$C$4:$C$10000)*1,ISNUMBER(SEARCH("T_C*ICE*nga*s3",[1]OUT_TransportEnergyCons!$A$4:$A$10000))*1,[1]OUT_TransportEnergyCons!N$4:N$10000)</f>
        <v>0</v>
      </c>
      <c r="Q2163" s="1" cm="1">
        <f t="array" ref="Q2163">SUMPRODUCT(("var_ncap"=[1]OUT_TransportEnergyCons!$B$4:$B$10000)*1,("-"=[1]OUT_TransportEnergyCons!$C$4:$C$10000)*1,ISNUMBER(SEARCH("T_C*ICE*nga*s3",[1]OUT_TransportEnergyCons!$A$4:$A$10000))*1,[1]OUT_TransportEnergyCons!O$4:O$10000)</f>
        <v>0</v>
      </c>
      <c r="S2163" s="3"/>
    </row>
    <row r="2164" spans="2:19" x14ac:dyDescent="0.5">
      <c r="B2164" s="5" t="str">
        <f t="shared" si="2242"/>
        <v>SPS1</v>
      </c>
      <c r="C2164" s="5" t="str">
        <f t="shared" si="2243"/>
        <v>CH</v>
      </c>
      <c r="D2164" t="s">
        <v>2293</v>
      </c>
      <c r="E2164" t="str">
        <f t="shared" si="2244"/>
        <v>Million</v>
      </c>
      <c r="F2164" s="1" cm="1">
        <f t="array" ref="F2164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64" s="1" cm="1">
        <f t="array" ref="G2164">SUMPRODUCT(("var_ncap"=[1]OUT_TransportEnergyCons!$B$4:$B$10000)*1,("-"=[1]OUT_TransportEnergyCons!$C$4:$C$10000)*1,ISNUMBER(SEARCH("T_C*ICE*nga*s4",[1]OUT_TransportEnergyCons!$A$4:$A$10000))*1,[1]OUT_TransportEnergyCons!E$4:E$10000)</f>
        <v>2.5038030953444798E-6</v>
      </c>
      <c r="H2164" s="1" cm="1">
        <f t="array" ref="H2164">SUMPRODUCT(("var_ncap"=[1]OUT_TransportEnergyCons!$B$4:$B$10000)*1,("-"=[1]OUT_TransportEnergyCons!$C$4:$C$10000)*1,ISNUMBER(SEARCH("T_C*ICE*nga*s4",[1]OUT_TransportEnergyCons!$A$4:$A$10000))*1,[1]OUT_TransportEnergyCons!F$4:F$10000)</f>
        <v>7.0975479777170104E-5</v>
      </c>
      <c r="I2164" s="1" cm="1">
        <f t="array" ref="I2164">SUMPRODUCT(("var_ncap"=[1]OUT_TransportEnergyCons!$B$4:$B$10000)*1,("-"=[1]OUT_TransportEnergyCons!$C$4:$C$10000)*1,ISNUMBER(SEARCH("T_C*ICE*nga*s4",[1]OUT_TransportEnergyCons!$A$4:$A$10000))*1,[1]OUT_TransportEnergyCons!G$4:G$10000)</f>
        <v>1.0596274877430701E-8</v>
      </c>
      <c r="J2164" s="1" cm="1">
        <f t="array" ref="J2164">SUMPRODUCT(("var_ncap"=[1]OUT_TransportEnergyCons!$B$4:$B$10000)*1,("-"=[1]OUT_TransportEnergyCons!$C$4:$C$10000)*1,ISNUMBER(SEARCH("T_C*ICE*nga*s4",[1]OUT_TransportEnergyCons!$A$4:$A$10000))*1,[1]OUT_TransportEnergyCons!H$4:H$10000)</f>
        <v>0</v>
      </c>
      <c r="K2164" s="1" cm="1">
        <f t="array" ref="K2164">SUMPRODUCT(("var_ncap"=[1]OUT_TransportEnergyCons!$B$4:$B$10000)*1,("-"=[1]OUT_TransportEnergyCons!$C$4:$C$10000)*1,ISNUMBER(SEARCH("T_C*ICE*nga*s4",[1]OUT_TransportEnergyCons!$A$4:$A$10000))*1,[1]OUT_TransportEnergyCons!I$4:I$10000)</f>
        <v>0</v>
      </c>
      <c r="L2164" s="1" cm="1">
        <f t="array" ref="L2164">SUMPRODUCT(("var_ncap"=[1]OUT_TransportEnergyCons!$B$4:$B$10000)*1,("-"=[1]OUT_TransportEnergyCons!$C$4:$C$10000)*1,ISNUMBER(SEARCH("T_C*ICE*nga*s4",[1]OUT_TransportEnergyCons!$A$4:$A$10000))*1,[1]OUT_TransportEnergyCons!J$4:J$10000)</f>
        <v>0</v>
      </c>
      <c r="M2164" s="1" cm="1">
        <f t="array" ref="M2164">SUMPRODUCT(("var_ncap"=[1]OUT_TransportEnergyCons!$B$4:$B$10000)*1,("-"=[1]OUT_TransportEnergyCons!$C$4:$C$10000)*1,ISNUMBER(SEARCH("T_C*ICE*nga*s4",[1]OUT_TransportEnergyCons!$A$4:$A$10000))*1,[1]OUT_TransportEnergyCons!K$4:K$10000)</f>
        <v>0</v>
      </c>
      <c r="N2164" s="1" cm="1">
        <f t="array" ref="N2164">SUMPRODUCT(("var_ncap"=[1]OUT_TransportEnergyCons!$B$4:$B$10000)*1,("-"=[1]OUT_TransportEnergyCons!$C$4:$C$10000)*1,ISNUMBER(SEARCH("T_C*ICE*nga*s4",[1]OUT_TransportEnergyCons!$A$4:$A$10000))*1,[1]OUT_TransportEnergyCons!L$4:L$10000)</f>
        <v>0</v>
      </c>
      <c r="O2164" s="1" cm="1">
        <f t="array" ref="O2164">SUMPRODUCT(("var_ncap"=[1]OUT_TransportEnergyCons!$B$4:$B$10000)*1,("-"=[1]OUT_TransportEnergyCons!$C$4:$C$10000)*1,ISNUMBER(SEARCH("T_C*ICE*nga*s4",[1]OUT_TransportEnergyCons!$A$4:$A$10000))*1,[1]OUT_TransportEnergyCons!M$4:M$10000)</f>
        <v>0</v>
      </c>
      <c r="P2164" s="1" cm="1">
        <f t="array" ref="P2164">SUMPRODUCT(("var_ncap"=[1]OUT_TransportEnergyCons!$B$4:$B$10000)*1,("-"=[1]OUT_TransportEnergyCons!$C$4:$C$10000)*1,ISNUMBER(SEARCH("T_C*ICE*nga*s4",[1]OUT_TransportEnergyCons!$A$4:$A$10000))*1,[1]OUT_TransportEnergyCons!N$4:N$10000)</f>
        <v>0</v>
      </c>
      <c r="Q2164" s="1" cm="1">
        <f t="array" ref="Q2164">SUMPRODUCT(("var_ncap"=[1]OUT_TransportEnergyCons!$B$4:$B$10000)*1,("-"=[1]OUT_TransportEnergyCons!$C$4:$C$10000)*1,ISNUMBER(SEARCH("T_C*ICE*nga*s4",[1]OUT_TransportEnergyCons!$A$4:$A$10000))*1,[1]OUT_TransportEnergyCons!O$4:O$10000)</f>
        <v>0</v>
      </c>
      <c r="S2164" s="3"/>
    </row>
    <row r="2165" spans="2:19" x14ac:dyDescent="0.5">
      <c r="B2165" s="5" t="str">
        <f>'SPS1'!B1953</f>
        <v>SPS1</v>
      </c>
      <c r="C2165" s="5" t="str">
        <f>'SPS1'!C1953</f>
        <v>CH</v>
      </c>
      <c r="D2165" s="2" t="s">
        <v>2294</v>
      </c>
      <c r="E2165" s="2" t="s">
        <v>1999</v>
      </c>
      <c r="F2165" s="3">
        <f t="shared" ref="F2165:K2165" si="2245">SUM(F2166:F2188)</f>
        <v>0</v>
      </c>
      <c r="G2165" s="3">
        <f t="shared" si="2245"/>
        <v>0.70244246493000639</v>
      </c>
      <c r="H2165" s="3">
        <f t="shared" si="2245"/>
        <v>3.4233192599436473</v>
      </c>
      <c r="I2165" s="3">
        <f t="shared" si="2245"/>
        <v>4.3628738828644487</v>
      </c>
      <c r="J2165" s="3">
        <f t="shared" si="2245"/>
        <v>5.6914802333688659</v>
      </c>
      <c r="K2165" s="3">
        <f t="shared" si="2245"/>
        <v>1.5552697473578365</v>
      </c>
      <c r="L2165" s="3">
        <f t="shared" ref="L2165:O2165" si="2246">SUM(L2166:L2188)</f>
        <v>3.9746047290280044</v>
      </c>
      <c r="M2165" s="3">
        <f t="shared" si="2246"/>
        <v>3.6091334913906326</v>
      </c>
      <c r="N2165" s="3">
        <f t="shared" si="2246"/>
        <v>3.2793534930976533</v>
      </c>
      <c r="O2165" s="3">
        <f t="shared" si="2246"/>
        <v>4.3881080877486678</v>
      </c>
      <c r="P2165" s="3">
        <f>SUM(P2166:P2188)</f>
        <v>3.8561767279531471</v>
      </c>
      <c r="Q2165" s="3">
        <f>SUM(Q2166:Q2188)</f>
        <v>3.5509349486787696</v>
      </c>
      <c r="S2165" s="3"/>
    </row>
    <row r="2166" spans="2:19" x14ac:dyDescent="0.5">
      <c r="B2166" s="5" t="str">
        <f t="shared" ref="B2166:B2197" si="2247">B2165</f>
        <v>SPS1</v>
      </c>
      <c r="C2166" s="5" t="str">
        <f t="shared" ref="C2166:C2197" si="2248">C2165</f>
        <v>CH</v>
      </c>
      <c r="D2166" t="s">
        <v>2295</v>
      </c>
      <c r="E2166" t="s">
        <v>1999</v>
      </c>
      <c r="F2166" s="1" cm="1">
        <f t="array" ref="F2166">(SUMPRODUCT(("var_ncap"=[1]OUT_TransportEnergyCons!$B$4:$B$10000)*1,ISNUMBER(SEARCH("T_B_u*bev*ext",[1]OUT_TransportEnergyCons!$A$4:$A$10000))*1,[1]OUT_TransportEnergyCons!D$4:D$10000))*1000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(SUMPRODUCT(("var_ncap"=[1]OUT_TransportEnergyCons!$B$4:$B$10000)*1,ISNUMBER(SEARCH("T_B_u*bev*ext",[1]OUT_TransportEnergyCons!$A$4:$A$10000))*1,[1]OUT_TransportEnergyCons!E$4:E$10000))*1000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(SUMPRODUCT(("var_ncap"=[1]OUT_TransportEnergyCons!$B$4:$B$10000)*1,ISNUMBER(SEARCH("T_B_u*bev*ext",[1]OUT_TransportEnergyCons!$A$4:$A$10000))*1,[1]OUT_TransportEnergyCons!F$4:F$10000))*1000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(SUMPRODUCT(("var_ncap"=[1]OUT_TransportEnergyCons!$B$4:$B$10000)*1,ISNUMBER(SEARCH("T_B_u*bev*ext",[1]OUT_TransportEnergyCons!$A$4:$A$10000))*1,[1]OUT_TransportEnergyCons!G$4:G$10000))*1000</f>
        <v>0</v>
      </c>
      <c r="J2166" s="1" cm="1">
        <f t="array" ref="J2166">(SUMPRODUCT(("var_ncap"=[1]OUT_TransportEnergyCons!$B$4:$B$10000)*1,ISNUMBER(SEARCH("T_B_u*bev*ext",[1]OUT_TransportEnergyCons!$A$4:$A$10000))*1,[1]OUT_TransportEnergyCons!H$4:H$10000))*1000</f>
        <v>0</v>
      </c>
      <c r="K2166" s="1" cm="1">
        <f t="array" ref="K2166">(SUMPRODUCT(("var_ncap"=[1]OUT_TransportEnergyCons!$B$4:$B$10000)*1,ISNUMBER(SEARCH("T_B_u*bev*ext",[1]OUT_TransportEnergyCons!$A$4:$A$10000))*1,[1]OUT_TransportEnergyCons!I$4:I$10000))*1000</f>
        <v>0</v>
      </c>
      <c r="L2166" s="1" cm="1">
        <f t="array" ref="L2166">(SUMPRODUCT(("var_ncap"=[1]OUT_TransportEnergyCons!$B$4:$B$10000)*1,ISNUMBER(SEARCH("T_B_u*bev*ext",[1]OUT_TransportEnergyCons!$A$4:$A$10000))*1,[1]OUT_TransportEnergyCons!J$4:J$10000))*1000</f>
        <v>0</v>
      </c>
      <c r="M2166" s="1" cm="1">
        <f t="array" ref="M2166">(SUMPRODUCT(("var_ncap"=[1]OUT_TransportEnergyCons!$B$4:$B$10000)*1,ISNUMBER(SEARCH("T_B_u*bev*ext",[1]OUT_TransportEnergyCons!$A$4:$A$10000))*1,[1]OUT_TransportEnergyCons!K$4:K$10000))*1000</f>
        <v>0</v>
      </c>
      <c r="N2166" s="1" cm="1">
        <f t="array" ref="N2166">(SUMPRODUCT(("var_ncap"=[1]OUT_TransportEnergyCons!$B$4:$B$10000)*1,ISNUMBER(SEARCH("T_B_u*bev*ext",[1]OUT_TransportEnergyCons!$A$4:$A$10000))*1,[1]OUT_TransportEnergyCons!L$4:L$10000))*1000</f>
        <v>0</v>
      </c>
      <c r="O2166" s="1" cm="1">
        <f t="array" ref="O2166">(SUMPRODUCT(("var_ncap"=[1]OUT_TransportEnergyCons!$B$4:$B$10000)*1,ISNUMBER(SEARCH("T_B_u*bev*ext",[1]OUT_TransportEnergyCons!$A$4:$A$10000))*1,[1]OUT_TransportEnergyCons!M$4:M$10000))*1000</f>
        <v>0</v>
      </c>
      <c r="P2166" s="1" cm="1">
        <f t="array" ref="P2166">(SUMPRODUCT(("var_ncap"=[1]OUT_TransportEnergyCons!$B$4:$B$10000)*1,ISNUMBER(SEARCH("T_B_u*bev*ext",[1]OUT_TransportEnergyCons!$A$4:$A$10000))*1,[1]OUT_TransportEnergyCons!N$4:N$10000))*1000</f>
        <v>0</v>
      </c>
      <c r="Q2166" s="1" cm="1">
        <f t="array" ref="Q2166">(SUMPRODUCT(("var_ncap"=[1]OUT_TransportEnergyCons!$B$4:$B$10000)*1,ISNUMBER(SEARCH("T_B_u*bev*ext",[1]OUT_TransportEnergyCons!$A$4:$A$10000))*1,[1]OUT_TransportEnergyCons!O$4:O$10000))*1000</f>
        <v>0</v>
      </c>
      <c r="S2166" s="3"/>
    </row>
    <row r="2167" spans="2:19" x14ac:dyDescent="0.5">
      <c r="B2167" s="5" t="str">
        <f t="shared" si="2247"/>
        <v>SPS1</v>
      </c>
      <c r="C2167" s="5" t="str">
        <f t="shared" si="2248"/>
        <v>CH</v>
      </c>
      <c r="D2167" t="s">
        <v>2296</v>
      </c>
      <c r="E2167" t="s">
        <v>1999</v>
      </c>
      <c r="F2167" s="1" cm="1">
        <f t="array" ref="F2167">(SUMPRODUCT(("var_ncap"=[1]OUT_TransportEnergyCons!$B$4:$B$10000)*1,ISNUMBER(SEARCH("T_B_u*bev*s1",[1]OUT_TransportEnergyCons!$A$4:$A$10000))*1,[1]OUT_TransportEnergyCons!D$4:D$10000))*1000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(SUMPRODUCT(("var_ncap"=[1]OUT_TransportEnergyCons!$B$4:$B$10000)*1,ISNUMBER(SEARCH("T_B_u*bev*s1",[1]OUT_TransportEnergyCons!$A$4:$A$10000))*1,[1]OUT_TransportEnergyCons!E$4:E$10000))*1000</f>
        <v>3.8798524234684301E-2</v>
      </c>
      <c r="H2167" s="1" cm="1">
        <f t="array" ref="H2167">(SUMPRODUCT(("var_ncap"=[1]OUT_TransportEnergyCons!$B$4:$B$10000)*1,ISNUMBER(SEARCH("T_B_u*bev*s1",[1]OUT_TransportEnergyCons!$A$4:$A$10000))*1,[1]OUT_TransportEnergyCons!F$4:F$10000))*1000</f>
        <v>1.1641313778637801</v>
      </c>
      <c r="I2167" s="1" cm="1">
        <f t="array" ref="I2167">(SUMPRODUCT(("var_ncap"=[1]OUT_TransportEnergyCons!$B$4:$B$10000)*1,ISNUMBER(SEARCH("T_B_u*bev*s1",[1]OUT_TransportEnergyCons!$A$4:$A$10000))*1,[1]OUT_TransportEnergyCons!G$4:G$10000))*1000</f>
        <v>2.6151343105046303</v>
      </c>
      <c r="J2167" s="1" cm="1">
        <f t="array" ref="J2167">(SUMPRODUCT(("var_ncap"=[1]OUT_TransportEnergyCons!$B$4:$B$10000)*1,ISNUMBER(SEARCH("T_B_u*bev*s1",[1]OUT_TransportEnergyCons!$A$4:$A$10000))*1,[1]OUT_TransportEnergyCons!H$4:H$10000))*1000</f>
        <v>2.5983607427056503</v>
      </c>
      <c r="K2167" s="1" cm="1">
        <f t="array" ref="K2167">(SUMPRODUCT(("var_ncap"=[1]OUT_TransportEnergyCons!$B$4:$B$10000)*1,ISNUMBER(SEARCH("T_B_u*bev*s1",[1]OUT_TransportEnergyCons!$A$4:$A$10000))*1,[1]OUT_TransportEnergyCons!I$4:I$10000))*1000</f>
        <v>0.25818270839020402</v>
      </c>
      <c r="L2167" s="1" cm="1">
        <f t="array" ref="L2167">(SUMPRODUCT(("var_ncap"=[1]OUT_TransportEnergyCons!$B$4:$B$10000)*1,ISNUMBER(SEARCH("T_B_u*bev*s1",[1]OUT_TransportEnergyCons!$A$4:$A$10000))*1,[1]OUT_TransportEnergyCons!J$4:J$10000))*1000</f>
        <v>1.3242749071344899</v>
      </c>
      <c r="M2167" s="1" cm="1">
        <f t="array" ref="M2167">(SUMPRODUCT(("var_ncap"=[1]OUT_TransportEnergyCons!$B$4:$B$10000)*1,ISNUMBER(SEARCH("T_B_u*bev*s1",[1]OUT_TransportEnergyCons!$A$4:$A$10000))*1,[1]OUT_TransportEnergyCons!K$4:K$10000))*1000</f>
        <v>1.5988826696760199</v>
      </c>
      <c r="N2167" s="1" cm="1">
        <f t="array" ref="N2167">(SUMPRODUCT(("var_ncap"=[1]OUT_TransportEnergyCons!$B$4:$B$10000)*1,ISNUMBER(SEARCH("T_B_u*bev*s1",[1]OUT_TransportEnergyCons!$A$4:$A$10000))*1,[1]OUT_TransportEnergyCons!L$4:L$10000))*1000</f>
        <v>0.97048001489009106</v>
      </c>
      <c r="O2167" s="1" cm="1">
        <f t="array" ref="O2167">(SUMPRODUCT(("var_ncap"=[1]OUT_TransportEnergyCons!$B$4:$B$10000)*1,ISNUMBER(SEARCH("T_B_u*bev*s1",[1]OUT_TransportEnergyCons!$A$4:$A$10000))*1,[1]OUT_TransportEnergyCons!M$4:M$10000))*1000</f>
        <v>1.4719643245318401</v>
      </c>
      <c r="P2167" s="1" cm="1">
        <f t="array" ref="P2167">(SUMPRODUCT(("var_ncap"=[1]OUT_TransportEnergyCons!$B$4:$B$10000)*1,ISNUMBER(SEARCH("T_B_u*bev*s1",[1]OUT_TransportEnergyCons!$A$4:$A$10000))*1,[1]OUT_TransportEnergyCons!N$4:N$10000))*1000</f>
        <v>1.6944496961192299</v>
      </c>
      <c r="Q2167" s="1" cm="1">
        <f t="array" ref="Q2167">(SUMPRODUCT(("var_ncap"=[1]OUT_TransportEnergyCons!$B$4:$B$10000)*1,ISNUMBER(SEARCH("T_B_u*bev*s1",[1]OUT_TransportEnergyCons!$A$4:$A$10000))*1,[1]OUT_TransportEnergyCons!O$4:O$10000))*1000</f>
        <v>0.68927297050544101</v>
      </c>
      <c r="S2167" s="3"/>
    </row>
    <row r="2168" spans="2:19" x14ac:dyDescent="0.5">
      <c r="B2168" s="5" t="str">
        <f t="shared" si="2247"/>
        <v>SPS1</v>
      </c>
      <c r="C2168" s="5" t="str">
        <f t="shared" si="2248"/>
        <v>CH</v>
      </c>
      <c r="D2168" t="s">
        <v>2297</v>
      </c>
      <c r="E2168" t="s">
        <v>1999</v>
      </c>
      <c r="F2168" s="1" cm="1">
        <f t="array" ref="F2168">(SUMPRODUCT(("var_ncap"=[1]OUT_TransportEnergyCons!$B$4:$B$10000)*1,ISNUMBER(SEARCH("T_B_u*bev*s2",[1]OUT_TransportEnergyCons!$A$4:$A$10000))*1,[1]OUT_TransportEnergyCons!D$4:D$10000))*1000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(SUMPRODUCT(("var_ncap"=[1]OUT_TransportEnergyCons!$B$4:$B$10000)*1,ISNUMBER(SEARCH("T_B_u*bev*s2",[1]OUT_TransportEnergyCons!$A$4:$A$10000))*1,[1]OUT_TransportEnergyCons!E$4:E$10000))*1000</f>
        <v>8.3967220201676199E-3</v>
      </c>
      <c r="H2168" s="1" cm="1">
        <f t="array" ref="H2168">(SUMPRODUCT(("var_ncap"=[1]OUT_TransportEnergyCons!$B$4:$B$10000)*1,ISNUMBER(SEARCH("T_B_u*bev*s2",[1]OUT_TransportEnergyCons!$A$4:$A$10000))*1,[1]OUT_TransportEnergyCons!F$4:F$10000))*1000</f>
        <v>0.41421486882978198</v>
      </c>
      <c r="I2168" s="1" cm="1">
        <f t="array" ref="I2168">(SUMPRODUCT(("var_ncap"=[1]OUT_TransportEnergyCons!$B$4:$B$10000)*1,ISNUMBER(SEARCH("T_B_u*bev*s2",[1]OUT_TransportEnergyCons!$A$4:$A$10000))*1,[1]OUT_TransportEnergyCons!G$4:G$10000))*1000</f>
        <v>0.32933377085980198</v>
      </c>
      <c r="J2168" s="1" cm="1">
        <f t="array" ref="J2168">(SUMPRODUCT(("var_ncap"=[1]OUT_TransportEnergyCons!$B$4:$B$10000)*1,ISNUMBER(SEARCH("T_B_u*bev*s2",[1]OUT_TransportEnergyCons!$A$4:$A$10000))*1,[1]OUT_TransportEnergyCons!H$4:H$10000))*1000</f>
        <v>0.68837667568831795</v>
      </c>
      <c r="K2168" s="1" cm="1">
        <f t="array" ref="K2168">(SUMPRODUCT(("var_ncap"=[1]OUT_TransportEnergyCons!$B$4:$B$10000)*1,ISNUMBER(SEARCH("T_B_u*bev*s2",[1]OUT_TransportEnergyCons!$A$4:$A$10000))*1,[1]OUT_TransportEnergyCons!I$4:I$10000))*1000</f>
        <v>0.12660493207569601</v>
      </c>
      <c r="L2168" s="1" cm="1">
        <f t="array" ref="L2168">(SUMPRODUCT(("var_ncap"=[1]OUT_TransportEnergyCons!$B$4:$B$10000)*1,ISNUMBER(SEARCH("T_B_u*bev*s2",[1]OUT_TransportEnergyCons!$A$4:$A$10000))*1,[1]OUT_TransportEnergyCons!J$4:J$10000))*1000</f>
        <v>0.36341552398424903</v>
      </c>
      <c r="M2168" s="1" cm="1">
        <f t="array" ref="M2168">(SUMPRODUCT(("var_ncap"=[1]OUT_TransportEnergyCons!$B$4:$B$10000)*1,ISNUMBER(SEARCH("T_B_u*bev*s2",[1]OUT_TransportEnergyCons!$A$4:$A$10000))*1,[1]OUT_TransportEnergyCons!K$4:K$10000))*1000</f>
        <v>0.47073413233553002</v>
      </c>
      <c r="N2168" s="1" cm="1">
        <f t="array" ref="N2168">(SUMPRODUCT(("var_ncap"=[1]OUT_TransportEnergyCons!$B$4:$B$10000)*1,ISNUMBER(SEARCH("T_B_u*bev*s2",[1]OUT_TransportEnergyCons!$A$4:$A$10000))*1,[1]OUT_TransportEnergyCons!L$4:L$10000))*1000</f>
        <v>0.26653664940358301</v>
      </c>
      <c r="O2168" s="1" cm="1">
        <f t="array" ref="O2168">(SUMPRODUCT(("var_ncap"=[1]OUT_TransportEnergyCons!$B$4:$B$10000)*1,ISNUMBER(SEARCH("T_B_u*bev*s2",[1]OUT_TransportEnergyCons!$A$4:$A$10000))*1,[1]OUT_TransportEnergyCons!M$4:M$10000))*1000</f>
        <v>0.42124762240191799</v>
      </c>
      <c r="P2168" s="1" cm="1">
        <f t="array" ref="P2168">(SUMPRODUCT(("var_ncap"=[1]OUT_TransportEnergyCons!$B$4:$B$10000)*1,ISNUMBER(SEARCH("T_B_u*bev*s2",[1]OUT_TransportEnergyCons!$A$4:$A$10000))*1,[1]OUT_TransportEnergyCons!N$4:N$10000))*1000</f>
        <v>0.48659026367473102</v>
      </c>
      <c r="Q2168" s="1" cm="1">
        <f t="array" ref="Q2168">(SUMPRODUCT(("var_ncap"=[1]OUT_TransportEnergyCons!$B$4:$B$10000)*1,ISNUMBER(SEARCH("T_B_u*bev*s2",[1]OUT_TransportEnergyCons!$A$4:$A$10000))*1,[1]OUT_TransportEnergyCons!O$4:O$10000))*1000</f>
        <v>0.22172004220167801</v>
      </c>
      <c r="S2168" s="3"/>
    </row>
    <row r="2169" spans="2:19" x14ac:dyDescent="0.5">
      <c r="B2169" s="5" t="str">
        <f t="shared" si="2247"/>
        <v>SPS1</v>
      </c>
      <c r="C2169" s="5" t="str">
        <f t="shared" si="2248"/>
        <v>CH</v>
      </c>
      <c r="D2169" t="s">
        <v>2298</v>
      </c>
      <c r="E2169" t="s">
        <v>1999</v>
      </c>
      <c r="F2169" s="1" cm="1">
        <f t="array" ref="F2169">(SUMPRODUCT(("var_ncap"=[1]OUT_TransportEnergyCons!$B$4:$B$10000)*1,ISNUMBER(SEARCH("T_B_u*bev*s3",[1]OUT_TransportEnergyCons!$A$4:$A$10000))*1,[1]OUT_TransportEnergyCons!D$4:D$10000))*1000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(SUMPRODUCT(("var_ncap"=[1]OUT_TransportEnergyCons!$B$4:$B$10000)*1,ISNUMBER(SEARCH("T_B_u*bev*s3",[1]OUT_TransportEnergyCons!$A$4:$A$10000))*1,[1]OUT_TransportEnergyCons!E$4:E$10000))*1000</f>
        <v>5.50342607178017E-3</v>
      </c>
      <c r="H2169" s="1" cm="1">
        <f t="array" ref="H2169">(SUMPRODUCT(("var_ncap"=[1]OUT_TransportEnergyCons!$B$4:$B$10000)*1,ISNUMBER(SEARCH("T_B_u*bev*s3",[1]OUT_TransportEnergyCons!$A$4:$A$10000))*1,[1]OUT_TransportEnergyCons!F$4:F$10000))*1000</f>
        <v>1.84165516760795</v>
      </c>
      <c r="I2169" s="1" cm="1">
        <f t="array" ref="I2169">(SUMPRODUCT(("var_ncap"=[1]OUT_TransportEnergyCons!$B$4:$B$10000)*1,ISNUMBER(SEARCH("T_B_u*bev*s3",[1]OUT_TransportEnergyCons!$A$4:$A$10000))*1,[1]OUT_TransportEnergyCons!G$4:G$10000))*1000</f>
        <v>1.3379140075040401</v>
      </c>
      <c r="J2169" s="1" cm="1">
        <f t="array" ref="J2169">(SUMPRODUCT(("var_ncap"=[1]OUT_TransportEnergyCons!$B$4:$B$10000)*1,ISNUMBER(SEARCH("T_B_u*bev*s3",[1]OUT_TransportEnergyCons!$A$4:$A$10000))*1,[1]OUT_TransportEnergyCons!H$4:H$10000))*1000</f>
        <v>2.4021107297531898</v>
      </c>
      <c r="K2169" s="1" cm="1">
        <f t="array" ref="K2169">(SUMPRODUCT(("var_ncap"=[1]OUT_TransportEnergyCons!$B$4:$B$10000)*1,ISNUMBER(SEARCH("T_B_u*bev*s3",[1]OUT_TransportEnergyCons!$A$4:$A$10000))*1,[1]OUT_TransportEnergyCons!I$4:I$10000))*1000</f>
        <v>1.1681570833578399</v>
      </c>
      <c r="L2169" s="1" cm="1">
        <f t="array" ref="L2169">(SUMPRODUCT(("var_ncap"=[1]OUT_TransportEnergyCons!$B$4:$B$10000)*1,ISNUMBER(SEARCH("T_B_u*bev*s3",[1]OUT_TransportEnergyCons!$A$4:$A$10000))*1,[1]OUT_TransportEnergyCons!J$4:J$10000))*1000</f>
        <v>2.2845441170253999</v>
      </c>
      <c r="M2169" s="1" cm="1">
        <f t="array" ref="M2169">(SUMPRODUCT(("var_ncap"=[1]OUT_TransportEnergyCons!$B$4:$B$10000)*1,ISNUMBER(SEARCH("T_B_u*bev*s3",[1]OUT_TransportEnergyCons!$A$4:$A$10000))*1,[1]OUT_TransportEnergyCons!K$4:K$10000))*1000</f>
        <v>1.5367375790948201</v>
      </c>
      <c r="N2169" s="1" cm="1">
        <f t="array" ref="N2169">(SUMPRODUCT(("var_ncap"=[1]OUT_TransportEnergyCons!$B$4:$B$10000)*1,ISNUMBER(SEARCH("T_B_u*bev*s3",[1]OUT_TransportEnergyCons!$A$4:$A$10000))*1,[1]OUT_TransportEnergyCons!L$4:L$10000))*1000</f>
        <v>2.0398684326972001</v>
      </c>
      <c r="O2169" s="1" cm="1">
        <f t="array" ref="O2169">(SUMPRODUCT(("var_ncap"=[1]OUT_TransportEnergyCons!$B$4:$B$10000)*1,ISNUMBER(SEARCH("T_B_u*bev*s3",[1]OUT_TransportEnergyCons!$A$4:$A$10000))*1,[1]OUT_TransportEnergyCons!M$4:M$10000))*1000</f>
        <v>2.4915822416801099</v>
      </c>
      <c r="P2169" s="1" cm="1">
        <f t="array" ref="P2169">(SUMPRODUCT(("var_ncap"=[1]OUT_TransportEnergyCons!$B$4:$B$10000)*1,ISNUMBER(SEARCH("T_B_u*bev*s3",[1]OUT_TransportEnergyCons!$A$4:$A$10000))*1,[1]OUT_TransportEnergyCons!N$4:N$10000))*1000</f>
        <v>1.6718138697348399</v>
      </c>
      <c r="Q2169" s="1" cm="1">
        <f t="array" ref="Q2169">(SUMPRODUCT(("var_ncap"=[1]OUT_TransportEnergyCons!$B$4:$B$10000)*1,ISNUMBER(SEARCH("T_B_u*bev*s3",[1]OUT_TransportEnergyCons!$A$4:$A$10000))*1,[1]OUT_TransportEnergyCons!O$4:O$10000))*1000</f>
        <v>2.6350641176295899</v>
      </c>
      <c r="S2169" s="3"/>
    </row>
    <row r="2170" spans="2:19" x14ac:dyDescent="0.5">
      <c r="B2170" s="5" t="str">
        <f t="shared" si="2247"/>
        <v>SPS1</v>
      </c>
      <c r="C2170" s="5" t="str">
        <f t="shared" si="2248"/>
        <v>CH</v>
      </c>
      <c r="D2170" t="s">
        <v>2299</v>
      </c>
      <c r="E2170" t="s">
        <v>1999</v>
      </c>
      <c r="F2170" s="1" cm="1">
        <f t="array" ref="F2170">(SUMPRODUCT(("var_ncap"=[1]OUT_TransportEnergyCons!$B$4:$B$10000)*1,ISNUMBER(SEARCH("T_B_u*bev*s4",[1]OUT_TransportEnergyCons!$A$4:$A$10000))*1,[1]OUT_TransportEnergyCons!D$4:D$10000))*1000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(SUMPRODUCT(("var_ncap"=[1]OUT_TransportEnergyCons!$B$4:$B$10000)*1,ISNUMBER(SEARCH("T_B_u*bev*s4",[1]OUT_TransportEnergyCons!$A$4:$A$10000))*1,[1]OUT_TransportEnergyCons!E$4:E$10000))*1000</f>
        <v>7.2992999619087907E-4</v>
      </c>
      <c r="H2170" s="1" cm="1">
        <f t="array" ref="H2170">(SUMPRODUCT(("var_ncap"=[1]OUT_TransportEnergyCons!$B$4:$B$10000)*1,ISNUMBER(SEARCH("T_B_u*bev*s4",[1]OUT_TransportEnergyCons!$A$4:$A$10000))*1,[1]OUT_TransportEnergyCons!F$4:F$10000))*1000</f>
        <v>7.8327367815417097E-4</v>
      </c>
      <c r="I2170" s="1" cm="1">
        <f t="array" ref="I2170">(SUMPRODUCT(("var_ncap"=[1]OUT_TransportEnergyCons!$B$4:$B$10000)*1,ISNUMBER(SEARCH("T_B_u*bev*s4",[1]OUT_TransportEnergyCons!$A$4:$A$10000))*1,[1]OUT_TransportEnergyCons!G$4:G$10000))*1000</f>
        <v>8.16100523755919E-4</v>
      </c>
      <c r="J2170" s="1" cm="1">
        <f t="array" ref="J2170">(SUMPRODUCT(("var_ncap"=[1]OUT_TransportEnergyCons!$B$4:$B$10000)*1,ISNUMBER(SEARCH("T_B_u*bev*s4",[1]OUT_TransportEnergyCons!$A$4:$A$10000))*1,[1]OUT_TransportEnergyCons!H$4:H$10000))*1000</f>
        <v>1.51159360652037E-3</v>
      </c>
      <c r="K2170" s="1" cm="1">
        <f t="array" ref="K2170">(SUMPRODUCT(("var_ncap"=[1]OUT_TransportEnergyCons!$B$4:$B$10000)*1,ISNUMBER(SEARCH("T_B_u*bev*s4",[1]OUT_TransportEnergyCons!$A$4:$A$10000))*1,[1]OUT_TransportEnergyCons!I$4:I$10000))*1000</f>
        <v>1.4805514044069401E-3</v>
      </c>
      <c r="L2170" s="1" cm="1">
        <f t="array" ref="L2170">(SUMPRODUCT(("var_ncap"=[1]OUT_TransportEnergyCons!$B$4:$B$10000)*1,ISNUMBER(SEARCH("T_B_u*bev*s4",[1]OUT_TransportEnergyCons!$A$4:$A$10000))*1,[1]OUT_TransportEnergyCons!J$4:J$10000))*1000</f>
        <v>1.6919105236369301E-3</v>
      </c>
      <c r="M2170" s="1" cm="1">
        <f t="array" ref="M2170">(SUMPRODUCT(("var_ncap"=[1]OUT_TransportEnergyCons!$B$4:$B$10000)*1,ISNUMBER(SEARCH("T_B_u*bev*s4",[1]OUT_TransportEnergyCons!$A$4:$A$10000))*1,[1]OUT_TransportEnergyCons!K$4:K$10000))*1000</f>
        <v>2.4373928354109102E-3</v>
      </c>
      <c r="N2170" s="1" cm="1">
        <f t="array" ref="N2170">(SUMPRODUCT(("var_ncap"=[1]OUT_TransportEnergyCons!$B$4:$B$10000)*1,ISNUMBER(SEARCH("T_B_u*bev*s4",[1]OUT_TransportEnergyCons!$A$4:$A$10000))*1,[1]OUT_TransportEnergyCons!L$4:L$10000))*1000</f>
        <v>2.14238439315197E-3</v>
      </c>
      <c r="O2170" s="1" cm="1">
        <f t="array" ref="O2170">(SUMPRODUCT(("var_ncap"=[1]OUT_TransportEnergyCons!$B$4:$B$10000)*1,ISNUMBER(SEARCH("T_B_u*bev*s4",[1]OUT_TransportEnergyCons!$A$4:$A$10000))*1,[1]OUT_TransportEnergyCons!M$4:M$10000))*1000</f>
        <v>2.9653671772245397E-3</v>
      </c>
      <c r="P2170" s="1" cm="1">
        <f t="array" ref="P2170">(SUMPRODUCT(("var_ncap"=[1]OUT_TransportEnergyCons!$B$4:$B$10000)*1,ISNUMBER(SEARCH("T_B_u*bev*s4",[1]OUT_TransportEnergyCons!$A$4:$A$10000))*1,[1]OUT_TransportEnergyCons!N$4:N$10000))*1000</f>
        <v>2.9964338739512501E-3</v>
      </c>
      <c r="Q2170" s="1" cm="1">
        <f t="array" ref="Q2170">(SUMPRODUCT(("var_ncap"=[1]OUT_TransportEnergyCons!$B$4:$B$10000)*1,ISNUMBER(SEARCH("T_B_u*bev*s4",[1]OUT_TransportEnergyCons!$A$4:$A$10000))*1,[1]OUT_TransportEnergyCons!O$4:O$10000))*1000</f>
        <v>4.4868391935496601E-3</v>
      </c>
      <c r="S2170" s="3"/>
    </row>
    <row r="2171" spans="2:19" x14ac:dyDescent="0.5">
      <c r="B2171" s="5" t="str">
        <f t="shared" si="2247"/>
        <v>SPS1</v>
      </c>
      <c r="C2171" s="5" t="str">
        <f t="shared" si="2248"/>
        <v>CH</v>
      </c>
      <c r="D2171" t="s">
        <v>2300</v>
      </c>
      <c r="E2171" t="s">
        <v>1999</v>
      </c>
      <c r="F2171" s="1" cm="1">
        <f t="array" ref="F2171">(SUMPRODUCT(("var_ncap"=[1]OUT_TransportEnergyCons!$B$4:$B$10000)*1,ISNUMBER(SEARCH("T_B_u*h2o*s1",[1]OUT_TransportEnergyCons!$A$4:$A$10000))*1,[1]OUT_TransportEnergyCons!D$4:D$10000))*1000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(SUMPRODUCT(("var_ncap"=[1]OUT_TransportEnergyCons!$B$4:$B$10000)*1,ISNUMBER(SEARCH("T_B_u*h2o*s1",[1]OUT_TransportEnergyCons!$A$4:$A$10000))*1,[1]OUT_TransportEnergyCons!E$4:E$10000))*1000</f>
        <v>0</v>
      </c>
      <c r="H2171" s="1" cm="1">
        <f t="array" ref="H2171">(SUMPRODUCT(("var_ncap"=[1]OUT_TransportEnergyCons!$B$4:$B$10000)*1,ISNUMBER(SEARCH("T_B_u*h2o*s1",[1]OUT_TransportEnergyCons!$A$4:$A$10000))*1,[1]OUT_TransportEnergyCons!F$4:F$10000))*1000</f>
        <v>0</v>
      </c>
      <c r="I2171" s="1" cm="1">
        <f t="array" ref="I2171">(SUMPRODUCT(("var_ncap"=[1]OUT_TransportEnergyCons!$B$4:$B$10000)*1,ISNUMBER(SEARCH("T_B_u*h2o*s1",[1]OUT_TransportEnergyCons!$A$4:$A$10000))*1,[1]OUT_TransportEnergyCons!G$4:G$10000))*1000</f>
        <v>1.8428544523236201E-4</v>
      </c>
      <c r="J2171" s="1" cm="1">
        <f t="array" ref="J2171">(SUMPRODUCT(("var_ncap"=[1]OUT_TransportEnergyCons!$B$4:$B$10000)*1,ISNUMBER(SEARCH("T_B_u*h2o*s1",[1]OUT_TransportEnergyCons!$A$4:$A$10000))*1,[1]OUT_TransportEnergyCons!H$4:H$10000))*1000</f>
        <v>1.2640041523940599E-4</v>
      </c>
      <c r="K2171" s="1" cm="1">
        <f t="array" ref="K2171">(SUMPRODUCT(("var_ncap"=[1]OUT_TransportEnergyCons!$B$4:$B$10000)*1,ISNUMBER(SEARCH("T_B_u*h2o*s1",[1]OUT_TransportEnergyCons!$A$4:$A$10000))*1,[1]OUT_TransportEnergyCons!I$4:I$10000))*1000</f>
        <v>1.2993748521106401E-4</v>
      </c>
      <c r="L2171" s="1" cm="1">
        <f t="array" ref="L2171">(SUMPRODUCT(("var_ncap"=[1]OUT_TransportEnergyCons!$B$4:$B$10000)*1,ISNUMBER(SEARCH("T_B_u*h2o*s1",[1]OUT_TransportEnergyCons!$A$4:$A$10000))*1,[1]OUT_TransportEnergyCons!J$4:J$10000))*1000</f>
        <v>1.2203752130186399E-4</v>
      </c>
      <c r="M2171" s="1" cm="1">
        <f t="array" ref="M2171">(SUMPRODUCT(("var_ncap"=[1]OUT_TransportEnergyCons!$B$4:$B$10000)*1,ISNUMBER(SEARCH("T_B_u*h2o*s1",[1]OUT_TransportEnergyCons!$A$4:$A$10000))*1,[1]OUT_TransportEnergyCons!K$4:K$10000))*1000</f>
        <v>1.36718731083614E-4</v>
      </c>
      <c r="N2171" s="1" cm="1">
        <f t="array" ref="N2171">(SUMPRODUCT(("var_ncap"=[1]OUT_TransportEnergyCons!$B$4:$B$10000)*1,ISNUMBER(SEARCH("T_B_u*h2o*s1",[1]OUT_TransportEnergyCons!$A$4:$A$10000))*1,[1]OUT_TransportEnergyCons!L$4:L$10000))*1000</f>
        <v>1.1404166746012701E-4</v>
      </c>
      <c r="O2171" s="1" cm="1">
        <f t="array" ref="O2171">(SUMPRODUCT(("var_ncap"=[1]OUT_TransportEnergyCons!$B$4:$B$10000)*1,ISNUMBER(SEARCH("T_B_u*h2o*s1",[1]OUT_TransportEnergyCons!$A$4:$A$10000))*1,[1]OUT_TransportEnergyCons!M$4:M$10000))*1000</f>
        <v>1.2529638698196099E-4</v>
      </c>
      <c r="P2171" s="1" cm="1">
        <f t="array" ref="P2171">(SUMPRODUCT(("var_ncap"=[1]OUT_TransportEnergyCons!$B$4:$B$10000)*1,ISNUMBER(SEARCH("T_B_u*h2o*s1",[1]OUT_TransportEnergyCons!$A$4:$A$10000))*1,[1]OUT_TransportEnergyCons!N$4:N$10000))*1000</f>
        <v>1.33801465964851E-4</v>
      </c>
      <c r="Q2171" s="1" cm="1">
        <f t="array" ref="Q2171">(SUMPRODUCT(("var_ncap"=[1]OUT_TransportEnergyCons!$B$4:$B$10000)*1,ISNUMBER(SEARCH("T_B_u*h2o*s1",[1]OUT_TransportEnergyCons!$A$4:$A$10000))*1,[1]OUT_TransportEnergyCons!O$4:O$10000))*1000</f>
        <v>1.2860559192027899E-4</v>
      </c>
      <c r="S2171" s="3"/>
    </row>
    <row r="2172" spans="2:19" x14ac:dyDescent="0.5">
      <c r="B2172" s="5" t="str">
        <f t="shared" si="2247"/>
        <v>SPS1</v>
      </c>
      <c r="C2172" s="5" t="str">
        <f t="shared" si="2248"/>
        <v>CH</v>
      </c>
      <c r="D2172" t="s">
        <v>2301</v>
      </c>
      <c r="E2172" t="s">
        <v>1999</v>
      </c>
      <c r="F2172" s="1" cm="1">
        <f t="array" ref="F2172">(SUMPRODUCT(("var_ncap"=[1]OUT_TransportEnergyCons!$B$4:$B$10000)*1,ISNUMBER(SEARCH("T_B_u*h2o*s2",[1]OUT_TransportEnergyCons!$A$4:$A$10000))*1,[1]OUT_TransportEnergyCons!D$4:D$10000))*1000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(SUMPRODUCT(("var_ncap"=[1]OUT_TransportEnergyCons!$B$4:$B$10000)*1,ISNUMBER(SEARCH("T_B_u*h2o*s2",[1]OUT_TransportEnergyCons!$A$4:$A$10000))*1,[1]OUT_TransportEnergyCons!E$4:E$10000))*1000</f>
        <v>0</v>
      </c>
      <c r="H2172" s="1" cm="1">
        <f t="array" ref="H2172">(SUMPRODUCT(("var_ncap"=[1]OUT_TransportEnergyCons!$B$4:$B$10000)*1,ISNUMBER(SEARCH("T_B_u*h2o*s2",[1]OUT_TransportEnergyCons!$A$4:$A$10000))*1,[1]OUT_TransportEnergyCons!F$4:F$10000))*1000</f>
        <v>0</v>
      </c>
      <c r="I2172" s="1" cm="1">
        <f t="array" ref="I2172">(SUMPRODUCT(("var_ncap"=[1]OUT_TransportEnergyCons!$B$4:$B$10000)*1,ISNUMBER(SEARCH("T_B_u*h2o*s2",[1]OUT_TransportEnergyCons!$A$4:$A$10000))*1,[1]OUT_TransportEnergyCons!G$4:G$10000))*1000</f>
        <v>8.1031354671642306E-5</v>
      </c>
      <c r="J2172" s="1" cm="1">
        <f t="array" ref="J2172">(SUMPRODUCT(("var_ncap"=[1]OUT_TransportEnergyCons!$B$4:$B$10000)*1,ISNUMBER(SEARCH("T_B_u*h2o*s2",[1]OUT_TransportEnergyCons!$A$4:$A$10000))*1,[1]OUT_TransportEnergyCons!H$4:H$10000))*1000</f>
        <v>6.0186943600767194E-5</v>
      </c>
      <c r="K2172" s="1" cm="1">
        <f t="array" ref="K2172">(SUMPRODUCT(("var_ncap"=[1]OUT_TransportEnergyCons!$B$4:$B$10000)*1,ISNUMBER(SEARCH("T_B_u*h2o*s2",[1]OUT_TransportEnergyCons!$A$4:$A$10000))*1,[1]OUT_TransportEnergyCons!I$4:I$10000))*1000</f>
        <v>5.65142528710623E-5</v>
      </c>
      <c r="L2172" s="1" cm="1">
        <f t="array" ref="L2172">(SUMPRODUCT(("var_ncap"=[1]OUT_TransportEnergyCons!$B$4:$B$10000)*1,ISNUMBER(SEARCH("T_B_u*h2o*s2",[1]OUT_TransportEnergyCons!$A$4:$A$10000))*1,[1]OUT_TransportEnergyCons!J$4:J$10000))*1000</f>
        <v>5.9336591088216698E-5</v>
      </c>
      <c r="M2172" s="1" cm="1">
        <f t="array" ref="M2172">(SUMPRODUCT(("var_ncap"=[1]OUT_TransportEnergyCons!$B$4:$B$10000)*1,ISNUMBER(SEARCH("T_B_u*h2o*s2",[1]OUT_TransportEnergyCons!$A$4:$A$10000))*1,[1]OUT_TransportEnergyCons!K$4:K$10000))*1000</f>
        <v>7.5959610733512492E-5</v>
      </c>
      <c r="N2172" s="1" cm="1">
        <f t="array" ref="N2172">(SUMPRODUCT(("var_ncap"=[1]OUT_TransportEnergyCons!$B$4:$B$10000)*1,ISNUMBER(SEARCH("T_B_u*h2o*s2",[1]OUT_TransportEnergyCons!$A$4:$A$10000))*1,[1]OUT_TransportEnergyCons!L$4:L$10000))*1000</f>
        <v>6.3332232230013603E-5</v>
      </c>
      <c r="O2172" s="1" cm="1">
        <f t="array" ref="O2172">(SUMPRODUCT(("var_ncap"=[1]OUT_TransportEnergyCons!$B$4:$B$10000)*1,ISNUMBER(SEARCH("T_B_u*h2o*s2",[1]OUT_TransportEnergyCons!$A$4:$A$10000))*1,[1]OUT_TransportEnergyCons!M$4:M$10000))*1000</f>
        <v>7.7059967966727397E-5</v>
      </c>
      <c r="P2172" s="1" cm="1">
        <f t="array" ref="P2172">(SUMPRODUCT(("var_ncap"=[1]OUT_TransportEnergyCons!$B$4:$B$10000)*1,ISNUMBER(SEARCH("T_B_u*h2o*s2",[1]OUT_TransportEnergyCons!$A$4:$A$10000))*1,[1]OUT_TransportEnergyCons!N$4:N$10000))*1000</f>
        <v>8.2357529003206404E-5</v>
      </c>
      <c r="Q2172" s="1" cm="1">
        <f t="array" ref="Q2172">(SUMPRODUCT(("var_ncap"=[1]OUT_TransportEnergyCons!$B$4:$B$10000)*1,ISNUMBER(SEARCH("T_B_u*h2o*s2",[1]OUT_TransportEnergyCons!$A$4:$A$10000))*1,[1]OUT_TransportEnergyCons!O$4:O$10000))*1000</f>
        <v>1.00118803241605E-4</v>
      </c>
      <c r="S2172" s="3"/>
    </row>
    <row r="2173" spans="2:19" x14ac:dyDescent="0.5">
      <c r="B2173" s="5" t="str">
        <f t="shared" si="2247"/>
        <v>SPS1</v>
      </c>
      <c r="C2173" s="5" t="str">
        <f t="shared" si="2248"/>
        <v>CH</v>
      </c>
      <c r="D2173" t="s">
        <v>2302</v>
      </c>
      <c r="E2173" t="s">
        <v>1999</v>
      </c>
      <c r="F2173" s="1" cm="1">
        <f t="array" ref="F2173">(SUMPRODUCT(("var_ncap"=[1]OUT_TransportEnergyCons!$B$4:$B$10000)*1,ISNUMBER(SEARCH("T_B_u*h2o*s3",[1]OUT_TransportEnergyCons!$A$4:$A$10000))*1,[1]OUT_TransportEnergyCons!D$4:D$10000))*1000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(SUMPRODUCT(("var_ncap"=[1]OUT_TransportEnergyCons!$B$4:$B$10000)*1,ISNUMBER(SEARCH("T_B_u*h2o*s3",[1]OUT_TransportEnergyCons!$A$4:$A$10000))*1,[1]OUT_TransportEnergyCons!E$4:E$10000))*1000</f>
        <v>0</v>
      </c>
      <c r="H2173" s="1" cm="1">
        <f t="array" ref="H2173">(SUMPRODUCT(("var_ncap"=[1]OUT_TransportEnergyCons!$B$4:$B$10000)*1,ISNUMBER(SEARCH("T_B_u*h2o*s3",[1]OUT_TransportEnergyCons!$A$4:$A$10000))*1,[1]OUT_TransportEnergyCons!F$4:F$10000))*1000</f>
        <v>0</v>
      </c>
      <c r="I2173" s="1" cm="1">
        <f t="array" ref="I2173">(SUMPRODUCT(("var_ncap"=[1]OUT_TransportEnergyCons!$B$4:$B$10000)*1,ISNUMBER(SEARCH("T_B_u*h2o*s3",[1]OUT_TransportEnergyCons!$A$4:$A$10000))*1,[1]OUT_TransportEnergyCons!G$4:G$10000))*1000</f>
        <v>4.5015924488082596E-4</v>
      </c>
      <c r="J2173" s="1" cm="1">
        <f t="array" ref="J2173">(SUMPRODUCT(("var_ncap"=[1]OUT_TransportEnergyCons!$B$4:$B$10000)*1,ISNUMBER(SEARCH("T_B_u*h2o*s3",[1]OUT_TransportEnergyCons!$A$4:$A$10000))*1,[1]OUT_TransportEnergyCons!H$4:H$10000))*1000</f>
        <v>1.2408677956742499E-4</v>
      </c>
      <c r="K2173" s="1" cm="1">
        <f t="array" ref="K2173">(SUMPRODUCT(("var_ncap"=[1]OUT_TransportEnergyCons!$B$4:$B$10000)*1,ISNUMBER(SEARCH("T_B_u*h2o*s3",[1]OUT_TransportEnergyCons!$A$4:$A$10000))*1,[1]OUT_TransportEnergyCons!I$4:I$10000))*1000</f>
        <v>1.1405424485689601E-4</v>
      </c>
      <c r="L2173" s="1" cm="1">
        <f t="array" ref="L2173">(SUMPRODUCT(("var_ncap"=[1]OUT_TransportEnergyCons!$B$4:$B$10000)*1,ISNUMBER(SEARCH("T_B_u*h2o*s3",[1]OUT_TransportEnergyCons!$A$4:$A$10000))*1,[1]OUT_TransportEnergyCons!J$4:J$10000))*1000</f>
        <v>1.10292551911517E-4</v>
      </c>
      <c r="M2173" s="1" cm="1">
        <f t="array" ref="M2173">(SUMPRODUCT(("var_ncap"=[1]OUT_TransportEnergyCons!$B$4:$B$10000)*1,ISNUMBER(SEARCH("T_B_u*h2o*s3",[1]OUT_TransportEnergyCons!$A$4:$A$10000))*1,[1]OUT_TransportEnergyCons!K$4:K$10000))*1000</f>
        <v>1.2903910703471999E-4</v>
      </c>
      <c r="N2173" s="1" cm="1">
        <f t="array" ref="N2173">(SUMPRODUCT(("var_ncap"=[1]OUT_TransportEnergyCons!$B$4:$B$10000)*1,ISNUMBER(SEARCH("T_B_u*h2o*s3",[1]OUT_TransportEnergyCons!$A$4:$A$10000))*1,[1]OUT_TransportEnergyCons!L$4:L$10000))*1000</f>
        <v>1.48637813936958E-4</v>
      </c>
      <c r="O2173" s="1" cm="1">
        <f t="array" ref="O2173">(SUMPRODUCT(("var_ncap"=[1]OUT_TransportEnergyCons!$B$4:$B$10000)*1,ISNUMBER(SEARCH("T_B_u*h2o*s3",[1]OUT_TransportEnergyCons!$A$4:$A$10000))*1,[1]OUT_TransportEnergyCons!M$4:M$10000))*1000</f>
        <v>1.46175602626682E-4</v>
      </c>
      <c r="P2173" s="1" cm="1">
        <f t="array" ref="P2173">(SUMPRODUCT(("var_ncap"=[1]OUT_TransportEnergyCons!$B$4:$B$10000)*1,ISNUMBER(SEARCH("T_B_u*h2o*s3",[1]OUT_TransportEnergyCons!$A$4:$A$10000))*1,[1]OUT_TransportEnergyCons!N$4:N$10000))*1000</f>
        <v>1.1030555542699201E-4</v>
      </c>
      <c r="Q2173" s="1" cm="1">
        <f t="array" ref="Q2173">(SUMPRODUCT(("var_ncap"=[1]OUT_TransportEnergyCons!$B$4:$B$10000)*1,ISNUMBER(SEARCH("T_B_u*h2o*s3",[1]OUT_TransportEnergyCons!$A$4:$A$10000))*1,[1]OUT_TransportEnergyCons!O$4:O$10000))*1000</f>
        <v>1.3991092336318098E-4</v>
      </c>
      <c r="S2173" s="3"/>
    </row>
    <row r="2174" spans="2:19" x14ac:dyDescent="0.5">
      <c r="B2174" s="5" t="str">
        <f t="shared" si="2247"/>
        <v>SPS1</v>
      </c>
      <c r="C2174" s="5" t="str">
        <f t="shared" si="2248"/>
        <v>CH</v>
      </c>
      <c r="D2174" t="s">
        <v>2303</v>
      </c>
      <c r="E2174" t="s">
        <v>1999</v>
      </c>
      <c r="F2174" s="1" cm="1">
        <f t="array" ref="F2174">(SUMPRODUCT(("var_ncap"=[1]OUT_TransportEnergyCons!$B$4:$B$10000)*1,ISNUMBER(SEARCH("T_B_u*h2o*s4",[1]OUT_TransportEnergyCons!$A$4:$A$10000))*1,[1]OUT_TransportEnergyCons!D$4:D$10000))*1000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(SUMPRODUCT(("var_ncap"=[1]OUT_TransportEnergyCons!$B$4:$B$10000)*1,ISNUMBER(SEARCH("T_B_u*h2o*s4",[1]OUT_TransportEnergyCons!$A$4:$A$10000))*1,[1]OUT_TransportEnergyCons!E$4:E$10000))*1000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(SUMPRODUCT(("var_ncap"=[1]OUT_TransportEnergyCons!$B$4:$B$10000)*1,ISNUMBER(SEARCH("T_B_u*h2o*s4",[1]OUT_TransportEnergyCons!$A$4:$A$10000))*1,[1]OUT_TransportEnergyCons!F$4:F$10000))*1000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(SUMPRODUCT(("var_ncap"=[1]OUT_TransportEnergyCons!$B$4:$B$10000)*1,ISNUMBER(SEARCH("T_B_u*h2o*s4",[1]OUT_TransportEnergyCons!$A$4:$A$10000))*1,[1]OUT_TransportEnergyCons!G$4:G$10000))*1000</f>
        <v>0</v>
      </c>
      <c r="J2174" s="1" cm="1">
        <f t="array" ref="J2174">(SUMPRODUCT(("var_ncap"=[1]OUT_TransportEnergyCons!$B$4:$B$10000)*1,ISNUMBER(SEARCH("T_B_u*h2o*s4",[1]OUT_TransportEnergyCons!$A$4:$A$10000))*1,[1]OUT_TransportEnergyCons!H$4:H$10000))*1000</f>
        <v>0</v>
      </c>
      <c r="K2174" s="1" cm="1">
        <f t="array" ref="K2174">(SUMPRODUCT(("var_ncap"=[1]OUT_TransportEnergyCons!$B$4:$B$10000)*1,ISNUMBER(SEARCH("T_B_u*h2o*s4",[1]OUT_TransportEnergyCons!$A$4:$A$10000))*1,[1]OUT_TransportEnergyCons!I$4:I$10000))*1000</f>
        <v>0</v>
      </c>
      <c r="L2174" s="1" cm="1">
        <f t="array" ref="L2174">(SUMPRODUCT(("var_ncap"=[1]OUT_TransportEnergyCons!$B$4:$B$10000)*1,ISNUMBER(SEARCH("T_B_u*h2o*s4",[1]OUT_TransportEnergyCons!$A$4:$A$10000))*1,[1]OUT_TransportEnergyCons!J$4:J$10000))*1000</f>
        <v>0</v>
      </c>
      <c r="M2174" s="1" cm="1">
        <f t="array" ref="M2174">(SUMPRODUCT(("var_ncap"=[1]OUT_TransportEnergyCons!$B$4:$B$10000)*1,ISNUMBER(SEARCH("T_B_u*h2o*s4",[1]OUT_TransportEnergyCons!$A$4:$A$10000))*1,[1]OUT_TransportEnergyCons!K$4:K$10000))*1000</f>
        <v>0</v>
      </c>
      <c r="N2174" s="1" cm="1">
        <f t="array" ref="N2174">(SUMPRODUCT(("var_ncap"=[1]OUT_TransportEnergyCons!$B$4:$B$10000)*1,ISNUMBER(SEARCH("T_B_u*h2o*s4",[1]OUT_TransportEnergyCons!$A$4:$A$10000))*1,[1]OUT_TransportEnergyCons!L$4:L$10000))*1000</f>
        <v>0</v>
      </c>
      <c r="O2174" s="1" cm="1">
        <f t="array" ref="O2174">(SUMPRODUCT(("var_ncap"=[1]OUT_TransportEnergyCons!$B$4:$B$10000)*1,ISNUMBER(SEARCH("T_B_u*h2o*s4",[1]OUT_TransportEnergyCons!$A$4:$A$10000))*1,[1]OUT_TransportEnergyCons!M$4:M$10000))*1000</f>
        <v>0</v>
      </c>
      <c r="P2174" s="1" cm="1">
        <f t="array" ref="P2174">(SUMPRODUCT(("var_ncap"=[1]OUT_TransportEnergyCons!$B$4:$B$10000)*1,ISNUMBER(SEARCH("T_B_u*h2o*s4",[1]OUT_TransportEnergyCons!$A$4:$A$10000))*1,[1]OUT_TransportEnergyCons!N$4:N$10000))*1000</f>
        <v>0</v>
      </c>
      <c r="Q2174" s="1" cm="1">
        <f t="array" ref="Q2174">(SUMPRODUCT(("var_ncap"=[1]OUT_TransportEnergyCons!$B$4:$B$10000)*1,ISNUMBER(SEARCH("T_B_u*h2o*s4",[1]OUT_TransportEnergyCons!$A$4:$A$10000))*1,[1]OUT_TransportEnergyCons!O$4:O$10000))*1000</f>
        <v>2.2343829985651099E-5</v>
      </c>
      <c r="S2174" s="3"/>
    </row>
    <row r="2175" spans="2:19" x14ac:dyDescent="0.5">
      <c r="B2175" s="5" t="str">
        <f t="shared" si="2247"/>
        <v>SPS1</v>
      </c>
      <c r="C2175" s="5" t="str">
        <f t="shared" si="2248"/>
        <v>CH</v>
      </c>
      <c r="D2175" t="s">
        <v>2304</v>
      </c>
      <c r="E2175" t="s">
        <v>1999</v>
      </c>
      <c r="F2175" s="1" cm="1">
        <f t="array" ref="F2175">(SUMPRODUCT(("var_ncap"=[1]OUT_TransportEnergyCons!$B$4:$B$10000)*1,ISNUMBER(SEARCH("T_B_u*hyb*DSL*s1",[1]OUT_TransportEnergyCons!$A$4:$A$10000))*1,[1]OUT_TransportEnergyCons!D$4:D$10000))*1000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(SUMPRODUCT(("var_ncap"=[1]OUT_TransportEnergyCons!$B$4:$B$10000)*1,ISNUMBER(SEARCH("T_B_u*hyb*DSL*s1",[1]OUT_TransportEnergyCons!$A$4:$A$10000))*1,[1]OUT_TransportEnergyCons!E$4:E$10000))*1000</f>
        <v>0.432241009380055</v>
      </c>
      <c r="H2175" s="1" cm="1">
        <f t="array" ref="H2175">(SUMPRODUCT(("var_ncap"=[1]OUT_TransportEnergyCons!$B$4:$B$10000)*1,ISNUMBER(SEARCH("T_B_u*hyb*DSL*s1",[1]OUT_TransportEnergyCons!$A$4:$A$10000))*1,[1]OUT_TransportEnergyCons!F$4:F$10000))*1000</f>
        <v>7.6369930577885895E-5</v>
      </c>
      <c r="I2175" s="1" cm="1">
        <f t="array" ref="I2175">(SUMPRODUCT(("var_ncap"=[1]OUT_TransportEnergyCons!$B$4:$B$10000)*1,ISNUMBER(SEARCH("T_B_u*hyb*DSL*s1",[1]OUT_TransportEnergyCons!$A$4:$A$10000))*1,[1]OUT_TransportEnergyCons!G$4:G$10000))*1000</f>
        <v>4.7147711096069202E-5</v>
      </c>
      <c r="J2175" s="1" cm="1">
        <f t="array" ref="J2175">(SUMPRODUCT(("var_ncap"=[1]OUT_TransportEnergyCons!$B$4:$B$10000)*1,ISNUMBER(SEARCH("T_B_u*hyb*DSL*s1",[1]OUT_TransportEnergyCons!$A$4:$A$10000))*1,[1]OUT_TransportEnergyCons!H$4:H$10000))*1000</f>
        <v>0</v>
      </c>
      <c r="K2175" s="1" cm="1">
        <f t="array" ref="K2175">(SUMPRODUCT(("var_ncap"=[1]OUT_TransportEnergyCons!$B$4:$B$10000)*1,ISNUMBER(SEARCH("T_B_u*hyb*DSL*s1",[1]OUT_TransportEnergyCons!$A$4:$A$10000))*1,[1]OUT_TransportEnergyCons!I$4:I$10000))*1000</f>
        <v>0</v>
      </c>
      <c r="L2175" s="1" cm="1">
        <f t="array" ref="L2175">(SUMPRODUCT(("var_ncap"=[1]OUT_TransportEnergyCons!$B$4:$B$10000)*1,ISNUMBER(SEARCH("T_B_u*hyb*DSL*s1",[1]OUT_TransportEnergyCons!$A$4:$A$10000))*1,[1]OUT_TransportEnergyCons!J$4:J$10000))*1000</f>
        <v>1.29652058292095E-5</v>
      </c>
      <c r="M2175" s="1" cm="1">
        <f t="array" ref="M2175">(SUMPRODUCT(("var_ncap"=[1]OUT_TransportEnergyCons!$B$4:$B$10000)*1,ISNUMBER(SEARCH("T_B_u*hyb*DSL*s1",[1]OUT_TransportEnergyCons!$A$4:$A$10000))*1,[1]OUT_TransportEnergyCons!K$4:K$10000))*1000</f>
        <v>0</v>
      </c>
      <c r="N2175" s="1" cm="1">
        <f t="array" ref="N2175">(SUMPRODUCT(("var_ncap"=[1]OUT_TransportEnergyCons!$B$4:$B$10000)*1,ISNUMBER(SEARCH("T_B_u*hyb*DSL*s1",[1]OUT_TransportEnergyCons!$A$4:$A$10000))*1,[1]OUT_TransportEnergyCons!L$4:L$10000))*1000</f>
        <v>0</v>
      </c>
      <c r="O2175" s="1" cm="1">
        <f t="array" ref="O2175">(SUMPRODUCT(("var_ncap"=[1]OUT_TransportEnergyCons!$B$4:$B$10000)*1,ISNUMBER(SEARCH("T_B_u*hyb*DSL*s1",[1]OUT_TransportEnergyCons!$A$4:$A$10000))*1,[1]OUT_TransportEnergyCons!M$4:M$10000))*1000</f>
        <v>0</v>
      </c>
      <c r="P2175" s="1" cm="1">
        <f t="array" ref="P2175">(SUMPRODUCT(("var_ncap"=[1]OUT_TransportEnergyCons!$B$4:$B$10000)*1,ISNUMBER(SEARCH("T_B_u*hyb*DSL*s1",[1]OUT_TransportEnergyCons!$A$4:$A$10000))*1,[1]OUT_TransportEnergyCons!N$4:N$10000))*1000</f>
        <v>0</v>
      </c>
      <c r="Q2175" s="1" cm="1">
        <f t="array" ref="Q2175">(SUMPRODUCT(("var_ncap"=[1]OUT_TransportEnergyCons!$B$4:$B$10000)*1,ISNUMBER(SEARCH("T_B_u*hyb*DSL*s1",[1]OUT_TransportEnergyCons!$A$4:$A$10000))*1,[1]OUT_TransportEnergyCons!O$4:O$10000))*1000</f>
        <v>0</v>
      </c>
      <c r="S2175" s="3"/>
    </row>
    <row r="2176" spans="2:19" x14ac:dyDescent="0.5">
      <c r="B2176" s="5" t="str">
        <f t="shared" si="2247"/>
        <v>SPS1</v>
      </c>
      <c r="C2176" s="5" t="str">
        <f t="shared" si="2248"/>
        <v>CH</v>
      </c>
      <c r="D2176" t="s">
        <v>2305</v>
      </c>
      <c r="E2176" t="s">
        <v>1999</v>
      </c>
      <c r="F2176" s="1" cm="1">
        <f t="array" ref="F2176">(SUMPRODUCT(("var_ncap"=[1]OUT_TransportEnergyCons!$B$4:$B$10000)*1,ISNUMBER(SEARCH("T_B_u*hyb*DSL*s2",[1]OUT_TransportEnergyCons!$A$4:$A$10000))*1,[1]OUT_TransportEnergyCons!D$4:D$10000))*1000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(SUMPRODUCT(("var_ncap"=[1]OUT_TransportEnergyCons!$B$4:$B$10000)*1,ISNUMBER(SEARCH("T_B_u*hyb*DSL*s2",[1]OUT_TransportEnergyCons!$A$4:$A$10000))*1,[1]OUT_TransportEnergyCons!E$4:E$10000))*1000</f>
        <v>4.8923307128597099E-4</v>
      </c>
      <c r="H2176" s="1" cm="1">
        <f t="array" ref="H2176">(SUMPRODUCT(("var_ncap"=[1]OUT_TransportEnergyCons!$B$4:$B$10000)*1,ISNUMBER(SEARCH("T_B_u*hyb*DSL*s2",[1]OUT_TransportEnergyCons!$A$4:$A$10000))*1,[1]OUT_TransportEnergyCons!F$4:F$10000))*1000</f>
        <v>9.8813080579938098E-5</v>
      </c>
      <c r="I2176" s="1" cm="1">
        <f t="array" ref="I2176">(SUMPRODUCT(("var_ncap"=[1]OUT_TransportEnergyCons!$B$4:$B$10000)*1,ISNUMBER(SEARCH("T_B_u*hyb*DSL*s2",[1]OUT_TransportEnergyCons!$A$4:$A$10000))*1,[1]OUT_TransportEnergyCons!G$4:G$10000))*1000</f>
        <v>3.6094243331987299E-4</v>
      </c>
      <c r="J2176" s="1" cm="1">
        <f t="array" ref="J2176">(SUMPRODUCT(("var_ncap"=[1]OUT_TransportEnergyCons!$B$4:$B$10000)*1,ISNUMBER(SEARCH("T_B_u*hyb*DSL*s2",[1]OUT_TransportEnergyCons!$A$4:$A$10000))*1,[1]OUT_TransportEnergyCons!H$4:H$10000))*1000</f>
        <v>4.6456004927208703E-5</v>
      </c>
      <c r="K2176" s="1" cm="1">
        <f t="array" ref="K2176">(SUMPRODUCT(("var_ncap"=[1]OUT_TransportEnergyCons!$B$4:$B$10000)*1,ISNUMBER(SEARCH("T_B_u*hyb*DSL*s2",[1]OUT_TransportEnergyCons!$A$4:$A$10000))*1,[1]OUT_TransportEnergyCons!I$4:I$10000))*1000</f>
        <v>2.2423776393110001E-5</v>
      </c>
      <c r="L2176" s="1" cm="1">
        <f t="array" ref="L2176">(SUMPRODUCT(("var_ncap"=[1]OUT_TransportEnergyCons!$B$4:$B$10000)*1,ISNUMBER(SEARCH("T_B_u*hyb*DSL*s2",[1]OUT_TransportEnergyCons!$A$4:$A$10000))*1,[1]OUT_TransportEnergyCons!J$4:J$10000))*1000</f>
        <v>2.8943097431302E-5</v>
      </c>
      <c r="M2176" s="1" cm="1">
        <f t="array" ref="M2176">(SUMPRODUCT(("var_ncap"=[1]OUT_TransportEnergyCons!$B$4:$B$10000)*1,ISNUMBER(SEARCH("T_B_u*hyb*DSL*s2",[1]OUT_TransportEnergyCons!$A$4:$A$10000))*1,[1]OUT_TransportEnergyCons!K$4:K$10000))*1000</f>
        <v>0</v>
      </c>
      <c r="N2176" s="1" cm="1">
        <f t="array" ref="N2176">(SUMPRODUCT(("var_ncap"=[1]OUT_TransportEnergyCons!$B$4:$B$10000)*1,ISNUMBER(SEARCH("T_B_u*hyb*DSL*s2",[1]OUT_TransportEnergyCons!$A$4:$A$10000))*1,[1]OUT_TransportEnergyCons!L$4:L$10000))*1000</f>
        <v>0</v>
      </c>
      <c r="O2176" s="1" cm="1">
        <f t="array" ref="O2176">(SUMPRODUCT(("var_ncap"=[1]OUT_TransportEnergyCons!$B$4:$B$10000)*1,ISNUMBER(SEARCH("T_B_u*hyb*DSL*s2",[1]OUT_TransportEnergyCons!$A$4:$A$10000))*1,[1]OUT_TransportEnergyCons!M$4:M$10000))*1000</f>
        <v>0</v>
      </c>
      <c r="P2176" s="1" cm="1">
        <f t="array" ref="P2176">(SUMPRODUCT(("var_ncap"=[1]OUT_TransportEnergyCons!$B$4:$B$10000)*1,ISNUMBER(SEARCH("T_B_u*hyb*DSL*s2",[1]OUT_TransportEnergyCons!$A$4:$A$10000))*1,[1]OUT_TransportEnergyCons!N$4:N$10000))*1000</f>
        <v>0</v>
      </c>
      <c r="Q2176" s="1" cm="1">
        <f t="array" ref="Q2176">(SUMPRODUCT(("var_ncap"=[1]OUT_TransportEnergyCons!$B$4:$B$10000)*1,ISNUMBER(SEARCH("T_B_u*hyb*DSL*s2",[1]OUT_TransportEnergyCons!$A$4:$A$10000))*1,[1]OUT_TransportEnergyCons!O$4:O$10000))*1000</f>
        <v>0</v>
      </c>
      <c r="S2176" s="3"/>
    </row>
    <row r="2177" spans="2:19" x14ac:dyDescent="0.5">
      <c r="B2177" s="5" t="str">
        <f t="shared" si="2247"/>
        <v>SPS1</v>
      </c>
      <c r="C2177" s="5" t="str">
        <f t="shared" si="2248"/>
        <v>CH</v>
      </c>
      <c r="D2177" t="s">
        <v>2306</v>
      </c>
      <c r="E2177" t="s">
        <v>1999</v>
      </c>
      <c r="F2177" s="1" cm="1">
        <f t="array" ref="F2177">(SUMPRODUCT(("var_ncap"=[1]OUT_TransportEnergyCons!$B$4:$B$10000)*1,ISNUMBER(SEARCH("T_B_u*hyb*DSL*s3",[1]OUT_TransportEnergyCons!$A$4:$A$10000))*1,[1]OUT_TransportEnergyCons!D$4:D$10000))*1000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(SUMPRODUCT(("var_ncap"=[1]OUT_TransportEnergyCons!$B$4:$B$10000)*1,ISNUMBER(SEARCH("T_B_u*hyb*DSL*s3",[1]OUT_TransportEnergyCons!$A$4:$A$10000))*1,[1]OUT_TransportEnergyCons!E$4:E$10000))*1000</f>
        <v>8.5776382654705898E-4</v>
      </c>
      <c r="H2177" s="1" cm="1">
        <f t="array" ref="H2177">(SUMPRODUCT(("var_ncap"=[1]OUT_TransportEnergyCons!$B$4:$B$10000)*1,ISNUMBER(SEARCH("T_B_u*hyb*DSL*s3",[1]OUT_TransportEnergyCons!$A$4:$A$10000))*1,[1]OUT_TransportEnergyCons!F$4:F$10000))*1000</f>
        <v>1.78854727448273E-4</v>
      </c>
      <c r="I2177" s="1" cm="1">
        <f t="array" ref="I2177">(SUMPRODUCT(("var_ncap"=[1]OUT_TransportEnergyCons!$B$4:$B$10000)*1,ISNUMBER(SEARCH("T_B_u*hyb*DSL*s3",[1]OUT_TransportEnergyCons!$A$4:$A$10000))*1,[1]OUT_TransportEnergyCons!G$4:G$10000))*1000</f>
        <v>3.6068730249302398E-2</v>
      </c>
      <c r="J2177" s="1" cm="1">
        <f t="array" ref="J2177">(SUMPRODUCT(("var_ncap"=[1]OUT_TransportEnergyCons!$B$4:$B$10000)*1,ISNUMBER(SEARCH("T_B_u*hyb*DSL*s3",[1]OUT_TransportEnergyCons!$A$4:$A$10000))*1,[1]OUT_TransportEnergyCons!H$4:H$10000))*1000</f>
        <v>9.0523752810592198E-5</v>
      </c>
      <c r="K2177" s="1" cm="1">
        <f t="array" ref="K2177">(SUMPRODUCT(("var_ncap"=[1]OUT_TransportEnergyCons!$B$4:$B$10000)*1,ISNUMBER(SEARCH("T_B_u*hyb*DSL*s3",[1]OUT_TransportEnergyCons!$A$4:$A$10000))*1,[1]OUT_TransportEnergyCons!I$4:I$10000))*1000</f>
        <v>5.5856049522675296E-5</v>
      </c>
      <c r="L2177" s="1" cm="1">
        <f t="array" ref="L2177">(SUMPRODUCT(("var_ncap"=[1]OUT_TransportEnergyCons!$B$4:$B$10000)*1,ISNUMBER(SEARCH("T_B_u*hyb*DSL*s3",[1]OUT_TransportEnergyCons!$A$4:$A$10000))*1,[1]OUT_TransportEnergyCons!J$4:J$10000))*1000</f>
        <v>1.2843112649917E-5</v>
      </c>
      <c r="M2177" s="1" cm="1">
        <f t="array" ref="M2177">(SUMPRODUCT(("var_ncap"=[1]OUT_TransportEnergyCons!$B$4:$B$10000)*1,ISNUMBER(SEARCH("T_B_u*hyb*DSL*s3",[1]OUT_TransportEnergyCons!$A$4:$A$10000))*1,[1]OUT_TransportEnergyCons!K$4:K$10000))*1000</f>
        <v>0</v>
      </c>
      <c r="N2177" s="1" cm="1">
        <f t="array" ref="N2177">(SUMPRODUCT(("var_ncap"=[1]OUT_TransportEnergyCons!$B$4:$B$10000)*1,ISNUMBER(SEARCH("T_B_u*hyb*DSL*s3",[1]OUT_TransportEnergyCons!$A$4:$A$10000))*1,[1]OUT_TransportEnergyCons!L$4:L$10000))*1000</f>
        <v>0</v>
      </c>
      <c r="O2177" s="1" cm="1">
        <f t="array" ref="O2177">(SUMPRODUCT(("var_ncap"=[1]OUT_TransportEnergyCons!$B$4:$B$10000)*1,ISNUMBER(SEARCH("T_B_u*hyb*DSL*s3",[1]OUT_TransportEnergyCons!$A$4:$A$10000))*1,[1]OUT_TransportEnergyCons!M$4:M$10000))*1000</f>
        <v>0</v>
      </c>
      <c r="P2177" s="1" cm="1">
        <f t="array" ref="P2177">(SUMPRODUCT(("var_ncap"=[1]OUT_TransportEnergyCons!$B$4:$B$10000)*1,ISNUMBER(SEARCH("T_B_u*hyb*DSL*s3",[1]OUT_TransportEnergyCons!$A$4:$A$10000))*1,[1]OUT_TransportEnergyCons!N$4:N$10000))*1000</f>
        <v>0</v>
      </c>
      <c r="Q2177" s="1" cm="1">
        <f t="array" ref="Q2177">(SUMPRODUCT(("var_ncap"=[1]OUT_TransportEnergyCons!$B$4:$B$10000)*1,ISNUMBER(SEARCH("T_B_u*hyb*DSL*s3",[1]OUT_TransportEnergyCons!$A$4:$A$10000))*1,[1]OUT_TransportEnergyCons!O$4:O$10000))*1000</f>
        <v>0</v>
      </c>
      <c r="S2177" s="3"/>
    </row>
    <row r="2178" spans="2:19" x14ac:dyDescent="0.5">
      <c r="B2178" s="5" t="str">
        <f t="shared" si="2247"/>
        <v>SPS1</v>
      </c>
      <c r="C2178" s="5" t="str">
        <f t="shared" si="2248"/>
        <v>CH</v>
      </c>
      <c r="D2178" t="s">
        <v>2307</v>
      </c>
      <c r="E2178" t="s">
        <v>1999</v>
      </c>
      <c r="F2178" s="1" cm="1">
        <f t="array" ref="F2178">(SUMPRODUCT(("var_ncap"=[1]OUT_TransportEnergyCons!$B$4:$B$10000)*1,ISNUMBER(SEARCH("T_B_u*hyb*DSL*s4",[1]OUT_TransportEnergyCons!$A$4:$A$10000))*1,[1]OUT_TransportEnergyCons!D$4:D$10000))*1000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(SUMPRODUCT(("var_ncap"=[1]OUT_TransportEnergyCons!$B$4:$B$10000)*1,ISNUMBER(SEARCH("T_B_u*hyb*DSL*s4",[1]OUT_TransportEnergyCons!$A$4:$A$10000))*1,[1]OUT_TransportEnergyCons!E$4:E$10000))*1000</f>
        <v>0</v>
      </c>
      <c r="H2178" s="1" cm="1">
        <f t="array" ref="H2178">(SUMPRODUCT(("var_ncap"=[1]OUT_TransportEnergyCons!$B$4:$B$10000)*1,ISNUMBER(SEARCH("T_B_u*hyb*DSL*s4",[1]OUT_TransportEnergyCons!$A$4:$A$10000))*1,[1]OUT_TransportEnergyCons!F$4:F$10000))*1000</f>
        <v>0</v>
      </c>
      <c r="I2178" s="1" cm="1">
        <f t="array" ref="I2178">(SUMPRODUCT(("var_ncap"=[1]OUT_TransportEnergyCons!$B$4:$B$10000)*1,ISNUMBER(SEARCH("T_B_u*hyb*DSL*s4",[1]OUT_TransportEnergyCons!$A$4:$A$10000))*1,[1]OUT_TransportEnergyCons!G$4:G$10000))*1000</f>
        <v>0</v>
      </c>
      <c r="J2178" s="1" cm="1">
        <f t="array" ref="J2178">(SUMPRODUCT(("var_ncap"=[1]OUT_TransportEnergyCons!$B$4:$B$10000)*1,ISNUMBER(SEARCH("T_B_u*hyb*DSL*s4",[1]OUT_TransportEnergyCons!$A$4:$A$10000))*1,[1]OUT_TransportEnergyCons!H$4:H$10000))*1000</f>
        <v>0</v>
      </c>
      <c r="K2178" s="1" cm="1">
        <f t="array" ref="K2178">(SUMPRODUCT(("var_ncap"=[1]OUT_TransportEnergyCons!$B$4:$B$10000)*1,ISNUMBER(SEARCH("T_B_u*hyb*DSL*s4",[1]OUT_TransportEnergyCons!$A$4:$A$10000))*1,[1]OUT_TransportEnergyCons!I$4:I$10000))*1000</f>
        <v>0</v>
      </c>
      <c r="L2178" s="1" cm="1">
        <f t="array" ref="L2178">(SUMPRODUCT(("var_ncap"=[1]OUT_TransportEnergyCons!$B$4:$B$10000)*1,ISNUMBER(SEARCH("T_B_u*hyb*DSL*s4",[1]OUT_TransportEnergyCons!$A$4:$A$10000))*1,[1]OUT_TransportEnergyCons!J$4:J$10000))*1000</f>
        <v>0</v>
      </c>
      <c r="M2178" s="1" cm="1">
        <f t="array" ref="M2178">(SUMPRODUCT(("var_ncap"=[1]OUT_TransportEnergyCons!$B$4:$B$10000)*1,ISNUMBER(SEARCH("T_B_u*hyb*DSL*s4",[1]OUT_TransportEnergyCons!$A$4:$A$10000))*1,[1]OUT_TransportEnergyCons!K$4:K$10000))*1000</f>
        <v>0</v>
      </c>
      <c r="N2178" s="1" cm="1">
        <f t="array" ref="N2178">(SUMPRODUCT(("var_ncap"=[1]OUT_TransportEnergyCons!$B$4:$B$10000)*1,ISNUMBER(SEARCH("T_B_u*hyb*DSL*s4",[1]OUT_TransportEnergyCons!$A$4:$A$10000))*1,[1]OUT_TransportEnergyCons!L$4:L$10000))*1000</f>
        <v>0</v>
      </c>
      <c r="O2178" s="1" cm="1">
        <f t="array" ref="O2178">(SUMPRODUCT(("var_ncap"=[1]OUT_TransportEnergyCons!$B$4:$B$10000)*1,ISNUMBER(SEARCH("T_B_u*hyb*DSL*s4",[1]OUT_TransportEnergyCons!$A$4:$A$10000))*1,[1]OUT_TransportEnergyCons!M$4:M$10000))*1000</f>
        <v>0</v>
      </c>
      <c r="P2178" s="1" cm="1">
        <f t="array" ref="P2178">(SUMPRODUCT(("var_ncap"=[1]OUT_TransportEnergyCons!$B$4:$B$10000)*1,ISNUMBER(SEARCH("T_B_u*hyb*DSL*s4",[1]OUT_TransportEnergyCons!$A$4:$A$10000))*1,[1]OUT_TransportEnergyCons!N$4:N$10000))*1000</f>
        <v>0</v>
      </c>
      <c r="Q2178" s="1" cm="1">
        <f t="array" ref="Q2178">(SUMPRODUCT(("var_ncap"=[1]OUT_TransportEnergyCons!$B$4:$B$10000)*1,ISNUMBER(SEARCH("T_B_u*hyb*DSL*s4",[1]OUT_TransportEnergyCons!$A$4:$A$10000))*1,[1]OUT_TransportEnergyCons!O$4:O$10000))*1000</f>
        <v>0</v>
      </c>
      <c r="S2178" s="3"/>
    </row>
    <row r="2179" spans="2:19" x14ac:dyDescent="0.5">
      <c r="B2179" s="5" t="str">
        <f t="shared" si="2247"/>
        <v>SPS1</v>
      </c>
      <c r="C2179" s="5" t="str">
        <f t="shared" si="2248"/>
        <v>CH</v>
      </c>
      <c r="D2179" t="s">
        <v>2308</v>
      </c>
      <c r="E2179" t="s">
        <v>1999</v>
      </c>
      <c r="F2179" s="1" cm="1">
        <f t="array" ref="F2179">(SUMPRODUCT(("var_ncap"=[1]OUT_TransportEnergyCons!$B$4:$B$10000)*1,ISNUMBER(SEARCH("T_B_u*ICE*DSL*ext",[1]OUT_TransportEnergyCons!$A$4:$A$10000))*1,[1]OUT_TransportEnergyCons!D$4:D$10000))*1000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(SUMPRODUCT(("var_ncap"=[1]OUT_TransportEnergyCons!$B$4:$B$10000)*1,ISNUMBER(SEARCH("T_B_u*ICE*DSL*ext",[1]OUT_TransportEnergyCons!$A$4:$A$10000))*1,[1]OUT_TransportEnergyCons!E$4:E$10000))*1000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(SUMPRODUCT(("var_ncap"=[1]OUT_TransportEnergyCons!$B$4:$B$10000)*1,ISNUMBER(SEARCH("T_B_u*ICE*DSL*ext",[1]OUT_TransportEnergyCons!$A$4:$A$10000))*1,[1]OUT_TransportEnergyCons!F$4:F$10000))*1000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(SUMPRODUCT(("var_ncap"=[1]OUT_TransportEnergyCons!$B$4:$B$10000)*1,ISNUMBER(SEARCH("T_B_u*ICE*DSL*ext",[1]OUT_TransportEnergyCons!$A$4:$A$10000))*1,[1]OUT_TransportEnergyCons!G$4:G$10000))*1000</f>
        <v>0</v>
      </c>
      <c r="J2179" s="1" cm="1">
        <f t="array" ref="J2179">(SUMPRODUCT(("var_ncap"=[1]OUT_TransportEnergyCons!$B$4:$B$10000)*1,ISNUMBER(SEARCH("T_B_u*ICE*DSL*ext",[1]OUT_TransportEnergyCons!$A$4:$A$10000))*1,[1]OUT_TransportEnergyCons!H$4:H$10000))*1000</f>
        <v>0</v>
      </c>
      <c r="K2179" s="1" cm="1">
        <f t="array" ref="K2179">(SUMPRODUCT(("var_ncap"=[1]OUT_TransportEnergyCons!$B$4:$B$10000)*1,ISNUMBER(SEARCH("T_B_u*ICE*DSL*ext",[1]OUT_TransportEnergyCons!$A$4:$A$10000))*1,[1]OUT_TransportEnergyCons!I$4:I$10000))*1000</f>
        <v>0</v>
      </c>
      <c r="L2179" s="1" cm="1">
        <f t="array" ref="L2179">(SUMPRODUCT(("var_ncap"=[1]OUT_TransportEnergyCons!$B$4:$B$10000)*1,ISNUMBER(SEARCH("T_B_u*ICE*DSL*ext",[1]OUT_TransportEnergyCons!$A$4:$A$10000))*1,[1]OUT_TransportEnergyCons!J$4:J$10000))*1000</f>
        <v>0</v>
      </c>
      <c r="M2179" s="1" cm="1">
        <f t="array" ref="M2179">(SUMPRODUCT(("var_ncap"=[1]OUT_TransportEnergyCons!$B$4:$B$10000)*1,ISNUMBER(SEARCH("T_B_u*ICE*DSL*ext",[1]OUT_TransportEnergyCons!$A$4:$A$10000))*1,[1]OUT_TransportEnergyCons!K$4:K$10000))*1000</f>
        <v>0</v>
      </c>
      <c r="N2179" s="1" cm="1">
        <f t="array" ref="N2179">(SUMPRODUCT(("var_ncap"=[1]OUT_TransportEnergyCons!$B$4:$B$10000)*1,ISNUMBER(SEARCH("T_B_u*ICE*DSL*ext",[1]OUT_TransportEnergyCons!$A$4:$A$10000))*1,[1]OUT_TransportEnergyCons!L$4:L$10000))*1000</f>
        <v>0</v>
      </c>
      <c r="O2179" s="1" cm="1">
        <f t="array" ref="O2179">(SUMPRODUCT(("var_ncap"=[1]OUT_TransportEnergyCons!$B$4:$B$10000)*1,ISNUMBER(SEARCH("T_B_u*ICE*DSL*ext",[1]OUT_TransportEnergyCons!$A$4:$A$10000))*1,[1]OUT_TransportEnergyCons!M$4:M$10000))*1000</f>
        <v>0</v>
      </c>
      <c r="P2179" s="1" cm="1">
        <f t="array" ref="P2179">(SUMPRODUCT(("var_ncap"=[1]OUT_TransportEnergyCons!$B$4:$B$10000)*1,ISNUMBER(SEARCH("T_B_u*ICE*DSL*ext",[1]OUT_TransportEnergyCons!$A$4:$A$10000))*1,[1]OUT_TransportEnergyCons!N$4:N$10000))*1000</f>
        <v>0</v>
      </c>
      <c r="Q2179" s="1" cm="1">
        <f t="array" ref="Q2179">(SUMPRODUCT(("var_ncap"=[1]OUT_TransportEnergyCons!$B$4:$B$10000)*1,ISNUMBER(SEARCH("T_B_u*ICE*DSL*ext",[1]OUT_TransportEnergyCons!$A$4:$A$10000))*1,[1]OUT_TransportEnergyCons!O$4:O$10000))*1000</f>
        <v>0</v>
      </c>
      <c r="S2179" s="3"/>
    </row>
    <row r="2180" spans="2:19" x14ac:dyDescent="0.5">
      <c r="B2180" s="5" t="str">
        <f t="shared" si="2247"/>
        <v>SPS1</v>
      </c>
      <c r="C2180" s="5" t="str">
        <f t="shared" si="2248"/>
        <v>CH</v>
      </c>
      <c r="D2180" t="s">
        <v>2309</v>
      </c>
      <c r="E2180" t="s">
        <v>1999</v>
      </c>
      <c r="F2180" s="1" cm="1">
        <f t="array" ref="F2180">(SUMPRODUCT(("var_ncap"=[1]OUT_TransportEnergyCons!$B$4:$B$10000)*1,ISNUMBER(SEARCH("T_B_u*ICE*DSL*s1",[1]OUT_TransportEnergyCons!$A$4:$A$10000))*1,[1]OUT_TransportEnergyCons!D$4:D$10000))*1000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(SUMPRODUCT(("var_ncap"=[1]OUT_TransportEnergyCons!$B$4:$B$10000)*1,ISNUMBER(SEARCH("T_B_u*ICE*DSL*s1",[1]OUT_TransportEnergyCons!$A$4:$A$10000))*1,[1]OUT_TransportEnergyCons!E$4:E$10000))*1000</f>
        <v>0.17460065459579099</v>
      </c>
      <c r="H2180" s="1" cm="1">
        <f t="array" ref="H2180">(SUMPRODUCT(("var_ncap"=[1]OUT_TransportEnergyCons!$B$4:$B$10000)*1,ISNUMBER(SEARCH("T_B_u*ICE*DSL*s1",[1]OUT_TransportEnergyCons!$A$4:$A$10000))*1,[1]OUT_TransportEnergyCons!F$4:F$10000))*1000</f>
        <v>1.09405796217937E-4</v>
      </c>
      <c r="I2180" s="1" cm="1">
        <f t="array" ref="I2180">(SUMPRODUCT(("var_ncap"=[1]OUT_TransportEnergyCons!$B$4:$B$10000)*1,ISNUMBER(SEARCH("T_B_u*ICE*DSL*s1",[1]OUT_TransportEnergyCons!$A$4:$A$10000))*1,[1]OUT_TransportEnergyCons!G$4:G$10000))*1000</f>
        <v>7.4751291506760994E-5</v>
      </c>
      <c r="J2180" s="1" cm="1">
        <f t="array" ref="J2180">(SUMPRODUCT(("var_ncap"=[1]OUT_TransportEnergyCons!$B$4:$B$10000)*1,ISNUMBER(SEARCH("T_B_u*ICE*DSL*s1",[1]OUT_TransportEnergyCons!$A$4:$A$10000))*1,[1]OUT_TransportEnergyCons!H$4:H$10000))*1000</f>
        <v>2.6854847111189199E-5</v>
      </c>
      <c r="K2180" s="1" cm="1">
        <f t="array" ref="K2180">(SUMPRODUCT(("var_ncap"=[1]OUT_TransportEnergyCons!$B$4:$B$10000)*1,ISNUMBER(SEARCH("T_B_u*ICE*DSL*s1",[1]OUT_TransportEnergyCons!$A$4:$A$10000))*1,[1]OUT_TransportEnergyCons!I$4:I$10000))*1000</f>
        <v>1.0516082368650201E-5</v>
      </c>
      <c r="L2180" s="1" cm="1">
        <f t="array" ref="L2180">(SUMPRODUCT(("var_ncap"=[1]OUT_TransportEnergyCons!$B$4:$B$10000)*1,ISNUMBER(SEARCH("T_B_u*ICE*DSL*s1",[1]OUT_TransportEnergyCons!$A$4:$A$10000))*1,[1]OUT_TransportEnergyCons!J$4:J$10000))*1000</f>
        <v>2.8737495675658799E-5</v>
      </c>
      <c r="M2180" s="1" cm="1">
        <f t="array" ref="M2180">(SUMPRODUCT(("var_ncap"=[1]OUT_TransportEnergyCons!$B$4:$B$10000)*1,ISNUMBER(SEARCH("T_B_u*ICE*DSL*s1",[1]OUT_TransportEnergyCons!$A$4:$A$10000))*1,[1]OUT_TransportEnergyCons!K$4:K$10000))*1000</f>
        <v>0</v>
      </c>
      <c r="N2180" s="1" cm="1">
        <f t="array" ref="N2180">(SUMPRODUCT(("var_ncap"=[1]OUT_TransportEnergyCons!$B$4:$B$10000)*1,ISNUMBER(SEARCH("T_B_u*ICE*DSL*s1",[1]OUT_TransportEnergyCons!$A$4:$A$10000))*1,[1]OUT_TransportEnergyCons!L$4:L$10000))*1000</f>
        <v>0</v>
      </c>
      <c r="O2180" s="1" cm="1">
        <f t="array" ref="O2180">(SUMPRODUCT(("var_ncap"=[1]OUT_TransportEnergyCons!$B$4:$B$10000)*1,ISNUMBER(SEARCH("T_B_u*ICE*DSL*s1",[1]OUT_TransportEnergyCons!$A$4:$A$10000))*1,[1]OUT_TransportEnergyCons!M$4:M$10000))*1000</f>
        <v>0</v>
      </c>
      <c r="P2180" s="1" cm="1">
        <f t="array" ref="P2180">(SUMPRODUCT(("var_ncap"=[1]OUT_TransportEnergyCons!$B$4:$B$10000)*1,ISNUMBER(SEARCH("T_B_u*ICE*DSL*s1",[1]OUT_TransportEnergyCons!$A$4:$A$10000))*1,[1]OUT_TransportEnergyCons!N$4:N$10000))*1000</f>
        <v>0</v>
      </c>
      <c r="Q2180" s="1" cm="1">
        <f t="array" ref="Q2180">(SUMPRODUCT(("var_ncap"=[1]OUT_TransportEnergyCons!$B$4:$B$10000)*1,ISNUMBER(SEARCH("T_B_u*ICE*DSL*s1",[1]OUT_TransportEnergyCons!$A$4:$A$10000))*1,[1]OUT_TransportEnergyCons!O$4:O$10000))*1000</f>
        <v>0</v>
      </c>
      <c r="S2180" s="3"/>
    </row>
    <row r="2181" spans="2:19" x14ac:dyDescent="0.5">
      <c r="B2181" s="5" t="str">
        <f t="shared" si="2247"/>
        <v>SPS1</v>
      </c>
      <c r="C2181" s="5" t="str">
        <f t="shared" si="2248"/>
        <v>CH</v>
      </c>
      <c r="D2181" t="s">
        <v>2310</v>
      </c>
      <c r="E2181" t="s">
        <v>1999</v>
      </c>
      <c r="F2181" s="1" cm="1">
        <f t="array" ref="F2181">(SUMPRODUCT(("var_ncap"=[1]OUT_TransportEnergyCons!$B$4:$B$10000)*1,ISNUMBER(SEARCH("T_B_u*ICE*DSL*s2",[1]OUT_TransportEnergyCons!$A$4:$A$10000))*1,[1]OUT_TransportEnergyCons!D$4:D$10000))*1000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(SUMPRODUCT(("var_ncap"=[1]OUT_TransportEnergyCons!$B$4:$B$10000)*1,ISNUMBER(SEARCH("T_B_u*ICE*DSL*s2",[1]OUT_TransportEnergyCons!$A$4:$A$10000))*1,[1]OUT_TransportEnergyCons!E$4:E$10000))*1000</f>
        <v>9.3930959554536198E-4</v>
      </c>
      <c r="H2181" s="1" cm="1">
        <f t="array" ref="H2181">(SUMPRODUCT(("var_ncap"=[1]OUT_TransportEnergyCons!$B$4:$B$10000)*1,ISNUMBER(SEARCH("T_B_u*ICE*DSL*s2",[1]OUT_TransportEnergyCons!$A$4:$A$10000))*1,[1]OUT_TransportEnergyCons!F$4:F$10000))*1000</f>
        <v>1.5427376731284601E-4</v>
      </c>
      <c r="I2181" s="1" cm="1">
        <f t="array" ref="I2181">(SUMPRODUCT(("var_ncap"=[1]OUT_TransportEnergyCons!$B$4:$B$10000)*1,ISNUMBER(SEARCH("T_B_u*ICE*DSL*s2",[1]OUT_TransportEnergyCons!$A$4:$A$10000))*1,[1]OUT_TransportEnergyCons!G$4:G$10000))*1000</f>
        <v>7.0629441448825101E-4</v>
      </c>
      <c r="J2181" s="1" cm="1">
        <f t="array" ref="J2181">(SUMPRODUCT(("var_ncap"=[1]OUT_TransportEnergyCons!$B$4:$B$10000)*1,ISNUMBER(SEARCH("T_B_u*ICE*DSL*s2",[1]OUT_TransportEnergyCons!$A$4:$A$10000))*1,[1]OUT_TransportEnergyCons!H$4:H$10000))*1000</f>
        <v>1.3099779657083901E-4</v>
      </c>
      <c r="K2181" s="1" cm="1">
        <f t="array" ref="K2181">(SUMPRODUCT(("var_ncap"=[1]OUT_TransportEnergyCons!$B$4:$B$10000)*1,ISNUMBER(SEARCH("T_B_u*ICE*DSL*s2",[1]OUT_TransportEnergyCons!$A$4:$A$10000))*1,[1]OUT_TransportEnergyCons!I$4:I$10000))*1000</f>
        <v>6.9010720973126E-5</v>
      </c>
      <c r="L2181" s="1" cm="1">
        <f t="array" ref="L2181">(SUMPRODUCT(("var_ncap"=[1]OUT_TransportEnergyCons!$B$4:$B$10000)*1,ISNUMBER(SEARCH("T_B_u*ICE*DSL*s2",[1]OUT_TransportEnergyCons!$A$4:$A$10000))*1,[1]OUT_TransportEnergyCons!J$4:J$10000))*1000</f>
        <v>6.0956903524224294E-5</v>
      </c>
      <c r="M2181" s="1" cm="1">
        <f t="array" ref="M2181">(SUMPRODUCT(("var_ncap"=[1]OUT_TransportEnergyCons!$B$4:$B$10000)*1,ISNUMBER(SEARCH("T_B_u*ICE*DSL*s2",[1]OUT_TransportEnergyCons!$A$4:$A$10000))*1,[1]OUT_TransportEnergyCons!K$4:K$10000))*1000</f>
        <v>0</v>
      </c>
      <c r="N2181" s="1" cm="1">
        <f t="array" ref="N2181">(SUMPRODUCT(("var_ncap"=[1]OUT_TransportEnergyCons!$B$4:$B$10000)*1,ISNUMBER(SEARCH("T_B_u*ICE*DSL*s2",[1]OUT_TransportEnergyCons!$A$4:$A$10000))*1,[1]OUT_TransportEnergyCons!L$4:L$10000))*1000</f>
        <v>0</v>
      </c>
      <c r="O2181" s="1" cm="1">
        <f t="array" ref="O2181">(SUMPRODUCT(("var_ncap"=[1]OUT_TransportEnergyCons!$B$4:$B$10000)*1,ISNUMBER(SEARCH("T_B_u*ICE*DSL*s2",[1]OUT_TransportEnergyCons!$A$4:$A$10000))*1,[1]OUT_TransportEnergyCons!M$4:M$10000))*1000</f>
        <v>0</v>
      </c>
      <c r="P2181" s="1" cm="1">
        <f t="array" ref="P2181">(SUMPRODUCT(("var_ncap"=[1]OUT_TransportEnergyCons!$B$4:$B$10000)*1,ISNUMBER(SEARCH("T_B_u*ICE*DSL*s2",[1]OUT_TransportEnergyCons!$A$4:$A$10000))*1,[1]OUT_TransportEnergyCons!N$4:N$10000))*1000</f>
        <v>0</v>
      </c>
      <c r="Q2181" s="1" cm="1">
        <f t="array" ref="Q2181">(SUMPRODUCT(("var_ncap"=[1]OUT_TransportEnergyCons!$B$4:$B$10000)*1,ISNUMBER(SEARCH("T_B_u*ICE*DSL*s2",[1]OUT_TransportEnergyCons!$A$4:$A$10000))*1,[1]OUT_TransportEnergyCons!O$4:O$10000))*1000</f>
        <v>0</v>
      </c>
      <c r="S2181" s="3"/>
    </row>
    <row r="2182" spans="2:19" x14ac:dyDescent="0.5">
      <c r="B2182" s="5" t="str">
        <f t="shared" si="2247"/>
        <v>SPS1</v>
      </c>
      <c r="C2182" s="5" t="str">
        <f t="shared" si="2248"/>
        <v>CH</v>
      </c>
      <c r="D2182" t="s">
        <v>2311</v>
      </c>
      <c r="E2182" t="s">
        <v>1999</v>
      </c>
      <c r="F2182" s="1" cm="1">
        <f t="array" ref="F2182">(SUMPRODUCT(("var_ncap"=[1]OUT_TransportEnergyCons!$B$4:$B$10000)*1,ISNUMBER(SEARCH("T_B_u*ICE*DSL*s3",[1]OUT_TransportEnergyCons!$A$4:$A$10000))*1,[1]OUT_TransportEnergyCons!D$4:D$10000))*1000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(SUMPRODUCT(("var_ncap"=[1]OUT_TransportEnergyCons!$B$4:$B$10000)*1,ISNUMBER(SEARCH("T_B_u*ICE*DSL*s3",[1]OUT_TransportEnergyCons!$A$4:$A$10000))*1,[1]OUT_TransportEnergyCons!E$4:E$10000))*1000</f>
        <v>2.5453764138327298E-2</v>
      </c>
      <c r="H2182" s="1" cm="1">
        <f t="array" ref="H2182">(SUMPRODUCT(("var_ncap"=[1]OUT_TransportEnergyCons!$B$4:$B$10000)*1,ISNUMBER(SEARCH("T_B_u*ICE*DSL*s3",[1]OUT_TransportEnergyCons!$A$4:$A$10000))*1,[1]OUT_TransportEnergyCons!F$4:F$10000))*1000</f>
        <v>1.2982437447122498E-4</v>
      </c>
      <c r="I2182" s="1" cm="1">
        <f t="array" ref="I2182">(SUMPRODUCT(("var_ncap"=[1]OUT_TransportEnergyCons!$B$4:$B$10000)*1,ISNUMBER(SEARCH("T_B_u*ICE*DSL*s3",[1]OUT_TransportEnergyCons!$A$4:$A$10000))*1,[1]OUT_TransportEnergyCons!G$4:G$10000))*1000</f>
        <v>3.8170016855584799E-2</v>
      </c>
      <c r="J2182" s="1" cm="1">
        <f t="array" ref="J2182">(SUMPRODUCT(("var_ncap"=[1]OUT_TransportEnergyCons!$B$4:$B$10000)*1,ISNUMBER(SEARCH("T_B_u*ICE*DSL*s3",[1]OUT_TransportEnergyCons!$A$4:$A$10000))*1,[1]OUT_TransportEnergyCons!H$4:H$10000))*1000</f>
        <v>2.9540794308813501E-4</v>
      </c>
      <c r="K2182" s="1" cm="1">
        <f t="array" ref="K2182">(SUMPRODUCT(("var_ncap"=[1]OUT_TransportEnergyCons!$B$4:$B$10000)*1,ISNUMBER(SEARCH("T_B_u*ICE*DSL*s3",[1]OUT_TransportEnergyCons!$A$4:$A$10000))*1,[1]OUT_TransportEnergyCons!I$4:I$10000))*1000</f>
        <v>1.9696957329210098E-4</v>
      </c>
      <c r="L2182" s="1" cm="1">
        <f t="array" ref="L2182">(SUMPRODUCT(("var_ncap"=[1]OUT_TransportEnergyCons!$B$4:$B$10000)*1,ISNUMBER(SEARCH("T_B_u*ICE*DSL*s3",[1]OUT_TransportEnergyCons!$A$4:$A$10000))*1,[1]OUT_TransportEnergyCons!J$4:J$10000))*1000</f>
        <v>6.2636728234152507E-5</v>
      </c>
      <c r="M2182" s="1" cm="1">
        <f t="array" ref="M2182">(SUMPRODUCT(("var_ncap"=[1]OUT_TransportEnergyCons!$B$4:$B$10000)*1,ISNUMBER(SEARCH("T_B_u*ICE*DSL*s3",[1]OUT_TransportEnergyCons!$A$4:$A$10000))*1,[1]OUT_TransportEnergyCons!K$4:K$10000))*1000</f>
        <v>0</v>
      </c>
      <c r="N2182" s="1" cm="1">
        <f t="array" ref="N2182">(SUMPRODUCT(("var_ncap"=[1]OUT_TransportEnergyCons!$B$4:$B$10000)*1,ISNUMBER(SEARCH("T_B_u*ICE*DSL*s3",[1]OUT_TransportEnergyCons!$A$4:$A$10000))*1,[1]OUT_TransportEnergyCons!L$4:L$10000))*1000</f>
        <v>0</v>
      </c>
      <c r="O2182" s="1" cm="1">
        <f t="array" ref="O2182">(SUMPRODUCT(("var_ncap"=[1]OUT_TransportEnergyCons!$B$4:$B$10000)*1,ISNUMBER(SEARCH("T_B_u*ICE*DSL*s3",[1]OUT_TransportEnergyCons!$A$4:$A$10000))*1,[1]OUT_TransportEnergyCons!M$4:M$10000))*1000</f>
        <v>0</v>
      </c>
      <c r="P2182" s="1" cm="1">
        <f t="array" ref="P2182">(SUMPRODUCT(("var_ncap"=[1]OUT_TransportEnergyCons!$B$4:$B$10000)*1,ISNUMBER(SEARCH("T_B_u*ICE*DSL*s3",[1]OUT_TransportEnergyCons!$A$4:$A$10000))*1,[1]OUT_TransportEnergyCons!N$4:N$10000))*1000</f>
        <v>0</v>
      </c>
      <c r="Q2182" s="1" cm="1">
        <f t="array" ref="Q2182">(SUMPRODUCT(("var_ncap"=[1]OUT_TransportEnergyCons!$B$4:$B$10000)*1,ISNUMBER(SEARCH("T_B_u*ICE*DSL*s3",[1]OUT_TransportEnergyCons!$A$4:$A$10000))*1,[1]OUT_TransportEnergyCons!O$4:O$10000))*1000</f>
        <v>0</v>
      </c>
      <c r="S2182" s="3"/>
    </row>
    <row r="2183" spans="2:19" x14ac:dyDescent="0.5">
      <c r="B2183" s="5" t="str">
        <f t="shared" si="2247"/>
        <v>SPS1</v>
      </c>
      <c r="C2183" s="5" t="str">
        <f t="shared" si="2248"/>
        <v>CH</v>
      </c>
      <c r="D2183" t="s">
        <v>2312</v>
      </c>
      <c r="E2183" t="s">
        <v>1999</v>
      </c>
      <c r="F2183" s="1" cm="1">
        <f t="array" ref="F2183">(SUMPRODUCT(("var_ncap"=[1]OUT_TransportEnergyCons!$B$4:$B$10000)*1,ISNUMBER(SEARCH("T_B_u*ICE*DSL*s4",[1]OUT_TransportEnergyCons!$A$4:$A$10000))*1,[1]OUT_TransportEnergyCons!D$4:D$10000))*1000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(SUMPRODUCT(("var_ncap"=[1]OUT_TransportEnergyCons!$B$4:$B$10000)*1,ISNUMBER(SEARCH("T_B_u*ICE*DSL*s4",[1]OUT_TransportEnergyCons!$A$4:$A$10000))*1,[1]OUT_TransportEnergyCons!E$4:E$10000))*1000</f>
        <v>0</v>
      </c>
      <c r="H2183" s="1" cm="1">
        <f t="array" ref="H2183">(SUMPRODUCT(("var_ncap"=[1]OUT_TransportEnergyCons!$B$4:$B$10000)*1,ISNUMBER(SEARCH("T_B_u*ICE*DSL*s4",[1]OUT_TransportEnergyCons!$A$4:$A$10000))*1,[1]OUT_TransportEnergyCons!F$4:F$10000))*1000</f>
        <v>0</v>
      </c>
      <c r="I2183" s="1" cm="1">
        <f t="array" ref="I2183">(SUMPRODUCT(("var_ncap"=[1]OUT_TransportEnergyCons!$B$4:$B$10000)*1,ISNUMBER(SEARCH("T_B_u*ICE*DSL*s4",[1]OUT_TransportEnergyCons!$A$4:$A$10000))*1,[1]OUT_TransportEnergyCons!G$4:G$10000))*1000</f>
        <v>0</v>
      </c>
      <c r="J2183" s="1" cm="1">
        <f t="array" ref="J2183">(SUMPRODUCT(("var_ncap"=[1]OUT_TransportEnergyCons!$B$4:$B$10000)*1,ISNUMBER(SEARCH("T_B_u*ICE*DSL*s4",[1]OUT_TransportEnergyCons!$A$4:$A$10000))*1,[1]OUT_TransportEnergyCons!H$4:H$10000))*1000</f>
        <v>1.6562510012246301E-5</v>
      </c>
      <c r="K2183" s="1" cm="1">
        <f t="array" ref="K2183">(SUMPRODUCT(("var_ncap"=[1]OUT_TransportEnergyCons!$B$4:$B$10000)*1,ISNUMBER(SEARCH("T_B_u*ICE*DSL*s4",[1]OUT_TransportEnergyCons!$A$4:$A$10000))*1,[1]OUT_TransportEnergyCons!I$4:I$10000))*1000</f>
        <v>0</v>
      </c>
      <c r="L2183" s="1" cm="1">
        <f t="array" ref="L2183">(SUMPRODUCT(("var_ncap"=[1]OUT_TransportEnergyCons!$B$4:$B$10000)*1,ISNUMBER(SEARCH("T_B_u*ICE*DSL*s4",[1]OUT_TransportEnergyCons!$A$4:$A$10000))*1,[1]OUT_TransportEnergyCons!J$4:J$10000))*1000</f>
        <v>0</v>
      </c>
      <c r="M2183" s="1" cm="1">
        <f t="array" ref="M2183">(SUMPRODUCT(("var_ncap"=[1]OUT_TransportEnergyCons!$B$4:$B$10000)*1,ISNUMBER(SEARCH("T_B_u*ICE*DSL*s4",[1]OUT_TransportEnergyCons!$A$4:$A$10000))*1,[1]OUT_TransportEnergyCons!K$4:K$10000))*1000</f>
        <v>0</v>
      </c>
      <c r="N2183" s="1" cm="1">
        <f t="array" ref="N2183">(SUMPRODUCT(("var_ncap"=[1]OUT_TransportEnergyCons!$B$4:$B$10000)*1,ISNUMBER(SEARCH("T_B_u*ICE*DSL*s4",[1]OUT_TransportEnergyCons!$A$4:$A$10000))*1,[1]OUT_TransportEnergyCons!L$4:L$10000))*1000</f>
        <v>0</v>
      </c>
      <c r="O2183" s="1" cm="1">
        <f t="array" ref="O2183">(SUMPRODUCT(("var_ncap"=[1]OUT_TransportEnergyCons!$B$4:$B$10000)*1,ISNUMBER(SEARCH("T_B_u*ICE*DSL*s4",[1]OUT_TransportEnergyCons!$A$4:$A$10000))*1,[1]OUT_TransportEnergyCons!M$4:M$10000))*1000</f>
        <v>0</v>
      </c>
      <c r="P2183" s="1" cm="1">
        <f t="array" ref="P2183">(SUMPRODUCT(("var_ncap"=[1]OUT_TransportEnergyCons!$B$4:$B$10000)*1,ISNUMBER(SEARCH("T_B_u*ICE*DSL*s4",[1]OUT_TransportEnergyCons!$A$4:$A$10000))*1,[1]OUT_TransportEnergyCons!N$4:N$10000))*1000</f>
        <v>0</v>
      </c>
      <c r="Q2183" s="1" cm="1">
        <f t="array" ref="Q2183">(SUMPRODUCT(("var_ncap"=[1]OUT_TransportEnergyCons!$B$4:$B$10000)*1,ISNUMBER(SEARCH("T_B_u*ICE*DSL*s4",[1]OUT_TransportEnergyCons!$A$4:$A$10000))*1,[1]OUT_TransportEnergyCons!O$4:O$10000))*1000</f>
        <v>0</v>
      </c>
      <c r="S2183" s="3"/>
    </row>
    <row r="2184" spans="2:19" x14ac:dyDescent="0.5">
      <c r="B2184" s="5" t="str">
        <f t="shared" si="2247"/>
        <v>SPS1</v>
      </c>
      <c r="C2184" s="5" t="str">
        <f t="shared" si="2248"/>
        <v>CH</v>
      </c>
      <c r="D2184" t="s">
        <v>2313</v>
      </c>
      <c r="E2184" t="s">
        <v>1999</v>
      </c>
      <c r="F2184" s="1" cm="1">
        <f t="array" ref="F2184">(SUMPRODUCT(("var_ncap"=[1]OUT_TransportEnergyCons!$B$4:$B$10000)*1,ISNUMBER(SEARCH("T_B_u*ICE*nga*ext",[1]OUT_TransportEnergyCons!$A$4:$A$10000))*1,[1]OUT_TransportEnergyCons!D$4:D$10000))*1000</f>
        <v>0</v>
      </c>
      <c r="G2184" s="1" cm="1">
        <f t="array" ref="G2184">(SUMPRODUCT(("var_ncap"=[1]OUT_TransportEnergyCons!$B$4:$B$10000)*1,ISNUMBER(SEARCH("T_B_u*ICE*nga*ext",[1]OUT_TransportEnergyCons!$A$4:$A$10000))*1,[1]OUT_TransportEnergyCons!E$4:E$10000))*1000</f>
        <v>0</v>
      </c>
      <c r="H2184" s="1" cm="1">
        <f t="array" ref="H2184">(SUMPRODUCT(("var_ncap"=[1]OUT_TransportEnergyCons!$B$4:$B$10000)*1,ISNUMBER(SEARCH("T_B_u*ICE*nga*ext",[1]OUT_TransportEnergyCons!$A$4:$A$10000))*1,[1]OUT_TransportEnergyCons!F$4:F$10000))*1000</f>
        <v>0</v>
      </c>
      <c r="I2184" s="1" cm="1">
        <f t="array" ref="I2184">(SUMPRODUCT(("var_ncap"=[1]OUT_TransportEnergyCons!$B$4:$B$10000)*1,ISNUMBER(SEARCH("T_B_u*ICE*nga*ext",[1]OUT_TransportEnergyCons!$A$4:$A$10000))*1,[1]OUT_TransportEnergyCons!G$4:G$10000))*1000</f>
        <v>0</v>
      </c>
      <c r="J2184" s="1" cm="1">
        <f t="array" ref="J2184">(SUMPRODUCT(("var_ncap"=[1]OUT_TransportEnergyCons!$B$4:$B$10000)*1,ISNUMBER(SEARCH("T_B_u*ICE*nga*ext",[1]OUT_TransportEnergyCons!$A$4:$A$10000))*1,[1]OUT_TransportEnergyCons!H$4:H$10000))*1000</f>
        <v>0</v>
      </c>
      <c r="K2184" s="1" cm="1">
        <f t="array" ref="K2184">(SUMPRODUCT(("var_ncap"=[1]OUT_TransportEnergyCons!$B$4:$B$10000)*1,ISNUMBER(SEARCH("T_B_u*ICE*nga*ext",[1]OUT_TransportEnergyCons!$A$4:$A$10000))*1,[1]OUT_TransportEnergyCons!I$4:I$10000))*1000</f>
        <v>0</v>
      </c>
      <c r="L2184" s="1" cm="1">
        <f t="array" ref="L2184">(SUMPRODUCT(("var_ncap"=[1]OUT_TransportEnergyCons!$B$4:$B$10000)*1,ISNUMBER(SEARCH("T_B_u*ICE*nga*ext",[1]OUT_TransportEnergyCons!$A$4:$A$10000))*1,[1]OUT_TransportEnergyCons!J$4:J$10000))*1000</f>
        <v>0</v>
      </c>
      <c r="M2184" s="1" cm="1">
        <f t="array" ref="M2184">(SUMPRODUCT(("var_ncap"=[1]OUT_TransportEnergyCons!$B$4:$B$10000)*1,ISNUMBER(SEARCH("T_B_u*ICE*nga*ext",[1]OUT_TransportEnergyCons!$A$4:$A$10000))*1,[1]OUT_TransportEnergyCons!K$4:K$10000))*1000</f>
        <v>0</v>
      </c>
      <c r="N2184" s="1" cm="1">
        <f t="array" ref="N2184">(SUMPRODUCT(("var_ncap"=[1]OUT_TransportEnergyCons!$B$4:$B$10000)*1,ISNUMBER(SEARCH("T_B_u*ICE*nga*ext",[1]OUT_TransportEnergyCons!$A$4:$A$10000))*1,[1]OUT_TransportEnergyCons!L$4:L$10000))*1000</f>
        <v>0</v>
      </c>
      <c r="O2184" s="1" cm="1">
        <f t="array" ref="O2184">(SUMPRODUCT(("var_ncap"=[1]OUT_TransportEnergyCons!$B$4:$B$10000)*1,ISNUMBER(SEARCH("T_B_u*ICE*nga*ext",[1]OUT_TransportEnergyCons!$A$4:$A$10000))*1,[1]OUT_TransportEnergyCons!M$4:M$10000))*1000</f>
        <v>0</v>
      </c>
      <c r="P2184" s="1" cm="1">
        <f t="array" ref="P2184">(SUMPRODUCT(("var_ncap"=[1]OUT_TransportEnergyCons!$B$4:$B$10000)*1,ISNUMBER(SEARCH("T_B_u*ICE*nga*ext",[1]OUT_TransportEnergyCons!$A$4:$A$10000))*1,[1]OUT_TransportEnergyCons!N$4:N$10000))*1000</f>
        <v>0</v>
      </c>
      <c r="Q2184" s="1" cm="1">
        <f t="array" ref="Q2184">(SUMPRODUCT(("var_ncap"=[1]OUT_TransportEnergyCons!$B$4:$B$10000)*1,ISNUMBER(SEARCH("T_B_u*ICE*nga*ext",[1]OUT_TransportEnergyCons!$A$4:$A$10000))*1,[1]OUT_TransportEnergyCons!O$4:O$10000))*1000</f>
        <v>0</v>
      </c>
      <c r="S2184" s="3"/>
    </row>
    <row r="2185" spans="2:19" x14ac:dyDescent="0.5">
      <c r="B2185" s="5" t="str">
        <f t="shared" si="2247"/>
        <v>SPS1</v>
      </c>
      <c r="C2185" s="5" t="str">
        <f t="shared" si="2248"/>
        <v>CH</v>
      </c>
      <c r="D2185" t="s">
        <v>2314</v>
      </c>
      <c r="E2185" t="s">
        <v>1999</v>
      </c>
      <c r="F2185" s="1" cm="1">
        <f t="array" ref="F2185">(SUMPRODUCT(("var_ncap"=[1]OUT_TransportEnergyCons!$B$4:$B$10000)*1,ISNUMBER(SEARCH("T_B_u*ICE*nga*s1",[1]OUT_TransportEnergyCons!$A$4:$A$10000))*1,[1]OUT_TransportEnergyCons!D$4:D$10000))*1000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(SUMPRODUCT(("var_ncap"=[1]OUT_TransportEnergyCons!$B$4:$B$10000)*1,ISNUMBER(SEARCH("T_B_u*ICE*nga*s1",[1]OUT_TransportEnergyCons!$A$4:$A$10000))*1,[1]OUT_TransportEnergyCons!E$4:E$10000))*1000</f>
        <v>1.29044368549125E-2</v>
      </c>
      <c r="H2185" s="1" cm="1">
        <f t="array" ref="H2185">(SUMPRODUCT(("var_ncap"=[1]OUT_TransportEnergyCons!$B$4:$B$10000)*1,ISNUMBER(SEARCH("T_B_u*ICE*nga*s1",[1]OUT_TransportEnergyCons!$A$4:$A$10000))*1,[1]OUT_TransportEnergyCons!F$4:F$10000))*1000</f>
        <v>3.4079713165140803E-5</v>
      </c>
      <c r="I2185" s="1" cm="1">
        <f t="array" ref="I2185">(SUMPRODUCT(("var_ncap"=[1]OUT_TransportEnergyCons!$B$4:$B$10000)*1,ISNUMBER(SEARCH("T_B_u*ICE*nga*s1",[1]OUT_TransportEnergyCons!$A$4:$A$10000))*1,[1]OUT_TransportEnergyCons!G$4:G$10000))*1000</f>
        <v>3.09114997387992E-5</v>
      </c>
      <c r="J2185" s="1" cm="1">
        <f t="array" ref="J2185">(SUMPRODUCT(("var_ncap"=[1]OUT_TransportEnergyCons!$B$4:$B$10000)*1,ISNUMBER(SEARCH("T_B_u*ICE*nga*s1",[1]OUT_TransportEnergyCons!$A$4:$A$10000))*1,[1]OUT_TransportEnergyCons!H$4:H$10000))*1000</f>
        <v>0</v>
      </c>
      <c r="K2185" s="1" cm="1">
        <f t="array" ref="K2185">(SUMPRODUCT(("var_ncap"=[1]OUT_TransportEnergyCons!$B$4:$B$10000)*1,ISNUMBER(SEARCH("T_B_u*ICE*nga*s1",[1]OUT_TransportEnergyCons!$A$4:$A$10000))*1,[1]OUT_TransportEnergyCons!I$4:I$10000))*1000</f>
        <v>1.3213443827566099E-5</v>
      </c>
      <c r="L2185" s="1" cm="1">
        <f t="array" ref="L2185">(SUMPRODUCT(("var_ncap"=[1]OUT_TransportEnergyCons!$B$4:$B$10000)*1,ISNUMBER(SEARCH("T_B_u*ICE*nga*s1",[1]OUT_TransportEnergyCons!$A$4:$A$10000))*1,[1]OUT_TransportEnergyCons!J$4:J$10000))*1000</f>
        <v>3.4281414110619398E-5</v>
      </c>
      <c r="M2185" s="1" cm="1">
        <f t="array" ref="M2185">(SUMPRODUCT(("var_ncap"=[1]OUT_TransportEnergyCons!$B$4:$B$10000)*1,ISNUMBER(SEARCH("T_B_u*ICE*nga*s1",[1]OUT_TransportEnergyCons!$A$4:$A$10000))*1,[1]OUT_TransportEnergyCons!K$4:K$10000))*1000</f>
        <v>0</v>
      </c>
      <c r="N2185" s="1" cm="1">
        <f t="array" ref="N2185">(SUMPRODUCT(("var_ncap"=[1]OUT_TransportEnergyCons!$B$4:$B$10000)*1,ISNUMBER(SEARCH("T_B_u*ICE*nga*s1",[1]OUT_TransportEnergyCons!$A$4:$A$10000))*1,[1]OUT_TransportEnergyCons!L$4:L$10000))*1000</f>
        <v>0</v>
      </c>
      <c r="O2185" s="1" cm="1">
        <f t="array" ref="O2185">(SUMPRODUCT(("var_ncap"=[1]OUT_TransportEnergyCons!$B$4:$B$10000)*1,ISNUMBER(SEARCH("T_B_u*ICE*nga*s1",[1]OUT_TransportEnergyCons!$A$4:$A$10000))*1,[1]OUT_TransportEnergyCons!M$4:M$10000))*1000</f>
        <v>0</v>
      </c>
      <c r="P2185" s="1" cm="1">
        <f t="array" ref="P2185">(SUMPRODUCT(("var_ncap"=[1]OUT_TransportEnergyCons!$B$4:$B$10000)*1,ISNUMBER(SEARCH("T_B_u*ICE*nga*s1",[1]OUT_TransportEnergyCons!$A$4:$A$10000))*1,[1]OUT_TransportEnergyCons!N$4:N$10000))*1000</f>
        <v>0</v>
      </c>
      <c r="Q2185" s="1" cm="1">
        <f t="array" ref="Q2185">(SUMPRODUCT(("var_ncap"=[1]OUT_TransportEnergyCons!$B$4:$B$10000)*1,ISNUMBER(SEARCH("T_B_u*ICE*nga*s1",[1]OUT_TransportEnergyCons!$A$4:$A$10000))*1,[1]OUT_TransportEnergyCons!O$4:O$10000))*1000</f>
        <v>0</v>
      </c>
      <c r="S2185" s="3"/>
    </row>
    <row r="2186" spans="2:19" x14ac:dyDescent="0.5">
      <c r="B2186" s="5" t="str">
        <f t="shared" si="2247"/>
        <v>SPS1</v>
      </c>
      <c r="C2186" s="5" t="str">
        <f t="shared" si="2248"/>
        <v>CH</v>
      </c>
      <c r="D2186" t="s">
        <v>2315</v>
      </c>
      <c r="E2186" t="s">
        <v>1999</v>
      </c>
      <c r="F2186" s="1" cm="1">
        <f t="array" ref="F2186">(SUMPRODUCT(("var_ncap"=[1]OUT_TransportEnergyCons!$B$4:$B$10000)*1,ISNUMBER(SEARCH("T_B_u*ICE*nga*s2",[1]OUT_TransportEnergyCons!$A$4:$A$10000))*1,[1]OUT_TransportEnergyCons!D$4:D$10000))*1000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(SUMPRODUCT(("var_ncap"=[1]OUT_TransportEnergyCons!$B$4:$B$10000)*1,ISNUMBER(SEARCH("T_B_u*ICE*nga*s2",[1]OUT_TransportEnergyCons!$A$4:$A$10000))*1,[1]OUT_TransportEnergyCons!E$4:E$10000))*1000</f>
        <v>2.2191623176797599E-4</v>
      </c>
      <c r="H2186" s="1" cm="1">
        <f t="array" ref="H2186">(SUMPRODUCT(("var_ncap"=[1]OUT_TransportEnergyCons!$B$4:$B$10000)*1,ISNUMBER(SEARCH("T_B_u*ICE*nga*s2",[1]OUT_TransportEnergyCons!$A$4:$A$10000))*1,[1]OUT_TransportEnergyCons!F$4:F$10000))*1000</f>
        <v>4.8420069745251797E-5</v>
      </c>
      <c r="I2186" s="1" cm="1">
        <f t="array" ref="I2186">(SUMPRODUCT(("var_ncap"=[1]OUT_TransportEnergyCons!$B$4:$B$10000)*1,ISNUMBER(SEARCH("T_B_u*ICE*nga*s2",[1]OUT_TransportEnergyCons!$A$4:$A$10000))*1,[1]OUT_TransportEnergyCons!G$4:G$10000))*1000</f>
        <v>2.3144190244637098E-4</v>
      </c>
      <c r="J2186" s="1" cm="1">
        <f t="array" ref="J2186">(SUMPRODUCT(("var_ncap"=[1]OUT_TransportEnergyCons!$B$4:$B$10000)*1,ISNUMBER(SEARCH("T_B_u*ICE*nga*s2",[1]OUT_TransportEnergyCons!$A$4:$A$10000))*1,[1]OUT_TransportEnergyCons!H$4:H$10000))*1000</f>
        <v>4.8771156116226098E-5</v>
      </c>
      <c r="K2186" s="1" cm="1">
        <f t="array" ref="K2186">(SUMPRODUCT(("var_ncap"=[1]OUT_TransportEnergyCons!$B$4:$B$10000)*1,ISNUMBER(SEARCH("T_B_u*ICE*nga*s2",[1]OUT_TransportEnergyCons!$A$4:$A$10000))*1,[1]OUT_TransportEnergyCons!I$4:I$10000))*1000</f>
        <v>8.2489145997487499E-5</v>
      </c>
      <c r="L2186" s="1" cm="1">
        <f t="array" ref="L2186">(SUMPRODUCT(("var_ncap"=[1]OUT_TransportEnergyCons!$B$4:$B$10000)*1,ISNUMBER(SEARCH("T_B_u*ICE*nga*s2",[1]OUT_TransportEnergyCons!$A$4:$A$10000))*1,[1]OUT_TransportEnergyCons!J$4:J$10000))*1000</f>
        <v>1.2223145590315598E-4</v>
      </c>
      <c r="M2186" s="1" cm="1">
        <f t="array" ref="M2186">(SUMPRODUCT(("var_ncap"=[1]OUT_TransportEnergyCons!$B$4:$B$10000)*1,ISNUMBER(SEARCH("T_B_u*ICE*nga*s2",[1]OUT_TransportEnergyCons!$A$4:$A$10000))*1,[1]OUT_TransportEnergyCons!K$4:K$10000))*1000</f>
        <v>0</v>
      </c>
      <c r="N2186" s="1" cm="1">
        <f t="array" ref="N2186">(SUMPRODUCT(("var_ncap"=[1]OUT_TransportEnergyCons!$B$4:$B$10000)*1,ISNUMBER(SEARCH("T_B_u*ICE*nga*s2",[1]OUT_TransportEnergyCons!$A$4:$A$10000))*1,[1]OUT_TransportEnergyCons!L$4:L$10000))*1000</f>
        <v>0</v>
      </c>
      <c r="O2186" s="1" cm="1">
        <f t="array" ref="O2186">(SUMPRODUCT(("var_ncap"=[1]OUT_TransportEnergyCons!$B$4:$B$10000)*1,ISNUMBER(SEARCH("T_B_u*ICE*nga*s2",[1]OUT_TransportEnergyCons!$A$4:$A$10000))*1,[1]OUT_TransportEnergyCons!M$4:M$10000))*1000</f>
        <v>0</v>
      </c>
      <c r="P2186" s="1" cm="1">
        <f t="array" ref="P2186">(SUMPRODUCT(("var_ncap"=[1]OUT_TransportEnergyCons!$B$4:$B$10000)*1,ISNUMBER(SEARCH("T_B_u*ICE*nga*s2",[1]OUT_TransportEnergyCons!$A$4:$A$10000))*1,[1]OUT_TransportEnergyCons!N$4:N$10000))*1000</f>
        <v>0</v>
      </c>
      <c r="Q2186" s="1" cm="1">
        <f t="array" ref="Q2186">(SUMPRODUCT(("var_ncap"=[1]OUT_TransportEnergyCons!$B$4:$B$10000)*1,ISNUMBER(SEARCH("T_B_u*ICE*nga*s2",[1]OUT_TransportEnergyCons!$A$4:$A$10000))*1,[1]OUT_TransportEnergyCons!O$4:O$10000))*1000</f>
        <v>0</v>
      </c>
      <c r="S2186" s="3"/>
    </row>
    <row r="2187" spans="2:19" x14ac:dyDescent="0.5">
      <c r="B2187" s="5" t="str">
        <f t="shared" si="2247"/>
        <v>SPS1</v>
      </c>
      <c r="C2187" s="5" t="str">
        <f t="shared" si="2248"/>
        <v>CH</v>
      </c>
      <c r="D2187" t="s">
        <v>2316</v>
      </c>
      <c r="E2187" t="s">
        <v>1999</v>
      </c>
      <c r="F2187" s="1" cm="1">
        <f t="array" ref="F2187">(SUMPRODUCT(("var_ncap"=[1]OUT_TransportEnergyCons!$B$4:$B$10000)*1,ISNUMBER(SEARCH("T_B_u*ICE*nga*s3",[1]OUT_TransportEnergyCons!$A$4:$A$10000))*1,[1]OUT_TransportEnergyCons!D$4:D$10000))*1000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(SUMPRODUCT(("var_ncap"=[1]OUT_TransportEnergyCons!$B$4:$B$10000)*1,ISNUMBER(SEARCH("T_B_u*ICE*nga*s3",[1]OUT_TransportEnergyCons!$A$4:$A$10000))*1,[1]OUT_TransportEnergyCons!E$4:E$10000))*1000</f>
        <v>1.30577491295123E-3</v>
      </c>
      <c r="H2187" s="1" cm="1">
        <f t="array" ref="H2187">(SUMPRODUCT(("var_ncap"=[1]OUT_TransportEnergyCons!$B$4:$B$10000)*1,ISNUMBER(SEARCH("T_B_u*ICE*nga*s3",[1]OUT_TransportEnergyCons!$A$4:$A$10000))*1,[1]OUT_TransportEnergyCons!F$4:F$10000))*1000</f>
        <v>1.7045305044620499E-3</v>
      </c>
      <c r="I2187" s="1" cm="1">
        <f t="array" ref="I2187">(SUMPRODUCT(("var_ncap"=[1]OUT_TransportEnergyCons!$B$4:$B$10000)*1,ISNUMBER(SEARCH("T_B_u*ICE*nga*s3",[1]OUT_TransportEnergyCons!$A$4:$A$10000))*1,[1]OUT_TransportEnergyCons!G$4:G$10000))*1000</f>
        <v>3.2699810699525498E-3</v>
      </c>
      <c r="J2187" s="1" cm="1">
        <f t="array" ref="J2187">(SUMPRODUCT(("var_ncap"=[1]OUT_TransportEnergyCons!$B$4:$B$10000)*1,ISNUMBER(SEARCH("T_B_u*ICE*nga*s3",[1]OUT_TransportEnergyCons!$A$4:$A$10000))*1,[1]OUT_TransportEnergyCons!H$4:H$10000))*1000</f>
        <v>1.1520382619430401E-4</v>
      </c>
      <c r="K2187" s="1" cm="1">
        <f t="array" ref="K2187">(SUMPRODUCT(("var_ncap"=[1]OUT_TransportEnergyCons!$B$4:$B$10000)*1,ISNUMBER(SEARCH("T_B_u*ICE*nga*s3",[1]OUT_TransportEnergyCons!$A$4:$A$10000))*1,[1]OUT_TransportEnergyCons!I$4:I$10000))*1000</f>
        <v>9.3487354375775409E-5</v>
      </c>
      <c r="L2187" s="1" cm="1">
        <f t="array" ref="L2187">(SUMPRODUCT(("var_ncap"=[1]OUT_TransportEnergyCons!$B$4:$B$10000)*1,ISNUMBER(SEARCH("T_B_u*ICE*nga*s3",[1]OUT_TransportEnergyCons!$A$4:$A$10000))*1,[1]OUT_TransportEnergyCons!J$4:J$10000))*1000</f>
        <v>2.3008282569132E-5</v>
      </c>
      <c r="M2187" s="1" cm="1">
        <f t="array" ref="M2187">(SUMPRODUCT(("var_ncap"=[1]OUT_TransportEnergyCons!$B$4:$B$10000)*1,ISNUMBER(SEARCH("T_B_u*ICE*nga*s3",[1]OUT_TransportEnergyCons!$A$4:$A$10000))*1,[1]OUT_TransportEnergyCons!K$4:K$10000))*1000</f>
        <v>0</v>
      </c>
      <c r="N2187" s="1" cm="1">
        <f t="array" ref="N2187">(SUMPRODUCT(("var_ncap"=[1]OUT_TransportEnergyCons!$B$4:$B$10000)*1,ISNUMBER(SEARCH("T_B_u*ICE*nga*s3",[1]OUT_TransportEnergyCons!$A$4:$A$10000))*1,[1]OUT_TransportEnergyCons!L$4:L$10000))*1000</f>
        <v>0</v>
      </c>
      <c r="O2187" s="1" cm="1">
        <f t="array" ref="O2187">(SUMPRODUCT(("var_ncap"=[1]OUT_TransportEnergyCons!$B$4:$B$10000)*1,ISNUMBER(SEARCH("T_B_u*ICE*nga*s3",[1]OUT_TransportEnergyCons!$A$4:$A$10000))*1,[1]OUT_TransportEnergyCons!M$4:M$10000))*1000</f>
        <v>0</v>
      </c>
      <c r="P2187" s="1" cm="1">
        <f t="array" ref="P2187">(SUMPRODUCT(("var_ncap"=[1]OUT_TransportEnergyCons!$B$4:$B$10000)*1,ISNUMBER(SEARCH("T_B_u*ICE*nga*s3",[1]OUT_TransportEnergyCons!$A$4:$A$10000))*1,[1]OUT_TransportEnergyCons!N$4:N$10000))*1000</f>
        <v>0</v>
      </c>
      <c r="Q2187" s="1" cm="1">
        <f t="array" ref="Q2187">(SUMPRODUCT(("var_ncap"=[1]OUT_TransportEnergyCons!$B$4:$B$10000)*1,ISNUMBER(SEARCH("T_B_u*ICE*nga*s3",[1]OUT_TransportEnergyCons!$A$4:$A$10000))*1,[1]OUT_TransportEnergyCons!O$4:O$10000))*1000</f>
        <v>0</v>
      </c>
      <c r="S2187" s="3"/>
    </row>
    <row r="2188" spans="2:19" x14ac:dyDescent="0.5">
      <c r="B2188" s="5" t="str">
        <f t="shared" si="2247"/>
        <v>SPS1</v>
      </c>
      <c r="C2188" s="5" t="str">
        <f t="shared" si="2248"/>
        <v>CH</v>
      </c>
      <c r="D2188" t="s">
        <v>2317</v>
      </c>
      <c r="E2188" t="s">
        <v>1999</v>
      </c>
      <c r="F2188" s="1" cm="1">
        <f t="array" ref="F2188">(SUMPRODUCT(("var_ncap"=[1]OUT_TransportEnergyCons!$B$4:$B$10000)*1,ISNUMBER(SEARCH("T_B_u*ICE*nga*s4",[1]OUT_TransportEnergyCons!$A$4:$A$10000))*1,[1]OUT_TransportEnergyCons!D$4:D$10000))*1000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(SUMPRODUCT(("var_ncap"=[1]OUT_TransportEnergyCons!$B$4:$B$10000)*1,ISNUMBER(SEARCH("T_B_u*ICE*nga*s4",[1]OUT_TransportEnergyCons!$A$4:$A$10000))*1,[1]OUT_TransportEnergyCons!E$4:E$10000))*1000</f>
        <v>0</v>
      </c>
      <c r="H2188" s="1" cm="1">
        <f t="array" ref="H2188">(SUMPRODUCT(("var_ncap"=[1]OUT_TransportEnergyCons!$B$4:$B$10000)*1,ISNUMBER(SEARCH("T_B_u*ICE*nga*s4",[1]OUT_TransportEnergyCons!$A$4:$A$10000))*1,[1]OUT_TransportEnergyCons!F$4:F$10000))*1000</f>
        <v>0</v>
      </c>
      <c r="I2188" s="1" cm="1">
        <f t="array" ref="I2188">(SUMPRODUCT(("var_ncap"=[1]OUT_TransportEnergyCons!$B$4:$B$10000)*1,ISNUMBER(SEARCH("T_B_u*ICE*nga*s4",[1]OUT_TransportEnergyCons!$A$4:$A$10000))*1,[1]OUT_TransportEnergyCons!G$4:G$10000))*1000</f>
        <v>0</v>
      </c>
      <c r="J2188" s="1" cm="1">
        <f t="array" ref="J2188">(SUMPRODUCT(("var_ncap"=[1]OUT_TransportEnergyCons!$B$4:$B$10000)*1,ISNUMBER(SEARCH("T_B_u*ICE*nga*s4",[1]OUT_TransportEnergyCons!$A$4:$A$10000))*1,[1]OUT_TransportEnergyCons!H$4:H$10000))*1000</f>
        <v>3.9039639948100503E-5</v>
      </c>
      <c r="K2188" s="1" cm="1">
        <f t="array" ref="K2188">(SUMPRODUCT(("var_ncap"=[1]OUT_TransportEnergyCons!$B$4:$B$10000)*1,ISNUMBER(SEARCH("T_B_u*ICE*nga*s4",[1]OUT_TransportEnergyCons!$A$4:$A$10000))*1,[1]OUT_TransportEnergyCons!I$4:I$10000))*1000</f>
        <v>0</v>
      </c>
      <c r="L2188" s="1" cm="1">
        <f t="array" ref="L2188">(SUMPRODUCT(("var_ncap"=[1]OUT_TransportEnergyCons!$B$4:$B$10000)*1,ISNUMBER(SEARCH("T_B_u*ICE*nga*s4",[1]OUT_TransportEnergyCons!$A$4:$A$10000))*1,[1]OUT_TransportEnergyCons!J$4:J$10000))*1000</f>
        <v>0</v>
      </c>
      <c r="M2188" s="1" cm="1">
        <f t="array" ref="M2188">(SUMPRODUCT(("var_ncap"=[1]OUT_TransportEnergyCons!$B$4:$B$10000)*1,ISNUMBER(SEARCH("T_B_u*ICE*nga*s4",[1]OUT_TransportEnergyCons!$A$4:$A$10000))*1,[1]OUT_TransportEnergyCons!K$4:K$10000))*1000</f>
        <v>0</v>
      </c>
      <c r="N2188" s="1" cm="1">
        <f t="array" ref="N2188">(SUMPRODUCT(("var_ncap"=[1]OUT_TransportEnergyCons!$B$4:$B$10000)*1,ISNUMBER(SEARCH("T_B_u*ICE*nga*s4",[1]OUT_TransportEnergyCons!$A$4:$A$10000))*1,[1]OUT_TransportEnergyCons!L$4:L$10000))*1000</f>
        <v>0</v>
      </c>
      <c r="O2188" s="1" cm="1">
        <f t="array" ref="O2188">(SUMPRODUCT(("var_ncap"=[1]OUT_TransportEnergyCons!$B$4:$B$10000)*1,ISNUMBER(SEARCH("T_B_u*ICE*nga*s4",[1]OUT_TransportEnergyCons!$A$4:$A$10000))*1,[1]OUT_TransportEnergyCons!M$4:M$10000))*1000</f>
        <v>0</v>
      </c>
      <c r="P2188" s="1" cm="1">
        <f t="array" ref="P2188">(SUMPRODUCT(("var_ncap"=[1]OUT_TransportEnergyCons!$B$4:$B$10000)*1,ISNUMBER(SEARCH("T_B_u*ICE*nga*s4",[1]OUT_TransportEnergyCons!$A$4:$A$10000))*1,[1]OUT_TransportEnergyCons!N$4:N$10000))*1000</f>
        <v>0</v>
      </c>
      <c r="Q2188" s="1" cm="1">
        <f t="array" ref="Q2188">(SUMPRODUCT(("var_ncap"=[1]OUT_TransportEnergyCons!$B$4:$B$10000)*1,ISNUMBER(SEARCH("T_B_u*ICE*nga*s4",[1]OUT_TransportEnergyCons!$A$4:$A$10000))*1,[1]OUT_TransportEnergyCons!O$4:O$10000))*1000</f>
        <v>0</v>
      </c>
      <c r="S2188" s="3"/>
    </row>
    <row r="2189" spans="2:19" x14ac:dyDescent="0.5">
      <c r="B2189" s="5" t="str">
        <f t="shared" si="2247"/>
        <v>SPS1</v>
      </c>
      <c r="C2189" s="5" t="str">
        <f t="shared" si="2248"/>
        <v>CH</v>
      </c>
      <c r="D2189" s="2" t="s">
        <v>2318</v>
      </c>
      <c r="E2189" s="2" t="s">
        <v>1999</v>
      </c>
      <c r="F2189" s="3">
        <f t="shared" ref="F2189:K2189" si="2249">SUM(F2190:F2212)</f>
        <v>0</v>
      </c>
      <c r="G2189" s="3">
        <f t="shared" si="2249"/>
        <v>0.51417664481040537</v>
      </c>
      <c r="H2189" s="3">
        <f t="shared" si="2249"/>
        <v>1.6961728500347497</v>
      </c>
      <c r="I2189" s="3">
        <f t="shared" si="2249"/>
        <v>1.4379020831211513</v>
      </c>
      <c r="J2189" s="3">
        <f t="shared" si="2249"/>
        <v>2.477352337205065</v>
      </c>
      <c r="K2189" s="3">
        <f t="shared" si="2249"/>
        <v>0.38265380809807914</v>
      </c>
      <c r="L2189" s="3">
        <f t="shared" ref="L2189:O2189" si="2250">SUM(L2190:L2212)</f>
        <v>1.3582509024064047</v>
      </c>
      <c r="M2189" s="3">
        <f t="shared" si="2250"/>
        <v>1.4731943185997083</v>
      </c>
      <c r="N2189" s="3">
        <f t="shared" si="2250"/>
        <v>1.0139069629521185</v>
      </c>
      <c r="O2189" s="3">
        <f t="shared" si="2250"/>
        <v>1.4427875379246504</v>
      </c>
      <c r="P2189" s="3">
        <f>SUM(P2190:P2212)</f>
        <v>1.6204093717802117</v>
      </c>
      <c r="Q2189" s="3">
        <f>SUM(Q2190:Q2212)</f>
        <v>0.81374554060832516</v>
      </c>
      <c r="S2189" s="3"/>
    </row>
    <row r="2190" spans="2:19" x14ac:dyDescent="0.5">
      <c r="B2190" s="5" t="str">
        <f t="shared" si="2247"/>
        <v>SPS1</v>
      </c>
      <c r="C2190" s="5" t="str">
        <f t="shared" si="2248"/>
        <v>CH</v>
      </c>
      <c r="D2190" t="s">
        <v>2319</v>
      </c>
      <c r="E2190" t="s">
        <v>1999</v>
      </c>
      <c r="F2190" s="1" cm="1">
        <f t="array" ref="F2190">(SUMPRODUCT(("var_ncap"=[1]OUT_TransportEnergyCons!$B$4:$B$10000)*1,ISNUMBER(SEARCH("T_b_c*bev*ext",[1]OUT_TransportEnergyCons!$A$4:$A$10000))*1,[1]OUT_TransportEnergyCons!D$4:D$10000))*1000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(SUMPRODUCT(("var_ncap"=[1]OUT_TransportEnergyCons!$B$4:$B$10000)*1,ISNUMBER(SEARCH("T_b_c*bev*ext",[1]OUT_TransportEnergyCons!$A$4:$A$10000))*1,[1]OUT_TransportEnergyCons!E$4:E$10000))*1000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(SUMPRODUCT(("var_ncap"=[1]OUT_TransportEnergyCons!$B$4:$B$10000)*1,ISNUMBER(SEARCH("T_b_c*bev*ext",[1]OUT_TransportEnergyCons!$A$4:$A$10000))*1,[1]OUT_TransportEnergyCons!F$4:F$10000))*1000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(SUMPRODUCT(("var_ncap"=[1]OUT_TransportEnergyCons!$B$4:$B$10000)*1,ISNUMBER(SEARCH("T_b_c*bev*ext",[1]OUT_TransportEnergyCons!$A$4:$A$10000))*1,[1]OUT_TransportEnergyCons!G$4:G$10000))*1000</f>
        <v>0</v>
      </c>
      <c r="J2190" s="1" cm="1">
        <f t="array" ref="J2190">(SUMPRODUCT(("var_ncap"=[1]OUT_TransportEnergyCons!$B$4:$B$10000)*1,ISNUMBER(SEARCH("T_b_c*bev*ext",[1]OUT_TransportEnergyCons!$A$4:$A$10000))*1,[1]OUT_TransportEnergyCons!H$4:H$10000))*1000</f>
        <v>0</v>
      </c>
      <c r="K2190" s="1" cm="1">
        <f t="array" ref="K2190">(SUMPRODUCT(("var_ncap"=[1]OUT_TransportEnergyCons!$B$4:$B$10000)*1,ISNUMBER(SEARCH("T_b_c*bev*ext",[1]OUT_TransportEnergyCons!$A$4:$A$10000))*1,[1]OUT_TransportEnergyCons!I$4:I$10000))*1000</f>
        <v>0</v>
      </c>
      <c r="L2190" s="1" cm="1">
        <f t="array" ref="L2190">(SUMPRODUCT(("var_ncap"=[1]OUT_TransportEnergyCons!$B$4:$B$10000)*1,ISNUMBER(SEARCH("T_b_c*bev*ext",[1]OUT_TransportEnergyCons!$A$4:$A$10000))*1,[1]OUT_TransportEnergyCons!J$4:J$10000))*1000</f>
        <v>0</v>
      </c>
      <c r="M2190" s="1" cm="1">
        <f t="array" ref="M2190">(SUMPRODUCT(("var_ncap"=[1]OUT_TransportEnergyCons!$B$4:$B$10000)*1,ISNUMBER(SEARCH("T_b_c*bev*ext",[1]OUT_TransportEnergyCons!$A$4:$A$10000))*1,[1]OUT_TransportEnergyCons!K$4:K$10000))*1000</f>
        <v>0</v>
      </c>
      <c r="N2190" s="1" cm="1">
        <f t="array" ref="N2190">(SUMPRODUCT(("var_ncap"=[1]OUT_TransportEnergyCons!$B$4:$B$10000)*1,ISNUMBER(SEARCH("T_b_c*bev*ext",[1]OUT_TransportEnergyCons!$A$4:$A$10000))*1,[1]OUT_TransportEnergyCons!L$4:L$10000))*1000</f>
        <v>0</v>
      </c>
      <c r="O2190" s="1" cm="1">
        <f t="array" ref="O2190">(SUMPRODUCT(("var_ncap"=[1]OUT_TransportEnergyCons!$B$4:$B$10000)*1,ISNUMBER(SEARCH("T_b_c*bev*ext",[1]OUT_TransportEnergyCons!$A$4:$A$10000))*1,[1]OUT_TransportEnergyCons!M$4:M$10000))*1000</f>
        <v>0</v>
      </c>
      <c r="P2190" s="1" cm="1">
        <f t="array" ref="P2190">(SUMPRODUCT(("var_ncap"=[1]OUT_TransportEnergyCons!$B$4:$B$10000)*1,ISNUMBER(SEARCH("T_b_c*bev*ext",[1]OUT_TransportEnergyCons!$A$4:$A$10000))*1,[1]OUT_TransportEnergyCons!N$4:N$10000))*1000</f>
        <v>0</v>
      </c>
      <c r="Q2190" s="1" cm="1">
        <f t="array" ref="Q2190">(SUMPRODUCT(("var_ncap"=[1]OUT_TransportEnergyCons!$B$4:$B$10000)*1,ISNUMBER(SEARCH("T_b_c*bev*ext",[1]OUT_TransportEnergyCons!$A$4:$A$10000))*1,[1]OUT_TransportEnergyCons!O$4:O$10000))*1000</f>
        <v>0</v>
      </c>
      <c r="S2190" s="3"/>
    </row>
    <row r="2191" spans="2:19" x14ac:dyDescent="0.5">
      <c r="B2191" s="5" t="str">
        <f t="shared" si="2247"/>
        <v>SPS1</v>
      </c>
      <c r="C2191" s="5" t="str">
        <f t="shared" si="2248"/>
        <v>CH</v>
      </c>
      <c r="D2191" t="s">
        <v>2320</v>
      </c>
      <c r="E2191" t="s">
        <v>1999</v>
      </c>
      <c r="F2191" s="1" cm="1">
        <f t="array" ref="F2191">(SUMPRODUCT(("var_ncap"=[1]OUT_TransportEnergyCons!$B$4:$B$10000)*1,ISNUMBER(SEARCH("T_b_c*bev*s1",[1]OUT_TransportEnergyCons!$A$4:$A$10000))*1,[1]OUT_TransportEnergyCons!D$4:D$10000))*1000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(SUMPRODUCT(("var_ncap"=[1]OUT_TransportEnergyCons!$B$4:$B$10000)*1,ISNUMBER(SEARCH("T_b_c*bev*s1",[1]OUT_TransportEnergyCons!$A$4:$A$10000))*1,[1]OUT_TransportEnergyCons!E$4:E$10000))*1000</f>
        <v>5.5739263447754797E-3</v>
      </c>
      <c r="H2191" s="1" cm="1">
        <f t="array" ref="H2191">(SUMPRODUCT(("var_ncap"=[1]OUT_TransportEnergyCons!$B$4:$B$10000)*1,ISNUMBER(SEARCH("T_b_c*bev*s1",[1]OUT_TransportEnergyCons!$A$4:$A$10000))*1,[1]OUT_TransportEnergyCons!F$4:F$10000))*1000</f>
        <v>0.67345954623515203</v>
      </c>
      <c r="I2191" s="1" cm="1">
        <f t="array" ref="I2191">(SUMPRODUCT(("var_ncap"=[1]OUT_TransportEnergyCons!$B$4:$B$10000)*1,ISNUMBER(SEARCH("T_b_c*bev*s1",[1]OUT_TransportEnergyCons!$A$4:$A$10000))*1,[1]OUT_TransportEnergyCons!G$4:G$10000))*1000</f>
        <v>1.02059994733223</v>
      </c>
      <c r="J2191" s="1" cm="1">
        <f t="array" ref="J2191">(SUMPRODUCT(("var_ncap"=[1]OUT_TransportEnergyCons!$B$4:$B$10000)*1,ISNUMBER(SEARCH("T_b_c*bev*s1",[1]OUT_TransportEnergyCons!$A$4:$A$10000))*1,[1]OUT_TransportEnergyCons!H$4:H$10000))*1000</f>
        <v>1.3364443347217199</v>
      </c>
      <c r="K2191" s="1" cm="1">
        <f t="array" ref="K2191">(SUMPRODUCT(("var_ncap"=[1]OUT_TransportEnergyCons!$B$4:$B$10000)*1,ISNUMBER(SEARCH("T_b_c*bev*s1",[1]OUT_TransportEnergyCons!$A$4:$A$10000))*1,[1]OUT_TransportEnergyCons!I$4:I$10000))*1000</f>
        <v>7.1655009969176398E-2</v>
      </c>
      <c r="L2191" s="1" cm="1">
        <f t="array" ref="L2191">(SUMPRODUCT(("var_ncap"=[1]OUT_TransportEnergyCons!$B$4:$B$10000)*1,ISNUMBER(SEARCH("T_b_c*bev*s1",[1]OUT_TransportEnergyCons!$A$4:$A$10000))*1,[1]OUT_TransportEnergyCons!J$4:J$10000))*1000</f>
        <v>0.65377899781493898</v>
      </c>
      <c r="M2191" s="1" cm="1">
        <f t="array" ref="M2191">(SUMPRODUCT(("var_ncap"=[1]OUT_TransportEnergyCons!$B$4:$B$10000)*1,ISNUMBER(SEARCH("T_b_c*bev*s1",[1]OUT_TransportEnergyCons!$A$4:$A$10000))*1,[1]OUT_TransportEnergyCons!K$4:K$10000))*1000</f>
        <v>0.73519717782439897</v>
      </c>
      <c r="N2191" s="1" cm="1">
        <f t="array" ref="N2191">(SUMPRODUCT(("var_ncap"=[1]OUT_TransportEnergyCons!$B$4:$B$10000)*1,ISNUMBER(SEARCH("T_b_c*bev*s1",[1]OUT_TransportEnergyCons!$A$4:$A$10000))*1,[1]OUT_TransportEnergyCons!L$4:L$10000))*1000</f>
        <v>0.43073302681980496</v>
      </c>
      <c r="O2191" s="1" cm="1">
        <f t="array" ref="O2191">(SUMPRODUCT(("var_ncap"=[1]OUT_TransportEnergyCons!$B$4:$B$10000)*1,ISNUMBER(SEARCH("T_b_c*bev*s1",[1]OUT_TransportEnergyCons!$A$4:$A$10000))*1,[1]OUT_TransportEnergyCons!M$4:M$10000))*1000</f>
        <v>0.695528081713502</v>
      </c>
      <c r="P2191" s="1" cm="1">
        <f t="array" ref="P2191">(SUMPRODUCT(("var_ncap"=[1]OUT_TransportEnergyCons!$B$4:$B$10000)*1,ISNUMBER(SEARCH("T_b_c*bev*s1",[1]OUT_TransportEnergyCons!$A$4:$A$10000))*1,[1]OUT_TransportEnergyCons!N$4:N$10000))*1000</f>
        <v>0.77204498551601097</v>
      </c>
      <c r="Q2191" s="1" cm="1">
        <f t="array" ref="Q2191">(SUMPRODUCT(("var_ncap"=[1]OUT_TransportEnergyCons!$B$4:$B$10000)*1,ISNUMBER(SEARCH("T_b_c*bev*s1",[1]OUT_TransportEnergyCons!$A$4:$A$10000))*1,[1]OUT_TransportEnergyCons!O$4:O$10000))*1000</f>
        <v>0.34163684217665202</v>
      </c>
      <c r="S2191" s="3"/>
    </row>
    <row r="2192" spans="2:19" x14ac:dyDescent="0.5">
      <c r="B2192" s="5" t="str">
        <f t="shared" si="2247"/>
        <v>SPS1</v>
      </c>
      <c r="C2192" s="5" t="str">
        <f t="shared" si="2248"/>
        <v>CH</v>
      </c>
      <c r="D2192" t="s">
        <v>2321</v>
      </c>
      <c r="E2192" t="s">
        <v>1999</v>
      </c>
      <c r="F2192" s="1" cm="1">
        <f t="array" ref="F2192">(SUMPRODUCT(("var_ncap"=[1]OUT_TransportEnergyCons!$B$4:$B$10000)*1,ISNUMBER(SEARCH("T_b_c*bev*s2",[1]OUT_TransportEnergyCons!$A$4:$A$10000))*1,[1]OUT_TransportEnergyCons!D$4:D$10000))*1000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(SUMPRODUCT(("var_ncap"=[1]OUT_TransportEnergyCons!$B$4:$B$10000)*1,ISNUMBER(SEARCH("T_b_c*bev*s2",[1]OUT_TransportEnergyCons!$A$4:$A$10000))*1,[1]OUT_TransportEnergyCons!E$4:E$10000))*1000</f>
        <v>2.7123713741024E-3</v>
      </c>
      <c r="H2192" s="1" cm="1">
        <f t="array" ref="H2192">(SUMPRODUCT(("var_ncap"=[1]OUT_TransportEnergyCons!$B$4:$B$10000)*1,ISNUMBER(SEARCH("T_b_c*bev*s2",[1]OUT_TransportEnergyCons!$A$4:$A$10000))*1,[1]OUT_TransportEnergyCons!F$4:F$10000))*1000</f>
        <v>0.87184013427683804</v>
      </c>
      <c r="I2192" s="1" cm="1">
        <f t="array" ref="I2192">(SUMPRODUCT(("var_ncap"=[1]OUT_TransportEnergyCons!$B$4:$B$10000)*1,ISNUMBER(SEARCH("T_b_c*bev*s2",[1]OUT_TransportEnergyCons!$A$4:$A$10000))*1,[1]OUT_TransportEnergyCons!G$4:G$10000))*1000</f>
        <v>0.32759474624635199</v>
      </c>
      <c r="J2192" s="1" cm="1">
        <f t="array" ref="J2192">(SUMPRODUCT(("var_ncap"=[1]OUT_TransportEnergyCons!$B$4:$B$10000)*1,ISNUMBER(SEARCH("T_b_c*bev*s2",[1]OUT_TransportEnergyCons!$A$4:$A$10000))*1,[1]OUT_TransportEnergyCons!H$4:H$10000))*1000</f>
        <v>0.92818399551888398</v>
      </c>
      <c r="K2192" s="1" cm="1">
        <f t="array" ref="K2192">(SUMPRODUCT(("var_ncap"=[1]OUT_TransportEnergyCons!$B$4:$B$10000)*1,ISNUMBER(SEARCH("T_b_c*bev*s2",[1]OUT_TransportEnergyCons!$A$4:$A$10000))*1,[1]OUT_TransportEnergyCons!I$4:I$10000))*1000</f>
        <v>0.25353523390971899</v>
      </c>
      <c r="L2192" s="1" cm="1">
        <f t="array" ref="L2192">(SUMPRODUCT(("var_ncap"=[1]OUT_TransportEnergyCons!$B$4:$B$10000)*1,ISNUMBER(SEARCH("T_b_c*bev*s2",[1]OUT_TransportEnergyCons!$A$4:$A$10000))*1,[1]OUT_TransportEnergyCons!J$4:J$10000))*1000</f>
        <v>0.50629100303770902</v>
      </c>
      <c r="M2192" s="1" cm="1">
        <f t="array" ref="M2192">(SUMPRODUCT(("var_ncap"=[1]OUT_TransportEnergyCons!$B$4:$B$10000)*1,ISNUMBER(SEARCH("T_b_c*bev*s2",[1]OUT_TransportEnergyCons!$A$4:$A$10000))*1,[1]OUT_TransportEnergyCons!K$4:K$10000))*1000</f>
        <v>0.65018406830884801</v>
      </c>
      <c r="N2192" s="1" cm="1">
        <f t="array" ref="N2192">(SUMPRODUCT(("var_ncap"=[1]OUT_TransportEnergyCons!$B$4:$B$10000)*1,ISNUMBER(SEARCH("T_b_c*bev*s2",[1]OUT_TransportEnergyCons!$A$4:$A$10000))*1,[1]OUT_TransportEnergyCons!L$4:L$10000))*1000</f>
        <v>0.417955302186716</v>
      </c>
      <c r="O2192" s="1" cm="1">
        <f t="array" ref="O2192">(SUMPRODUCT(("var_ncap"=[1]OUT_TransportEnergyCons!$B$4:$B$10000)*1,ISNUMBER(SEARCH("T_b_c*bev*s2",[1]OUT_TransportEnergyCons!$A$4:$A$10000))*1,[1]OUT_TransportEnergyCons!M$4:M$10000))*1000</f>
        <v>0.58333694797827107</v>
      </c>
      <c r="P2192" s="1" cm="1">
        <f t="array" ref="P2192">(SUMPRODUCT(("var_ncap"=[1]OUT_TransportEnergyCons!$B$4:$B$10000)*1,ISNUMBER(SEARCH("T_b_c*bev*s2",[1]OUT_TransportEnergyCons!$A$4:$A$10000))*1,[1]OUT_TransportEnergyCons!N$4:N$10000))*1000</f>
        <v>0.71387033121825705</v>
      </c>
      <c r="Q2192" s="1" cm="1">
        <f t="array" ref="Q2192">(SUMPRODUCT(("var_ncap"=[1]OUT_TransportEnergyCons!$B$4:$B$10000)*1,ISNUMBER(SEARCH("T_b_c*bev*s2",[1]OUT_TransportEnergyCons!$A$4:$A$10000))*1,[1]OUT_TransportEnergyCons!O$4:O$10000))*1000</f>
        <v>0.29943254271146996</v>
      </c>
      <c r="S2192" s="3"/>
    </row>
    <row r="2193" spans="2:19" x14ac:dyDescent="0.5">
      <c r="B2193" s="5" t="str">
        <f t="shared" si="2247"/>
        <v>SPS1</v>
      </c>
      <c r="C2193" s="5" t="str">
        <f t="shared" si="2248"/>
        <v>CH</v>
      </c>
      <c r="D2193" t="s">
        <v>2322</v>
      </c>
      <c r="E2193" t="s">
        <v>1999</v>
      </c>
      <c r="F2193" s="1" cm="1">
        <f t="array" ref="F2193">(SUMPRODUCT(("var_ncap"=[1]OUT_TransportEnergyCons!$B$4:$B$10000)*1,ISNUMBER(SEARCH("T_b_c*bev*s3",[1]OUT_TransportEnergyCons!$A$4:$A$10000))*1,[1]OUT_TransportEnergyCons!D$4:D$10000))*1000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(SUMPRODUCT(("var_ncap"=[1]OUT_TransportEnergyCons!$B$4:$B$10000)*1,ISNUMBER(SEARCH("T_b_c*bev*s3",[1]OUT_TransportEnergyCons!$A$4:$A$10000))*1,[1]OUT_TransportEnergyCons!E$4:E$10000))*1000</f>
        <v>1.2209802459350199E-3</v>
      </c>
      <c r="H2193" s="1" cm="1">
        <f t="array" ref="H2193">(SUMPRODUCT(("var_ncap"=[1]OUT_TransportEnergyCons!$B$4:$B$10000)*1,ISNUMBER(SEARCH("T_b_c*bev*s3",[1]OUT_TransportEnergyCons!$A$4:$A$10000))*1,[1]OUT_TransportEnergyCons!F$4:F$10000))*1000</f>
        <v>3.0401787334348703E-3</v>
      </c>
      <c r="I2193" s="1" cm="1">
        <f t="array" ref="I2193">(SUMPRODUCT(("var_ncap"=[1]OUT_TransportEnergyCons!$B$4:$B$10000)*1,ISNUMBER(SEARCH("T_b_c*bev*s3",[1]OUT_TransportEnergyCons!$A$4:$A$10000))*1,[1]OUT_TransportEnergyCons!G$4:G$10000))*1000</f>
        <v>5.0835244649127002E-3</v>
      </c>
      <c r="J2193" s="1" cm="1">
        <f t="array" ref="J2193">(SUMPRODUCT(("var_ncap"=[1]OUT_TransportEnergyCons!$B$4:$B$10000)*1,ISNUMBER(SEARCH("T_b_c*bev*s3",[1]OUT_TransportEnergyCons!$A$4:$A$10000))*1,[1]OUT_TransportEnergyCons!H$4:H$10000))*1000</f>
        <v>0.20990077538500401</v>
      </c>
      <c r="K2193" s="1" cm="1">
        <f t="array" ref="K2193">(SUMPRODUCT(("var_ncap"=[1]OUT_TransportEnergyCons!$B$4:$B$10000)*1,ISNUMBER(SEARCH("T_b_c*bev*s3",[1]OUT_TransportEnergyCons!$A$4:$A$10000))*1,[1]OUT_TransportEnergyCons!I$4:I$10000))*1000</f>
        <v>5.5235410269221005E-2</v>
      </c>
      <c r="L2193" s="1" cm="1">
        <f t="array" ref="L2193">(SUMPRODUCT(("var_ncap"=[1]OUT_TransportEnergyCons!$B$4:$B$10000)*1,ISNUMBER(SEARCH("T_b_c*bev*s3",[1]OUT_TransportEnergyCons!$A$4:$A$10000))*1,[1]OUT_TransportEnergyCons!J$4:J$10000))*1000</f>
        <v>0.18285132257606398</v>
      </c>
      <c r="M2193" s="1" cm="1">
        <f t="array" ref="M2193">(SUMPRODUCT(("var_ncap"=[1]OUT_TransportEnergyCons!$B$4:$B$10000)*1,ISNUMBER(SEARCH("T_b_c*bev*s3",[1]OUT_TransportEnergyCons!$A$4:$A$10000))*1,[1]OUT_TransportEnergyCons!K$4:K$10000))*1000</f>
        <v>8.5637676904261398E-2</v>
      </c>
      <c r="N2193" s="1" cm="1">
        <f t="array" ref="N2193">(SUMPRODUCT(("var_ncap"=[1]OUT_TransportEnergyCons!$B$4:$B$10000)*1,ISNUMBER(SEARCH("T_b_c*bev*s3",[1]OUT_TransportEnergyCons!$A$4:$A$10000))*1,[1]OUT_TransportEnergyCons!L$4:L$10000))*1000</f>
        <v>0.16320887600023801</v>
      </c>
      <c r="O2193" s="1" cm="1">
        <f t="array" ref="O2193">(SUMPRODUCT(("var_ncap"=[1]OUT_TransportEnergyCons!$B$4:$B$10000)*1,ISNUMBER(SEARCH("T_b_c*bev*s3",[1]OUT_TransportEnergyCons!$A$4:$A$10000))*1,[1]OUT_TransportEnergyCons!M$4:M$10000))*1000</f>
        <v>0.161304499260914</v>
      </c>
      <c r="P2193" s="1" cm="1">
        <f t="array" ref="P2193">(SUMPRODUCT(("var_ncap"=[1]OUT_TransportEnergyCons!$B$4:$B$10000)*1,ISNUMBER(SEARCH("T_b_c*bev*s3",[1]OUT_TransportEnergyCons!$A$4:$A$10000))*1,[1]OUT_TransportEnergyCons!N$4:N$10000))*1000</f>
        <v>0.13180747861159198</v>
      </c>
      <c r="Q2193" s="1" cm="1">
        <f t="array" ref="Q2193">(SUMPRODUCT(("var_ncap"=[1]OUT_TransportEnergyCons!$B$4:$B$10000)*1,ISNUMBER(SEARCH("T_b_c*bev*s3",[1]OUT_TransportEnergyCons!$A$4:$A$10000))*1,[1]OUT_TransportEnergyCons!O$4:O$10000))*1000</f>
        <v>0.168912272109141</v>
      </c>
      <c r="S2193" s="3"/>
    </row>
    <row r="2194" spans="2:19" x14ac:dyDescent="0.5">
      <c r="B2194" s="5" t="str">
        <f t="shared" si="2247"/>
        <v>SPS1</v>
      </c>
      <c r="C2194" s="5" t="str">
        <f t="shared" si="2248"/>
        <v>CH</v>
      </c>
      <c r="D2194" t="s">
        <v>2323</v>
      </c>
      <c r="E2194" t="s">
        <v>1999</v>
      </c>
      <c r="F2194" s="1" cm="1">
        <f t="array" ref="F2194">(SUMPRODUCT(("var_ncap"=[1]OUT_TransportEnergyCons!$B$4:$B$10000)*1,ISNUMBER(SEARCH("T_b_c*bev*s4",[1]OUT_TransportEnergyCons!$A$4:$A$10000))*1,[1]OUT_TransportEnergyCons!D$4:D$10000))*1000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(SUMPRODUCT(("var_ncap"=[1]OUT_TransportEnergyCons!$B$4:$B$10000)*1,ISNUMBER(SEARCH("T_b_c*bev*s4",[1]OUT_TransportEnergyCons!$A$4:$A$10000))*1,[1]OUT_TransportEnergyCons!E$4:E$10000))*1000</f>
        <v>5.3027391913067299E-4</v>
      </c>
      <c r="H2194" s="1" cm="1">
        <f t="array" ref="H2194">(SUMPRODUCT(("var_ncap"=[1]OUT_TransportEnergyCons!$B$4:$B$10000)*1,ISNUMBER(SEARCH("T_b_c*bev*s4",[1]OUT_TransportEnergyCons!$A$4:$A$10000))*1,[1]OUT_TransportEnergyCons!F$4:F$10000))*1000</f>
        <v>5.4679295564348399E-4</v>
      </c>
      <c r="I2194" s="1" cm="1">
        <f t="array" ref="I2194">(SUMPRODUCT(("var_ncap"=[1]OUT_TransportEnergyCons!$B$4:$B$10000)*1,ISNUMBER(SEARCH("T_b_c*bev*s4",[1]OUT_TransportEnergyCons!$A$4:$A$10000))*1,[1]OUT_TransportEnergyCons!G$4:G$10000))*1000</f>
        <v>6.1376932928497202E-4</v>
      </c>
      <c r="J2194" s="1" cm="1">
        <f t="array" ref="J2194">(SUMPRODUCT(("var_ncap"=[1]OUT_TransportEnergyCons!$B$4:$B$10000)*1,ISNUMBER(SEARCH("T_b_c*bev*s4",[1]OUT_TransportEnergyCons!$A$4:$A$10000))*1,[1]OUT_TransportEnergyCons!H$4:H$10000))*1000</f>
        <v>1.0805680098316302E-3</v>
      </c>
      <c r="K2194" s="1" cm="1">
        <f t="array" ref="K2194">(SUMPRODUCT(("var_ncap"=[1]OUT_TransportEnergyCons!$B$4:$B$10000)*1,ISNUMBER(SEARCH("T_b_c*bev*s4",[1]OUT_TransportEnergyCons!$A$4:$A$10000))*1,[1]OUT_TransportEnergyCons!I$4:I$10000))*1000</f>
        <v>1.15131504716098E-3</v>
      </c>
      <c r="L2194" s="1" cm="1">
        <f t="array" ref="L2194">(SUMPRODUCT(("var_ncap"=[1]OUT_TransportEnergyCons!$B$4:$B$10000)*1,ISNUMBER(SEARCH("T_b_c*bev*s4",[1]OUT_TransportEnergyCons!$A$4:$A$10000))*1,[1]OUT_TransportEnergyCons!J$4:J$10000))*1000</f>
        <v>1.3047935195107602E-3</v>
      </c>
      <c r="M2194" s="1" cm="1">
        <f t="array" ref="M2194">(SUMPRODUCT(("var_ncap"=[1]OUT_TransportEnergyCons!$B$4:$B$10000)*1,ISNUMBER(SEARCH("T_b_c*bev*s4",[1]OUT_TransportEnergyCons!$A$4:$A$10000))*1,[1]OUT_TransportEnergyCons!K$4:K$10000))*1000</f>
        <v>1.8239401489426599E-3</v>
      </c>
      <c r="N2194" s="1" cm="1">
        <f t="array" ref="N2194">(SUMPRODUCT(("var_ncap"=[1]OUT_TransportEnergyCons!$B$4:$B$10000)*1,ISNUMBER(SEARCH("T_b_c*bev*s4",[1]OUT_TransportEnergyCons!$A$4:$A$10000))*1,[1]OUT_TransportEnergyCons!L$4:L$10000))*1000</f>
        <v>1.68847182522296E-3</v>
      </c>
      <c r="O2194" s="1" cm="1">
        <f t="array" ref="O2194">(SUMPRODUCT(("var_ncap"=[1]OUT_TransportEnergyCons!$B$4:$B$10000)*1,ISNUMBER(SEARCH("T_b_c*bev*s4",[1]OUT_TransportEnergyCons!$A$4:$A$10000))*1,[1]OUT_TransportEnergyCons!M$4:M$10000))*1000</f>
        <v>2.2716563920971398E-3</v>
      </c>
      <c r="P2194" s="1" cm="1">
        <f t="array" ref="P2194">(SUMPRODUCT(("var_ncap"=[1]OUT_TransportEnergyCons!$B$4:$B$10000)*1,ISNUMBER(SEARCH("T_b_c*bev*s4",[1]OUT_TransportEnergyCons!$A$4:$A$10000))*1,[1]OUT_TransportEnergyCons!N$4:N$10000))*1000</f>
        <v>2.3310587503033303E-3</v>
      </c>
      <c r="Q2194" s="1" cm="1">
        <f t="array" ref="Q2194">(SUMPRODUCT(("var_ncap"=[1]OUT_TransportEnergyCons!$B$4:$B$10000)*1,ISNUMBER(SEARCH("T_b_c*bev*s4",[1]OUT_TransportEnergyCons!$A$4:$A$10000))*1,[1]OUT_TransportEnergyCons!O$4:O$10000))*1000</f>
        <v>3.3642399103034201E-3</v>
      </c>
      <c r="S2194" s="3"/>
    </row>
    <row r="2195" spans="2:19" x14ac:dyDescent="0.5">
      <c r="B2195" s="5" t="str">
        <f t="shared" si="2247"/>
        <v>SPS1</v>
      </c>
      <c r="C2195" s="5" t="str">
        <f t="shared" si="2248"/>
        <v>CH</v>
      </c>
      <c r="D2195" t="s">
        <v>2324</v>
      </c>
      <c r="E2195" t="s">
        <v>1999</v>
      </c>
      <c r="F2195" s="1" cm="1">
        <f t="array" ref="F2195">(SUMPRODUCT(("var_ncap"=[1]OUT_TransportEnergyCons!$B$4:$B$10000)*1,ISNUMBER(SEARCH("T_b_c*h2o*s1",[1]OUT_TransportEnergyCons!$A$4:$A$10000))*1,[1]OUT_TransportEnergyCons!D$4:D$10000))*1000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(SUMPRODUCT(("var_ncap"=[1]OUT_TransportEnergyCons!$B$4:$B$10000)*1,ISNUMBER(SEARCH("T_b_c*h2o*s1",[1]OUT_TransportEnergyCons!$A$4:$A$10000))*1,[1]OUT_TransportEnergyCons!E$4:E$10000))*1000</f>
        <v>0</v>
      </c>
      <c r="H2195" s="1" cm="1">
        <f t="array" ref="H2195">(SUMPRODUCT(("var_ncap"=[1]OUT_TransportEnergyCons!$B$4:$B$10000)*1,ISNUMBER(SEARCH("T_b_c*h2o*s1",[1]OUT_TransportEnergyCons!$A$4:$A$10000))*1,[1]OUT_TransportEnergyCons!F$4:F$10000))*1000</f>
        <v>0</v>
      </c>
      <c r="I2195" s="1" cm="1">
        <f t="array" ref="I2195">(SUMPRODUCT(("var_ncap"=[1]OUT_TransportEnergyCons!$B$4:$B$10000)*1,ISNUMBER(SEARCH("T_b_c*h2o*s1",[1]OUT_TransportEnergyCons!$A$4:$A$10000))*1,[1]OUT_TransportEnergyCons!G$4:G$10000))*1000</f>
        <v>3.30323187599858E-4</v>
      </c>
      <c r="J2195" s="1" cm="1">
        <f t="array" ref="J2195">(SUMPRODUCT(("var_ncap"=[1]OUT_TransportEnergyCons!$B$4:$B$10000)*1,ISNUMBER(SEARCH("T_b_c*h2o*s1",[1]OUT_TransportEnergyCons!$A$4:$A$10000))*1,[1]OUT_TransportEnergyCons!H$4:H$10000))*1000</f>
        <v>1.3478281404796899E-4</v>
      </c>
      <c r="K2195" s="1" cm="1">
        <f t="array" ref="K2195">(SUMPRODUCT(("var_ncap"=[1]OUT_TransportEnergyCons!$B$4:$B$10000)*1,ISNUMBER(SEARCH("T_b_c*h2o*s1",[1]OUT_TransportEnergyCons!$A$4:$A$10000))*1,[1]OUT_TransportEnergyCons!I$4:I$10000))*1000</f>
        <v>1.11340660462909E-4</v>
      </c>
      <c r="L2195" s="1" cm="1">
        <f t="array" ref="L2195">(SUMPRODUCT(("var_ncap"=[1]OUT_TransportEnergyCons!$B$4:$B$10000)*1,ISNUMBER(SEARCH("T_b_c*h2o*s1",[1]OUT_TransportEnergyCons!$A$4:$A$10000))*1,[1]OUT_TransportEnergyCons!J$4:J$10000))*1000</f>
        <v>1.2543826070621E-4</v>
      </c>
      <c r="M2195" s="1" cm="1">
        <f t="array" ref="M2195">(SUMPRODUCT(("var_ncap"=[1]OUT_TransportEnergyCons!$B$4:$B$10000)*1,ISNUMBER(SEARCH("T_b_c*h2o*s1",[1]OUT_TransportEnergyCons!$A$4:$A$10000))*1,[1]OUT_TransportEnergyCons!K$4:K$10000))*1000</f>
        <v>1.4539233877237001E-4</v>
      </c>
      <c r="N2195" s="1" cm="1">
        <f t="array" ref="N2195">(SUMPRODUCT(("var_ncap"=[1]OUT_TransportEnergyCons!$B$4:$B$10000)*1,ISNUMBER(SEARCH("T_b_c*h2o*s1",[1]OUT_TransportEnergyCons!$A$4:$A$10000))*1,[1]OUT_TransportEnergyCons!L$4:L$10000))*1000</f>
        <v>1.2083942588301601E-4</v>
      </c>
      <c r="O2195" s="1" cm="1">
        <f t="array" ref="O2195">(SUMPRODUCT(("var_ncap"=[1]OUT_TransportEnergyCons!$B$4:$B$10000)*1,ISNUMBER(SEARCH("T_b_c*h2o*s1",[1]OUT_TransportEnergyCons!$A$4:$A$10000))*1,[1]OUT_TransportEnergyCons!M$4:M$10000))*1000</f>
        <v>1.29289092354731E-4</v>
      </c>
      <c r="P2195" s="1" cm="1">
        <f t="array" ref="P2195">(SUMPRODUCT(("var_ncap"=[1]OUT_TransportEnergyCons!$B$4:$B$10000)*1,ISNUMBER(SEARCH("T_b_c*h2o*s1",[1]OUT_TransportEnergyCons!$A$4:$A$10000))*1,[1]OUT_TransportEnergyCons!N$4:N$10000))*1000</f>
        <v>1.40993880568183E-4</v>
      </c>
      <c r="Q2195" s="1" cm="1">
        <f t="array" ref="Q2195">(SUMPRODUCT(("var_ncap"=[1]OUT_TransportEnergyCons!$B$4:$B$10000)*1,ISNUMBER(SEARCH("T_b_c*h2o*s1",[1]OUT_TransportEnergyCons!$A$4:$A$10000))*1,[1]OUT_TransportEnergyCons!O$4:O$10000))*1000</f>
        <v>1.3672762368793702E-4</v>
      </c>
      <c r="S2195" s="3"/>
    </row>
    <row r="2196" spans="2:19" x14ac:dyDescent="0.5">
      <c r="B2196" s="5" t="str">
        <f t="shared" si="2247"/>
        <v>SPS1</v>
      </c>
      <c r="C2196" s="5" t="str">
        <f t="shared" si="2248"/>
        <v>CH</v>
      </c>
      <c r="D2196" t="s">
        <v>2325</v>
      </c>
      <c r="E2196" t="s">
        <v>1999</v>
      </c>
      <c r="F2196" s="1" cm="1">
        <f t="array" ref="F2196">(SUMPRODUCT(("var_ncap"=[1]OUT_TransportEnergyCons!$B$4:$B$10000)*1,ISNUMBER(SEARCH("T_b_c*h2o*s2",[1]OUT_TransportEnergyCons!$A$4:$A$10000))*1,[1]OUT_TransportEnergyCons!D$4:D$10000))*1000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(SUMPRODUCT(("var_ncap"=[1]OUT_TransportEnergyCons!$B$4:$B$10000)*1,ISNUMBER(SEARCH("T_b_c*h2o*s2",[1]OUT_TransportEnergyCons!$A$4:$A$10000))*1,[1]OUT_TransportEnergyCons!E$4:E$10000))*1000</f>
        <v>0</v>
      </c>
      <c r="H2196" s="1" cm="1">
        <f t="array" ref="H2196">(SUMPRODUCT(("var_ncap"=[1]OUT_TransportEnergyCons!$B$4:$B$10000)*1,ISNUMBER(SEARCH("T_b_c*h2o*s2",[1]OUT_TransportEnergyCons!$A$4:$A$10000))*1,[1]OUT_TransportEnergyCons!F$4:F$10000))*1000</f>
        <v>0</v>
      </c>
      <c r="I2196" s="1" cm="1">
        <f t="array" ref="I2196">(SUMPRODUCT(("var_ncap"=[1]OUT_TransportEnergyCons!$B$4:$B$10000)*1,ISNUMBER(SEARCH("T_b_c*h2o*s2",[1]OUT_TransportEnergyCons!$A$4:$A$10000))*1,[1]OUT_TransportEnergyCons!G$4:G$10000))*1000</f>
        <v>2.9864472746088004E-4</v>
      </c>
      <c r="J2196" s="1" cm="1">
        <f t="array" ref="J2196">(SUMPRODUCT(("var_ncap"=[1]OUT_TransportEnergyCons!$B$4:$B$10000)*1,ISNUMBER(SEARCH("T_b_c*h2o*s2",[1]OUT_TransportEnergyCons!$A$4:$A$10000))*1,[1]OUT_TransportEnergyCons!H$4:H$10000))*1000</f>
        <v>1.5338640954316198E-4</v>
      </c>
      <c r="K2196" s="1" cm="1">
        <f t="array" ref="K2196">(SUMPRODUCT(("var_ncap"=[1]OUT_TransportEnergyCons!$B$4:$B$10000)*1,ISNUMBER(SEARCH("T_b_c*h2o*s2",[1]OUT_TransportEnergyCons!$A$4:$A$10000))*1,[1]OUT_TransportEnergyCons!I$4:I$10000))*1000</f>
        <v>1.0774608343558801E-4</v>
      </c>
      <c r="L2196" s="1" cm="1">
        <f t="array" ref="L2196">(SUMPRODUCT(("var_ncap"=[1]OUT_TransportEnergyCons!$B$4:$B$10000)*1,ISNUMBER(SEARCH("T_b_c*h2o*s2",[1]OUT_TransportEnergyCons!$A$4:$A$10000))*1,[1]OUT_TransportEnergyCons!J$4:J$10000))*1000</f>
        <v>1.1078170475424999E-4</v>
      </c>
      <c r="M2196" s="1" cm="1">
        <f t="array" ref="M2196">(SUMPRODUCT(("var_ncap"=[1]OUT_TransportEnergyCons!$B$4:$B$10000)*1,ISNUMBER(SEARCH("T_b_c*h2o*s2",[1]OUT_TransportEnergyCons!$A$4:$A$10000))*1,[1]OUT_TransportEnergyCons!K$4:K$10000))*1000</f>
        <v>1.4233535610607201E-4</v>
      </c>
      <c r="N2196" s="1" cm="1">
        <f t="array" ref="N2196">(SUMPRODUCT(("var_ncap"=[1]OUT_TransportEnergyCons!$B$4:$B$10000)*1,ISNUMBER(SEARCH("T_b_c*h2o*s2",[1]OUT_TransportEnergyCons!$A$4:$A$10000))*1,[1]OUT_TransportEnergyCons!L$4:L$10000))*1000</f>
        <v>1.2226702846493602E-4</v>
      </c>
      <c r="O2196" s="1" cm="1">
        <f t="array" ref="O2196">(SUMPRODUCT(("var_ncap"=[1]OUT_TransportEnergyCons!$B$4:$B$10000)*1,ISNUMBER(SEARCH("T_b_c*h2o*s2",[1]OUT_TransportEnergyCons!$A$4:$A$10000))*1,[1]OUT_TransportEnergyCons!M$4:M$10000))*1000</f>
        <v>1.3605404518224299E-4</v>
      </c>
      <c r="P2196" s="1" cm="1">
        <f t="array" ref="P2196">(SUMPRODUCT(("var_ncap"=[1]OUT_TransportEnergyCons!$B$4:$B$10000)*1,ISNUMBER(SEARCH("T_b_c*h2o*s2",[1]OUT_TransportEnergyCons!$A$4:$A$10000))*1,[1]OUT_TransportEnergyCons!N$4:N$10000))*1000</f>
        <v>1.5090808065157E-4</v>
      </c>
      <c r="Q2196" s="1" cm="1">
        <f t="array" ref="Q2196">(SUMPRODUCT(("var_ncap"=[1]OUT_TransportEnergyCons!$B$4:$B$10000)*1,ISNUMBER(SEARCH("T_b_c*h2o*s2",[1]OUT_TransportEnergyCons!$A$4:$A$10000))*1,[1]OUT_TransportEnergyCons!O$4:O$10000))*1000</f>
        <v>1.41804208270827E-4</v>
      </c>
      <c r="S2196" s="3"/>
    </row>
    <row r="2197" spans="2:19" x14ac:dyDescent="0.5">
      <c r="B2197" s="5" t="str">
        <f t="shared" si="2247"/>
        <v>SPS1</v>
      </c>
      <c r="C2197" s="5" t="str">
        <f t="shared" si="2248"/>
        <v>CH</v>
      </c>
      <c r="D2197" t="s">
        <v>2326</v>
      </c>
      <c r="E2197" t="s">
        <v>1999</v>
      </c>
      <c r="F2197" s="1" cm="1">
        <f t="array" ref="F2197">(SUMPRODUCT(("var_ncap"=[1]OUT_TransportEnergyCons!$B$4:$B$10000)*1,ISNUMBER(SEARCH("T_b_c*h2o*s3",[1]OUT_TransportEnergyCons!$A$4:$A$10000))*1,[1]OUT_TransportEnergyCons!D$4:D$10000))*1000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(SUMPRODUCT(("var_ncap"=[1]OUT_TransportEnergyCons!$B$4:$B$10000)*1,ISNUMBER(SEARCH("T_b_c*h2o*s3",[1]OUT_TransportEnergyCons!$A$4:$A$10000))*1,[1]OUT_TransportEnergyCons!E$4:E$10000))*1000</f>
        <v>0</v>
      </c>
      <c r="H2197" s="1" cm="1">
        <f t="array" ref="H2197">(SUMPRODUCT(("var_ncap"=[1]OUT_TransportEnergyCons!$B$4:$B$10000)*1,ISNUMBER(SEARCH("T_b_c*h2o*s3",[1]OUT_TransportEnergyCons!$A$4:$A$10000))*1,[1]OUT_TransportEnergyCons!F$4:F$10000))*1000</f>
        <v>0</v>
      </c>
      <c r="I2197" s="1" cm="1">
        <f t="array" ref="I2197">(SUMPRODUCT(("var_ncap"=[1]OUT_TransportEnergyCons!$B$4:$B$10000)*1,ISNUMBER(SEARCH("T_b_c*h2o*s3",[1]OUT_TransportEnergyCons!$A$4:$A$10000))*1,[1]OUT_TransportEnergyCons!G$4:G$10000))*1000</f>
        <v>1.5102639283532499E-4</v>
      </c>
      <c r="J2197" s="1" cm="1">
        <f t="array" ref="J2197">(SUMPRODUCT(("var_ncap"=[1]OUT_TransportEnergyCons!$B$4:$B$10000)*1,ISNUMBER(SEARCH("T_b_c*h2o*s3",[1]OUT_TransportEnergyCons!$A$4:$A$10000))*1,[1]OUT_TransportEnergyCons!H$4:H$10000))*1000</f>
        <v>1.20911057135682E-4</v>
      </c>
      <c r="K2197" s="1" cm="1">
        <f t="array" ref="K2197">(SUMPRODUCT(("var_ncap"=[1]OUT_TransportEnergyCons!$B$4:$B$10000)*1,ISNUMBER(SEARCH("T_b_c*h2o*s3",[1]OUT_TransportEnergyCons!$A$4:$A$10000))*1,[1]OUT_TransportEnergyCons!I$4:I$10000))*1000</f>
        <v>5.2879098096981398E-5</v>
      </c>
      <c r="L2197" s="1" cm="1">
        <f t="array" ref="L2197">(SUMPRODUCT(("var_ncap"=[1]OUT_TransportEnergyCons!$B$4:$B$10000)*1,ISNUMBER(SEARCH("T_b_c*h2o*s3",[1]OUT_TransportEnergyCons!$A$4:$A$10000))*1,[1]OUT_TransportEnergyCons!J$4:J$10000))*1000</f>
        <v>6.6477907289565208E-5</v>
      </c>
      <c r="M2197" s="1" cm="1">
        <f t="array" ref="M2197">(SUMPRODUCT(("var_ncap"=[1]OUT_TransportEnergyCons!$B$4:$B$10000)*1,ISNUMBER(SEARCH("T_b_c*h2o*s3",[1]OUT_TransportEnergyCons!$A$4:$A$10000))*1,[1]OUT_TransportEnergyCons!K$4:K$10000))*1000</f>
        <v>6.3727718378869095E-5</v>
      </c>
      <c r="N2197" s="1" cm="1">
        <f t="array" ref="N2197">(SUMPRODUCT(("var_ncap"=[1]OUT_TransportEnergyCons!$B$4:$B$10000)*1,ISNUMBER(SEARCH("T_b_c*h2o*s3",[1]OUT_TransportEnergyCons!$A$4:$A$10000))*1,[1]OUT_TransportEnergyCons!L$4:L$10000))*1000</f>
        <v>7.8179665788682905E-5</v>
      </c>
      <c r="O2197" s="1" cm="1">
        <f t="array" ref="O2197">(SUMPRODUCT(("var_ncap"=[1]OUT_TransportEnergyCons!$B$4:$B$10000)*1,ISNUMBER(SEARCH("T_b_c*h2o*s3",[1]OUT_TransportEnergyCons!$A$4:$A$10000))*1,[1]OUT_TransportEnergyCons!M$4:M$10000))*1000</f>
        <v>8.1009442329071899E-5</v>
      </c>
      <c r="P2197" s="1" cm="1">
        <f t="array" ref="P2197">(SUMPRODUCT(("var_ncap"=[1]OUT_TransportEnergyCons!$B$4:$B$10000)*1,ISNUMBER(SEARCH("T_b_c*h2o*s3",[1]OUT_TransportEnergyCons!$A$4:$A$10000))*1,[1]OUT_TransportEnergyCons!N$4:N$10000))*1000</f>
        <v>6.3615722828723695E-5</v>
      </c>
      <c r="Q2197" s="1" cm="1">
        <f t="array" ref="Q2197">(SUMPRODUCT(("var_ncap"=[1]OUT_TransportEnergyCons!$B$4:$B$10000)*1,ISNUMBER(SEARCH("T_b_c*h2o*s3",[1]OUT_TransportEnergyCons!$A$4:$A$10000))*1,[1]OUT_TransportEnergyCons!O$4:O$10000))*1000</f>
        <v>9.7839309879390793E-5</v>
      </c>
      <c r="S2197" s="3"/>
    </row>
    <row r="2198" spans="2:19" x14ac:dyDescent="0.5">
      <c r="B2198" s="5" t="str">
        <f t="shared" ref="B2198:B2232" si="2251">B2197</f>
        <v>SPS1</v>
      </c>
      <c r="C2198" s="5" t="str">
        <f t="shared" ref="C2198:C2232" si="2252">C2197</f>
        <v>CH</v>
      </c>
      <c r="D2198" t="s">
        <v>2327</v>
      </c>
      <c r="E2198" t="s">
        <v>1999</v>
      </c>
      <c r="F2198" s="1" cm="1">
        <f t="array" ref="F2198">(SUMPRODUCT(("var_ncap"=[1]OUT_TransportEnergyCons!$B$4:$B$10000)*1,ISNUMBER(SEARCH("T_b_c*h2o*s4",[1]OUT_TransportEnergyCons!$A$4:$A$10000))*1,[1]OUT_TransportEnergyCons!D$4:D$10000))*1000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(SUMPRODUCT(("var_ncap"=[1]OUT_TransportEnergyCons!$B$4:$B$10000)*1,ISNUMBER(SEARCH("T_b_c*h2o*s4",[1]OUT_TransportEnergyCons!$A$4:$A$10000))*1,[1]OUT_TransportEnergyCons!E$4:E$10000))*1000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(SUMPRODUCT(("var_ncap"=[1]OUT_TransportEnergyCons!$B$4:$B$10000)*1,ISNUMBER(SEARCH("T_b_c*h2o*s4",[1]OUT_TransportEnergyCons!$A$4:$A$10000))*1,[1]OUT_TransportEnergyCons!F$4:F$10000))*1000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(SUMPRODUCT(("var_ncap"=[1]OUT_TransportEnergyCons!$B$4:$B$10000)*1,ISNUMBER(SEARCH("T_b_c*h2o*s4",[1]OUT_TransportEnergyCons!$A$4:$A$10000))*1,[1]OUT_TransportEnergyCons!G$4:G$10000))*1000</f>
        <v>0</v>
      </c>
      <c r="J2198" s="1" cm="1">
        <f t="array" ref="J2198">(SUMPRODUCT(("var_ncap"=[1]OUT_TransportEnergyCons!$B$4:$B$10000)*1,ISNUMBER(SEARCH("T_b_c*h2o*s4",[1]OUT_TransportEnergyCons!$A$4:$A$10000))*1,[1]OUT_TransportEnergyCons!H$4:H$10000))*1000</f>
        <v>0</v>
      </c>
      <c r="K2198" s="1" cm="1">
        <f t="array" ref="K2198">(SUMPRODUCT(("var_ncap"=[1]OUT_TransportEnergyCons!$B$4:$B$10000)*1,ISNUMBER(SEARCH("T_b_c*h2o*s4",[1]OUT_TransportEnergyCons!$A$4:$A$10000))*1,[1]OUT_TransportEnergyCons!I$4:I$10000))*1000</f>
        <v>0</v>
      </c>
      <c r="L2198" s="1" cm="1">
        <f t="array" ref="L2198">(SUMPRODUCT(("var_ncap"=[1]OUT_TransportEnergyCons!$B$4:$B$10000)*1,ISNUMBER(SEARCH("T_b_c*h2o*s4",[1]OUT_TransportEnergyCons!$A$4:$A$10000))*1,[1]OUT_TransportEnergyCons!J$4:J$10000))*1000</f>
        <v>0</v>
      </c>
      <c r="M2198" s="1" cm="1">
        <f t="array" ref="M2198">(SUMPRODUCT(("var_ncap"=[1]OUT_TransportEnergyCons!$B$4:$B$10000)*1,ISNUMBER(SEARCH("T_b_c*h2o*s4",[1]OUT_TransportEnergyCons!$A$4:$A$10000))*1,[1]OUT_TransportEnergyCons!K$4:K$10000))*1000</f>
        <v>0</v>
      </c>
      <c r="N2198" s="1" cm="1">
        <f t="array" ref="N2198">(SUMPRODUCT(("var_ncap"=[1]OUT_TransportEnergyCons!$B$4:$B$10000)*1,ISNUMBER(SEARCH("T_b_c*h2o*s4",[1]OUT_TransportEnergyCons!$A$4:$A$10000))*1,[1]OUT_TransportEnergyCons!L$4:L$10000))*1000</f>
        <v>0</v>
      </c>
      <c r="O2198" s="1" cm="1">
        <f t="array" ref="O2198">(SUMPRODUCT(("var_ncap"=[1]OUT_TransportEnergyCons!$B$4:$B$10000)*1,ISNUMBER(SEARCH("T_b_c*h2o*s4",[1]OUT_TransportEnergyCons!$A$4:$A$10000))*1,[1]OUT_TransportEnergyCons!M$4:M$10000))*1000</f>
        <v>0</v>
      </c>
      <c r="P2198" s="1" cm="1">
        <f t="array" ref="P2198">(SUMPRODUCT(("var_ncap"=[1]OUT_TransportEnergyCons!$B$4:$B$10000)*1,ISNUMBER(SEARCH("T_b_c*h2o*s4",[1]OUT_TransportEnergyCons!$A$4:$A$10000))*1,[1]OUT_TransportEnergyCons!N$4:N$10000))*1000</f>
        <v>0</v>
      </c>
      <c r="Q2198" s="1" cm="1">
        <f t="array" ref="Q2198">(SUMPRODUCT(("var_ncap"=[1]OUT_TransportEnergyCons!$B$4:$B$10000)*1,ISNUMBER(SEARCH("T_b_c*h2o*s4",[1]OUT_TransportEnergyCons!$A$4:$A$10000))*1,[1]OUT_TransportEnergyCons!O$4:O$10000))*1000</f>
        <v>2.3272558920732698E-5</v>
      </c>
      <c r="S2198" s="3"/>
    </row>
    <row r="2199" spans="2:19" x14ac:dyDescent="0.5">
      <c r="B2199" s="5" t="str">
        <f t="shared" si="2251"/>
        <v>SPS1</v>
      </c>
      <c r="C2199" s="5" t="str">
        <f t="shared" si="2252"/>
        <v>CH</v>
      </c>
      <c r="D2199" t="s">
        <v>2328</v>
      </c>
      <c r="E2199" t="s">
        <v>1999</v>
      </c>
      <c r="F2199" s="1" cm="1">
        <f t="array" ref="F2199">(SUMPRODUCT(("var_ncap"=[1]OUT_TransportEnergyCons!$B$4:$B$10000)*1,ISNUMBER(SEARCH("T_b_c*hyb*DSL*s1",[1]OUT_TransportEnergyCons!$A$4:$A$10000))*1,[1]OUT_TransportEnergyCons!D$4:D$10000))*1000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(SUMPRODUCT(("var_ncap"=[1]OUT_TransportEnergyCons!$B$4:$B$10000)*1,ISNUMBER(SEARCH("T_b_c*hyb*DSL*s1",[1]OUT_TransportEnergyCons!$A$4:$A$10000))*1,[1]OUT_TransportEnergyCons!E$4:E$10000))*1000</f>
        <v>0.47836939002651702</v>
      </c>
      <c r="H2199" s="1" cm="1">
        <f t="array" ref="H2199">(SUMPRODUCT(("var_ncap"=[1]OUT_TransportEnergyCons!$B$4:$B$10000)*1,ISNUMBER(SEARCH("T_b_c*hyb*DSL*s1",[1]OUT_TransportEnergyCons!$A$4:$A$10000))*1,[1]OUT_TransportEnergyCons!F$4:F$10000))*1000</f>
        <v>7.3744713080439901E-3</v>
      </c>
      <c r="I2199" s="1" cm="1">
        <f t="array" ref="I2199">(SUMPRODUCT(("var_ncap"=[1]OUT_TransportEnergyCons!$B$4:$B$10000)*1,ISNUMBER(SEARCH("T_b_c*hyb*DSL*s1",[1]OUT_TransportEnergyCons!$A$4:$A$10000))*1,[1]OUT_TransportEnergyCons!G$4:G$10000))*1000</f>
        <v>8.3390051342411306E-5</v>
      </c>
      <c r="J2199" s="1" cm="1">
        <f t="array" ref="J2199">(SUMPRODUCT(("var_ncap"=[1]OUT_TransportEnergyCons!$B$4:$B$10000)*1,ISNUMBER(SEARCH("T_b_c*hyb*DSL*s1",[1]OUT_TransportEnergyCons!$A$4:$A$10000))*1,[1]OUT_TransportEnergyCons!H$4:H$10000))*1000</f>
        <v>0</v>
      </c>
      <c r="K2199" s="1" cm="1">
        <f t="array" ref="K2199">(SUMPRODUCT(("var_ncap"=[1]OUT_TransportEnergyCons!$B$4:$B$10000)*1,ISNUMBER(SEARCH("T_b_c*hyb*DSL*s1",[1]OUT_TransportEnergyCons!$A$4:$A$10000))*1,[1]OUT_TransportEnergyCons!I$4:I$10000))*1000</f>
        <v>0</v>
      </c>
      <c r="L2199" s="1" cm="1">
        <f t="array" ref="L2199">(SUMPRODUCT(("var_ncap"=[1]OUT_TransportEnergyCons!$B$4:$B$10000)*1,ISNUMBER(SEARCH("T_b_c*hyb*DSL*s1",[1]OUT_TransportEnergyCons!$A$4:$A$10000))*1,[1]OUT_TransportEnergyCons!J$4:J$10000))*1000</f>
        <v>6.1340790794554791E-5</v>
      </c>
      <c r="M2199" s="1" cm="1">
        <f t="array" ref="M2199">(SUMPRODUCT(("var_ncap"=[1]OUT_TransportEnergyCons!$B$4:$B$10000)*1,ISNUMBER(SEARCH("T_b_c*hyb*DSL*s1",[1]OUT_TransportEnergyCons!$A$4:$A$10000))*1,[1]OUT_TransportEnergyCons!K$4:K$10000))*1000</f>
        <v>0</v>
      </c>
      <c r="N2199" s="1" cm="1">
        <f t="array" ref="N2199">(SUMPRODUCT(("var_ncap"=[1]OUT_TransportEnergyCons!$B$4:$B$10000)*1,ISNUMBER(SEARCH("T_b_c*hyb*DSL*s1",[1]OUT_TransportEnergyCons!$A$4:$A$10000))*1,[1]OUT_TransportEnergyCons!L$4:L$10000))*1000</f>
        <v>0</v>
      </c>
      <c r="O2199" s="1" cm="1">
        <f t="array" ref="O2199">(SUMPRODUCT(("var_ncap"=[1]OUT_TransportEnergyCons!$B$4:$B$10000)*1,ISNUMBER(SEARCH("T_b_c*hyb*DSL*s1",[1]OUT_TransportEnergyCons!$A$4:$A$10000))*1,[1]OUT_TransportEnergyCons!M$4:M$10000))*1000</f>
        <v>0</v>
      </c>
      <c r="P2199" s="1" cm="1">
        <f t="array" ref="P2199">(SUMPRODUCT(("var_ncap"=[1]OUT_TransportEnergyCons!$B$4:$B$10000)*1,ISNUMBER(SEARCH("T_b_c*hyb*DSL*s1",[1]OUT_TransportEnergyCons!$A$4:$A$10000))*1,[1]OUT_TransportEnergyCons!N$4:N$10000))*1000</f>
        <v>0</v>
      </c>
      <c r="Q2199" s="1" cm="1">
        <f t="array" ref="Q2199">(SUMPRODUCT(("var_ncap"=[1]OUT_TransportEnergyCons!$B$4:$B$10000)*1,ISNUMBER(SEARCH("T_b_c*hyb*DSL*s1",[1]OUT_TransportEnergyCons!$A$4:$A$10000))*1,[1]OUT_TransportEnergyCons!O$4:O$10000))*1000</f>
        <v>0</v>
      </c>
      <c r="S2199" s="3"/>
    </row>
    <row r="2200" spans="2:19" x14ac:dyDescent="0.5">
      <c r="B2200" s="5" t="str">
        <f t="shared" si="2251"/>
        <v>SPS1</v>
      </c>
      <c r="C2200" s="5" t="str">
        <f t="shared" si="2252"/>
        <v>CH</v>
      </c>
      <c r="D2200" t="s">
        <v>2329</v>
      </c>
      <c r="E2200" t="s">
        <v>1999</v>
      </c>
      <c r="F2200" s="1" cm="1">
        <f t="array" ref="F2200">(SUMPRODUCT(("var_ncap"=[1]OUT_TransportEnergyCons!$B$4:$B$10000)*1,ISNUMBER(SEARCH("T_b_c*hyb*DSL*s2",[1]OUT_TransportEnergyCons!$A$4:$A$10000))*1,[1]OUT_TransportEnergyCons!D$4:D$10000))*1000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(SUMPRODUCT(("var_ncap"=[1]OUT_TransportEnergyCons!$B$4:$B$10000)*1,ISNUMBER(SEARCH("T_b_c*hyb*DSL*s2",[1]OUT_TransportEnergyCons!$A$4:$A$10000))*1,[1]OUT_TransportEnergyCons!E$4:E$10000))*1000</f>
        <v>2.2422326843258302E-3</v>
      </c>
      <c r="H2200" s="1" cm="1">
        <f t="array" ref="H2200">(SUMPRODUCT(("var_ncap"=[1]OUT_TransportEnergyCons!$B$4:$B$10000)*1,ISNUMBER(SEARCH("T_b_c*hyb*DSL*s2",[1]OUT_TransportEnergyCons!$A$4:$A$10000))*1,[1]OUT_TransportEnergyCons!F$4:F$10000))*1000</f>
        <v>4.30174532061855E-3</v>
      </c>
      <c r="I2200" s="1" cm="1">
        <f t="array" ref="I2200">(SUMPRODUCT(("var_ncap"=[1]OUT_TransportEnergyCons!$B$4:$B$10000)*1,ISNUMBER(SEARCH("T_b_c*hyb*DSL*s2",[1]OUT_TransportEnergyCons!$A$4:$A$10000))*1,[1]OUT_TransportEnergyCons!G$4:G$10000))*1000</f>
        <v>4.8478780820039797E-4</v>
      </c>
      <c r="J2200" s="1" cm="1">
        <f t="array" ref="J2200">(SUMPRODUCT(("var_ncap"=[1]OUT_TransportEnergyCons!$B$4:$B$10000)*1,ISNUMBER(SEARCH("T_b_c*hyb*DSL*s2",[1]OUT_TransportEnergyCons!$A$4:$A$10000))*1,[1]OUT_TransportEnergyCons!H$4:H$10000))*1000</f>
        <v>0</v>
      </c>
      <c r="K2200" s="1" cm="1">
        <f t="array" ref="K2200">(SUMPRODUCT(("var_ncap"=[1]OUT_TransportEnergyCons!$B$4:$B$10000)*1,ISNUMBER(SEARCH("T_b_c*hyb*DSL*s2",[1]OUT_TransportEnergyCons!$A$4:$A$10000))*1,[1]OUT_TransportEnergyCons!I$4:I$10000))*1000</f>
        <v>0</v>
      </c>
      <c r="L2200" s="1" cm="1">
        <f t="array" ref="L2200">(SUMPRODUCT(("var_ncap"=[1]OUT_TransportEnergyCons!$B$4:$B$10000)*1,ISNUMBER(SEARCH("T_b_c*hyb*DSL*s2",[1]OUT_TransportEnergyCons!$A$4:$A$10000))*1,[1]OUT_TransportEnergyCons!J$4:J$10000))*1000</f>
        <v>2.0674400105684E-4</v>
      </c>
      <c r="M2200" s="1" cm="1">
        <f t="array" ref="M2200">(SUMPRODUCT(("var_ncap"=[1]OUT_TransportEnergyCons!$B$4:$B$10000)*1,ISNUMBER(SEARCH("T_b_c*hyb*DSL*s2",[1]OUT_TransportEnergyCons!$A$4:$A$10000))*1,[1]OUT_TransportEnergyCons!K$4:K$10000))*1000</f>
        <v>0</v>
      </c>
      <c r="N2200" s="1" cm="1">
        <f t="array" ref="N2200">(SUMPRODUCT(("var_ncap"=[1]OUT_TransportEnergyCons!$B$4:$B$10000)*1,ISNUMBER(SEARCH("T_b_c*hyb*DSL*s2",[1]OUT_TransportEnergyCons!$A$4:$A$10000))*1,[1]OUT_TransportEnergyCons!L$4:L$10000))*1000</f>
        <v>0</v>
      </c>
      <c r="O2200" s="1" cm="1">
        <f t="array" ref="O2200">(SUMPRODUCT(("var_ncap"=[1]OUT_TransportEnergyCons!$B$4:$B$10000)*1,ISNUMBER(SEARCH("T_b_c*hyb*DSL*s2",[1]OUT_TransportEnergyCons!$A$4:$A$10000))*1,[1]OUT_TransportEnergyCons!M$4:M$10000))*1000</f>
        <v>0</v>
      </c>
      <c r="P2200" s="1" cm="1">
        <f t="array" ref="P2200">(SUMPRODUCT(("var_ncap"=[1]OUT_TransportEnergyCons!$B$4:$B$10000)*1,ISNUMBER(SEARCH("T_b_c*hyb*DSL*s2",[1]OUT_TransportEnergyCons!$A$4:$A$10000))*1,[1]OUT_TransportEnergyCons!N$4:N$10000))*1000</f>
        <v>0</v>
      </c>
      <c r="Q2200" s="1" cm="1">
        <f t="array" ref="Q2200">(SUMPRODUCT(("var_ncap"=[1]OUT_TransportEnergyCons!$B$4:$B$10000)*1,ISNUMBER(SEARCH("T_b_c*hyb*DSL*s2",[1]OUT_TransportEnergyCons!$A$4:$A$10000))*1,[1]OUT_TransportEnergyCons!O$4:O$10000))*1000</f>
        <v>0</v>
      </c>
      <c r="S2200" s="3"/>
    </row>
    <row r="2201" spans="2:19" x14ac:dyDescent="0.5">
      <c r="B2201" s="5" t="str">
        <f t="shared" si="2251"/>
        <v>SPS1</v>
      </c>
      <c r="C2201" s="5" t="str">
        <f t="shared" si="2252"/>
        <v>CH</v>
      </c>
      <c r="D2201" t="s">
        <v>2330</v>
      </c>
      <c r="E2201" t="s">
        <v>1999</v>
      </c>
      <c r="F2201" s="1" cm="1">
        <f t="array" ref="F2201">(SUMPRODUCT(("var_ncap"=[1]OUT_TransportEnergyCons!$B$4:$B$10000)*1,ISNUMBER(SEARCH("T_b_c*hyb*DSL*s3",[1]OUT_TransportEnergyCons!$A$4:$A$10000))*1,[1]OUT_TransportEnergyCons!D$4:D$10000))*1000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(SUMPRODUCT(("var_ncap"=[1]OUT_TransportEnergyCons!$B$4:$B$10000)*1,ISNUMBER(SEARCH("T_b_c*hyb*DSL*s3",[1]OUT_TransportEnergyCons!$A$4:$A$10000))*1,[1]OUT_TransportEnergyCons!E$4:E$10000))*1000</f>
        <v>6.9171248798772296E-4</v>
      </c>
      <c r="H2201" s="1" cm="1">
        <f t="array" ref="H2201">(SUMPRODUCT(("var_ncap"=[1]OUT_TransportEnergyCons!$B$4:$B$10000)*1,ISNUMBER(SEARCH("T_b_c*hyb*DSL*s3",[1]OUT_TransportEnergyCons!$A$4:$A$10000))*1,[1]OUT_TransportEnergyCons!F$4:F$10000))*1000</f>
        <v>3.2791503484426499E-2</v>
      </c>
      <c r="I2201" s="1" cm="1">
        <f t="array" ref="I2201">(SUMPRODUCT(("var_ncap"=[1]OUT_TransportEnergyCons!$B$4:$B$10000)*1,ISNUMBER(SEARCH("T_b_c*hyb*DSL*s3",[1]OUT_TransportEnergyCons!$A$4:$A$10000))*1,[1]OUT_TransportEnergyCons!G$4:G$10000))*1000</f>
        <v>1.41970098731047E-2</v>
      </c>
      <c r="J2201" s="1" cm="1">
        <f t="array" ref="J2201">(SUMPRODUCT(("var_ncap"=[1]OUT_TransportEnergyCons!$B$4:$B$10000)*1,ISNUMBER(SEARCH("T_b_c*hyb*DSL*s3",[1]OUT_TransportEnergyCons!$A$4:$A$10000))*1,[1]OUT_TransportEnergyCons!H$4:H$10000))*1000</f>
        <v>1.51941843238456E-4</v>
      </c>
      <c r="K2201" s="1" cm="1">
        <f t="array" ref="K2201">(SUMPRODUCT(("var_ncap"=[1]OUT_TransportEnergyCons!$B$4:$B$10000)*1,ISNUMBER(SEARCH("T_b_c*hyb*DSL*s3",[1]OUT_TransportEnergyCons!$A$4:$A$10000))*1,[1]OUT_TransportEnergyCons!I$4:I$10000))*1000</f>
        <v>7.0868425061874099E-5</v>
      </c>
      <c r="L2201" s="1" cm="1">
        <f t="array" ref="L2201">(SUMPRODUCT(("var_ncap"=[1]OUT_TransportEnergyCons!$B$4:$B$10000)*1,ISNUMBER(SEARCH("T_b_c*hyb*DSL*s3",[1]OUT_TransportEnergyCons!$A$4:$A$10000))*1,[1]OUT_TransportEnergyCons!J$4:J$10000))*1000</f>
        <v>4.2524746056212998E-5</v>
      </c>
      <c r="M2201" s="1" cm="1">
        <f t="array" ref="M2201">(SUMPRODUCT(("var_ncap"=[1]OUT_TransportEnergyCons!$B$4:$B$10000)*1,ISNUMBER(SEARCH("T_b_c*hyb*DSL*s3",[1]OUT_TransportEnergyCons!$A$4:$A$10000))*1,[1]OUT_TransportEnergyCons!K$4:K$10000))*1000</f>
        <v>0</v>
      </c>
      <c r="N2201" s="1" cm="1">
        <f t="array" ref="N2201">(SUMPRODUCT(("var_ncap"=[1]OUT_TransportEnergyCons!$B$4:$B$10000)*1,ISNUMBER(SEARCH("T_b_c*hyb*DSL*s3",[1]OUT_TransportEnergyCons!$A$4:$A$10000))*1,[1]OUT_TransportEnergyCons!L$4:L$10000))*1000</f>
        <v>0</v>
      </c>
      <c r="O2201" s="1" cm="1">
        <f t="array" ref="O2201">(SUMPRODUCT(("var_ncap"=[1]OUT_TransportEnergyCons!$B$4:$B$10000)*1,ISNUMBER(SEARCH("T_b_c*hyb*DSL*s3",[1]OUT_TransportEnergyCons!$A$4:$A$10000))*1,[1]OUT_TransportEnergyCons!M$4:M$10000))*1000</f>
        <v>0</v>
      </c>
      <c r="P2201" s="1" cm="1">
        <f t="array" ref="P2201">(SUMPRODUCT(("var_ncap"=[1]OUT_TransportEnergyCons!$B$4:$B$10000)*1,ISNUMBER(SEARCH("T_b_c*hyb*DSL*s3",[1]OUT_TransportEnergyCons!$A$4:$A$10000))*1,[1]OUT_TransportEnergyCons!N$4:N$10000))*1000</f>
        <v>0</v>
      </c>
      <c r="Q2201" s="1" cm="1">
        <f t="array" ref="Q2201">(SUMPRODUCT(("var_ncap"=[1]OUT_TransportEnergyCons!$B$4:$B$10000)*1,ISNUMBER(SEARCH("T_b_c*hyb*DSL*s3",[1]OUT_TransportEnergyCons!$A$4:$A$10000))*1,[1]OUT_TransportEnergyCons!O$4:O$10000))*1000</f>
        <v>0</v>
      </c>
      <c r="S2201" s="3"/>
    </row>
    <row r="2202" spans="2:19" x14ac:dyDescent="0.5">
      <c r="B2202" s="5" t="str">
        <f t="shared" si="2251"/>
        <v>SPS1</v>
      </c>
      <c r="C2202" s="5" t="str">
        <f t="shared" si="2252"/>
        <v>CH</v>
      </c>
      <c r="D2202" t="s">
        <v>2331</v>
      </c>
      <c r="E2202" t="s">
        <v>1999</v>
      </c>
      <c r="F2202" s="1" cm="1">
        <f t="array" ref="F2202">(SUMPRODUCT(("var_ncap"=[1]OUT_TransportEnergyCons!$B$4:$B$10000)*1,ISNUMBER(SEARCH("T_b_c*hyb*DSL*s4",[1]OUT_TransportEnergyCons!$A$4:$A$10000))*1,[1]OUT_TransportEnergyCons!D$4:D$10000))*1000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(SUMPRODUCT(("var_ncap"=[1]OUT_TransportEnergyCons!$B$4:$B$10000)*1,ISNUMBER(SEARCH("T_b_c*hyb*DSL*s4",[1]OUT_TransportEnergyCons!$A$4:$A$10000))*1,[1]OUT_TransportEnergyCons!E$4:E$10000))*1000</f>
        <v>0</v>
      </c>
      <c r="H2202" s="1" cm="1">
        <f t="array" ref="H2202">(SUMPRODUCT(("var_ncap"=[1]OUT_TransportEnergyCons!$B$4:$B$10000)*1,ISNUMBER(SEARCH("T_b_c*hyb*DSL*s4",[1]OUT_TransportEnergyCons!$A$4:$A$10000))*1,[1]OUT_TransportEnergyCons!F$4:F$10000))*1000</f>
        <v>0</v>
      </c>
      <c r="I2202" s="1" cm="1">
        <f t="array" ref="I2202">(SUMPRODUCT(("var_ncap"=[1]OUT_TransportEnergyCons!$B$4:$B$10000)*1,ISNUMBER(SEARCH("T_b_c*hyb*DSL*s4",[1]OUT_TransportEnergyCons!$A$4:$A$10000))*1,[1]OUT_TransportEnergyCons!G$4:G$10000))*1000</f>
        <v>0</v>
      </c>
      <c r="J2202" s="1" cm="1">
        <f t="array" ref="J2202">(SUMPRODUCT(("var_ncap"=[1]OUT_TransportEnergyCons!$B$4:$B$10000)*1,ISNUMBER(SEARCH("T_b_c*hyb*DSL*s4",[1]OUT_TransportEnergyCons!$A$4:$A$10000))*1,[1]OUT_TransportEnergyCons!H$4:H$10000))*1000</f>
        <v>0</v>
      </c>
      <c r="K2202" s="1" cm="1">
        <f t="array" ref="K2202">(SUMPRODUCT(("var_ncap"=[1]OUT_TransportEnergyCons!$B$4:$B$10000)*1,ISNUMBER(SEARCH("T_b_c*hyb*DSL*s4",[1]OUT_TransportEnergyCons!$A$4:$A$10000))*1,[1]OUT_TransportEnergyCons!I$4:I$10000))*1000</f>
        <v>0</v>
      </c>
      <c r="L2202" s="1" cm="1">
        <f t="array" ref="L2202">(SUMPRODUCT(("var_ncap"=[1]OUT_TransportEnergyCons!$B$4:$B$10000)*1,ISNUMBER(SEARCH("T_b_c*hyb*DSL*s4",[1]OUT_TransportEnergyCons!$A$4:$A$10000))*1,[1]OUT_TransportEnergyCons!J$4:J$10000))*1000</f>
        <v>0</v>
      </c>
      <c r="M2202" s="1" cm="1">
        <f t="array" ref="M2202">(SUMPRODUCT(("var_ncap"=[1]OUT_TransportEnergyCons!$B$4:$B$10000)*1,ISNUMBER(SEARCH("T_b_c*hyb*DSL*s4",[1]OUT_TransportEnergyCons!$A$4:$A$10000))*1,[1]OUT_TransportEnergyCons!K$4:K$10000))*1000</f>
        <v>0</v>
      </c>
      <c r="N2202" s="1" cm="1">
        <f t="array" ref="N2202">(SUMPRODUCT(("var_ncap"=[1]OUT_TransportEnergyCons!$B$4:$B$10000)*1,ISNUMBER(SEARCH("T_b_c*hyb*DSL*s4",[1]OUT_TransportEnergyCons!$A$4:$A$10000))*1,[1]OUT_TransportEnergyCons!L$4:L$10000))*1000</f>
        <v>0</v>
      </c>
      <c r="O2202" s="1" cm="1">
        <f t="array" ref="O2202">(SUMPRODUCT(("var_ncap"=[1]OUT_TransportEnergyCons!$B$4:$B$10000)*1,ISNUMBER(SEARCH("T_b_c*hyb*DSL*s4",[1]OUT_TransportEnergyCons!$A$4:$A$10000))*1,[1]OUT_TransportEnergyCons!M$4:M$10000))*1000</f>
        <v>0</v>
      </c>
      <c r="P2202" s="1" cm="1">
        <f t="array" ref="P2202">(SUMPRODUCT(("var_ncap"=[1]OUT_TransportEnergyCons!$B$4:$B$10000)*1,ISNUMBER(SEARCH("T_b_c*hyb*DSL*s4",[1]OUT_TransportEnergyCons!$A$4:$A$10000))*1,[1]OUT_TransportEnergyCons!N$4:N$10000))*1000</f>
        <v>0</v>
      </c>
      <c r="Q2202" s="1" cm="1">
        <f t="array" ref="Q2202">(SUMPRODUCT(("var_ncap"=[1]OUT_TransportEnergyCons!$B$4:$B$10000)*1,ISNUMBER(SEARCH("T_b_c*hyb*DSL*s4",[1]OUT_TransportEnergyCons!$A$4:$A$10000))*1,[1]OUT_TransportEnergyCons!O$4:O$10000))*1000</f>
        <v>0</v>
      </c>
      <c r="S2202" s="3"/>
    </row>
    <row r="2203" spans="2:19" x14ac:dyDescent="0.5">
      <c r="B2203" s="5" t="str">
        <f t="shared" si="2251"/>
        <v>SPS1</v>
      </c>
      <c r="C2203" s="5" t="str">
        <f t="shared" si="2252"/>
        <v>CH</v>
      </c>
      <c r="D2203" t="s">
        <v>2332</v>
      </c>
      <c r="E2203" t="s">
        <v>1999</v>
      </c>
      <c r="F2203" s="1" cm="1">
        <f t="array" ref="F2203">(SUMPRODUCT(("var_ncap"=[1]OUT_TransportEnergyCons!$B$4:$B$10000)*1,ISNUMBER(SEARCH("T_b_c*ICE*DSL*ext",[1]OUT_TransportEnergyCons!$A$4:$A$10000))*1,[1]OUT_TransportEnergyCons!D$4:D$10000))*1000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(SUMPRODUCT(("var_ncap"=[1]OUT_TransportEnergyCons!$B$4:$B$10000)*1,ISNUMBER(SEARCH("T_b_c*ICE*DSL*ext",[1]OUT_TransportEnergyCons!$A$4:$A$10000))*1,[1]OUT_TransportEnergyCons!E$4:E$10000))*1000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(SUMPRODUCT(("var_ncap"=[1]OUT_TransportEnergyCons!$B$4:$B$10000)*1,ISNUMBER(SEARCH("T_b_c*ICE*DSL*ext",[1]OUT_TransportEnergyCons!$A$4:$A$10000))*1,[1]OUT_TransportEnergyCons!F$4:F$10000))*1000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(SUMPRODUCT(("var_ncap"=[1]OUT_TransportEnergyCons!$B$4:$B$10000)*1,ISNUMBER(SEARCH("T_b_c*ICE*DSL*ext",[1]OUT_TransportEnergyCons!$A$4:$A$10000))*1,[1]OUT_TransportEnergyCons!G$4:G$10000))*1000</f>
        <v>0</v>
      </c>
      <c r="J2203" s="1" cm="1">
        <f t="array" ref="J2203">(SUMPRODUCT(("var_ncap"=[1]OUT_TransportEnergyCons!$B$4:$B$10000)*1,ISNUMBER(SEARCH("T_b_c*ICE*DSL*ext",[1]OUT_TransportEnergyCons!$A$4:$A$10000))*1,[1]OUT_TransportEnergyCons!H$4:H$10000))*1000</f>
        <v>0</v>
      </c>
      <c r="K2203" s="1" cm="1">
        <f t="array" ref="K2203">(SUMPRODUCT(("var_ncap"=[1]OUT_TransportEnergyCons!$B$4:$B$10000)*1,ISNUMBER(SEARCH("T_b_c*ICE*DSL*ext",[1]OUT_TransportEnergyCons!$A$4:$A$10000))*1,[1]OUT_TransportEnergyCons!I$4:I$10000))*1000</f>
        <v>0</v>
      </c>
      <c r="L2203" s="1" cm="1">
        <f t="array" ref="L2203">(SUMPRODUCT(("var_ncap"=[1]OUT_TransportEnergyCons!$B$4:$B$10000)*1,ISNUMBER(SEARCH("T_b_c*ICE*DSL*ext",[1]OUT_TransportEnergyCons!$A$4:$A$10000))*1,[1]OUT_TransportEnergyCons!J$4:J$10000))*1000</f>
        <v>0</v>
      </c>
      <c r="M2203" s="1" cm="1">
        <f t="array" ref="M2203">(SUMPRODUCT(("var_ncap"=[1]OUT_TransportEnergyCons!$B$4:$B$10000)*1,ISNUMBER(SEARCH("T_b_c*ICE*DSL*ext",[1]OUT_TransportEnergyCons!$A$4:$A$10000))*1,[1]OUT_TransportEnergyCons!K$4:K$10000))*1000</f>
        <v>0</v>
      </c>
      <c r="N2203" s="1" cm="1">
        <f t="array" ref="N2203">(SUMPRODUCT(("var_ncap"=[1]OUT_TransportEnergyCons!$B$4:$B$10000)*1,ISNUMBER(SEARCH("T_b_c*ICE*DSL*ext",[1]OUT_TransportEnergyCons!$A$4:$A$10000))*1,[1]OUT_TransportEnergyCons!L$4:L$10000))*1000</f>
        <v>0</v>
      </c>
      <c r="O2203" s="1" cm="1">
        <f t="array" ref="O2203">(SUMPRODUCT(("var_ncap"=[1]OUT_TransportEnergyCons!$B$4:$B$10000)*1,ISNUMBER(SEARCH("T_b_c*ICE*DSL*ext",[1]OUT_TransportEnergyCons!$A$4:$A$10000))*1,[1]OUT_TransportEnergyCons!M$4:M$10000))*1000</f>
        <v>0</v>
      </c>
      <c r="P2203" s="1" cm="1">
        <f t="array" ref="P2203">(SUMPRODUCT(("var_ncap"=[1]OUT_TransportEnergyCons!$B$4:$B$10000)*1,ISNUMBER(SEARCH("T_b_c*ICE*DSL*ext",[1]OUT_TransportEnergyCons!$A$4:$A$10000))*1,[1]OUT_TransportEnergyCons!N$4:N$10000))*1000</f>
        <v>0</v>
      </c>
      <c r="Q2203" s="1" cm="1">
        <f t="array" ref="Q2203">(SUMPRODUCT(("var_ncap"=[1]OUT_TransportEnergyCons!$B$4:$B$10000)*1,ISNUMBER(SEARCH("T_b_c*ICE*DSL*ext",[1]OUT_TransportEnergyCons!$A$4:$A$10000))*1,[1]OUT_TransportEnergyCons!O$4:O$10000))*1000</f>
        <v>0</v>
      </c>
      <c r="S2203" s="3"/>
    </row>
    <row r="2204" spans="2:19" x14ac:dyDescent="0.5">
      <c r="B2204" s="5" t="str">
        <f t="shared" si="2251"/>
        <v>SPS1</v>
      </c>
      <c r="C2204" s="5" t="str">
        <f t="shared" si="2252"/>
        <v>CH</v>
      </c>
      <c r="D2204" t="s">
        <v>2333</v>
      </c>
      <c r="E2204" t="s">
        <v>1999</v>
      </c>
      <c r="F2204" s="1" cm="1">
        <f t="array" ref="F2204">(SUMPRODUCT(("var_ncap"=[1]OUT_TransportEnergyCons!$B$4:$B$10000)*1,ISNUMBER(SEARCH("T_b_c*ICE*DSL*s1",[1]OUT_TransportEnergyCons!$A$4:$A$10000))*1,[1]OUT_TransportEnergyCons!D$4:D$10000))*1000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(SUMPRODUCT(("var_ncap"=[1]OUT_TransportEnergyCons!$B$4:$B$10000)*1,ISNUMBER(SEARCH("T_b_c*ICE*DSL*s1",[1]OUT_TransportEnergyCons!$A$4:$A$10000))*1,[1]OUT_TransportEnergyCons!E$4:E$10000))*1000</f>
        <v>1.2026163122189099E-2</v>
      </c>
      <c r="H2204" s="1" cm="1">
        <f t="array" ref="H2204">(SUMPRODUCT(("var_ncap"=[1]OUT_TransportEnergyCons!$B$4:$B$10000)*1,ISNUMBER(SEARCH("T_b_c*ICE*DSL*s1",[1]OUT_TransportEnergyCons!$A$4:$A$10000))*1,[1]OUT_TransportEnergyCons!F$4:F$10000))*1000</f>
        <v>1.9581418529217602E-3</v>
      </c>
      <c r="I2204" s="1" cm="1">
        <f t="array" ref="I2204">(SUMPRODUCT(("var_ncap"=[1]OUT_TransportEnergyCons!$B$4:$B$10000)*1,ISNUMBER(SEARCH("T_b_c*ICE*DSL*s1",[1]OUT_TransportEnergyCons!$A$4:$A$10000))*1,[1]OUT_TransportEnergyCons!G$4:G$10000))*1000</f>
        <v>1.18102496527058E-4</v>
      </c>
      <c r="J2204" s="1" cm="1">
        <f t="array" ref="J2204">(SUMPRODUCT(("var_ncap"=[1]OUT_TransportEnergyCons!$B$4:$B$10000)*1,ISNUMBER(SEARCH("T_b_c*ICE*DSL*s1",[1]OUT_TransportEnergyCons!$A$4:$A$10000))*1,[1]OUT_TransportEnergyCons!H$4:H$10000))*1000</f>
        <v>0</v>
      </c>
      <c r="K2204" s="1" cm="1">
        <f t="array" ref="K2204">(SUMPRODUCT(("var_ncap"=[1]OUT_TransportEnergyCons!$B$4:$B$10000)*1,ISNUMBER(SEARCH("T_b_c*ICE*DSL*s1",[1]OUT_TransportEnergyCons!$A$4:$A$10000))*1,[1]OUT_TransportEnergyCons!I$4:I$10000))*1000</f>
        <v>0</v>
      </c>
      <c r="L2204" s="1" cm="1">
        <f t="array" ref="L2204">(SUMPRODUCT(("var_ncap"=[1]OUT_TransportEnergyCons!$B$4:$B$10000)*1,ISNUMBER(SEARCH("T_b_c*ICE*DSL*s1",[1]OUT_TransportEnergyCons!$A$4:$A$10000))*1,[1]OUT_TransportEnergyCons!J$4:J$10000))*1000</f>
        <v>1.27691412170613E-4</v>
      </c>
      <c r="M2204" s="1" cm="1">
        <f t="array" ref="M2204">(SUMPRODUCT(("var_ncap"=[1]OUT_TransportEnergyCons!$B$4:$B$10000)*1,ISNUMBER(SEARCH("T_b_c*ICE*DSL*s1",[1]OUT_TransportEnergyCons!$A$4:$A$10000))*1,[1]OUT_TransportEnergyCons!K$4:K$10000))*1000</f>
        <v>0</v>
      </c>
      <c r="N2204" s="1" cm="1">
        <f t="array" ref="N2204">(SUMPRODUCT(("var_ncap"=[1]OUT_TransportEnergyCons!$B$4:$B$10000)*1,ISNUMBER(SEARCH("T_b_c*ICE*DSL*s1",[1]OUT_TransportEnergyCons!$A$4:$A$10000))*1,[1]OUT_TransportEnergyCons!L$4:L$10000))*1000</f>
        <v>0</v>
      </c>
      <c r="O2204" s="1" cm="1">
        <f t="array" ref="O2204">(SUMPRODUCT(("var_ncap"=[1]OUT_TransportEnergyCons!$B$4:$B$10000)*1,ISNUMBER(SEARCH("T_b_c*ICE*DSL*s1",[1]OUT_TransportEnergyCons!$A$4:$A$10000))*1,[1]OUT_TransportEnergyCons!M$4:M$10000))*1000</f>
        <v>0</v>
      </c>
      <c r="P2204" s="1" cm="1">
        <f t="array" ref="P2204">(SUMPRODUCT(("var_ncap"=[1]OUT_TransportEnergyCons!$B$4:$B$10000)*1,ISNUMBER(SEARCH("T_b_c*ICE*DSL*s1",[1]OUT_TransportEnergyCons!$A$4:$A$10000))*1,[1]OUT_TransportEnergyCons!N$4:N$10000))*1000</f>
        <v>0</v>
      </c>
      <c r="Q2204" s="1" cm="1">
        <f t="array" ref="Q2204">(SUMPRODUCT(("var_ncap"=[1]OUT_TransportEnergyCons!$B$4:$B$10000)*1,ISNUMBER(SEARCH("T_b_c*ICE*DSL*s1",[1]OUT_TransportEnergyCons!$A$4:$A$10000))*1,[1]OUT_TransportEnergyCons!O$4:O$10000))*1000</f>
        <v>0</v>
      </c>
      <c r="S2204" s="3"/>
    </row>
    <row r="2205" spans="2:19" x14ac:dyDescent="0.5">
      <c r="B2205" s="5" t="str">
        <f t="shared" si="2251"/>
        <v>SPS1</v>
      </c>
      <c r="C2205" s="5" t="str">
        <f t="shared" si="2252"/>
        <v>CH</v>
      </c>
      <c r="D2205" t="s">
        <v>2334</v>
      </c>
      <c r="E2205" t="s">
        <v>1999</v>
      </c>
      <c r="F2205" s="1" cm="1">
        <f t="array" ref="F2205">(SUMPRODUCT(("var_ncap"=[1]OUT_TransportEnergyCons!$B$4:$B$10000)*1,ISNUMBER(SEARCH("T_b_c*ICE*DSL*s2",[1]OUT_TransportEnergyCons!$A$4:$A$10000))*1,[1]OUT_TransportEnergyCons!D$4:D$10000))*1000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(SUMPRODUCT(("var_ncap"=[1]OUT_TransportEnergyCons!$B$4:$B$10000)*1,ISNUMBER(SEARCH("T_b_c*ICE*DSL*s2",[1]OUT_TransportEnergyCons!$A$4:$A$10000))*1,[1]OUT_TransportEnergyCons!E$4:E$10000))*1000</f>
        <v>1.2870150159192499E-3</v>
      </c>
      <c r="H2205" s="1" cm="1">
        <f t="array" ref="H2205">(SUMPRODUCT(("var_ncap"=[1]OUT_TransportEnergyCons!$B$4:$B$10000)*1,ISNUMBER(SEARCH("T_b_c*ICE*DSL*s2",[1]OUT_TransportEnergyCons!$A$4:$A$10000))*1,[1]OUT_TransportEnergyCons!F$4:F$10000))*1000</f>
        <v>9.7016150019688997E-4</v>
      </c>
      <c r="I2205" s="1" cm="1">
        <f t="array" ref="I2205">(SUMPRODUCT(("var_ncap"=[1]OUT_TransportEnergyCons!$B$4:$B$10000)*1,ISNUMBER(SEARCH("T_b_c*ICE*DSL*s2",[1]OUT_TransportEnergyCons!$A$4:$A$10000))*1,[1]OUT_TransportEnergyCons!G$4:G$10000))*1000</f>
        <v>3.0731615890685E-4</v>
      </c>
      <c r="J2205" s="1" cm="1">
        <f t="array" ref="J2205">(SUMPRODUCT(("var_ncap"=[1]OUT_TransportEnergyCons!$B$4:$B$10000)*1,ISNUMBER(SEARCH("T_b_c*ICE*DSL*s2",[1]OUT_TransportEnergyCons!$A$4:$A$10000))*1,[1]OUT_TransportEnergyCons!H$4:H$10000))*1000</f>
        <v>2.3455981173545099E-5</v>
      </c>
      <c r="K2205" s="1" cm="1">
        <f t="array" ref="K2205">(SUMPRODUCT(("var_ncap"=[1]OUT_TransportEnergyCons!$B$4:$B$10000)*1,ISNUMBER(SEARCH("T_b_c*ICE*DSL*s2",[1]OUT_TransportEnergyCons!$A$4:$A$10000))*1,[1]OUT_TransportEnergyCons!I$4:I$10000))*1000</f>
        <v>4.3302602815316496E-5</v>
      </c>
      <c r="L2205" s="1" cm="1">
        <f t="array" ref="L2205">(SUMPRODUCT(("var_ncap"=[1]OUT_TransportEnergyCons!$B$4:$B$10000)*1,ISNUMBER(SEARCH("T_b_c*ICE*DSL*s2",[1]OUT_TransportEnergyCons!$A$4:$A$10000))*1,[1]OUT_TransportEnergyCons!J$4:J$10000))*1000</f>
        <v>6.8392948971982806E-4</v>
      </c>
      <c r="M2205" s="1" cm="1">
        <f t="array" ref="M2205">(SUMPRODUCT(("var_ncap"=[1]OUT_TransportEnergyCons!$B$4:$B$10000)*1,ISNUMBER(SEARCH("T_b_c*ICE*DSL*s2",[1]OUT_TransportEnergyCons!$A$4:$A$10000))*1,[1]OUT_TransportEnergyCons!K$4:K$10000))*1000</f>
        <v>0</v>
      </c>
      <c r="N2205" s="1" cm="1">
        <f t="array" ref="N2205">(SUMPRODUCT(("var_ncap"=[1]OUT_TransportEnergyCons!$B$4:$B$10000)*1,ISNUMBER(SEARCH("T_b_c*ICE*DSL*s2",[1]OUT_TransportEnergyCons!$A$4:$A$10000))*1,[1]OUT_TransportEnergyCons!L$4:L$10000))*1000</f>
        <v>0</v>
      </c>
      <c r="O2205" s="1" cm="1">
        <f t="array" ref="O2205">(SUMPRODUCT(("var_ncap"=[1]OUT_TransportEnergyCons!$B$4:$B$10000)*1,ISNUMBER(SEARCH("T_b_c*ICE*DSL*s2",[1]OUT_TransportEnergyCons!$A$4:$A$10000))*1,[1]OUT_TransportEnergyCons!M$4:M$10000))*1000</f>
        <v>0</v>
      </c>
      <c r="P2205" s="1" cm="1">
        <f t="array" ref="P2205">(SUMPRODUCT(("var_ncap"=[1]OUT_TransportEnergyCons!$B$4:$B$10000)*1,ISNUMBER(SEARCH("T_b_c*ICE*DSL*s2",[1]OUT_TransportEnergyCons!$A$4:$A$10000))*1,[1]OUT_TransportEnergyCons!N$4:N$10000))*1000</f>
        <v>0</v>
      </c>
      <c r="Q2205" s="1" cm="1">
        <f t="array" ref="Q2205">(SUMPRODUCT(("var_ncap"=[1]OUT_TransportEnergyCons!$B$4:$B$10000)*1,ISNUMBER(SEARCH("T_b_c*ICE*DSL*s2",[1]OUT_TransportEnergyCons!$A$4:$A$10000))*1,[1]OUT_TransportEnergyCons!O$4:O$10000))*1000</f>
        <v>0</v>
      </c>
      <c r="S2205" s="3"/>
    </row>
    <row r="2206" spans="2:19" x14ac:dyDescent="0.5">
      <c r="B2206" s="5" t="str">
        <f t="shared" si="2251"/>
        <v>SPS1</v>
      </c>
      <c r="C2206" s="5" t="str">
        <f t="shared" si="2252"/>
        <v>CH</v>
      </c>
      <c r="D2206" t="s">
        <v>2335</v>
      </c>
      <c r="E2206" t="s">
        <v>1999</v>
      </c>
      <c r="F2206" s="1" cm="1">
        <f t="array" ref="F2206">(SUMPRODUCT(("var_ncap"=[1]OUT_TransportEnergyCons!$B$4:$B$10000)*1,ISNUMBER(SEARCH("T_b_c*ICE*DSL*s3",[1]OUT_TransportEnergyCons!$A$4:$A$10000))*1,[1]OUT_TransportEnergyCons!D$4:D$10000))*1000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(SUMPRODUCT(("var_ncap"=[1]OUT_TransportEnergyCons!$B$4:$B$10000)*1,ISNUMBER(SEARCH("T_b_c*ICE*DSL*s3",[1]OUT_TransportEnergyCons!$A$4:$A$10000))*1,[1]OUT_TransportEnergyCons!E$4:E$10000))*1000</f>
        <v>4.1354997690733398E-4</v>
      </c>
      <c r="H2206" s="1" cm="1">
        <f t="array" ref="H2206">(SUMPRODUCT(("var_ncap"=[1]OUT_TransportEnergyCons!$B$4:$B$10000)*1,ISNUMBER(SEARCH("T_b_c*ICE*DSL*s3",[1]OUT_TransportEnergyCons!$A$4:$A$10000))*1,[1]OUT_TransportEnergyCons!F$4:F$10000))*1000</f>
        <v>9.0305183814333499E-4</v>
      </c>
      <c r="I2206" s="1" cm="1">
        <f t="array" ref="I2206">(SUMPRODUCT(("var_ncap"=[1]OUT_TransportEnergyCons!$B$4:$B$10000)*1,ISNUMBER(SEARCH("T_b_c*ICE*DSL*s3",[1]OUT_TransportEnergyCons!$A$4:$A$10000))*1,[1]OUT_TransportEnergyCons!G$4:G$10000))*1000</f>
        <v>6.7260042078341797E-2</v>
      </c>
      <c r="J2206" s="1" cm="1">
        <f t="array" ref="J2206">(SUMPRODUCT(("var_ncap"=[1]OUT_TransportEnergyCons!$B$4:$B$10000)*1,ISNUMBER(SEARCH("T_b_c*ICE*DSL*s3",[1]OUT_TransportEnergyCons!$A$4:$A$10000))*1,[1]OUT_TransportEnergyCons!H$4:H$10000))*1000</f>
        <v>8.0845428603837398E-4</v>
      </c>
      <c r="K2206" s="1" cm="1">
        <f t="array" ref="K2206">(SUMPRODUCT(("var_ncap"=[1]OUT_TransportEnergyCons!$B$4:$B$10000)*1,ISNUMBER(SEARCH("T_b_c*ICE*DSL*s3",[1]OUT_TransportEnergyCons!$A$4:$A$10000))*1,[1]OUT_TransportEnergyCons!I$4:I$10000))*1000</f>
        <v>4.3079000578190698E-4</v>
      </c>
      <c r="L2206" s="1" cm="1">
        <f t="array" ref="L2206">(SUMPRODUCT(("var_ncap"=[1]OUT_TransportEnergyCons!$B$4:$B$10000)*1,ISNUMBER(SEARCH("T_b_c*ICE*DSL*s3",[1]OUT_TransportEnergyCons!$A$4:$A$10000))*1,[1]OUT_TransportEnergyCons!J$4:J$10000))*1000</f>
        <v>1.9614544211719501E-4</v>
      </c>
      <c r="M2206" s="1" cm="1">
        <f t="array" ref="M2206">(SUMPRODUCT(("var_ncap"=[1]OUT_TransportEnergyCons!$B$4:$B$10000)*1,ISNUMBER(SEARCH("T_b_c*ICE*DSL*s3",[1]OUT_TransportEnergyCons!$A$4:$A$10000))*1,[1]OUT_TransportEnergyCons!K$4:K$10000))*1000</f>
        <v>0</v>
      </c>
      <c r="N2206" s="1" cm="1">
        <f t="array" ref="N2206">(SUMPRODUCT(("var_ncap"=[1]OUT_TransportEnergyCons!$B$4:$B$10000)*1,ISNUMBER(SEARCH("T_b_c*ICE*DSL*s3",[1]OUT_TransportEnergyCons!$A$4:$A$10000))*1,[1]OUT_TransportEnergyCons!L$4:L$10000))*1000</f>
        <v>0</v>
      </c>
      <c r="O2206" s="1" cm="1">
        <f t="array" ref="O2206">(SUMPRODUCT(("var_ncap"=[1]OUT_TransportEnergyCons!$B$4:$B$10000)*1,ISNUMBER(SEARCH("T_b_c*ICE*DSL*s3",[1]OUT_TransportEnergyCons!$A$4:$A$10000))*1,[1]OUT_TransportEnergyCons!M$4:M$10000))*1000</f>
        <v>0</v>
      </c>
      <c r="P2206" s="1" cm="1">
        <f t="array" ref="P2206">(SUMPRODUCT(("var_ncap"=[1]OUT_TransportEnergyCons!$B$4:$B$10000)*1,ISNUMBER(SEARCH("T_b_c*ICE*DSL*s3",[1]OUT_TransportEnergyCons!$A$4:$A$10000))*1,[1]OUT_TransportEnergyCons!N$4:N$10000))*1000</f>
        <v>0</v>
      </c>
      <c r="Q2206" s="1" cm="1">
        <f t="array" ref="Q2206">(SUMPRODUCT(("var_ncap"=[1]OUT_TransportEnergyCons!$B$4:$B$10000)*1,ISNUMBER(SEARCH("T_b_c*ICE*DSL*s3",[1]OUT_TransportEnergyCons!$A$4:$A$10000))*1,[1]OUT_TransportEnergyCons!O$4:O$10000))*1000</f>
        <v>0</v>
      </c>
      <c r="S2206" s="3"/>
    </row>
    <row r="2207" spans="2:19" x14ac:dyDescent="0.5">
      <c r="B2207" s="5" t="str">
        <f t="shared" si="2251"/>
        <v>SPS1</v>
      </c>
      <c r="C2207" s="5" t="str">
        <f t="shared" si="2252"/>
        <v>CH</v>
      </c>
      <c r="D2207" t="s">
        <v>2336</v>
      </c>
      <c r="E2207" t="s">
        <v>1999</v>
      </c>
      <c r="F2207" s="1" cm="1">
        <f t="array" ref="F2207">(SUMPRODUCT(("var_ncap"=[1]OUT_TransportEnergyCons!$B$4:$B$10000)*1,ISNUMBER(SEARCH("T_b_c*ICE*DSL*s4",[1]OUT_TransportEnergyCons!$A$4:$A$10000))*1,[1]OUT_TransportEnergyCons!D$4:D$10000))*1000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(SUMPRODUCT(("var_ncap"=[1]OUT_TransportEnergyCons!$B$4:$B$10000)*1,ISNUMBER(SEARCH("T_b_c*ICE*DSL*s4",[1]OUT_TransportEnergyCons!$A$4:$A$10000))*1,[1]OUT_TransportEnergyCons!E$4:E$10000))*1000</f>
        <v>0</v>
      </c>
      <c r="H2207" s="1" cm="1">
        <f t="array" ref="H2207">(SUMPRODUCT(("var_ncap"=[1]OUT_TransportEnergyCons!$B$4:$B$10000)*1,ISNUMBER(SEARCH("T_b_c*ICE*DSL*s4",[1]OUT_TransportEnergyCons!$A$4:$A$10000))*1,[1]OUT_TransportEnergyCons!F$4:F$10000))*1000</f>
        <v>0</v>
      </c>
      <c r="I2207" s="1" cm="1">
        <f t="array" ref="I2207">(SUMPRODUCT(("var_ncap"=[1]OUT_TransportEnergyCons!$B$4:$B$10000)*1,ISNUMBER(SEARCH("T_b_c*ICE*DSL*s4",[1]OUT_TransportEnergyCons!$A$4:$A$10000))*1,[1]OUT_TransportEnergyCons!G$4:G$10000))*1000</f>
        <v>0</v>
      </c>
      <c r="J2207" s="1" cm="1">
        <f t="array" ref="J2207">(SUMPRODUCT(("var_ncap"=[1]OUT_TransportEnergyCons!$B$4:$B$10000)*1,ISNUMBER(SEARCH("T_b_c*ICE*DSL*s4",[1]OUT_TransportEnergyCons!$A$4:$A$10000))*1,[1]OUT_TransportEnergyCons!H$4:H$10000))*1000</f>
        <v>2.0131046340122299E-5</v>
      </c>
      <c r="K2207" s="1" cm="1">
        <f t="array" ref="K2207">(SUMPRODUCT(("var_ncap"=[1]OUT_TransportEnergyCons!$B$4:$B$10000)*1,ISNUMBER(SEARCH("T_b_c*ICE*DSL*s4",[1]OUT_TransportEnergyCons!$A$4:$A$10000))*1,[1]OUT_TransportEnergyCons!I$4:I$10000))*1000</f>
        <v>0</v>
      </c>
      <c r="L2207" s="1" cm="1">
        <f t="array" ref="L2207">(SUMPRODUCT(("var_ncap"=[1]OUT_TransportEnergyCons!$B$4:$B$10000)*1,ISNUMBER(SEARCH("T_b_c*ICE*DSL*s4",[1]OUT_TransportEnergyCons!$A$4:$A$10000))*1,[1]OUT_TransportEnergyCons!J$4:J$10000))*1000</f>
        <v>0</v>
      </c>
      <c r="M2207" s="1" cm="1">
        <f t="array" ref="M2207">(SUMPRODUCT(("var_ncap"=[1]OUT_TransportEnergyCons!$B$4:$B$10000)*1,ISNUMBER(SEARCH("T_b_c*ICE*DSL*s4",[1]OUT_TransportEnergyCons!$A$4:$A$10000))*1,[1]OUT_TransportEnergyCons!K$4:K$10000))*1000</f>
        <v>0</v>
      </c>
      <c r="N2207" s="1" cm="1">
        <f t="array" ref="N2207">(SUMPRODUCT(("var_ncap"=[1]OUT_TransportEnergyCons!$B$4:$B$10000)*1,ISNUMBER(SEARCH("T_b_c*ICE*DSL*s4",[1]OUT_TransportEnergyCons!$A$4:$A$10000))*1,[1]OUT_TransportEnergyCons!L$4:L$10000))*1000</f>
        <v>0</v>
      </c>
      <c r="O2207" s="1" cm="1">
        <f t="array" ref="O2207">(SUMPRODUCT(("var_ncap"=[1]OUT_TransportEnergyCons!$B$4:$B$10000)*1,ISNUMBER(SEARCH("T_b_c*ICE*DSL*s4",[1]OUT_TransportEnergyCons!$A$4:$A$10000))*1,[1]OUT_TransportEnergyCons!M$4:M$10000))*1000</f>
        <v>0</v>
      </c>
      <c r="P2207" s="1" cm="1">
        <f t="array" ref="P2207">(SUMPRODUCT(("var_ncap"=[1]OUT_TransportEnergyCons!$B$4:$B$10000)*1,ISNUMBER(SEARCH("T_b_c*ICE*DSL*s4",[1]OUT_TransportEnergyCons!$A$4:$A$10000))*1,[1]OUT_TransportEnergyCons!N$4:N$10000))*1000</f>
        <v>0</v>
      </c>
      <c r="Q2207" s="1" cm="1">
        <f t="array" ref="Q2207">(SUMPRODUCT(("var_ncap"=[1]OUT_TransportEnergyCons!$B$4:$B$10000)*1,ISNUMBER(SEARCH("T_b_c*ICE*DSL*s4",[1]OUT_TransportEnergyCons!$A$4:$A$10000))*1,[1]OUT_TransportEnergyCons!O$4:O$10000))*1000</f>
        <v>0</v>
      </c>
      <c r="S2207" s="3"/>
    </row>
    <row r="2208" spans="2:19" x14ac:dyDescent="0.5">
      <c r="B2208" s="5" t="str">
        <f t="shared" si="2251"/>
        <v>SPS1</v>
      </c>
      <c r="C2208" s="5" t="str">
        <f t="shared" si="2252"/>
        <v>CH</v>
      </c>
      <c r="D2208" t="s">
        <v>2337</v>
      </c>
      <c r="E2208" t="s">
        <v>1999</v>
      </c>
      <c r="F2208" s="1" cm="1">
        <f t="array" ref="F2208">(SUMPRODUCT(("var_ncap"=[1]OUT_TransportEnergyCons!$B$4:$B$10000)*1,ISNUMBER(SEARCH("T_b_c*ICE*nga*ext",[1]OUT_TransportEnergyCons!$A$4:$A$10000))*1,[1]OUT_TransportEnergyCons!D$4:D$10000))*1000</f>
        <v>0</v>
      </c>
      <c r="G2208" s="1" cm="1">
        <f t="array" ref="G2208">(SUMPRODUCT(("var_ncap"=[1]OUT_TransportEnergyCons!$B$4:$B$10000)*1,ISNUMBER(SEARCH("T_b_c*ICE*nga*ext",[1]OUT_TransportEnergyCons!$A$4:$A$10000))*1,[1]OUT_TransportEnergyCons!E$4:E$10000))*1000</f>
        <v>0</v>
      </c>
      <c r="H2208" s="1" cm="1">
        <f t="array" ref="H2208">(SUMPRODUCT(("var_ncap"=[1]OUT_TransportEnergyCons!$B$4:$B$10000)*1,ISNUMBER(SEARCH("T_b_c*ICE*nga*ext",[1]OUT_TransportEnergyCons!$A$4:$A$10000))*1,[1]OUT_TransportEnergyCons!F$4:F$10000))*1000</f>
        <v>0</v>
      </c>
      <c r="I2208" s="1" cm="1">
        <f t="array" ref="I2208">(SUMPRODUCT(("var_ncap"=[1]OUT_TransportEnergyCons!$B$4:$B$10000)*1,ISNUMBER(SEARCH("T_b_c*ICE*nga*ext",[1]OUT_TransportEnergyCons!$A$4:$A$10000))*1,[1]OUT_TransportEnergyCons!G$4:G$10000))*1000</f>
        <v>0</v>
      </c>
      <c r="J2208" s="1" cm="1">
        <f t="array" ref="J2208">(SUMPRODUCT(("var_ncap"=[1]OUT_TransportEnergyCons!$B$4:$B$10000)*1,ISNUMBER(SEARCH("T_b_c*ICE*nga*ext",[1]OUT_TransportEnergyCons!$A$4:$A$10000))*1,[1]OUT_TransportEnergyCons!H$4:H$10000))*1000</f>
        <v>0</v>
      </c>
      <c r="K2208" s="1" cm="1">
        <f t="array" ref="K2208">(SUMPRODUCT(("var_ncap"=[1]OUT_TransportEnergyCons!$B$4:$B$10000)*1,ISNUMBER(SEARCH("T_b_c*ICE*nga*ext",[1]OUT_TransportEnergyCons!$A$4:$A$10000))*1,[1]OUT_TransportEnergyCons!I$4:I$10000))*1000</f>
        <v>0</v>
      </c>
      <c r="L2208" s="1" cm="1">
        <f t="array" ref="L2208">(SUMPRODUCT(("var_ncap"=[1]OUT_TransportEnergyCons!$B$4:$B$10000)*1,ISNUMBER(SEARCH("T_b_c*ICE*nga*ext",[1]OUT_TransportEnergyCons!$A$4:$A$10000))*1,[1]OUT_TransportEnergyCons!J$4:J$10000))*1000</f>
        <v>0</v>
      </c>
      <c r="M2208" s="1" cm="1">
        <f t="array" ref="M2208">(SUMPRODUCT(("var_ncap"=[1]OUT_TransportEnergyCons!$B$4:$B$10000)*1,ISNUMBER(SEARCH("T_b_c*ICE*nga*ext",[1]OUT_TransportEnergyCons!$A$4:$A$10000))*1,[1]OUT_TransportEnergyCons!K$4:K$10000))*1000</f>
        <v>0</v>
      </c>
      <c r="N2208" s="1" cm="1">
        <f t="array" ref="N2208">(SUMPRODUCT(("var_ncap"=[1]OUT_TransportEnergyCons!$B$4:$B$10000)*1,ISNUMBER(SEARCH("T_b_c*ICE*nga*ext",[1]OUT_TransportEnergyCons!$A$4:$A$10000))*1,[1]OUT_TransportEnergyCons!L$4:L$10000))*1000</f>
        <v>0</v>
      </c>
      <c r="O2208" s="1" cm="1">
        <f t="array" ref="O2208">(SUMPRODUCT(("var_ncap"=[1]OUT_TransportEnergyCons!$B$4:$B$10000)*1,ISNUMBER(SEARCH("T_b_c*ICE*nga*ext",[1]OUT_TransportEnergyCons!$A$4:$A$10000))*1,[1]OUT_TransportEnergyCons!M$4:M$10000))*1000</f>
        <v>0</v>
      </c>
      <c r="P2208" s="1" cm="1">
        <f t="array" ref="P2208">(SUMPRODUCT(("var_ncap"=[1]OUT_TransportEnergyCons!$B$4:$B$10000)*1,ISNUMBER(SEARCH("T_b_c*ICE*nga*ext",[1]OUT_TransportEnergyCons!$A$4:$A$10000))*1,[1]OUT_TransportEnergyCons!N$4:N$10000))*1000</f>
        <v>0</v>
      </c>
      <c r="Q2208" s="1" cm="1">
        <f t="array" ref="Q2208">(SUMPRODUCT(("var_ncap"=[1]OUT_TransportEnergyCons!$B$4:$B$10000)*1,ISNUMBER(SEARCH("T_b_c*ICE*nga*ext",[1]OUT_TransportEnergyCons!$A$4:$A$10000))*1,[1]OUT_TransportEnergyCons!O$4:O$10000))*1000</f>
        <v>0</v>
      </c>
      <c r="S2208" s="3"/>
    </row>
    <row r="2209" spans="2:19" x14ac:dyDescent="0.5">
      <c r="B2209" s="5" t="str">
        <f t="shared" si="2251"/>
        <v>SPS1</v>
      </c>
      <c r="C2209" s="5" t="str">
        <f t="shared" si="2252"/>
        <v>CH</v>
      </c>
      <c r="D2209" t="s">
        <v>2338</v>
      </c>
      <c r="E2209" t="s">
        <v>1999</v>
      </c>
      <c r="F2209" s="1" cm="1">
        <f t="array" ref="F2209">(SUMPRODUCT(("var_ncap"=[1]OUT_TransportEnergyCons!$B$4:$B$10000)*1,ISNUMBER(SEARCH("T_b_c*ICE*nga*s1",[1]OUT_TransportEnergyCons!$A$4:$A$10000))*1,[1]OUT_TransportEnergyCons!D$4:D$10000))*1000</f>
        <v>0</v>
      </c>
      <c r="G2209" s="1" cm="1">
        <f t="array" ref="G2209">(SUMPRODUCT(("var_ncap"=[1]OUT_TransportEnergyCons!$B$4:$B$10000)*1,ISNUMBER(SEARCH("T_b_c*ICE*nga*s1",[1]OUT_TransportEnergyCons!$A$4:$A$10000))*1,[1]OUT_TransportEnergyCons!E$4:E$10000))*1000</f>
        <v>7.6690919208252306E-3</v>
      </c>
      <c r="H2209" s="1" cm="1">
        <f t="array" ref="H2209">(SUMPRODUCT(("var_ncap"=[1]OUT_TransportEnergyCons!$B$4:$B$10000)*1,ISNUMBER(SEARCH("T_b_c*ICE*nga*s1",[1]OUT_TransportEnergyCons!$A$4:$A$10000))*1,[1]OUT_TransportEnergyCons!F$4:F$10000))*1000</f>
        <v>9.9091537088345902E-5</v>
      </c>
      <c r="I2209" s="1" cm="1">
        <f t="array" ref="I2209">(SUMPRODUCT(("var_ncap"=[1]OUT_TransportEnergyCons!$B$4:$B$10000)*1,ISNUMBER(SEARCH("T_b_c*ICE*nga*s1",[1]OUT_TransportEnergyCons!$A$4:$A$10000))*1,[1]OUT_TransportEnergyCons!G$4:G$10000))*1000</f>
        <v>4.9015581331443694E-5</v>
      </c>
      <c r="J2209" s="1" cm="1">
        <f t="array" ref="J2209">(SUMPRODUCT(("var_ncap"=[1]OUT_TransportEnergyCons!$B$4:$B$10000)*1,ISNUMBER(SEARCH("T_b_c*ICE*nga*s1",[1]OUT_TransportEnergyCons!$A$4:$A$10000))*1,[1]OUT_TransportEnergyCons!H$4:H$10000))*1000</f>
        <v>0</v>
      </c>
      <c r="K2209" s="1" cm="1">
        <f t="array" ref="K2209">(SUMPRODUCT(("var_ncap"=[1]OUT_TransportEnergyCons!$B$4:$B$10000)*1,ISNUMBER(SEARCH("T_b_c*ICE*nga*s1",[1]OUT_TransportEnergyCons!$A$4:$A$10000))*1,[1]OUT_TransportEnergyCons!I$4:I$10000))*1000</f>
        <v>0</v>
      </c>
      <c r="L2209" s="1" cm="1">
        <f t="array" ref="L2209">(SUMPRODUCT(("var_ncap"=[1]OUT_TransportEnergyCons!$B$4:$B$10000)*1,ISNUMBER(SEARCH("T_b_c*ICE*nga*s1",[1]OUT_TransportEnergyCons!$A$4:$A$10000))*1,[1]OUT_TransportEnergyCons!J$4:J$10000))*1000</f>
        <v>4.9644206522559298E-4</v>
      </c>
      <c r="M2209" s="1" cm="1">
        <f t="array" ref="M2209">(SUMPRODUCT(("var_ncap"=[1]OUT_TransportEnergyCons!$B$4:$B$10000)*1,ISNUMBER(SEARCH("T_b_c*ICE*nga*s1",[1]OUT_TransportEnergyCons!$A$4:$A$10000))*1,[1]OUT_TransportEnergyCons!K$4:K$10000))*1000</f>
        <v>0</v>
      </c>
      <c r="N2209" s="1" cm="1">
        <f t="array" ref="N2209">(SUMPRODUCT(("var_ncap"=[1]OUT_TransportEnergyCons!$B$4:$B$10000)*1,ISNUMBER(SEARCH("T_b_c*ICE*nga*s1",[1]OUT_TransportEnergyCons!$A$4:$A$10000))*1,[1]OUT_TransportEnergyCons!L$4:L$10000))*1000</f>
        <v>0</v>
      </c>
      <c r="O2209" s="1" cm="1">
        <f t="array" ref="O2209">(SUMPRODUCT(("var_ncap"=[1]OUT_TransportEnergyCons!$B$4:$B$10000)*1,ISNUMBER(SEARCH("T_b_c*ICE*nga*s1",[1]OUT_TransportEnergyCons!$A$4:$A$10000))*1,[1]OUT_TransportEnergyCons!M$4:M$10000))*1000</f>
        <v>0</v>
      </c>
      <c r="P2209" s="1" cm="1">
        <f t="array" ref="P2209">(SUMPRODUCT(("var_ncap"=[1]OUT_TransportEnergyCons!$B$4:$B$10000)*1,ISNUMBER(SEARCH("T_b_c*ICE*nga*s1",[1]OUT_TransportEnergyCons!$A$4:$A$10000))*1,[1]OUT_TransportEnergyCons!N$4:N$10000))*1000</f>
        <v>0</v>
      </c>
      <c r="Q2209" s="1" cm="1">
        <f t="array" ref="Q2209">(SUMPRODUCT(("var_ncap"=[1]OUT_TransportEnergyCons!$B$4:$B$10000)*1,ISNUMBER(SEARCH("T_b_c*ICE*nga*s1",[1]OUT_TransportEnergyCons!$A$4:$A$10000))*1,[1]OUT_TransportEnergyCons!O$4:O$10000))*1000</f>
        <v>0</v>
      </c>
      <c r="S2209" s="3"/>
    </row>
    <row r="2210" spans="2:19" x14ac:dyDescent="0.5">
      <c r="B2210" s="5" t="str">
        <f t="shared" si="2251"/>
        <v>SPS1</v>
      </c>
      <c r="C2210" s="5" t="str">
        <f t="shared" si="2252"/>
        <v>CH</v>
      </c>
      <c r="D2210" t="s">
        <v>2339</v>
      </c>
      <c r="E2210" t="s">
        <v>1999</v>
      </c>
      <c r="F2210" s="1" cm="1">
        <f t="array" ref="F2210">(SUMPRODUCT(("var_ncap"=[1]OUT_TransportEnergyCons!$B$4:$B$10000)*1,ISNUMBER(SEARCH("T_b_c*ICE*nga*s2",[1]OUT_TransportEnergyCons!$A$4:$A$10000))*1,[1]OUT_TransportEnergyCons!D$4:D$10000))*1000</f>
        <v>0</v>
      </c>
      <c r="G2210" s="1" cm="1">
        <f t="array" ref="G2210">(SUMPRODUCT(("var_ncap"=[1]OUT_TransportEnergyCons!$B$4:$B$10000)*1,ISNUMBER(SEARCH("T_b_c*ICE*nga*s2",[1]OUT_TransportEnergyCons!$A$4:$A$10000))*1,[1]OUT_TransportEnergyCons!E$4:E$10000))*1000</f>
        <v>7.7727662334482902E-4</v>
      </c>
      <c r="H2210" s="1" cm="1">
        <f t="array" ref="H2210">(SUMPRODUCT(("var_ncap"=[1]OUT_TransportEnergyCons!$B$4:$B$10000)*1,ISNUMBER(SEARCH("T_b_c*ICE*nga*s2",[1]OUT_TransportEnergyCons!$A$4:$A$10000))*1,[1]OUT_TransportEnergyCons!F$4:F$10000))*1000</f>
        <v>7.1820615091176192E-4</v>
      </c>
      <c r="I2210" s="1" cm="1">
        <f t="array" ref="I2210">(SUMPRODUCT(("var_ncap"=[1]OUT_TransportEnergyCons!$B$4:$B$10000)*1,ISNUMBER(SEARCH("T_b_c*ICE*nga*s2",[1]OUT_TransportEnergyCons!$A$4:$A$10000))*1,[1]OUT_TransportEnergyCons!G$4:G$10000))*1000</f>
        <v>2.5168301593176599E-4</v>
      </c>
      <c r="J2210" s="1" cm="1">
        <f t="array" ref="J2210">(SUMPRODUCT(("var_ncap"=[1]OUT_TransportEnergyCons!$B$4:$B$10000)*1,ISNUMBER(SEARCH("T_b_c*ICE*nga*s2",[1]OUT_TransportEnergyCons!$A$4:$A$10000))*1,[1]OUT_TransportEnergyCons!H$4:H$10000))*1000</f>
        <v>1.15842778542689E-5</v>
      </c>
      <c r="K2210" s="1" cm="1">
        <f t="array" ref="K2210">(SUMPRODUCT(("var_ncap"=[1]OUT_TransportEnergyCons!$B$4:$B$10000)*1,ISNUMBER(SEARCH("T_b_c*ICE*nga*s2",[1]OUT_TransportEnergyCons!$A$4:$A$10000))*1,[1]OUT_TransportEnergyCons!I$4:I$10000))*1000</f>
        <v>5.47438351379702E-5</v>
      </c>
      <c r="L2210" s="1" cm="1">
        <f t="array" ref="L2210">(SUMPRODUCT(("var_ncap"=[1]OUT_TransportEnergyCons!$B$4:$B$10000)*1,ISNUMBER(SEARCH("T_b_c*ICE*nga*s2",[1]OUT_TransportEnergyCons!$A$4:$A$10000))*1,[1]OUT_TransportEnergyCons!J$4:J$10000))*1000</f>
        <v>1.1832214457137001E-2</v>
      </c>
      <c r="M2210" s="1" cm="1">
        <f t="array" ref="M2210">(SUMPRODUCT(("var_ncap"=[1]OUT_TransportEnergyCons!$B$4:$B$10000)*1,ISNUMBER(SEARCH("T_b_c*ICE*nga*s2",[1]OUT_TransportEnergyCons!$A$4:$A$10000))*1,[1]OUT_TransportEnergyCons!K$4:K$10000))*1000</f>
        <v>0</v>
      </c>
      <c r="N2210" s="1" cm="1">
        <f t="array" ref="N2210">(SUMPRODUCT(("var_ncap"=[1]OUT_TransportEnergyCons!$B$4:$B$10000)*1,ISNUMBER(SEARCH("T_b_c*ICE*nga*s2",[1]OUT_TransportEnergyCons!$A$4:$A$10000))*1,[1]OUT_TransportEnergyCons!L$4:L$10000))*1000</f>
        <v>0</v>
      </c>
      <c r="O2210" s="1" cm="1">
        <f t="array" ref="O2210">(SUMPRODUCT(("var_ncap"=[1]OUT_TransportEnergyCons!$B$4:$B$10000)*1,ISNUMBER(SEARCH("T_b_c*ICE*nga*s2",[1]OUT_TransportEnergyCons!$A$4:$A$10000))*1,[1]OUT_TransportEnergyCons!M$4:M$10000))*1000</f>
        <v>0</v>
      </c>
      <c r="P2210" s="1" cm="1">
        <f t="array" ref="P2210">(SUMPRODUCT(("var_ncap"=[1]OUT_TransportEnergyCons!$B$4:$B$10000)*1,ISNUMBER(SEARCH("T_b_c*ICE*nga*s2",[1]OUT_TransportEnergyCons!$A$4:$A$10000))*1,[1]OUT_TransportEnergyCons!N$4:N$10000))*1000</f>
        <v>0</v>
      </c>
      <c r="Q2210" s="1" cm="1">
        <f t="array" ref="Q2210">(SUMPRODUCT(("var_ncap"=[1]OUT_TransportEnergyCons!$B$4:$B$10000)*1,ISNUMBER(SEARCH("T_b_c*ICE*nga*s2",[1]OUT_TransportEnergyCons!$A$4:$A$10000))*1,[1]OUT_TransportEnergyCons!O$4:O$10000))*1000</f>
        <v>0</v>
      </c>
      <c r="S2210" s="3"/>
    </row>
    <row r="2211" spans="2:19" x14ac:dyDescent="0.5">
      <c r="B2211" s="5" t="str">
        <f t="shared" si="2251"/>
        <v>SPS1</v>
      </c>
      <c r="C2211" s="5" t="str">
        <f t="shared" si="2252"/>
        <v>CH</v>
      </c>
      <c r="D2211" t="s">
        <v>2340</v>
      </c>
      <c r="E2211" t="s">
        <v>1999</v>
      </c>
      <c r="F2211" s="1" cm="1">
        <f t="array" ref="F2211">(SUMPRODUCT(("var_ncap"=[1]OUT_TransportEnergyCons!$B$4:$B$10000)*1,ISNUMBER(SEARCH("T_b_c*ICE*nga*s3",[1]OUT_TransportEnergyCons!$A$4:$A$10000))*1,[1]OUT_TransportEnergyCons!D$4:D$10000))*1000</f>
        <v>0</v>
      </c>
      <c r="G2211" s="1" cm="1">
        <f t="array" ref="G2211">(SUMPRODUCT(("var_ncap"=[1]OUT_TransportEnergyCons!$B$4:$B$10000)*1,ISNUMBER(SEARCH("T_b_c*ICE*nga*s3",[1]OUT_TransportEnergyCons!$A$4:$A$10000))*1,[1]OUT_TransportEnergyCons!E$4:E$10000))*1000</f>
        <v>6.6266106844555602E-4</v>
      </c>
      <c r="H2211" s="1" cm="1">
        <f t="array" ref="H2211">(SUMPRODUCT(("var_ncap"=[1]OUT_TransportEnergyCons!$B$4:$B$10000)*1,ISNUMBER(SEARCH("T_b_c*ICE*nga*s3",[1]OUT_TransportEnergyCons!$A$4:$A$10000))*1,[1]OUT_TransportEnergyCons!F$4:F$10000))*1000</f>
        <v>9.8169824841330008E-2</v>
      </c>
      <c r="I2211" s="1" cm="1">
        <f t="array" ref="I2211">(SUMPRODUCT(("var_ncap"=[1]OUT_TransportEnergyCons!$B$4:$B$10000)*1,ISNUMBER(SEARCH("T_b_c*ICE*nga*s3",[1]OUT_TransportEnergyCons!$A$4:$A$10000))*1,[1]OUT_TransportEnergyCons!G$4:G$10000))*1000</f>
        <v>4.7875437678887003E-4</v>
      </c>
      <c r="J2211" s="1" cm="1">
        <f t="array" ref="J2211">(SUMPRODUCT(("var_ncap"=[1]OUT_TransportEnergyCons!$B$4:$B$10000)*1,ISNUMBER(SEARCH("T_b_c*ICE*nga*s3",[1]OUT_TransportEnergyCons!$A$4:$A$10000))*1,[1]OUT_TransportEnergyCons!H$4:H$10000))*1000</f>
        <v>2.8510591115806899E-4</v>
      </c>
      <c r="K2211" s="1" cm="1">
        <f t="array" ref="K2211">(SUMPRODUCT(("var_ncap"=[1]OUT_TransportEnergyCons!$B$4:$B$10000)*1,ISNUMBER(SEARCH("T_b_c*ICE*nga*s3",[1]OUT_TransportEnergyCons!$A$4:$A$10000))*1,[1]OUT_TransportEnergyCons!I$4:I$10000))*1000</f>
        <v>1.9256574940536601E-4</v>
      </c>
      <c r="L2211" s="1" cm="1">
        <f t="array" ref="L2211">(SUMPRODUCT(("var_ncap"=[1]OUT_TransportEnergyCons!$B$4:$B$10000)*1,ISNUMBER(SEARCH("T_b_c*ICE*nga*s3",[1]OUT_TransportEnergyCons!$A$4:$A$10000))*1,[1]OUT_TransportEnergyCons!J$4:J$10000))*1000</f>
        <v>6.4479770138132998E-5</v>
      </c>
      <c r="M2211" s="1" cm="1">
        <f t="array" ref="M2211">(SUMPRODUCT(("var_ncap"=[1]OUT_TransportEnergyCons!$B$4:$B$10000)*1,ISNUMBER(SEARCH("T_b_c*ICE*nga*s3",[1]OUT_TransportEnergyCons!$A$4:$A$10000))*1,[1]OUT_TransportEnergyCons!K$4:K$10000))*1000</f>
        <v>0</v>
      </c>
      <c r="N2211" s="1" cm="1">
        <f t="array" ref="N2211">(SUMPRODUCT(("var_ncap"=[1]OUT_TransportEnergyCons!$B$4:$B$10000)*1,ISNUMBER(SEARCH("T_b_c*ICE*nga*s3",[1]OUT_TransportEnergyCons!$A$4:$A$10000))*1,[1]OUT_TransportEnergyCons!L$4:L$10000))*1000</f>
        <v>0</v>
      </c>
      <c r="O2211" s="1" cm="1">
        <f t="array" ref="O2211">(SUMPRODUCT(("var_ncap"=[1]OUT_TransportEnergyCons!$B$4:$B$10000)*1,ISNUMBER(SEARCH("T_b_c*ICE*nga*s3",[1]OUT_TransportEnergyCons!$A$4:$A$10000))*1,[1]OUT_TransportEnergyCons!M$4:M$10000))*1000</f>
        <v>0</v>
      </c>
      <c r="P2211" s="1" cm="1">
        <f t="array" ref="P2211">(SUMPRODUCT(("var_ncap"=[1]OUT_TransportEnergyCons!$B$4:$B$10000)*1,ISNUMBER(SEARCH("T_b_c*ICE*nga*s3",[1]OUT_TransportEnergyCons!$A$4:$A$10000))*1,[1]OUT_TransportEnergyCons!N$4:N$10000))*1000</f>
        <v>0</v>
      </c>
      <c r="Q2211" s="1" cm="1">
        <f t="array" ref="Q2211">(SUMPRODUCT(("var_ncap"=[1]OUT_TransportEnergyCons!$B$4:$B$10000)*1,ISNUMBER(SEARCH("T_b_c*ICE*nga*s3",[1]OUT_TransportEnergyCons!$A$4:$A$10000))*1,[1]OUT_TransportEnergyCons!O$4:O$10000))*1000</f>
        <v>0</v>
      </c>
      <c r="S2211" s="3"/>
    </row>
    <row r="2212" spans="2:19" x14ac:dyDescent="0.5">
      <c r="B2212" s="5" t="str">
        <f t="shared" si="2251"/>
        <v>SPS1</v>
      </c>
      <c r="C2212" s="5" t="str">
        <f t="shared" si="2252"/>
        <v>CH</v>
      </c>
      <c r="D2212" t="s">
        <v>2341</v>
      </c>
      <c r="E2212" t="s">
        <v>1999</v>
      </c>
      <c r="F2212" s="1" cm="1">
        <f t="array" ref="F2212">(SUMPRODUCT(("var_ncap"=[1]OUT_TransportEnergyCons!$B$4:$B$10000)*1,ISNUMBER(SEARCH("T_b_c*ICE*nga*s4",[1]OUT_TransportEnergyCons!$A$4:$A$10000))*1,[1]OUT_TransportEnergyCons!D$4:D$10000))*1000</f>
        <v>0</v>
      </c>
      <c r="G2212" s="1" cm="1">
        <f t="array" ref="G2212">(SUMPRODUCT(("var_ncap"=[1]OUT_TransportEnergyCons!$B$4:$B$10000)*1,ISNUMBER(SEARCH("T_b_c*ICE*nga*s4",[1]OUT_TransportEnergyCons!$A$4:$A$10000))*1,[1]OUT_TransportEnergyCons!E$4:E$10000))*1000</f>
        <v>0</v>
      </c>
      <c r="H2212" s="1" cm="1">
        <f t="array" ref="H2212">(SUMPRODUCT(("var_ncap"=[1]OUT_TransportEnergyCons!$B$4:$B$10000)*1,ISNUMBER(SEARCH("T_b_c*ICE*nga*s4",[1]OUT_TransportEnergyCons!$A$4:$A$10000))*1,[1]OUT_TransportEnergyCons!F$4:F$10000))*1000</f>
        <v>0</v>
      </c>
      <c r="I2212" s="1" cm="1">
        <f t="array" ref="I2212">(SUMPRODUCT(("var_ncap"=[1]OUT_TransportEnergyCons!$B$4:$B$10000)*1,ISNUMBER(SEARCH("T_b_c*ICE*nga*s4",[1]OUT_TransportEnergyCons!$A$4:$A$10000))*1,[1]OUT_TransportEnergyCons!G$4:G$10000))*1000</f>
        <v>0</v>
      </c>
      <c r="J2212" s="1" cm="1">
        <f t="array" ref="J2212">(SUMPRODUCT(("var_ncap"=[1]OUT_TransportEnergyCons!$B$4:$B$10000)*1,ISNUMBER(SEARCH("T_b_c*ICE*nga*s4",[1]OUT_TransportEnergyCons!$A$4:$A$10000))*1,[1]OUT_TransportEnergyCons!H$4:H$10000))*1000</f>
        <v>3.2909943096425803E-5</v>
      </c>
      <c r="K2212" s="1" cm="1">
        <f t="array" ref="K2212">(SUMPRODUCT(("var_ncap"=[1]OUT_TransportEnergyCons!$B$4:$B$10000)*1,ISNUMBER(SEARCH("T_b_c*ICE*nga*s4",[1]OUT_TransportEnergyCons!$A$4:$A$10000))*1,[1]OUT_TransportEnergyCons!I$4:I$10000))*1000</f>
        <v>1.26024426038089E-5</v>
      </c>
      <c r="L2212" s="1" cm="1">
        <f t="array" ref="L2212">(SUMPRODUCT(("var_ncap"=[1]OUT_TransportEnergyCons!$B$4:$B$10000)*1,ISNUMBER(SEARCH("T_b_c*ICE*nga*s4",[1]OUT_TransportEnergyCons!$A$4:$A$10000))*1,[1]OUT_TransportEnergyCons!J$4:J$10000))*1000</f>
        <v>1.05754110159783E-5</v>
      </c>
      <c r="M2212" s="1" cm="1">
        <f t="array" ref="M2212">(SUMPRODUCT(("var_ncap"=[1]OUT_TransportEnergyCons!$B$4:$B$10000)*1,ISNUMBER(SEARCH("T_b_c*ICE*nga*s4",[1]OUT_TransportEnergyCons!$A$4:$A$10000))*1,[1]OUT_TransportEnergyCons!K$4:K$10000))*1000</f>
        <v>0</v>
      </c>
      <c r="N2212" s="1" cm="1">
        <f t="array" ref="N2212">(SUMPRODUCT(("var_ncap"=[1]OUT_TransportEnergyCons!$B$4:$B$10000)*1,ISNUMBER(SEARCH("T_b_c*ICE*nga*s4",[1]OUT_TransportEnergyCons!$A$4:$A$10000))*1,[1]OUT_TransportEnergyCons!L$4:L$10000))*1000</f>
        <v>0</v>
      </c>
      <c r="O2212" s="1" cm="1">
        <f t="array" ref="O2212">(SUMPRODUCT(("var_ncap"=[1]OUT_TransportEnergyCons!$B$4:$B$10000)*1,ISNUMBER(SEARCH("T_b_c*ICE*nga*s4",[1]OUT_TransportEnergyCons!$A$4:$A$10000))*1,[1]OUT_TransportEnergyCons!M$4:M$10000))*1000</f>
        <v>0</v>
      </c>
      <c r="P2212" s="1" cm="1">
        <f t="array" ref="P2212">(SUMPRODUCT(("var_ncap"=[1]OUT_TransportEnergyCons!$B$4:$B$10000)*1,ISNUMBER(SEARCH("T_b_c*ICE*nga*s4",[1]OUT_TransportEnergyCons!$A$4:$A$10000))*1,[1]OUT_TransportEnergyCons!N$4:N$10000))*1000</f>
        <v>0</v>
      </c>
      <c r="Q2212" s="1" cm="1">
        <f t="array" ref="Q2212">(SUMPRODUCT(("var_ncap"=[1]OUT_TransportEnergyCons!$B$4:$B$10000)*1,ISNUMBER(SEARCH("T_b_c*ICE*nga*s4",[1]OUT_TransportEnergyCons!$A$4:$A$10000))*1,[1]OUT_TransportEnergyCons!O$4:O$10000))*1000</f>
        <v>0</v>
      </c>
      <c r="S2212" s="3"/>
    </row>
    <row r="2213" spans="2:19" x14ac:dyDescent="0.5">
      <c r="B2213" s="5" t="str">
        <f t="shared" si="2251"/>
        <v>SPS1</v>
      </c>
      <c r="C2213" s="5" t="str">
        <f t="shared" si="2252"/>
        <v>CH</v>
      </c>
      <c r="D2213" s="2" t="s">
        <v>2342</v>
      </c>
      <c r="E2213" s="2" t="s">
        <v>1999</v>
      </c>
      <c r="F2213" s="3">
        <f t="shared" ref="F2213:K2213" si="2253">SUM(F2214:F2222)</f>
        <v>4.19972779867015E-4</v>
      </c>
      <c r="G2213" s="3">
        <f t="shared" si="2253"/>
        <v>15.039176436348473</v>
      </c>
      <c r="H2213" s="3">
        <f t="shared" si="2253"/>
        <v>172.3051289197864</v>
      </c>
      <c r="I2213" s="3">
        <f t="shared" si="2253"/>
        <v>72.260690114734444</v>
      </c>
      <c r="J2213" s="3">
        <f t="shared" si="2253"/>
        <v>283.3759307973429</v>
      </c>
      <c r="K2213" s="3">
        <f t="shared" si="2253"/>
        <v>179.87013689629256</v>
      </c>
      <c r="L2213" s="3">
        <f t="shared" ref="L2213:O2213" si="2254">SUM(L2214:L2222)</f>
        <v>175.24982232819443</v>
      </c>
      <c r="M2213" s="3">
        <f t="shared" si="2254"/>
        <v>300.06746603990405</v>
      </c>
      <c r="N2213" s="3">
        <f t="shared" si="2254"/>
        <v>177.53242141143409</v>
      </c>
      <c r="O2213" s="3">
        <f t="shared" si="2254"/>
        <v>241.62810632063508</v>
      </c>
      <c r="P2213" s="3">
        <f>SUM(P2214:P2222)</f>
        <v>315.68373494405711</v>
      </c>
      <c r="Q2213" s="3">
        <f>SUM(Q2214:Q2222)</f>
        <v>125.20642484960133</v>
      </c>
      <c r="S2213" s="3"/>
    </row>
    <row r="2214" spans="2:19" x14ac:dyDescent="0.5">
      <c r="B2214" s="5" t="str">
        <f t="shared" si="2251"/>
        <v>SPS1</v>
      </c>
      <c r="C2214" s="5" t="str">
        <f t="shared" si="2252"/>
        <v>CH</v>
      </c>
      <c r="D2214" t="s">
        <v>2343</v>
      </c>
      <c r="E2214" t="s">
        <v>1999</v>
      </c>
      <c r="F2214" s="1" cm="1">
        <f t="array" ref="F2214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14" s="1" cm="1">
        <f t="array" ref="J2214">(SUMPRODUCT(("var_ncap"=[1]OUT_TransportEnergyCons!$B$4:$B$10000)*1,("-"=[1]OUT_TransportEnergyCons!$C$4:$C$10000)*1,ISNUMBER(SEARCH("tfl*bev*ext",[1]OUT_TransportEnergyCons!$A$4:$A$10000))*1,[1]OUT_TransportEnergyCons!H$4:H$10000))*1000</f>
        <v>0</v>
      </c>
      <c r="K2214" s="1" cm="1">
        <f t="array" ref="K2214">(SUMPRODUCT(("var_ncap"=[1]OUT_TransportEnergyCons!$B$4:$B$10000)*1,("-"=[1]OUT_TransportEnergyCons!$C$4:$C$10000)*1,ISNUMBER(SEARCH("tfl*bev*ext",[1]OUT_TransportEnergyCons!$A$4:$A$10000))*1,[1]OUT_TransportEnergyCons!I$4:I$10000))*1000</f>
        <v>0</v>
      </c>
      <c r="L2214" s="1" cm="1">
        <f t="array" ref="L2214">(SUMPRODUCT(("var_ncap"=[1]OUT_TransportEnergyCons!$B$4:$B$10000)*1,("-"=[1]OUT_TransportEnergyCons!$C$4:$C$10000)*1,ISNUMBER(SEARCH("tfl*bev*ext",[1]OUT_TransportEnergyCons!$A$4:$A$10000))*1,[1]OUT_TransportEnergyCons!J$4:J$10000))*1000</f>
        <v>0</v>
      </c>
      <c r="M2214" s="1" cm="1">
        <f t="array" ref="M2214">(SUMPRODUCT(("var_ncap"=[1]OUT_TransportEnergyCons!$B$4:$B$10000)*1,("-"=[1]OUT_TransportEnergyCons!$C$4:$C$10000)*1,ISNUMBER(SEARCH("tfl*bev*ext",[1]OUT_TransportEnergyCons!$A$4:$A$10000))*1,[1]OUT_TransportEnergyCons!K$4:K$10000))*1000</f>
        <v>0</v>
      </c>
      <c r="N2214" s="1" cm="1">
        <f t="array" ref="N2214">(SUMPRODUCT(("var_ncap"=[1]OUT_TransportEnergyCons!$B$4:$B$10000)*1,("-"=[1]OUT_TransportEnergyCons!$C$4:$C$10000)*1,ISNUMBER(SEARCH("tfl*bev*ext",[1]OUT_TransportEnergyCons!$A$4:$A$10000))*1,[1]OUT_TransportEnergyCons!L$4:L$10000))*1000</f>
        <v>0</v>
      </c>
      <c r="O2214" s="1" cm="1">
        <f t="array" ref="O2214">(SUMPRODUCT(("var_ncap"=[1]OUT_TransportEnergyCons!$B$4:$B$10000)*1,("-"=[1]OUT_TransportEnergyCons!$C$4:$C$10000)*1,ISNUMBER(SEARCH("tfl*bev*ext",[1]OUT_TransportEnergyCons!$A$4:$A$10000))*1,[1]OUT_TransportEnergyCons!M$4:M$10000))*1000</f>
        <v>0</v>
      </c>
      <c r="P2214" s="1" cm="1">
        <f t="array" ref="P2214">(SUMPRODUCT(("var_ncap"=[1]OUT_TransportEnergyCons!$B$4:$B$10000)*1,("-"=[1]OUT_TransportEnergyCons!$C$4:$C$10000)*1,ISNUMBER(SEARCH("tfl*bev*ext",[1]OUT_TransportEnergyCons!$A$4:$A$10000))*1,[1]OUT_TransportEnergyCons!N$4:N$10000))*1000</f>
        <v>0</v>
      </c>
      <c r="Q2214" s="1" cm="1">
        <f t="array" ref="Q2214">(SUMPRODUCT(("var_ncap"=[1]OUT_TransportEnergyCons!$B$4:$B$10000)*1,("-"=[1]OUT_TransportEnergyCons!$C$4:$C$10000)*1,ISNUMBER(SEARCH("tfl*bev*ext",[1]OUT_TransportEnergyCons!$A$4:$A$10000))*1,[1]OUT_TransportEnergyCons!O$4:O$10000))*1000</f>
        <v>0</v>
      </c>
      <c r="S2214" s="3"/>
    </row>
    <row r="2215" spans="2:19" x14ac:dyDescent="0.5">
      <c r="B2215" s="5" t="str">
        <f t="shared" si="2251"/>
        <v>SPS1</v>
      </c>
      <c r="C2215" s="5" t="str">
        <f t="shared" si="2252"/>
        <v>CH</v>
      </c>
      <c r="D2215" t="s">
        <v>2344</v>
      </c>
      <c r="E2215" t="s">
        <v>1999</v>
      </c>
      <c r="F2215" s="1" cm="1">
        <f t="array" ref="F2215">(SUMPRODUCT(("var_ncap"=[1]OUT_TransportEnergyCons!$B$4:$B$10000)*1,("-"=[1]OUT_TransportEnergyCons!$C$4:$C$10000)*1,ISNUMBER(SEARCH("tfl*bev*",[1]OUT_TransportEnergyCons!$A$4:$A$10000))*1,[1]OUT_TransportEnergyCons!D$4:D$10000))*1000-F2214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(SUMPRODUCT(("var_ncap"=[1]OUT_TransportEnergyCons!$B$4:$B$10000)*1,("-"=[1]OUT_TransportEnergyCons!$C$4:$C$10000)*1,ISNUMBER(SEARCH("tfl*bev*",[1]OUT_TransportEnergyCons!$A$4:$A$10000))*1,[1]OUT_TransportEnergyCons!E$4:E$10000))*1000-G2214</f>
        <v>7.5809164603441497</v>
      </c>
      <c r="H2215" s="1" cm="1">
        <f t="array" ref="H2215">(SUMPRODUCT(("var_ncap"=[1]OUT_TransportEnergyCons!$B$4:$B$10000)*1,("-"=[1]OUT_TransportEnergyCons!$C$4:$C$10000)*1,ISNUMBER(SEARCH("tfl*bev*",[1]OUT_TransportEnergyCons!$A$4:$A$10000))*1,[1]OUT_TransportEnergyCons!F$4:F$10000))*1000-H2214</f>
        <v>172.23790172180901</v>
      </c>
      <c r="I2215" s="1" cm="1">
        <f t="array" ref="I2215">(SUMPRODUCT(("var_ncap"=[1]OUT_TransportEnergyCons!$B$4:$B$10000)*1,("-"=[1]OUT_TransportEnergyCons!$C$4:$C$10000)*1,ISNUMBER(SEARCH("tfl*bev*",[1]OUT_TransportEnergyCons!$A$4:$A$10000))*1,[1]OUT_TransportEnergyCons!G$4:G$10000))*1000-I2214</f>
        <v>34.950922408706504</v>
      </c>
      <c r="J2215" s="1" cm="1">
        <f t="array" ref="J2215">(SUMPRODUCT(("var_ncap"=[1]OUT_TransportEnergyCons!$B$4:$B$10000)*1,("-"=[1]OUT_TransportEnergyCons!$C$4:$C$10000)*1,ISNUMBER(SEARCH("tfl*bev*",[1]OUT_TransportEnergyCons!$A$4:$A$10000))*1,[1]OUT_TransportEnergyCons!H$4:H$10000))*1000-J2214</f>
        <v>283.37476710924</v>
      </c>
      <c r="K2215" s="1" cm="1">
        <f t="array" ref="K2215">(SUMPRODUCT(("var_ncap"=[1]OUT_TransportEnergyCons!$B$4:$B$10000)*1,("-"=[1]OUT_TransportEnergyCons!$C$4:$C$10000)*1,ISNUMBER(SEARCH("tfl*bev*",[1]OUT_TransportEnergyCons!$A$4:$A$10000))*1,[1]OUT_TransportEnergyCons!I$4:I$10000))*1000-K2214</f>
        <v>179.86925411124599</v>
      </c>
      <c r="L2215" s="1" cm="1">
        <f t="array" ref="L2215">(SUMPRODUCT(("var_ncap"=[1]OUT_TransportEnergyCons!$B$4:$B$10000)*1,("-"=[1]OUT_TransportEnergyCons!$C$4:$C$10000)*1,ISNUMBER(SEARCH("tfl*bev*",[1]OUT_TransportEnergyCons!$A$4:$A$10000))*1,[1]OUT_TransportEnergyCons!J$4:J$10000))*1000-L2214</f>
        <v>175.24901679394301</v>
      </c>
      <c r="M2215" s="1" cm="1">
        <f t="array" ref="M2215">(SUMPRODUCT(("var_ncap"=[1]OUT_TransportEnergyCons!$B$4:$B$10000)*1,("-"=[1]OUT_TransportEnergyCons!$C$4:$C$10000)*1,ISNUMBER(SEARCH("tfl*bev*",[1]OUT_TransportEnergyCons!$A$4:$A$10000))*1,[1]OUT_TransportEnergyCons!K$4:K$10000))*1000-M2214</f>
        <v>300.06640823457298</v>
      </c>
      <c r="N2215" s="1" cm="1">
        <f t="array" ref="N2215">(SUMPRODUCT(("var_ncap"=[1]OUT_TransportEnergyCons!$B$4:$B$10000)*1,("-"=[1]OUT_TransportEnergyCons!$C$4:$C$10000)*1,ISNUMBER(SEARCH("tfl*bev*",[1]OUT_TransportEnergyCons!$A$4:$A$10000))*1,[1]OUT_TransportEnergyCons!L$4:L$10000))*1000-N2214</f>
        <v>177.531663019799</v>
      </c>
      <c r="O2215" s="1" cm="1">
        <f t="array" ref="O2215">(SUMPRODUCT(("var_ncap"=[1]OUT_TransportEnergyCons!$B$4:$B$10000)*1,("-"=[1]OUT_TransportEnergyCons!$C$4:$C$10000)*1,ISNUMBER(SEARCH("tfl*bev*",[1]OUT_TransportEnergyCons!$A$4:$A$10000))*1,[1]OUT_TransportEnergyCons!M$4:M$10000))*1000-O2214</f>
        <v>241.62714310035599</v>
      </c>
      <c r="P2215" s="1" cm="1">
        <f t="array" ref="P2215">(SUMPRODUCT(("var_ncap"=[1]OUT_TransportEnergyCons!$B$4:$B$10000)*1,("-"=[1]OUT_TransportEnergyCons!$C$4:$C$10000)*1,ISNUMBER(SEARCH("tfl*bev*",[1]OUT_TransportEnergyCons!$A$4:$A$10000))*1,[1]OUT_TransportEnergyCons!N$4:N$10000))*1000-P2214</f>
        <v>315.68259956938999</v>
      </c>
      <c r="Q2215" s="1" cm="1">
        <f t="array" ref="Q2215">(SUMPRODUCT(("var_ncap"=[1]OUT_TransportEnergyCons!$B$4:$B$10000)*1,("-"=[1]OUT_TransportEnergyCons!$C$4:$C$10000)*1,ISNUMBER(SEARCH("tfl*bev*",[1]OUT_TransportEnergyCons!$A$4:$A$10000))*1,[1]OUT_TransportEnergyCons!O$4:O$10000))*1000-Q2214</f>
        <v>125.205515803891</v>
      </c>
      <c r="S2215" s="3"/>
    </row>
    <row r="2216" spans="2:19" x14ac:dyDescent="0.5">
      <c r="B2216" s="5" t="str">
        <f t="shared" si="2251"/>
        <v>SPS1</v>
      </c>
      <c r="C2216" s="5" t="str">
        <f t="shared" si="2252"/>
        <v>CH</v>
      </c>
      <c r="D2216" t="s">
        <v>2345</v>
      </c>
      <c r="E2216" t="s">
        <v>1999</v>
      </c>
      <c r="F2216" s="1" cm="1">
        <f t="array" ref="F2216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(SUMPRODUCT(("var_ncap"=[1]OUT_TransportEnergyCons!$B$4:$B$10000)*1,("-"=[1]OUT_TransportEnergyCons!$C$4:$C$10000)*1,ISNUMBER(SEARCH("tfl*h2o*",[1]OUT_TransportEnergyCons!$A$4:$A$10000))*1,[1]OUT_TransportEnergyCons!E$4:E$10000))*1000</f>
        <v>2.49950808097868E-3</v>
      </c>
      <c r="H2216" s="1" cm="1">
        <f t="array" ref="H2216">(SUMPRODUCT(("var_ncap"=[1]OUT_TransportEnergyCons!$B$4:$B$10000)*1,("-"=[1]OUT_TransportEnergyCons!$C$4:$C$10000)*1,ISNUMBER(SEARCH("tfl*h2o*",[1]OUT_TransportEnergyCons!$A$4:$A$10000))*1,[1]OUT_TransportEnergyCons!F$4:F$10000))*1000</f>
        <v>1.0203641534806199E-3</v>
      </c>
      <c r="I2216" s="1" cm="1">
        <f t="array" ref="I2216">(SUMPRODUCT(("var_ncap"=[1]OUT_TransportEnergyCons!$B$4:$B$10000)*1,("-"=[1]OUT_TransportEnergyCons!$C$4:$C$10000)*1,ISNUMBER(SEARCH("tfl*h2o*",[1]OUT_TransportEnergyCons!$A$4:$A$10000))*1,[1]OUT_TransportEnergyCons!G$4:G$10000))*1000</f>
        <v>5.7265871754243701E-4</v>
      </c>
      <c r="J2216" s="1" cm="1">
        <f t="array" ref="J2216">(SUMPRODUCT(("var_ncap"=[1]OUT_TransportEnergyCons!$B$4:$B$10000)*1,("-"=[1]OUT_TransportEnergyCons!$C$4:$C$10000)*1,ISNUMBER(SEARCH("tfl*h2o*",[1]OUT_TransportEnergyCons!$A$4:$A$10000))*1,[1]OUT_TransportEnergyCons!H$4:H$10000))*1000</f>
        <v>1.1636881028859502E-3</v>
      </c>
      <c r="K2216" s="1" cm="1">
        <f t="array" ref="K2216">(SUMPRODUCT(("var_ncap"=[1]OUT_TransportEnergyCons!$B$4:$B$10000)*1,("-"=[1]OUT_TransportEnergyCons!$C$4:$C$10000)*1,ISNUMBER(SEARCH("tfl*h2o*",[1]OUT_TransportEnergyCons!$A$4:$A$10000))*1,[1]OUT_TransportEnergyCons!I$4:I$10000))*1000</f>
        <v>8.8278504657317595E-4</v>
      </c>
      <c r="L2216" s="1" cm="1">
        <f t="array" ref="L2216">(SUMPRODUCT(("var_ncap"=[1]OUT_TransportEnergyCons!$B$4:$B$10000)*1,("-"=[1]OUT_TransportEnergyCons!$C$4:$C$10000)*1,ISNUMBER(SEARCH("tfl*h2o*",[1]OUT_TransportEnergyCons!$A$4:$A$10000))*1,[1]OUT_TransportEnergyCons!J$4:J$10000))*1000</f>
        <v>8.0553425140000195E-4</v>
      </c>
      <c r="M2216" s="1" cm="1">
        <f t="array" ref="M2216">(SUMPRODUCT(("var_ncap"=[1]OUT_TransportEnergyCons!$B$4:$B$10000)*1,("-"=[1]OUT_TransportEnergyCons!$C$4:$C$10000)*1,ISNUMBER(SEARCH("tfl*h2o*",[1]OUT_TransportEnergyCons!$A$4:$A$10000))*1,[1]OUT_TransportEnergyCons!K$4:K$10000))*1000</f>
        <v>1.05780533104687E-3</v>
      </c>
      <c r="N2216" s="1" cm="1">
        <f t="array" ref="N2216">(SUMPRODUCT(("var_ncap"=[1]OUT_TransportEnergyCons!$B$4:$B$10000)*1,("-"=[1]OUT_TransportEnergyCons!$C$4:$C$10000)*1,ISNUMBER(SEARCH("tfl*h2o*",[1]OUT_TransportEnergyCons!$A$4:$A$10000))*1,[1]OUT_TransportEnergyCons!L$4:L$10000))*1000</f>
        <v>7.5839163508444095E-4</v>
      </c>
      <c r="O2216" s="1" cm="1">
        <f t="array" ref="O2216">(SUMPRODUCT(("var_ncap"=[1]OUT_TransportEnergyCons!$B$4:$B$10000)*1,("-"=[1]OUT_TransportEnergyCons!$C$4:$C$10000)*1,ISNUMBER(SEARCH("tfl*h2o*",[1]OUT_TransportEnergyCons!$A$4:$A$10000))*1,[1]OUT_TransportEnergyCons!M$4:M$10000))*1000</f>
        <v>9.6322027910322999E-4</v>
      </c>
      <c r="P2216" s="1" cm="1">
        <f t="array" ref="P2216">(SUMPRODUCT(("var_ncap"=[1]OUT_TransportEnergyCons!$B$4:$B$10000)*1,("-"=[1]OUT_TransportEnergyCons!$C$4:$C$10000)*1,ISNUMBER(SEARCH("tfl*h2o*",[1]OUT_TransportEnergyCons!$A$4:$A$10000))*1,[1]OUT_TransportEnergyCons!N$4:N$10000))*1000</f>
        <v>1.13537466711756E-3</v>
      </c>
      <c r="Q2216" s="1" cm="1">
        <f t="array" ref="Q2216">(SUMPRODUCT(("var_ncap"=[1]OUT_TransportEnergyCons!$B$4:$B$10000)*1,("-"=[1]OUT_TransportEnergyCons!$C$4:$C$10000)*1,ISNUMBER(SEARCH("tfl*h2o*",[1]OUT_TransportEnergyCons!$A$4:$A$10000))*1,[1]OUT_TransportEnergyCons!O$4:O$10000))*1000</f>
        <v>9.0904571033014196E-4</v>
      </c>
      <c r="S2216" s="3"/>
    </row>
    <row r="2217" spans="2:19" x14ac:dyDescent="0.5">
      <c r="B2217" s="5" t="str">
        <f t="shared" si="2251"/>
        <v>SPS1</v>
      </c>
      <c r="C2217" s="5" t="str">
        <f t="shared" si="2252"/>
        <v>CH</v>
      </c>
      <c r="D2217" t="s">
        <v>2346</v>
      </c>
      <c r="E2217" t="s">
        <v>1999</v>
      </c>
      <c r="F2217" s="1" cm="1">
        <f t="array" ref="F2217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7" s="1" cm="1">
        <f t="array" ref="G2217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7" s="1" cm="1">
        <f t="array" ref="H2217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7" s="1" cm="1">
        <f t="array" ref="I2217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7" s="1" cm="1">
        <f t="array" ref="J2217">(SUMPRODUCT(("var_ncap"=[1]OUT_TransportEnergyCons!$B$4:$B$10000)*1,("-"=[1]OUT_TransportEnergyCons!$C$4:$C$10000)*1,ISNUMBER(SEARCH("TfL*ICE*GSL*ext",[1]OUT_TransportEnergyCons!$A$4:$A$10000))*1,[1]OUT_TransportEnergyCons!H$4:H$10000))*1000</f>
        <v>0</v>
      </c>
      <c r="K2217" s="1" cm="1">
        <f t="array" ref="K2217">(SUMPRODUCT(("var_ncap"=[1]OUT_TransportEnergyCons!$B$4:$B$10000)*1,("-"=[1]OUT_TransportEnergyCons!$C$4:$C$10000)*1,ISNUMBER(SEARCH("TfL*ICE*GSL*ext",[1]OUT_TransportEnergyCons!$A$4:$A$10000))*1,[1]OUT_TransportEnergyCons!I$4:I$10000))*1000</f>
        <v>0</v>
      </c>
      <c r="L2217" s="1" cm="1">
        <f t="array" ref="L2217">(SUMPRODUCT(("var_ncap"=[1]OUT_TransportEnergyCons!$B$4:$B$10000)*1,("-"=[1]OUT_TransportEnergyCons!$C$4:$C$10000)*1,ISNUMBER(SEARCH("TfL*ICE*GSL*ext",[1]OUT_TransportEnergyCons!$A$4:$A$10000))*1,[1]OUT_TransportEnergyCons!J$4:J$10000))*1000</f>
        <v>0</v>
      </c>
      <c r="M2217" s="1" cm="1">
        <f t="array" ref="M2217">(SUMPRODUCT(("var_ncap"=[1]OUT_TransportEnergyCons!$B$4:$B$10000)*1,("-"=[1]OUT_TransportEnergyCons!$C$4:$C$10000)*1,ISNUMBER(SEARCH("TfL*ICE*GSL*ext",[1]OUT_TransportEnergyCons!$A$4:$A$10000))*1,[1]OUT_TransportEnergyCons!K$4:K$10000))*1000</f>
        <v>0</v>
      </c>
      <c r="N2217" s="1" cm="1">
        <f t="array" ref="N2217">(SUMPRODUCT(("var_ncap"=[1]OUT_TransportEnergyCons!$B$4:$B$10000)*1,("-"=[1]OUT_TransportEnergyCons!$C$4:$C$10000)*1,ISNUMBER(SEARCH("TfL*ICE*GSL*ext",[1]OUT_TransportEnergyCons!$A$4:$A$10000))*1,[1]OUT_TransportEnergyCons!L$4:L$10000))*1000</f>
        <v>0</v>
      </c>
      <c r="O2217" s="1" cm="1">
        <f t="array" ref="O2217">(SUMPRODUCT(("var_ncap"=[1]OUT_TransportEnergyCons!$B$4:$B$10000)*1,("-"=[1]OUT_TransportEnergyCons!$C$4:$C$10000)*1,ISNUMBER(SEARCH("TfL*ICE*GSL*ext",[1]OUT_TransportEnergyCons!$A$4:$A$10000))*1,[1]OUT_TransportEnergyCons!M$4:M$10000))*1000</f>
        <v>0</v>
      </c>
      <c r="P2217" s="1" cm="1">
        <f t="array" ref="P2217">(SUMPRODUCT(("var_ncap"=[1]OUT_TransportEnergyCons!$B$4:$B$10000)*1,("-"=[1]OUT_TransportEnergyCons!$C$4:$C$10000)*1,ISNUMBER(SEARCH("TfL*ICE*GSL*ext",[1]OUT_TransportEnergyCons!$A$4:$A$10000))*1,[1]OUT_TransportEnergyCons!N$4:N$10000))*1000</f>
        <v>0</v>
      </c>
      <c r="Q2217" s="1" cm="1">
        <f t="array" ref="Q2217">(SUMPRODUCT(("var_ncap"=[1]OUT_TransportEnergyCons!$B$4:$B$10000)*1,("-"=[1]OUT_TransportEnergyCons!$C$4:$C$10000)*1,ISNUMBER(SEARCH("TfL*ICE*GSL*ext",[1]OUT_TransportEnergyCons!$A$4:$A$10000))*1,[1]OUT_TransportEnergyCons!O$4:O$10000))*1000</f>
        <v>0</v>
      </c>
      <c r="S2217" s="3"/>
    </row>
    <row r="2218" spans="2:19" x14ac:dyDescent="0.5">
      <c r="B2218" s="5" t="str">
        <f t="shared" si="2251"/>
        <v>SPS1</v>
      </c>
      <c r="C2218" s="5" t="str">
        <f t="shared" si="2252"/>
        <v>CH</v>
      </c>
      <c r="D2218" t="s">
        <v>2347</v>
      </c>
      <c r="E2218" t="s">
        <v>1999</v>
      </c>
      <c r="F2218" s="1" cm="1">
        <f t="array" ref="F2218">(SUMPRODUCT(("var_ncap"=[1]OUT_TransportEnergyCons!$B$4:$B$10000)*1,("-"=[1]OUT_TransportEnergyCons!$C$4:$C$10000)*1,ISNUMBER(SEARCH("TfL*ICE*GSL*",[1]OUT_TransportEnergyCons!$A$4:$A$10000))*1,[1]OUT_TransportEnergyCons!D$4:D$10000))*1000-F2217</f>
        <v>0</v>
      </c>
      <c r="G2218" s="1" cm="1">
        <f t="array" ref="G2218">(SUMPRODUCT(("var_ncap"=[1]OUT_TransportEnergyCons!$B$4:$B$10000)*1,("-"=[1]OUT_TransportEnergyCons!$C$4:$C$10000)*1,ISNUMBER(SEARCH("TfL*ICE*GSL*",[1]OUT_TransportEnergyCons!$A$4:$A$10000))*1,[1]OUT_TransportEnergyCons!E$4:E$10000))*1000-G2217</f>
        <v>3.2175300731800298E-2</v>
      </c>
      <c r="H2218" s="1" cm="1">
        <f t="array" ref="H2218">(SUMPRODUCT(("var_ncap"=[1]OUT_TransportEnergyCons!$B$4:$B$10000)*1,("-"=[1]OUT_TransportEnergyCons!$C$4:$C$10000)*1,ISNUMBER(SEARCH("TfL*ICE*GSL*",[1]OUT_TransportEnergyCons!$A$4:$A$10000))*1,[1]OUT_TransportEnergyCons!F$4:F$10000))*1000-H2217</f>
        <v>1.47159428899252E-2</v>
      </c>
      <c r="I2218" s="1" cm="1">
        <f t="array" ref="I2218">(SUMPRODUCT(("var_ncap"=[1]OUT_TransportEnergyCons!$B$4:$B$10000)*1,("-"=[1]OUT_TransportEnergyCons!$C$4:$C$10000)*1,ISNUMBER(SEARCH("TfL*ICE*GSL*",[1]OUT_TransportEnergyCons!$A$4:$A$10000))*1,[1]OUT_TransportEnergyCons!G$4:G$10000))*1000-I2217</f>
        <v>21.717717707143699</v>
      </c>
      <c r="J2218" s="1" cm="1">
        <f t="array" ref="J2218">(SUMPRODUCT(("var_ncap"=[1]OUT_TransportEnergyCons!$B$4:$B$10000)*1,("-"=[1]OUT_TransportEnergyCons!$C$4:$C$10000)*1,ISNUMBER(SEARCH("TfL*ICE*GSL*",[1]OUT_TransportEnergyCons!$A$4:$A$10000))*1,[1]OUT_TransportEnergyCons!H$4:H$10000))*1000-J2217</f>
        <v>0</v>
      </c>
      <c r="K2218" s="1" cm="1">
        <f t="array" ref="K2218">(SUMPRODUCT(("var_ncap"=[1]OUT_TransportEnergyCons!$B$4:$B$10000)*1,("-"=[1]OUT_TransportEnergyCons!$C$4:$C$10000)*1,ISNUMBER(SEARCH("TfL*ICE*GSL*",[1]OUT_TransportEnergyCons!$A$4:$A$10000))*1,[1]OUT_TransportEnergyCons!I$4:I$10000))*1000-K2217</f>
        <v>0</v>
      </c>
      <c r="L2218" s="1" cm="1">
        <f t="array" ref="L2218">(SUMPRODUCT(("var_ncap"=[1]OUT_TransportEnergyCons!$B$4:$B$10000)*1,("-"=[1]OUT_TransportEnergyCons!$C$4:$C$10000)*1,ISNUMBER(SEARCH("TfL*ICE*GSL*",[1]OUT_TransportEnergyCons!$A$4:$A$10000))*1,[1]OUT_TransportEnergyCons!J$4:J$10000))*1000-L2217</f>
        <v>0</v>
      </c>
      <c r="M2218" s="1" cm="1">
        <f t="array" ref="M2218">(SUMPRODUCT(("var_ncap"=[1]OUT_TransportEnergyCons!$B$4:$B$10000)*1,("-"=[1]OUT_TransportEnergyCons!$C$4:$C$10000)*1,ISNUMBER(SEARCH("TfL*ICE*GSL*",[1]OUT_TransportEnergyCons!$A$4:$A$10000))*1,[1]OUT_TransportEnergyCons!K$4:K$10000))*1000-M2217</f>
        <v>0</v>
      </c>
      <c r="N2218" s="1" cm="1">
        <f t="array" ref="N2218">(SUMPRODUCT(("var_ncap"=[1]OUT_TransportEnergyCons!$B$4:$B$10000)*1,("-"=[1]OUT_TransportEnergyCons!$C$4:$C$10000)*1,ISNUMBER(SEARCH("TfL*ICE*GSL*",[1]OUT_TransportEnergyCons!$A$4:$A$10000))*1,[1]OUT_TransportEnergyCons!L$4:L$10000))*1000-N2217</f>
        <v>0</v>
      </c>
      <c r="O2218" s="1" cm="1">
        <f t="array" ref="O2218">(SUMPRODUCT(("var_ncap"=[1]OUT_TransportEnergyCons!$B$4:$B$10000)*1,("-"=[1]OUT_TransportEnergyCons!$C$4:$C$10000)*1,ISNUMBER(SEARCH("TfL*ICE*GSL*",[1]OUT_TransportEnergyCons!$A$4:$A$10000))*1,[1]OUT_TransportEnergyCons!M$4:M$10000))*1000-O2217</f>
        <v>0</v>
      </c>
      <c r="P2218" s="1" cm="1">
        <f t="array" ref="P2218">(SUMPRODUCT(("var_ncap"=[1]OUT_TransportEnergyCons!$B$4:$B$10000)*1,("-"=[1]OUT_TransportEnergyCons!$C$4:$C$10000)*1,ISNUMBER(SEARCH("TfL*ICE*GSL*",[1]OUT_TransportEnergyCons!$A$4:$A$10000))*1,[1]OUT_TransportEnergyCons!N$4:N$10000))*1000-P2217</f>
        <v>0</v>
      </c>
      <c r="Q2218" s="1" cm="1">
        <f t="array" ref="Q2218">(SUMPRODUCT(("var_ncap"=[1]OUT_TransportEnergyCons!$B$4:$B$10000)*1,("-"=[1]OUT_TransportEnergyCons!$C$4:$C$10000)*1,ISNUMBER(SEARCH("TfL*ICE*GSL*",[1]OUT_TransportEnergyCons!$A$4:$A$10000))*1,[1]OUT_TransportEnergyCons!O$4:O$10000))*1000-Q2217</f>
        <v>0</v>
      </c>
      <c r="S2218" s="3"/>
    </row>
    <row r="2219" spans="2:19" x14ac:dyDescent="0.5">
      <c r="B2219" s="5" t="str">
        <f t="shared" si="2251"/>
        <v>SPS1</v>
      </c>
      <c r="C2219" s="5" t="str">
        <f t="shared" si="2252"/>
        <v>CH</v>
      </c>
      <c r="D2219" t="s">
        <v>2348</v>
      </c>
      <c r="E2219" t="s">
        <v>1999</v>
      </c>
      <c r="F2219" s="1" cm="1">
        <f t="array" ref="F2219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9" s="1" cm="1">
        <f t="array" ref="J2219">(SUMPRODUCT(("var_ncap"=[1]OUT_TransportEnergyCons!$B$4:$B$10000)*1,("-"=[1]OUT_TransportEnergyCons!$C$4:$C$10000)*1,ISNUMBER(SEARCH("tfl*ICE*DSL*ext",[1]OUT_TransportEnergyCons!$A$4:$A$10000))*1,[1]OUT_TransportEnergyCons!H$4:H$10000))*1000</f>
        <v>0</v>
      </c>
      <c r="K2219" s="1" cm="1">
        <f t="array" ref="K2219">(SUMPRODUCT(("var_ncap"=[1]OUT_TransportEnergyCons!$B$4:$B$10000)*1,("-"=[1]OUT_TransportEnergyCons!$C$4:$C$10000)*1,ISNUMBER(SEARCH("tfl*ICE*DSL*ext",[1]OUT_TransportEnergyCons!$A$4:$A$10000))*1,[1]OUT_TransportEnergyCons!I$4:I$10000))*1000</f>
        <v>0</v>
      </c>
      <c r="L2219" s="1" cm="1">
        <f t="array" ref="L2219">(SUMPRODUCT(("var_ncap"=[1]OUT_TransportEnergyCons!$B$4:$B$10000)*1,("-"=[1]OUT_TransportEnergyCons!$C$4:$C$10000)*1,ISNUMBER(SEARCH("tfl*ICE*DSL*ext",[1]OUT_TransportEnergyCons!$A$4:$A$10000))*1,[1]OUT_TransportEnergyCons!J$4:J$10000))*1000</f>
        <v>0</v>
      </c>
      <c r="M2219" s="1" cm="1">
        <f t="array" ref="M2219">(SUMPRODUCT(("var_ncap"=[1]OUT_TransportEnergyCons!$B$4:$B$10000)*1,("-"=[1]OUT_TransportEnergyCons!$C$4:$C$10000)*1,ISNUMBER(SEARCH("tfl*ICE*DSL*ext",[1]OUT_TransportEnergyCons!$A$4:$A$10000))*1,[1]OUT_TransportEnergyCons!K$4:K$10000))*1000</f>
        <v>0</v>
      </c>
      <c r="N2219" s="1" cm="1">
        <f t="array" ref="N2219">(SUMPRODUCT(("var_ncap"=[1]OUT_TransportEnergyCons!$B$4:$B$10000)*1,("-"=[1]OUT_TransportEnergyCons!$C$4:$C$10000)*1,ISNUMBER(SEARCH("tfl*ICE*DSL*ext",[1]OUT_TransportEnergyCons!$A$4:$A$10000))*1,[1]OUT_TransportEnergyCons!L$4:L$10000))*1000</f>
        <v>0</v>
      </c>
      <c r="O2219" s="1" cm="1">
        <f t="array" ref="O2219">(SUMPRODUCT(("var_ncap"=[1]OUT_TransportEnergyCons!$B$4:$B$10000)*1,("-"=[1]OUT_TransportEnergyCons!$C$4:$C$10000)*1,ISNUMBER(SEARCH("tfl*ICE*DSL*ext",[1]OUT_TransportEnergyCons!$A$4:$A$10000))*1,[1]OUT_TransportEnergyCons!M$4:M$10000))*1000</f>
        <v>0</v>
      </c>
      <c r="P2219" s="1" cm="1">
        <f t="array" ref="P2219">(SUMPRODUCT(("var_ncap"=[1]OUT_TransportEnergyCons!$B$4:$B$10000)*1,("-"=[1]OUT_TransportEnergyCons!$C$4:$C$10000)*1,ISNUMBER(SEARCH("tfl*ICE*DSL*ext",[1]OUT_TransportEnergyCons!$A$4:$A$10000))*1,[1]OUT_TransportEnergyCons!N$4:N$10000))*1000</f>
        <v>0</v>
      </c>
      <c r="Q2219" s="1" cm="1">
        <f t="array" ref="Q2219">(SUMPRODUCT(("var_ncap"=[1]OUT_TransportEnergyCons!$B$4:$B$10000)*1,("-"=[1]OUT_TransportEnergyCons!$C$4:$C$10000)*1,ISNUMBER(SEARCH("tfl*ICE*DSL*ext",[1]OUT_TransportEnergyCons!$A$4:$A$10000))*1,[1]OUT_TransportEnergyCons!O$4:O$10000))*1000</f>
        <v>0</v>
      </c>
      <c r="S2219" s="3"/>
    </row>
    <row r="2220" spans="2:19" x14ac:dyDescent="0.5">
      <c r="B2220" s="5" t="str">
        <f t="shared" si="2251"/>
        <v>SPS1</v>
      </c>
      <c r="C2220" s="5" t="str">
        <f t="shared" si="2252"/>
        <v>CH</v>
      </c>
      <c r="D2220" t="s">
        <v>2349</v>
      </c>
      <c r="E2220" t="s">
        <v>1999</v>
      </c>
      <c r="F2220" s="1" cm="1">
        <f t="array" ref="F2220">(SUMPRODUCT(("var_ncap"=[1]OUT_TransportEnergyCons!$B$4:$B$10000)*1,("-"=[1]OUT_TransportEnergyCons!$C$4:$C$10000)*1,ISNUMBER(SEARCH("tfl*ICE*DSL*",[1]OUT_TransportEnergyCons!$A$4:$A$10000))*1,[1]OUT_TransportEnergyCons!D$4:D$10000))*1000-F2219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(SUMPRODUCT(("var_ncap"=[1]OUT_TransportEnergyCons!$B$4:$B$10000)*1,("-"=[1]OUT_TransportEnergyCons!$C$4:$C$10000)*1,ISNUMBER(SEARCH("tfl*ICE*DSL*",[1]OUT_TransportEnergyCons!$A$4:$A$10000))*1,[1]OUT_TransportEnergyCons!E$4:E$10000))*1000-G2219</f>
        <v>3.6296438572814699E-2</v>
      </c>
      <c r="H2220" s="1" cm="1">
        <f t="array" ref="H2220">(SUMPRODUCT(("var_ncap"=[1]OUT_TransportEnergyCons!$B$4:$B$10000)*1,("-"=[1]OUT_TransportEnergyCons!$C$4:$C$10000)*1,ISNUMBER(SEARCH("tfl*ICE*DSL*",[1]OUT_TransportEnergyCons!$A$4:$A$10000))*1,[1]OUT_TransportEnergyCons!F$4:F$10000))*1000-H2219</f>
        <v>1.7597827398111599E-2</v>
      </c>
      <c r="I2220" s="1" cm="1">
        <f t="array" ref="I2220">(SUMPRODUCT(("var_ncap"=[1]OUT_TransportEnergyCons!$B$4:$B$10000)*1,("-"=[1]OUT_TransportEnergyCons!$C$4:$C$10000)*1,ISNUMBER(SEARCH("tfl*ICE*DSL*",[1]OUT_TransportEnergyCons!$A$4:$A$10000))*1,[1]OUT_TransportEnergyCons!G$4:G$10000))*1000-I2219</f>
        <v>0.121219109439753</v>
      </c>
      <c r="J2220" s="1" cm="1">
        <f t="array" ref="J2220">(SUMPRODUCT(("var_ncap"=[1]OUT_TransportEnergyCons!$B$4:$B$10000)*1,("-"=[1]OUT_TransportEnergyCons!$C$4:$C$10000)*1,ISNUMBER(SEARCH("tfl*ICE*DSL*",[1]OUT_TransportEnergyCons!$A$4:$A$10000))*1,[1]OUT_TransportEnergyCons!H$4:H$10000))*1000-J2219</f>
        <v>0</v>
      </c>
      <c r="K2220" s="1" cm="1">
        <f t="array" ref="K2220">(SUMPRODUCT(("var_ncap"=[1]OUT_TransportEnergyCons!$B$4:$B$10000)*1,("-"=[1]OUT_TransportEnergyCons!$C$4:$C$10000)*1,ISNUMBER(SEARCH("tfl*ICE*DSL*",[1]OUT_TransportEnergyCons!$A$4:$A$10000))*1,[1]OUT_TransportEnergyCons!I$4:I$10000))*1000-K2219</f>
        <v>0</v>
      </c>
      <c r="L2220" s="1" cm="1">
        <f t="array" ref="L2220">(SUMPRODUCT(("var_ncap"=[1]OUT_TransportEnergyCons!$B$4:$B$10000)*1,("-"=[1]OUT_TransportEnergyCons!$C$4:$C$10000)*1,ISNUMBER(SEARCH("tfl*ICE*DSL*",[1]OUT_TransportEnergyCons!$A$4:$A$10000))*1,[1]OUT_TransportEnergyCons!J$4:J$10000))*1000-L2219</f>
        <v>0</v>
      </c>
      <c r="M2220" s="1" cm="1">
        <f t="array" ref="M2220">(SUMPRODUCT(("var_ncap"=[1]OUT_TransportEnergyCons!$B$4:$B$10000)*1,("-"=[1]OUT_TransportEnergyCons!$C$4:$C$10000)*1,ISNUMBER(SEARCH("tfl*ICE*DSL*",[1]OUT_TransportEnergyCons!$A$4:$A$10000))*1,[1]OUT_TransportEnergyCons!K$4:K$10000))*1000-M2219</f>
        <v>0</v>
      </c>
      <c r="N2220" s="1" cm="1">
        <f t="array" ref="N2220">(SUMPRODUCT(("var_ncap"=[1]OUT_TransportEnergyCons!$B$4:$B$10000)*1,("-"=[1]OUT_TransportEnergyCons!$C$4:$C$10000)*1,ISNUMBER(SEARCH("tfl*ICE*DSL*",[1]OUT_TransportEnergyCons!$A$4:$A$10000))*1,[1]OUT_TransportEnergyCons!L$4:L$10000))*1000-N2219</f>
        <v>0</v>
      </c>
      <c r="O2220" s="1" cm="1">
        <f t="array" ref="O2220">(SUMPRODUCT(("var_ncap"=[1]OUT_TransportEnergyCons!$B$4:$B$10000)*1,("-"=[1]OUT_TransportEnergyCons!$C$4:$C$10000)*1,ISNUMBER(SEARCH("tfl*ICE*DSL*",[1]OUT_TransportEnergyCons!$A$4:$A$10000))*1,[1]OUT_TransportEnergyCons!M$4:M$10000))*1000-O2219</f>
        <v>0</v>
      </c>
      <c r="P2220" s="1" cm="1">
        <f t="array" ref="P2220">(SUMPRODUCT(("var_ncap"=[1]OUT_TransportEnergyCons!$B$4:$B$10000)*1,("-"=[1]OUT_TransportEnergyCons!$C$4:$C$10000)*1,ISNUMBER(SEARCH("tfl*ICE*DSL*",[1]OUT_TransportEnergyCons!$A$4:$A$10000))*1,[1]OUT_TransportEnergyCons!N$4:N$10000))*1000-P2219</f>
        <v>0</v>
      </c>
      <c r="Q2220" s="1" cm="1">
        <f t="array" ref="Q2220">(SUMPRODUCT(("var_ncap"=[1]OUT_TransportEnergyCons!$B$4:$B$10000)*1,("-"=[1]OUT_TransportEnergyCons!$C$4:$C$10000)*1,ISNUMBER(SEARCH("tfl*ICE*DSL*",[1]OUT_TransportEnergyCons!$A$4:$A$10000))*1,[1]OUT_TransportEnergyCons!O$4:O$10000))*1000-Q2219</f>
        <v>0</v>
      </c>
      <c r="S2220" s="3"/>
    </row>
    <row r="2221" spans="2:19" x14ac:dyDescent="0.5">
      <c r="B2221" s="5" t="str">
        <f t="shared" si="2251"/>
        <v>SPS1</v>
      </c>
      <c r="C2221" s="5" t="str">
        <f t="shared" si="2252"/>
        <v>CH</v>
      </c>
      <c r="D2221" t="s">
        <v>2350</v>
      </c>
      <c r="E2221" t="s">
        <v>1999</v>
      </c>
      <c r="F2221" s="1" cm="1">
        <f t="array" ref="F2221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(SUMPRODUCT(("var_ncap"=[1]OUT_TransportEnergyCons!$B$4:$B$10000)*1,("-"=[1]OUT_TransportEnergyCons!$C$4:$C$10000)*1,ISNUMBER(SEARCH("tfl*hyb*DSL*",[1]OUT_TransportEnergyCons!$A$4:$A$10000))*1,[1]OUT_TransportEnergyCons!E$4:E$10000))*1000</f>
        <v>7.3660656056819205</v>
      </c>
      <c r="H2221" s="1" cm="1">
        <f t="array" ref="H2221">(SUMPRODUCT(("var_ncap"=[1]OUT_TransportEnergyCons!$B$4:$B$10000)*1,("-"=[1]OUT_TransportEnergyCons!$C$4:$C$10000)*1,ISNUMBER(SEARCH("tfl*hyb*DSL*",[1]OUT_TransportEnergyCons!$A$4:$A$10000))*1,[1]OUT_TransportEnergyCons!F$4:F$10000))*1000</f>
        <v>3.02532450547729E-2</v>
      </c>
      <c r="I2221" s="1" cm="1">
        <f t="array" ref="I2221">(SUMPRODUCT(("var_ncap"=[1]OUT_TransportEnergyCons!$B$4:$B$10000)*1,("-"=[1]OUT_TransportEnergyCons!$C$4:$C$10000)*1,ISNUMBER(SEARCH("tfl*hyb*DSL*",[1]OUT_TransportEnergyCons!$A$4:$A$10000))*1,[1]OUT_TransportEnergyCons!G$4:G$10000))*1000</f>
        <v>15.4702477399078</v>
      </c>
      <c r="J2221" s="1" cm="1">
        <f t="array" ref="J2221">(SUMPRODUCT(("var_ncap"=[1]OUT_TransportEnergyCons!$B$4:$B$10000)*1,("-"=[1]OUT_TransportEnergyCons!$C$4:$C$10000)*1,ISNUMBER(SEARCH("tfl*hyb*DSL*",[1]OUT_TransportEnergyCons!$A$4:$A$10000))*1,[1]OUT_TransportEnergyCons!H$4:H$10000))*1000</f>
        <v>0</v>
      </c>
      <c r="K2221" s="1" cm="1">
        <f t="array" ref="K2221">(SUMPRODUCT(("var_ncap"=[1]OUT_TransportEnergyCons!$B$4:$B$10000)*1,("-"=[1]OUT_TransportEnergyCons!$C$4:$C$10000)*1,ISNUMBER(SEARCH("tfl*hyb*DSL*",[1]OUT_TransportEnergyCons!$A$4:$A$10000))*1,[1]OUT_TransportEnergyCons!I$4:I$10000))*1000</f>
        <v>0</v>
      </c>
      <c r="L2221" s="1" cm="1">
        <f t="array" ref="L2221">(SUMPRODUCT(("var_ncap"=[1]OUT_TransportEnergyCons!$B$4:$B$10000)*1,("-"=[1]OUT_TransportEnergyCons!$C$4:$C$10000)*1,ISNUMBER(SEARCH("tfl*hyb*DSL*",[1]OUT_TransportEnergyCons!$A$4:$A$10000))*1,[1]OUT_TransportEnergyCons!J$4:J$10000))*1000</f>
        <v>0</v>
      </c>
      <c r="M2221" s="1" cm="1">
        <f t="array" ref="M2221">(SUMPRODUCT(("var_ncap"=[1]OUT_TransportEnergyCons!$B$4:$B$10000)*1,("-"=[1]OUT_TransportEnergyCons!$C$4:$C$10000)*1,ISNUMBER(SEARCH("tfl*hyb*DSL*",[1]OUT_TransportEnergyCons!$A$4:$A$10000))*1,[1]OUT_TransportEnergyCons!K$4:K$10000))*1000</f>
        <v>0</v>
      </c>
      <c r="N2221" s="1" cm="1">
        <f t="array" ref="N2221">(SUMPRODUCT(("var_ncap"=[1]OUT_TransportEnergyCons!$B$4:$B$10000)*1,("-"=[1]OUT_TransportEnergyCons!$C$4:$C$10000)*1,ISNUMBER(SEARCH("tfl*hyb*DSL*",[1]OUT_TransportEnergyCons!$A$4:$A$10000))*1,[1]OUT_TransportEnergyCons!L$4:L$10000))*1000</f>
        <v>0</v>
      </c>
      <c r="O2221" s="1" cm="1">
        <f t="array" ref="O2221">(SUMPRODUCT(("var_ncap"=[1]OUT_TransportEnergyCons!$B$4:$B$10000)*1,("-"=[1]OUT_TransportEnergyCons!$C$4:$C$10000)*1,ISNUMBER(SEARCH("tfl*hyb*DSL*",[1]OUT_TransportEnergyCons!$A$4:$A$10000))*1,[1]OUT_TransportEnergyCons!M$4:M$10000))*1000</f>
        <v>0</v>
      </c>
      <c r="P2221" s="1" cm="1">
        <f t="array" ref="P2221">(SUMPRODUCT(("var_ncap"=[1]OUT_TransportEnergyCons!$B$4:$B$10000)*1,("-"=[1]OUT_TransportEnergyCons!$C$4:$C$10000)*1,ISNUMBER(SEARCH("tfl*hyb*DSL*",[1]OUT_TransportEnergyCons!$A$4:$A$10000))*1,[1]OUT_TransportEnergyCons!N$4:N$10000))*1000</f>
        <v>0</v>
      </c>
      <c r="Q2221" s="1" cm="1">
        <f t="array" ref="Q2221">(SUMPRODUCT(("var_ncap"=[1]OUT_TransportEnergyCons!$B$4:$B$10000)*1,("-"=[1]OUT_TransportEnergyCons!$C$4:$C$10000)*1,ISNUMBER(SEARCH("tfl*hyb*DSL*",[1]OUT_TransportEnergyCons!$A$4:$A$10000))*1,[1]OUT_TransportEnergyCons!O$4:O$10000))*1000</f>
        <v>0</v>
      </c>
      <c r="S2221" s="3"/>
    </row>
    <row r="2222" spans="2:19" x14ac:dyDescent="0.5">
      <c r="B2222" s="5" t="str">
        <f t="shared" si="2251"/>
        <v>SPS1</v>
      </c>
      <c r="C2222" s="5" t="str">
        <f t="shared" si="2252"/>
        <v>CH</v>
      </c>
      <c r="D2222" t="s">
        <v>2351</v>
      </c>
      <c r="E2222" t="s">
        <v>1999</v>
      </c>
      <c r="F2222" s="1" cm="1">
        <f t="array" ref="F2222">(SUMPRODUCT(("var_ncap"=[1]OUT_TransportEnergyCons!$B$4:$B$10000)*1,("-"=[1]OUT_TransportEnergyCons!$C$4:$C$10000)*1,ISNUMBER(SEARCH("tfl*ice*nga*",[1]OUT_TransportEnergyCons!$A$4:$A$10000))*1,[1]OUT_TransportEnergyCons!D$4:D$10000))*1000</f>
        <v>4.19972779867015E-4</v>
      </c>
      <c r="G2222" s="1" cm="1">
        <f t="array" ref="G2222">(SUMPRODUCT(("var_ncap"=[1]OUT_TransportEnergyCons!$B$4:$B$10000)*1,("-"=[1]OUT_TransportEnergyCons!$C$4:$C$10000)*1,ISNUMBER(SEARCH("tfl*ice*nga*",[1]OUT_TransportEnergyCons!$A$4:$A$10000))*1,[1]OUT_TransportEnergyCons!E$4:E$10000))*1000</f>
        <v>2.1223122936809401E-2</v>
      </c>
      <c r="H2222" s="1" cm="1">
        <f t="array" ref="H2222">(SUMPRODUCT(("var_ncap"=[1]OUT_TransportEnergyCons!$B$4:$B$10000)*1,("-"=[1]OUT_TransportEnergyCons!$C$4:$C$10000)*1,ISNUMBER(SEARCH("tfl*ice*nga*",[1]OUT_TransportEnergyCons!$A$4:$A$10000))*1,[1]OUT_TransportEnergyCons!F$4:F$10000))*1000</f>
        <v>3.6398184811161E-3</v>
      </c>
      <c r="I2222" s="1" cm="1">
        <f t="array" ref="I2222">(SUMPRODUCT(("var_ncap"=[1]OUT_TransportEnergyCons!$B$4:$B$10000)*1,("-"=[1]OUT_TransportEnergyCons!$C$4:$C$10000)*1,ISNUMBER(SEARCH("tfl*ice*nga*",[1]OUT_TransportEnergyCons!$A$4:$A$10000))*1,[1]OUT_TransportEnergyCons!G$4:G$10000))*1000</f>
        <v>1.0490819144256201E-5</v>
      </c>
      <c r="J2222" s="1" cm="1">
        <f t="array" ref="J2222">(SUMPRODUCT(("var_ncap"=[1]OUT_TransportEnergyCons!$B$4:$B$10000)*1,("-"=[1]OUT_TransportEnergyCons!$C$4:$C$10000)*1,ISNUMBER(SEARCH("tfl*ice*nga*",[1]OUT_TransportEnergyCons!$A$4:$A$10000))*1,[1]OUT_TransportEnergyCons!H$4:H$10000))*1000</f>
        <v>0</v>
      </c>
      <c r="K2222" s="1" cm="1">
        <f t="array" ref="K2222">(SUMPRODUCT(("var_ncap"=[1]OUT_TransportEnergyCons!$B$4:$B$10000)*1,("-"=[1]OUT_TransportEnergyCons!$C$4:$C$10000)*1,ISNUMBER(SEARCH("tfl*ice*nga*",[1]OUT_TransportEnergyCons!$A$4:$A$10000))*1,[1]OUT_TransportEnergyCons!I$4:I$10000))*1000</f>
        <v>0</v>
      </c>
      <c r="L2222" s="1" cm="1">
        <f t="array" ref="L2222">(SUMPRODUCT(("var_ncap"=[1]OUT_TransportEnergyCons!$B$4:$B$10000)*1,("-"=[1]OUT_TransportEnergyCons!$C$4:$C$10000)*1,ISNUMBER(SEARCH("tfl*ice*nga*",[1]OUT_TransportEnergyCons!$A$4:$A$10000))*1,[1]OUT_TransportEnergyCons!J$4:J$10000))*1000</f>
        <v>0</v>
      </c>
      <c r="M2222" s="1" cm="1">
        <f t="array" ref="M2222">(SUMPRODUCT(("var_ncap"=[1]OUT_TransportEnergyCons!$B$4:$B$10000)*1,("-"=[1]OUT_TransportEnergyCons!$C$4:$C$10000)*1,ISNUMBER(SEARCH("tfl*ice*nga*",[1]OUT_TransportEnergyCons!$A$4:$A$10000))*1,[1]OUT_TransportEnergyCons!K$4:K$10000))*1000</f>
        <v>0</v>
      </c>
      <c r="N2222" s="1" cm="1">
        <f t="array" ref="N2222">(SUMPRODUCT(("var_ncap"=[1]OUT_TransportEnergyCons!$B$4:$B$10000)*1,("-"=[1]OUT_TransportEnergyCons!$C$4:$C$10000)*1,ISNUMBER(SEARCH("tfl*ice*nga*",[1]OUT_TransportEnergyCons!$A$4:$A$10000))*1,[1]OUT_TransportEnergyCons!L$4:L$10000))*1000</f>
        <v>0</v>
      </c>
      <c r="O2222" s="1" cm="1">
        <f t="array" ref="O2222">(SUMPRODUCT(("var_ncap"=[1]OUT_TransportEnergyCons!$B$4:$B$10000)*1,("-"=[1]OUT_TransportEnergyCons!$C$4:$C$10000)*1,ISNUMBER(SEARCH("tfl*ice*nga*",[1]OUT_TransportEnergyCons!$A$4:$A$10000))*1,[1]OUT_TransportEnergyCons!M$4:M$10000))*1000</f>
        <v>0</v>
      </c>
      <c r="P2222" s="1" cm="1">
        <f t="array" ref="P2222">(SUMPRODUCT(("var_ncap"=[1]OUT_TransportEnergyCons!$B$4:$B$10000)*1,("-"=[1]OUT_TransportEnergyCons!$C$4:$C$10000)*1,ISNUMBER(SEARCH("tfl*ice*nga*",[1]OUT_TransportEnergyCons!$A$4:$A$10000))*1,[1]OUT_TransportEnergyCons!N$4:N$10000))*1000</f>
        <v>0</v>
      </c>
      <c r="Q2222" s="1" cm="1">
        <f t="array" ref="Q2222">(SUMPRODUCT(("var_ncap"=[1]OUT_TransportEnergyCons!$B$4:$B$10000)*1,("-"=[1]OUT_TransportEnergyCons!$C$4:$C$10000)*1,ISNUMBER(SEARCH("tfl*ice*nga*",[1]OUT_TransportEnergyCons!$A$4:$A$10000))*1,[1]OUT_TransportEnergyCons!O$4:O$10000))*1000</f>
        <v>0</v>
      </c>
      <c r="S2222" s="3"/>
    </row>
    <row r="2223" spans="2:19" x14ac:dyDescent="0.5">
      <c r="B2223" s="5" t="str">
        <f t="shared" si="2251"/>
        <v>SPS1</v>
      </c>
      <c r="C2223" s="5" t="str">
        <f t="shared" si="2252"/>
        <v>CH</v>
      </c>
      <c r="D2223" s="2" t="s">
        <v>2352</v>
      </c>
      <c r="E2223" s="2" t="s">
        <v>1999</v>
      </c>
      <c r="F2223" s="3">
        <f t="shared" ref="F2223:K2223" si="2255">SUM(F2224:F2232)</f>
        <v>0</v>
      </c>
      <c r="G2223" s="3">
        <f t="shared" si="2255"/>
        <v>2.5843353542794207</v>
      </c>
      <c r="H2223" s="3">
        <f t="shared" si="2255"/>
        <v>39.739302763364911</v>
      </c>
      <c r="I2223" s="3">
        <f t="shared" si="2255"/>
        <v>12.832079723235625</v>
      </c>
      <c r="J2223" s="3">
        <f t="shared" si="2255"/>
        <v>44.05027730147475</v>
      </c>
      <c r="K2223" s="3">
        <f t="shared" si="2255"/>
        <v>13.688537037192045</v>
      </c>
      <c r="L2223" s="3">
        <f t="shared" ref="L2223:O2223" si="2256">SUM(L2224:L2232)</f>
        <v>44.265729788733147</v>
      </c>
      <c r="M2223" s="3">
        <f t="shared" si="2256"/>
        <v>23.495253859430044</v>
      </c>
      <c r="N2223" s="3">
        <f t="shared" si="2256"/>
        <v>38.076646994313009</v>
      </c>
      <c r="O2223" s="3">
        <f t="shared" si="2256"/>
        <v>47.319533287604592</v>
      </c>
      <c r="P2223" s="3">
        <f>SUM(P2224:P2232)</f>
        <v>26.912369292038459</v>
      </c>
      <c r="Q2223" s="3">
        <f>SUM(Q2224:Q2232)</f>
        <v>43.387723959720887</v>
      </c>
      <c r="S2223" s="3"/>
    </row>
    <row r="2224" spans="2:19" x14ac:dyDescent="0.5">
      <c r="B2224" s="5" t="str">
        <f t="shared" si="2251"/>
        <v>SPS1</v>
      </c>
      <c r="C2224" s="5" t="str">
        <f t="shared" si="2252"/>
        <v>CH</v>
      </c>
      <c r="D2224" t="s">
        <v>2353</v>
      </c>
      <c r="E2224" t="s">
        <v>1999</v>
      </c>
      <c r="F2224" s="1" cm="1">
        <f t="array" ref="F2224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24" s="1" cm="1">
        <f t="array" ref="J2224">(SUMPRODUCT(("var_ncap"=[1]OUT_TransportEnergyCons!$B$4:$B$10000)*1,("-"=[1]OUT_TransportEnergyCons!$C$4:$C$10000)*1,ISNUMBER(SEARCH("tfh*bev*ext",[1]OUT_TransportEnergyCons!$A$4:$A$10000))*1,[1]OUT_TransportEnergyCons!H$4:H$10000))*1000</f>
        <v>0</v>
      </c>
      <c r="K2224" s="1" cm="1">
        <f t="array" ref="K2224">(SUMPRODUCT(("var_ncap"=[1]OUT_TransportEnergyCons!$B$4:$B$10000)*1,("-"=[1]OUT_TransportEnergyCons!$C$4:$C$10000)*1,ISNUMBER(SEARCH("tfh*bev*ext",[1]OUT_TransportEnergyCons!$A$4:$A$10000))*1,[1]OUT_TransportEnergyCons!I$4:I$10000))*1000</f>
        <v>0</v>
      </c>
      <c r="L2224" s="1" cm="1">
        <f t="array" ref="L2224">(SUMPRODUCT(("var_ncap"=[1]OUT_TransportEnergyCons!$B$4:$B$10000)*1,("-"=[1]OUT_TransportEnergyCons!$C$4:$C$10000)*1,ISNUMBER(SEARCH("tfh*bev*ext",[1]OUT_TransportEnergyCons!$A$4:$A$10000))*1,[1]OUT_TransportEnergyCons!J$4:J$10000))*1000</f>
        <v>0</v>
      </c>
      <c r="M2224" s="1" cm="1">
        <f t="array" ref="M2224">(SUMPRODUCT(("var_ncap"=[1]OUT_TransportEnergyCons!$B$4:$B$10000)*1,("-"=[1]OUT_TransportEnergyCons!$C$4:$C$10000)*1,ISNUMBER(SEARCH("tfh*bev*ext",[1]OUT_TransportEnergyCons!$A$4:$A$10000))*1,[1]OUT_TransportEnergyCons!K$4:K$10000))*1000</f>
        <v>0</v>
      </c>
      <c r="N2224" s="1" cm="1">
        <f t="array" ref="N2224">(SUMPRODUCT(("var_ncap"=[1]OUT_TransportEnergyCons!$B$4:$B$10000)*1,("-"=[1]OUT_TransportEnergyCons!$C$4:$C$10000)*1,ISNUMBER(SEARCH("tfh*bev*ext",[1]OUT_TransportEnergyCons!$A$4:$A$10000))*1,[1]OUT_TransportEnergyCons!L$4:L$10000))*1000</f>
        <v>0</v>
      </c>
      <c r="O2224" s="1" cm="1">
        <f t="array" ref="O2224">(SUMPRODUCT(("var_ncap"=[1]OUT_TransportEnergyCons!$B$4:$B$10000)*1,("-"=[1]OUT_TransportEnergyCons!$C$4:$C$10000)*1,ISNUMBER(SEARCH("tfh*bev*ext",[1]OUT_TransportEnergyCons!$A$4:$A$10000))*1,[1]OUT_TransportEnergyCons!M$4:M$10000))*1000</f>
        <v>0</v>
      </c>
      <c r="P2224" s="1" cm="1">
        <f t="array" ref="P2224">(SUMPRODUCT(("var_ncap"=[1]OUT_TransportEnergyCons!$B$4:$B$10000)*1,("-"=[1]OUT_TransportEnergyCons!$C$4:$C$10000)*1,ISNUMBER(SEARCH("tfh*bev*ext",[1]OUT_TransportEnergyCons!$A$4:$A$10000))*1,[1]OUT_TransportEnergyCons!N$4:N$10000))*1000</f>
        <v>0</v>
      </c>
      <c r="Q2224" s="1" cm="1">
        <f t="array" ref="Q2224">(SUMPRODUCT(("var_ncap"=[1]OUT_TransportEnergyCons!$B$4:$B$10000)*1,("-"=[1]OUT_TransportEnergyCons!$C$4:$C$10000)*1,ISNUMBER(SEARCH("tfh*bev*ext",[1]OUT_TransportEnergyCons!$A$4:$A$10000))*1,[1]OUT_TransportEnergyCons!O$4:O$10000))*1000</f>
        <v>0</v>
      </c>
      <c r="S2224" s="3"/>
    </row>
    <row r="2225" spans="2:19" x14ac:dyDescent="0.5">
      <c r="B2225" s="5" t="str">
        <f t="shared" si="2251"/>
        <v>SPS1</v>
      </c>
      <c r="C2225" s="5" t="str">
        <f t="shared" si="2252"/>
        <v>CH</v>
      </c>
      <c r="D2225" t="s">
        <v>2354</v>
      </c>
      <c r="E2225" t="s">
        <v>1999</v>
      </c>
      <c r="F2225" s="1" cm="1">
        <f t="array" ref="F2225">(SUMPRODUCT(("var_ncap"=[1]OUT_TransportEnergyCons!$B$4:$B$10000)*1,("-"=[1]OUT_TransportEnergyCons!$C$4:$C$10000)*1,ISNUMBER(SEARCH("tfh*bev*",[1]OUT_TransportEnergyCons!$A$4:$A$10000))*1,[1]OUT_TransportEnergyCons!D$4:D$10000))*1000-F2224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(SUMPRODUCT(("var_ncap"=[1]OUT_TransportEnergyCons!$B$4:$B$10000)*1,("-"=[1]OUT_TransportEnergyCons!$C$4:$C$10000)*1,ISNUMBER(SEARCH("tfh*bev*",[1]OUT_TransportEnergyCons!$A$4:$A$10000))*1,[1]OUT_TransportEnergyCons!E$4:E$10000))*1000-G2224</f>
        <v>0.18463037056644199</v>
      </c>
      <c r="H2225" s="1" cm="1">
        <f t="array" ref="H2225">(SUMPRODUCT(("var_ncap"=[1]OUT_TransportEnergyCons!$B$4:$B$10000)*1,("-"=[1]OUT_TransportEnergyCons!$C$4:$C$10000)*1,ISNUMBER(SEARCH("tfh*bev*",[1]OUT_TransportEnergyCons!$A$4:$A$10000))*1,[1]OUT_TransportEnergyCons!F$4:F$10000))*1000-H2224</f>
        <v>39.686094415615898</v>
      </c>
      <c r="I2225" s="1" cm="1">
        <f t="array" ref="I2225">(SUMPRODUCT(("var_ncap"=[1]OUT_TransportEnergyCons!$B$4:$B$10000)*1,("-"=[1]OUT_TransportEnergyCons!$C$4:$C$10000)*1,ISNUMBER(SEARCH("tfh*bev*",[1]OUT_TransportEnergyCons!$A$4:$A$10000))*1,[1]OUT_TransportEnergyCons!G$4:G$10000))*1000-I2224</f>
        <v>8.9593684990303003E-3</v>
      </c>
      <c r="J2225" s="1" cm="1">
        <f t="array" ref="J2225">(SUMPRODUCT(("var_ncap"=[1]OUT_TransportEnergyCons!$B$4:$B$10000)*1,("-"=[1]OUT_TransportEnergyCons!$C$4:$C$10000)*1,ISNUMBER(SEARCH("tfh*bev*",[1]OUT_TransportEnergyCons!$A$4:$A$10000))*1,[1]OUT_TransportEnergyCons!H$4:H$10000))*1000-J2224</f>
        <v>9.1972664880731507</v>
      </c>
      <c r="K2225" s="1" cm="1">
        <f t="array" ref="K2225">(SUMPRODUCT(("var_ncap"=[1]OUT_TransportEnergyCons!$B$4:$B$10000)*1,("-"=[1]OUT_TransportEnergyCons!$C$4:$C$10000)*1,ISNUMBER(SEARCH("tfh*bev*",[1]OUT_TransportEnergyCons!$A$4:$A$10000))*1,[1]OUT_TransportEnergyCons!I$4:I$10000))*1000-K2224</f>
        <v>5.8374136455554098</v>
      </c>
      <c r="L2225" s="1" cm="1">
        <f t="array" ref="L2225">(SUMPRODUCT(("var_ncap"=[1]OUT_TransportEnergyCons!$B$4:$B$10000)*1,("-"=[1]OUT_TransportEnergyCons!$C$4:$C$10000)*1,ISNUMBER(SEARCH("tfh*bev*",[1]OUT_TransportEnergyCons!$A$4:$A$10000))*1,[1]OUT_TransportEnergyCons!J$4:J$10000))*1000-L2224</f>
        <v>44.228564354683598</v>
      </c>
      <c r="M2225" s="1" cm="1">
        <f t="array" ref="M2225">(SUMPRODUCT(("var_ncap"=[1]OUT_TransportEnergyCons!$B$4:$B$10000)*1,("-"=[1]OUT_TransportEnergyCons!$C$4:$C$10000)*1,ISNUMBER(SEARCH("tfh*bev*",[1]OUT_TransportEnergyCons!$A$4:$A$10000))*1,[1]OUT_TransportEnergyCons!K$4:K$10000))*1000-M2224</f>
        <v>23.492476277966098</v>
      </c>
      <c r="N2225" s="1" cm="1">
        <f t="array" ref="N2225">(SUMPRODUCT(("var_ncap"=[1]OUT_TransportEnergyCons!$B$4:$B$10000)*1,("-"=[1]OUT_TransportEnergyCons!$C$4:$C$10000)*1,ISNUMBER(SEARCH("tfh*bev*",[1]OUT_TransportEnergyCons!$A$4:$A$10000))*1,[1]OUT_TransportEnergyCons!L$4:L$10000))*1000-N2224</f>
        <v>38.072695058090204</v>
      </c>
      <c r="O2225" s="1" cm="1">
        <f t="array" ref="O2225">(SUMPRODUCT(("var_ncap"=[1]OUT_TransportEnergyCons!$B$4:$B$10000)*1,("-"=[1]OUT_TransportEnergyCons!$C$4:$C$10000)*1,ISNUMBER(SEARCH("tfh*bev*",[1]OUT_TransportEnergyCons!$A$4:$A$10000))*1,[1]OUT_TransportEnergyCons!M$4:M$10000))*1000-O2224</f>
        <v>47.3146166542289</v>
      </c>
      <c r="P2225" s="1" cm="1">
        <f t="array" ref="P2225">(SUMPRODUCT(("var_ncap"=[1]OUT_TransportEnergyCons!$B$4:$B$10000)*1,("-"=[1]OUT_TransportEnergyCons!$C$4:$C$10000)*1,ISNUMBER(SEARCH("tfh*bev*",[1]OUT_TransportEnergyCons!$A$4:$A$10000))*1,[1]OUT_TransportEnergyCons!N$4:N$10000))*1000-P2224</f>
        <v>26.909249254514201</v>
      </c>
      <c r="Q2225" s="1" cm="1">
        <f t="array" ref="Q2225">(SUMPRODUCT(("var_ncap"=[1]OUT_TransportEnergyCons!$B$4:$B$10000)*1,("-"=[1]OUT_TransportEnergyCons!$C$4:$C$10000)*1,ISNUMBER(SEARCH("tfh*bev*",[1]OUT_TransportEnergyCons!$A$4:$A$10000))*1,[1]OUT_TransportEnergyCons!O$4:O$10000))*1000-Q2224</f>
        <v>43.382523379031198</v>
      </c>
      <c r="S2225" s="3"/>
    </row>
    <row r="2226" spans="2:19" x14ac:dyDescent="0.5">
      <c r="B2226" s="5" t="str">
        <f t="shared" si="2251"/>
        <v>SPS1</v>
      </c>
      <c r="C2226" s="5" t="str">
        <f t="shared" si="2252"/>
        <v>CH</v>
      </c>
      <c r="D2226" t="s">
        <v>2355</v>
      </c>
      <c r="E2226" t="s">
        <v>1999</v>
      </c>
      <c r="F2226" s="1" cm="1">
        <f t="array" ref="F2226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(SUMPRODUCT(("var_ncap"=[1]OUT_TransportEnergyCons!$B$4:$B$10000)*1,("-"=[1]OUT_TransportEnergyCons!$C$4:$C$10000)*1,ISNUMBER(SEARCH("tfh*h2o*",[1]OUT_TransportEnergyCons!$A$4:$A$10000))*1,[1]OUT_TransportEnergyCons!E$4:E$10000))*1000</f>
        <v>4.6446127313758595E-4</v>
      </c>
      <c r="H2226" s="1" cm="1">
        <f t="array" ref="H2226">(SUMPRODUCT(("var_ncap"=[1]OUT_TransportEnergyCons!$B$4:$B$10000)*1,("-"=[1]OUT_TransportEnergyCons!$C$4:$C$10000)*1,ISNUMBER(SEARCH("tfh*h2o*",[1]OUT_TransportEnergyCons!$A$4:$A$10000))*1,[1]OUT_TransportEnergyCons!F$4:F$10000))*1000</f>
        <v>3.2162753219154398E-4</v>
      </c>
      <c r="I2226" s="1" cm="1">
        <f t="array" ref="I2226">(SUMPRODUCT(("var_ncap"=[1]OUT_TransportEnergyCons!$B$4:$B$10000)*1,("-"=[1]OUT_TransportEnergyCons!$C$4:$C$10000)*1,ISNUMBER(SEARCH("tfh*h2o*",[1]OUT_TransportEnergyCons!$A$4:$A$10000))*1,[1]OUT_TransportEnergyCons!G$4:G$10000))*1000</f>
        <v>1.51373108510223E-4</v>
      </c>
      <c r="J2226" s="1" cm="1">
        <f t="array" ref="J2226">(SUMPRODUCT(("var_ncap"=[1]OUT_TransportEnergyCons!$B$4:$B$10000)*1,("-"=[1]OUT_TransportEnergyCons!$C$4:$C$10000)*1,ISNUMBER(SEARCH("tfh*h2o*",[1]OUT_TransportEnergyCons!$A$4:$A$10000))*1,[1]OUT_TransportEnergyCons!H$4:H$10000))*1000</f>
        <v>5.0649710397053706E-3</v>
      </c>
      <c r="K2226" s="1" cm="1">
        <f t="array" ref="K2226">(SUMPRODUCT(("var_ncap"=[1]OUT_TransportEnergyCons!$B$4:$B$10000)*1,("-"=[1]OUT_TransportEnergyCons!$C$4:$C$10000)*1,ISNUMBER(SEARCH("tfh*h2o*",[1]OUT_TransportEnergyCons!$A$4:$A$10000))*1,[1]OUT_TransportEnergyCons!I$4:I$10000))*1000</f>
        <v>2.35212184326361E-3</v>
      </c>
      <c r="L2226" s="1" cm="1">
        <f t="array" ref="L2226">(SUMPRODUCT(("var_ncap"=[1]OUT_TransportEnergyCons!$B$4:$B$10000)*1,("-"=[1]OUT_TransportEnergyCons!$C$4:$C$10000)*1,ISNUMBER(SEARCH("tfh*h2o*",[1]OUT_TransportEnergyCons!$A$4:$A$10000))*1,[1]OUT_TransportEnergyCons!J$4:J$10000))*1000</f>
        <v>4.8614237349132302E-3</v>
      </c>
      <c r="M2226" s="1" cm="1">
        <f t="array" ref="M2226">(SUMPRODUCT(("var_ncap"=[1]OUT_TransportEnergyCons!$B$4:$B$10000)*1,("-"=[1]OUT_TransportEnergyCons!$C$4:$C$10000)*1,ISNUMBER(SEARCH("tfh*h2o*",[1]OUT_TransportEnergyCons!$A$4:$A$10000))*1,[1]OUT_TransportEnergyCons!K$4:K$10000))*1000</f>
        <v>2.7775814639456201E-3</v>
      </c>
      <c r="N2226" s="1" cm="1">
        <f t="array" ref="N2226">(SUMPRODUCT(("var_ncap"=[1]OUT_TransportEnergyCons!$B$4:$B$10000)*1,("-"=[1]OUT_TransportEnergyCons!$C$4:$C$10000)*1,ISNUMBER(SEARCH("tfh*h2o*",[1]OUT_TransportEnergyCons!$A$4:$A$10000))*1,[1]OUT_TransportEnergyCons!L$4:L$10000))*1000</f>
        <v>3.9519362228082203E-3</v>
      </c>
      <c r="O2226" s="1" cm="1">
        <f t="array" ref="O2226">(SUMPRODUCT(("var_ncap"=[1]OUT_TransportEnergyCons!$B$4:$B$10000)*1,("-"=[1]OUT_TransportEnergyCons!$C$4:$C$10000)*1,ISNUMBER(SEARCH("tfh*h2o*",[1]OUT_TransportEnergyCons!$A$4:$A$10000))*1,[1]OUT_TransportEnergyCons!M$4:M$10000))*1000</f>
        <v>4.9166333756955304E-3</v>
      </c>
      <c r="P2226" s="1" cm="1">
        <f t="array" ref="P2226">(SUMPRODUCT(("var_ncap"=[1]OUT_TransportEnergyCons!$B$4:$B$10000)*1,("-"=[1]OUT_TransportEnergyCons!$C$4:$C$10000)*1,ISNUMBER(SEARCH("tfh*h2o*",[1]OUT_TransportEnergyCons!$A$4:$A$10000))*1,[1]OUT_TransportEnergyCons!N$4:N$10000))*1000</f>
        <v>3.12003752425948E-3</v>
      </c>
      <c r="Q2226" s="1" cm="1">
        <f t="array" ref="Q2226">(SUMPRODUCT(("var_ncap"=[1]OUT_TransportEnergyCons!$B$4:$B$10000)*1,("-"=[1]OUT_TransportEnergyCons!$C$4:$C$10000)*1,ISNUMBER(SEARCH("tfh*h2o*",[1]OUT_TransportEnergyCons!$A$4:$A$10000))*1,[1]OUT_TransportEnergyCons!O$4:O$10000))*1000</f>
        <v>5.2005806896904001E-3</v>
      </c>
      <c r="S2226" s="3"/>
    </row>
    <row r="2227" spans="2:19" x14ac:dyDescent="0.5">
      <c r="B2227" s="5" t="str">
        <f t="shared" si="2251"/>
        <v>SPS1</v>
      </c>
      <c r="C2227" s="5" t="str">
        <f t="shared" si="2252"/>
        <v>CH</v>
      </c>
      <c r="D2227" t="s">
        <v>2356</v>
      </c>
      <c r="E2227" t="s">
        <v>1999</v>
      </c>
      <c r="F2227" s="1" cm="1">
        <f t="array" ref="F2227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7" s="1" cm="1">
        <f t="array" ref="H2227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7" s="1" cm="1">
        <f t="array" ref="I2227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7" s="1" cm="1">
        <f t="array" ref="J2227">(SUMPRODUCT(("var_ncap"=[1]OUT_TransportEnergyCons!$B$4:$B$10000)*1,("-"=[1]OUT_TransportEnergyCons!$C$4:$C$10000)*1,ISNUMBER(SEARCH("tfh*ICE*GSL*ext",[1]OUT_TransportEnergyCons!$A$4:$A$10000))*1,[1]OUT_TransportEnergyCons!H$4:H$10000))*1000</f>
        <v>0</v>
      </c>
      <c r="K2227" s="1" cm="1">
        <f t="array" ref="K2227">(SUMPRODUCT(("var_ncap"=[1]OUT_TransportEnergyCons!$B$4:$B$10000)*1,("-"=[1]OUT_TransportEnergyCons!$C$4:$C$10000)*1,ISNUMBER(SEARCH("tfh*ICE*GSL*ext",[1]OUT_TransportEnergyCons!$A$4:$A$10000))*1,[1]OUT_TransportEnergyCons!I$4:I$10000))*1000</f>
        <v>0</v>
      </c>
      <c r="L2227" s="1" cm="1">
        <f t="array" ref="L2227">(SUMPRODUCT(("var_ncap"=[1]OUT_TransportEnergyCons!$B$4:$B$10000)*1,("-"=[1]OUT_TransportEnergyCons!$C$4:$C$10000)*1,ISNUMBER(SEARCH("tfh*ICE*GSL*ext",[1]OUT_TransportEnergyCons!$A$4:$A$10000))*1,[1]OUT_TransportEnergyCons!J$4:J$10000))*1000</f>
        <v>0</v>
      </c>
      <c r="M2227" s="1" cm="1">
        <f t="array" ref="M2227">(SUMPRODUCT(("var_ncap"=[1]OUT_TransportEnergyCons!$B$4:$B$10000)*1,("-"=[1]OUT_TransportEnergyCons!$C$4:$C$10000)*1,ISNUMBER(SEARCH("tfh*ICE*GSL*ext",[1]OUT_TransportEnergyCons!$A$4:$A$10000))*1,[1]OUT_TransportEnergyCons!K$4:K$10000))*1000</f>
        <v>0</v>
      </c>
      <c r="N2227" s="1" cm="1">
        <f t="array" ref="N2227">(SUMPRODUCT(("var_ncap"=[1]OUT_TransportEnergyCons!$B$4:$B$10000)*1,("-"=[1]OUT_TransportEnergyCons!$C$4:$C$10000)*1,ISNUMBER(SEARCH("tfh*ICE*GSL*ext",[1]OUT_TransportEnergyCons!$A$4:$A$10000))*1,[1]OUT_TransportEnergyCons!L$4:L$10000))*1000</f>
        <v>0</v>
      </c>
      <c r="O2227" s="1" cm="1">
        <f t="array" ref="O2227">(SUMPRODUCT(("var_ncap"=[1]OUT_TransportEnergyCons!$B$4:$B$10000)*1,("-"=[1]OUT_TransportEnergyCons!$C$4:$C$10000)*1,ISNUMBER(SEARCH("tfh*ICE*GSL*ext",[1]OUT_TransportEnergyCons!$A$4:$A$10000))*1,[1]OUT_TransportEnergyCons!M$4:M$10000))*1000</f>
        <v>0</v>
      </c>
      <c r="P2227" s="1" cm="1">
        <f t="array" ref="P2227">(SUMPRODUCT(("var_ncap"=[1]OUT_TransportEnergyCons!$B$4:$B$10000)*1,("-"=[1]OUT_TransportEnergyCons!$C$4:$C$10000)*1,ISNUMBER(SEARCH("tfh*ICE*GSL*ext",[1]OUT_TransportEnergyCons!$A$4:$A$10000))*1,[1]OUT_TransportEnergyCons!N$4:N$10000))*1000</f>
        <v>0</v>
      </c>
      <c r="Q2227" s="1" cm="1">
        <f t="array" ref="Q2227">(SUMPRODUCT(("var_ncap"=[1]OUT_TransportEnergyCons!$B$4:$B$10000)*1,("-"=[1]OUT_TransportEnergyCons!$C$4:$C$10000)*1,ISNUMBER(SEARCH("tfh*ICE*GSL*ext",[1]OUT_TransportEnergyCons!$A$4:$A$10000))*1,[1]OUT_TransportEnergyCons!O$4:O$10000))*1000</f>
        <v>0</v>
      </c>
      <c r="S2227" s="3"/>
    </row>
    <row r="2228" spans="2:19" x14ac:dyDescent="0.5">
      <c r="B2228" s="5" t="str">
        <f t="shared" si="2251"/>
        <v>SPS1</v>
      </c>
      <c r="C2228" s="5" t="str">
        <f t="shared" si="2252"/>
        <v>CH</v>
      </c>
      <c r="D2228" t="s">
        <v>2357</v>
      </c>
      <c r="E2228" t="s">
        <v>1999</v>
      </c>
      <c r="F2228" s="1" cm="1">
        <f t="array" ref="F2228">(SUMPRODUCT(("var_ncap"=[1]OUT_TransportEnergyCons!$B$4:$B$10000)*1,("-"=[1]OUT_TransportEnergyCons!$C$4:$C$10000)*1,ISNUMBER(SEARCH("tfh*ICE*GSL*",[1]OUT_TransportEnergyCons!$A$4:$A$10000))*1,[1]OUT_TransportEnergyCons!D$4:D$10000))*1000-F2227</f>
        <v>0</v>
      </c>
      <c r="G2228" s="1" cm="1">
        <f t="array" ref="G2228">(SUMPRODUCT(("var_ncap"=[1]OUT_TransportEnergyCons!$B$4:$B$10000)*1,("-"=[1]OUT_TransportEnergyCons!$C$4:$C$10000)*1,ISNUMBER(SEARCH("tfh*ICE*GSL*",[1]OUT_TransportEnergyCons!$A$4:$A$10000))*1,[1]OUT_TransportEnergyCons!E$4:E$10000))*1000-G2227</f>
        <v>0</v>
      </c>
      <c r="H2228" s="1" cm="1">
        <f t="array" ref="H2228">(SUMPRODUCT(("var_ncap"=[1]OUT_TransportEnergyCons!$B$4:$B$10000)*1,("-"=[1]OUT_TransportEnergyCons!$C$4:$C$10000)*1,ISNUMBER(SEARCH("tfh*ICE*GSL*",[1]OUT_TransportEnergyCons!$A$4:$A$10000))*1,[1]OUT_TransportEnergyCons!F$4:F$10000))*1000-H2227</f>
        <v>0</v>
      </c>
      <c r="I2228" s="1" cm="1">
        <f t="array" ref="I2228">(SUMPRODUCT(("var_ncap"=[1]OUT_TransportEnergyCons!$B$4:$B$10000)*1,("-"=[1]OUT_TransportEnergyCons!$C$4:$C$10000)*1,ISNUMBER(SEARCH("tfh*ICE*GSL*",[1]OUT_TransportEnergyCons!$A$4:$A$10000))*1,[1]OUT_TransportEnergyCons!G$4:G$10000))*1000-I2227</f>
        <v>0</v>
      </c>
      <c r="J2228" s="1" cm="1">
        <f t="array" ref="J2228">(SUMPRODUCT(("var_ncap"=[1]OUT_TransportEnergyCons!$B$4:$B$10000)*1,("-"=[1]OUT_TransportEnergyCons!$C$4:$C$10000)*1,ISNUMBER(SEARCH("tfh*ICE*GSL*",[1]OUT_TransportEnergyCons!$A$4:$A$10000))*1,[1]OUT_TransportEnergyCons!H$4:H$10000))*1000-J2227</f>
        <v>0</v>
      </c>
      <c r="K2228" s="1" cm="1">
        <f t="array" ref="K2228">(SUMPRODUCT(("var_ncap"=[1]OUT_TransportEnergyCons!$B$4:$B$10000)*1,("-"=[1]OUT_TransportEnergyCons!$C$4:$C$10000)*1,ISNUMBER(SEARCH("tfh*ICE*GSL*",[1]OUT_TransportEnergyCons!$A$4:$A$10000))*1,[1]OUT_TransportEnergyCons!I$4:I$10000))*1000-K2227</f>
        <v>0</v>
      </c>
      <c r="L2228" s="1" cm="1">
        <f t="array" ref="L2228">(SUMPRODUCT(("var_ncap"=[1]OUT_TransportEnergyCons!$B$4:$B$10000)*1,("-"=[1]OUT_TransportEnergyCons!$C$4:$C$10000)*1,ISNUMBER(SEARCH("tfh*ICE*GSL*",[1]OUT_TransportEnergyCons!$A$4:$A$10000))*1,[1]OUT_TransportEnergyCons!J$4:J$10000))*1000-L2227</f>
        <v>0</v>
      </c>
      <c r="M2228" s="1" cm="1">
        <f t="array" ref="M2228">(SUMPRODUCT(("var_ncap"=[1]OUT_TransportEnergyCons!$B$4:$B$10000)*1,("-"=[1]OUT_TransportEnergyCons!$C$4:$C$10000)*1,ISNUMBER(SEARCH("tfh*ICE*GSL*",[1]OUT_TransportEnergyCons!$A$4:$A$10000))*1,[1]OUT_TransportEnergyCons!K$4:K$10000))*1000-M2227</f>
        <v>0</v>
      </c>
      <c r="N2228" s="1" cm="1">
        <f t="array" ref="N2228">(SUMPRODUCT(("var_ncap"=[1]OUT_TransportEnergyCons!$B$4:$B$10000)*1,("-"=[1]OUT_TransportEnergyCons!$C$4:$C$10000)*1,ISNUMBER(SEARCH("tfh*ICE*GSL*",[1]OUT_TransportEnergyCons!$A$4:$A$10000))*1,[1]OUT_TransportEnergyCons!L$4:L$10000))*1000-N2227</f>
        <v>0</v>
      </c>
      <c r="O2228" s="1" cm="1">
        <f t="array" ref="O2228">(SUMPRODUCT(("var_ncap"=[1]OUT_TransportEnergyCons!$B$4:$B$10000)*1,("-"=[1]OUT_TransportEnergyCons!$C$4:$C$10000)*1,ISNUMBER(SEARCH("tfh*ICE*GSL*",[1]OUT_TransportEnergyCons!$A$4:$A$10000))*1,[1]OUT_TransportEnergyCons!M$4:M$10000))*1000-O2227</f>
        <v>0</v>
      </c>
      <c r="P2228" s="1" cm="1">
        <f t="array" ref="P2228">(SUMPRODUCT(("var_ncap"=[1]OUT_TransportEnergyCons!$B$4:$B$10000)*1,("-"=[1]OUT_TransportEnergyCons!$C$4:$C$10000)*1,ISNUMBER(SEARCH("tfh*ICE*GSL*",[1]OUT_TransportEnergyCons!$A$4:$A$10000))*1,[1]OUT_TransportEnergyCons!N$4:N$10000))*1000-P2227</f>
        <v>0</v>
      </c>
      <c r="Q2228" s="1" cm="1">
        <f t="array" ref="Q2228">(SUMPRODUCT(("var_ncap"=[1]OUT_TransportEnergyCons!$B$4:$B$10000)*1,("-"=[1]OUT_TransportEnergyCons!$C$4:$C$10000)*1,ISNUMBER(SEARCH("tfh*ICE*GSL*",[1]OUT_TransportEnergyCons!$A$4:$A$10000))*1,[1]OUT_TransportEnergyCons!O$4:O$10000))*1000-Q2227</f>
        <v>0</v>
      </c>
      <c r="S2228" s="3"/>
    </row>
    <row r="2229" spans="2:19" x14ac:dyDescent="0.5">
      <c r="B2229" s="5" t="str">
        <f t="shared" si="2251"/>
        <v>SPS1</v>
      </c>
      <c r="C2229" s="5" t="str">
        <f t="shared" si="2252"/>
        <v>CH</v>
      </c>
      <c r="D2229" t="s">
        <v>2358</v>
      </c>
      <c r="E2229" t="s">
        <v>1999</v>
      </c>
      <c r="F2229" s="1" cm="1">
        <f t="array" ref="F2229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9" s="1" cm="1">
        <f t="array" ref="G2229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9" s="1" cm="1">
        <f t="array" ref="H2229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9" s="1" cm="1">
        <f t="array" ref="I2229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9" s="1" cm="1">
        <f t="array" ref="J2229">(SUMPRODUCT(("var_ncap"=[1]OUT_TransportEnergyCons!$B$4:$B$10000)*1,("-"=[1]OUT_TransportEnergyCons!$C$4:$C$10000)*1,ISNUMBER(SEARCH("tfh*ICE*DSL*ext",[1]OUT_TransportEnergyCons!$A$4:$A$10000))*1,[1]OUT_TransportEnergyCons!H$4:H$10000))*1000</f>
        <v>0</v>
      </c>
      <c r="K2229" s="1" cm="1">
        <f t="array" ref="K2229">(SUMPRODUCT(("var_ncap"=[1]OUT_TransportEnergyCons!$B$4:$B$10000)*1,("-"=[1]OUT_TransportEnergyCons!$C$4:$C$10000)*1,ISNUMBER(SEARCH("tfh*ICE*DSL*ext",[1]OUT_TransportEnergyCons!$A$4:$A$10000))*1,[1]OUT_TransportEnergyCons!I$4:I$10000))*1000</f>
        <v>0</v>
      </c>
      <c r="L2229" s="1" cm="1">
        <f t="array" ref="L2229">(SUMPRODUCT(("var_ncap"=[1]OUT_TransportEnergyCons!$B$4:$B$10000)*1,("-"=[1]OUT_TransportEnergyCons!$C$4:$C$10000)*1,ISNUMBER(SEARCH("tfh*ICE*DSL*ext",[1]OUT_TransportEnergyCons!$A$4:$A$10000))*1,[1]OUT_TransportEnergyCons!J$4:J$10000))*1000</f>
        <v>0</v>
      </c>
      <c r="M2229" s="1" cm="1">
        <f t="array" ref="M2229">(SUMPRODUCT(("var_ncap"=[1]OUT_TransportEnergyCons!$B$4:$B$10000)*1,("-"=[1]OUT_TransportEnergyCons!$C$4:$C$10000)*1,ISNUMBER(SEARCH("tfh*ICE*DSL*ext",[1]OUT_TransportEnergyCons!$A$4:$A$10000))*1,[1]OUT_TransportEnergyCons!K$4:K$10000))*1000</f>
        <v>0</v>
      </c>
      <c r="N2229" s="1" cm="1">
        <f t="array" ref="N2229">(SUMPRODUCT(("var_ncap"=[1]OUT_TransportEnergyCons!$B$4:$B$10000)*1,("-"=[1]OUT_TransportEnergyCons!$C$4:$C$10000)*1,ISNUMBER(SEARCH("tfh*ICE*DSL*ext",[1]OUT_TransportEnergyCons!$A$4:$A$10000))*1,[1]OUT_TransportEnergyCons!L$4:L$10000))*1000</f>
        <v>0</v>
      </c>
      <c r="O2229" s="1" cm="1">
        <f t="array" ref="O2229">(SUMPRODUCT(("var_ncap"=[1]OUT_TransportEnergyCons!$B$4:$B$10000)*1,("-"=[1]OUT_TransportEnergyCons!$C$4:$C$10000)*1,ISNUMBER(SEARCH("tfh*ICE*DSL*ext",[1]OUT_TransportEnergyCons!$A$4:$A$10000))*1,[1]OUT_TransportEnergyCons!M$4:M$10000))*1000</f>
        <v>0</v>
      </c>
      <c r="P2229" s="1" cm="1">
        <f t="array" ref="P2229">(SUMPRODUCT(("var_ncap"=[1]OUT_TransportEnergyCons!$B$4:$B$10000)*1,("-"=[1]OUT_TransportEnergyCons!$C$4:$C$10000)*1,ISNUMBER(SEARCH("tfh*ICE*DSL*ext",[1]OUT_TransportEnergyCons!$A$4:$A$10000))*1,[1]OUT_TransportEnergyCons!N$4:N$10000))*1000</f>
        <v>0</v>
      </c>
      <c r="Q2229" s="1" cm="1">
        <f t="array" ref="Q2229">(SUMPRODUCT(("var_ncap"=[1]OUT_TransportEnergyCons!$B$4:$B$10000)*1,("-"=[1]OUT_TransportEnergyCons!$C$4:$C$10000)*1,ISNUMBER(SEARCH("tfh*ICE*DSL*ext",[1]OUT_TransportEnergyCons!$A$4:$A$10000))*1,[1]OUT_TransportEnergyCons!O$4:O$10000))*1000</f>
        <v>0</v>
      </c>
      <c r="S2229" s="3"/>
    </row>
    <row r="2230" spans="2:19" x14ac:dyDescent="0.5">
      <c r="B2230" s="5" t="str">
        <f t="shared" si="2251"/>
        <v>SPS1</v>
      </c>
      <c r="C2230" s="5" t="str">
        <f t="shared" si="2252"/>
        <v>CH</v>
      </c>
      <c r="D2230" t="s">
        <v>2359</v>
      </c>
      <c r="E2230" t="s">
        <v>1999</v>
      </c>
      <c r="F2230" s="1" cm="1">
        <f t="array" ref="F2230">(SUMPRODUCT(("var_ncap"=[1]OUT_TransportEnergyCons!$B$4:$B$10000)*1,("-"=[1]OUT_TransportEnergyCons!$C$4:$C$10000)*1,ISNUMBER(SEARCH("tfh*ICE*DSL*",[1]OUT_TransportEnergyCons!$A$4:$A$10000))*1,[1]OUT_TransportEnergyCons!D$4:D$10000))*1000-F2229</f>
        <v>0</v>
      </c>
      <c r="G2230" s="1" cm="1">
        <f t="array" ref="G2230">(SUMPRODUCT(("var_ncap"=[1]OUT_TransportEnergyCons!$B$4:$B$10000)*1,("-"=[1]OUT_TransportEnergyCons!$C$4:$C$10000)*1,ISNUMBER(SEARCH("tfh*ICE*DSL*",[1]OUT_TransportEnergyCons!$A$4:$A$10000))*1,[1]OUT_TransportEnergyCons!E$4:E$10000))*1000-G2229</f>
        <v>1.4475874072130798E-3</v>
      </c>
      <c r="H2230" s="1" cm="1">
        <f t="array" ref="H2230">(SUMPRODUCT(("var_ncap"=[1]OUT_TransportEnergyCons!$B$4:$B$10000)*1,("-"=[1]OUT_TransportEnergyCons!$C$4:$C$10000)*1,ISNUMBER(SEARCH("tfh*ICE*DSL*",[1]OUT_TransportEnergyCons!$A$4:$A$10000))*1,[1]OUT_TransportEnergyCons!F$4:F$10000))*1000-H2229</f>
        <v>3.5371416523182701E-4</v>
      </c>
      <c r="I2230" s="1" cm="1">
        <f t="array" ref="I2230">(SUMPRODUCT(("var_ncap"=[1]OUT_TransportEnergyCons!$B$4:$B$10000)*1,("-"=[1]OUT_TransportEnergyCons!$C$4:$C$10000)*1,ISNUMBER(SEARCH("tfh*ICE*DSL*",[1]OUT_TransportEnergyCons!$A$4:$A$10000))*1,[1]OUT_TransportEnergyCons!G$4:G$10000))*1000-I2229</f>
        <v>2.5847865518418899E-2</v>
      </c>
      <c r="J2230" s="1" cm="1">
        <f t="array" ref="J2230">(SUMPRODUCT(("var_ncap"=[1]OUT_TransportEnergyCons!$B$4:$B$10000)*1,("-"=[1]OUT_TransportEnergyCons!$C$4:$C$10000)*1,ISNUMBER(SEARCH("tfh*ICE*DSL*",[1]OUT_TransportEnergyCons!$A$4:$A$10000))*1,[1]OUT_TransportEnergyCons!H$4:H$10000))*1000-J2229</f>
        <v>4.3107143125451896E-3</v>
      </c>
      <c r="K2230" s="1" cm="1">
        <f t="array" ref="K2230">(SUMPRODUCT(("var_ncap"=[1]OUT_TransportEnergyCons!$B$4:$B$10000)*1,("-"=[1]OUT_TransportEnergyCons!$C$4:$C$10000)*1,ISNUMBER(SEARCH("tfh*ICE*DSL*",[1]OUT_TransportEnergyCons!$A$4:$A$10000))*1,[1]OUT_TransportEnergyCons!I$4:I$10000))*1000-K2229</f>
        <v>4.6908240798673199E-3</v>
      </c>
      <c r="L2230" s="1" cm="1">
        <f t="array" ref="L2230">(SUMPRODUCT(("var_ncap"=[1]OUT_TransportEnergyCons!$B$4:$B$10000)*1,("-"=[1]OUT_TransportEnergyCons!$C$4:$C$10000)*1,ISNUMBER(SEARCH("tfh*ICE*DSL*",[1]OUT_TransportEnergyCons!$A$4:$A$10000))*1,[1]OUT_TransportEnergyCons!J$4:J$10000))*1000-L2229</f>
        <v>2.8395036865093799E-3</v>
      </c>
      <c r="M2230" s="1" cm="1">
        <f t="array" ref="M2230">(SUMPRODUCT(("var_ncap"=[1]OUT_TransportEnergyCons!$B$4:$B$10000)*1,("-"=[1]OUT_TransportEnergyCons!$C$4:$C$10000)*1,ISNUMBER(SEARCH("tfh*ICE*DSL*",[1]OUT_TransportEnergyCons!$A$4:$A$10000))*1,[1]OUT_TransportEnergyCons!K$4:K$10000))*1000-M2229</f>
        <v>0</v>
      </c>
      <c r="N2230" s="1" cm="1">
        <f t="array" ref="N2230">(SUMPRODUCT(("var_ncap"=[1]OUT_TransportEnergyCons!$B$4:$B$10000)*1,("-"=[1]OUT_TransportEnergyCons!$C$4:$C$10000)*1,ISNUMBER(SEARCH("tfh*ICE*DSL*",[1]OUT_TransportEnergyCons!$A$4:$A$10000))*1,[1]OUT_TransportEnergyCons!L$4:L$10000))*1000-N2229</f>
        <v>0</v>
      </c>
      <c r="O2230" s="1" cm="1">
        <f t="array" ref="O2230">(SUMPRODUCT(("var_ncap"=[1]OUT_TransportEnergyCons!$B$4:$B$10000)*1,("-"=[1]OUT_TransportEnergyCons!$C$4:$C$10000)*1,ISNUMBER(SEARCH("tfh*ICE*DSL*",[1]OUT_TransportEnergyCons!$A$4:$A$10000))*1,[1]OUT_TransportEnergyCons!M$4:M$10000))*1000-O2229</f>
        <v>0</v>
      </c>
      <c r="P2230" s="1" cm="1">
        <f t="array" ref="P2230">(SUMPRODUCT(("var_ncap"=[1]OUT_TransportEnergyCons!$B$4:$B$10000)*1,("-"=[1]OUT_TransportEnergyCons!$C$4:$C$10000)*1,ISNUMBER(SEARCH("tfh*ICE*DSL*",[1]OUT_TransportEnergyCons!$A$4:$A$10000))*1,[1]OUT_TransportEnergyCons!N$4:N$10000))*1000-P2229</f>
        <v>0</v>
      </c>
      <c r="Q2230" s="1" cm="1">
        <f t="array" ref="Q2230">(SUMPRODUCT(("var_ncap"=[1]OUT_TransportEnergyCons!$B$4:$B$10000)*1,("-"=[1]OUT_TransportEnergyCons!$C$4:$C$10000)*1,ISNUMBER(SEARCH("tfh*ICE*DSL*",[1]OUT_TransportEnergyCons!$A$4:$A$10000))*1,[1]OUT_TransportEnergyCons!O$4:O$10000))*1000-Q2229</f>
        <v>0</v>
      </c>
      <c r="S2230" s="3"/>
    </row>
    <row r="2231" spans="2:19" x14ac:dyDescent="0.5">
      <c r="B2231" s="5" t="str">
        <f t="shared" si="2251"/>
        <v>SPS1</v>
      </c>
      <c r="C2231" s="5" t="str">
        <f t="shared" si="2252"/>
        <v>CH</v>
      </c>
      <c r="D2231" t="s">
        <v>2360</v>
      </c>
      <c r="E2231" t="s">
        <v>1999</v>
      </c>
      <c r="F2231" s="1" cm="1">
        <f t="array" ref="F2231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31" s="1" cm="1">
        <f t="array" ref="G2231">(SUMPRODUCT(("var_ncap"=[1]OUT_TransportEnergyCons!$B$4:$B$10000)*1,("-"=[1]OUT_TransportEnergyCons!$C$4:$C$10000)*1,ISNUMBER(SEARCH("tfh*hyb*DSL*",[1]OUT_TransportEnergyCons!$A$4:$A$10000))*1,[1]OUT_TransportEnergyCons!E$4:E$10000))*1000</f>
        <v>2.3964327528571796</v>
      </c>
      <c r="H2231" s="1" cm="1">
        <f t="array" ref="H2231">(SUMPRODUCT(("var_ncap"=[1]OUT_TransportEnergyCons!$B$4:$B$10000)*1,("-"=[1]OUT_TransportEnergyCons!$C$4:$C$10000)*1,ISNUMBER(SEARCH("tfh*hyb*DSL*",[1]OUT_TransportEnergyCons!$A$4:$A$10000))*1,[1]OUT_TransportEnergyCons!F$4:F$10000))*1000</f>
        <v>9.8517931853089186E-4</v>
      </c>
      <c r="I2231" s="1" cm="1">
        <f t="array" ref="I2231">(SUMPRODUCT(("var_ncap"=[1]OUT_TransportEnergyCons!$B$4:$B$10000)*1,("-"=[1]OUT_TransportEnergyCons!$C$4:$C$10000)*1,ISNUMBER(SEARCH("tfh*hyb*DSL*",[1]OUT_TransportEnergyCons!$A$4:$A$10000))*1,[1]OUT_TransportEnergyCons!G$4:G$10000))*1000</f>
        <v>12.7190165736287</v>
      </c>
      <c r="J2231" s="1" cm="1">
        <f t="array" ref="J2231">(SUMPRODUCT(("var_ncap"=[1]OUT_TransportEnergyCons!$B$4:$B$10000)*1,("-"=[1]OUT_TransportEnergyCons!$C$4:$C$10000)*1,ISNUMBER(SEARCH("tfh*hyb*DSL*",[1]OUT_TransportEnergyCons!$A$4:$A$10000))*1,[1]OUT_TransportEnergyCons!H$4:H$10000))*1000</f>
        <v>34.7421681187584</v>
      </c>
      <c r="K2231" s="1" cm="1">
        <f t="array" ref="K2231">(SUMPRODUCT(("var_ncap"=[1]OUT_TransportEnergyCons!$B$4:$B$10000)*1,("-"=[1]OUT_TransportEnergyCons!$C$4:$C$10000)*1,ISNUMBER(SEARCH("tfh*hyb*DSL*",[1]OUT_TransportEnergyCons!$A$4:$A$10000))*1,[1]OUT_TransportEnergyCons!I$4:I$10000))*1000</f>
        <v>7.8050506311471501</v>
      </c>
      <c r="L2231" s="1" cm="1">
        <f t="array" ref="L2231">(SUMPRODUCT(("var_ncap"=[1]OUT_TransportEnergyCons!$B$4:$B$10000)*1,("-"=[1]OUT_TransportEnergyCons!$C$4:$C$10000)*1,ISNUMBER(SEARCH("tfh*hyb*DSL*",[1]OUT_TransportEnergyCons!$A$4:$A$10000))*1,[1]OUT_TransportEnergyCons!J$4:J$10000))*1000</f>
        <v>1.21694736729704E-2</v>
      </c>
      <c r="M2231" s="1" cm="1">
        <f t="array" ref="M2231">(SUMPRODUCT(("var_ncap"=[1]OUT_TransportEnergyCons!$B$4:$B$10000)*1,("-"=[1]OUT_TransportEnergyCons!$C$4:$C$10000)*1,ISNUMBER(SEARCH("tfh*hyb*DSL*",[1]OUT_TransportEnergyCons!$A$4:$A$10000))*1,[1]OUT_TransportEnergyCons!K$4:K$10000))*1000</f>
        <v>0</v>
      </c>
      <c r="N2231" s="1" cm="1">
        <f t="array" ref="N2231">(SUMPRODUCT(("var_ncap"=[1]OUT_TransportEnergyCons!$B$4:$B$10000)*1,("-"=[1]OUT_TransportEnergyCons!$C$4:$C$10000)*1,ISNUMBER(SEARCH("tfh*hyb*DSL*",[1]OUT_TransportEnergyCons!$A$4:$A$10000))*1,[1]OUT_TransportEnergyCons!L$4:L$10000))*1000</f>
        <v>0</v>
      </c>
      <c r="O2231" s="1" cm="1">
        <f t="array" ref="O2231">(SUMPRODUCT(("var_ncap"=[1]OUT_TransportEnergyCons!$B$4:$B$10000)*1,("-"=[1]OUT_TransportEnergyCons!$C$4:$C$10000)*1,ISNUMBER(SEARCH("tfh*hyb*DSL*",[1]OUT_TransportEnergyCons!$A$4:$A$10000))*1,[1]OUT_TransportEnergyCons!M$4:M$10000))*1000</f>
        <v>0</v>
      </c>
      <c r="P2231" s="1" cm="1">
        <f t="array" ref="P2231">(SUMPRODUCT(("var_ncap"=[1]OUT_TransportEnergyCons!$B$4:$B$10000)*1,("-"=[1]OUT_TransportEnergyCons!$C$4:$C$10000)*1,ISNUMBER(SEARCH("tfh*hyb*DSL*",[1]OUT_TransportEnergyCons!$A$4:$A$10000))*1,[1]OUT_TransportEnergyCons!N$4:N$10000))*1000</f>
        <v>0</v>
      </c>
      <c r="Q2231" s="1" cm="1">
        <f t="array" ref="Q2231">(SUMPRODUCT(("var_ncap"=[1]OUT_TransportEnergyCons!$B$4:$B$10000)*1,("-"=[1]OUT_TransportEnergyCons!$C$4:$C$10000)*1,ISNUMBER(SEARCH("tfh*hyb*DSL*",[1]OUT_TransportEnergyCons!$A$4:$A$10000))*1,[1]OUT_TransportEnergyCons!O$4:O$10000))*1000</f>
        <v>0</v>
      </c>
      <c r="S2231" s="3"/>
    </row>
    <row r="2232" spans="2:19" x14ac:dyDescent="0.5">
      <c r="B2232" s="5" t="str">
        <f t="shared" si="2251"/>
        <v>SPS1</v>
      </c>
      <c r="C2232" s="5" t="str">
        <f t="shared" si="2252"/>
        <v>CH</v>
      </c>
      <c r="D2232" t="s">
        <v>2361</v>
      </c>
      <c r="E2232" t="s">
        <v>1999</v>
      </c>
      <c r="F2232" s="1" cm="1">
        <f t="array" ref="F2232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32" s="1" cm="1">
        <f t="array" ref="G2232">(SUMPRODUCT(("var_ncap"=[1]OUT_TransportEnergyCons!$B$4:$B$10000)*1,("-"=[1]OUT_TransportEnergyCons!$C$4:$C$10000)*1,ISNUMBER(SEARCH("tfh*ice*nga*",[1]OUT_TransportEnergyCons!$A$4:$A$10000))*1,[1]OUT_TransportEnergyCons!E$4:E$10000))*1000</f>
        <v>1.3601821754483301E-3</v>
      </c>
      <c r="H2232" s="1" cm="1">
        <f t="array" ref="H2232">(SUMPRODUCT(("var_ncap"=[1]OUT_TransportEnergyCons!$B$4:$B$10000)*1,("-"=[1]OUT_TransportEnergyCons!$C$4:$C$10000)*1,ISNUMBER(SEARCH("tfh*ice*nga*",[1]OUT_TransportEnergyCons!$A$4:$A$10000))*1,[1]OUT_TransportEnergyCons!F$4:F$10000))*1000</f>
        <v>5.1547826733054601E-2</v>
      </c>
      <c r="I2232" s="1" cm="1">
        <f t="array" ref="I2232">(SUMPRODUCT(("var_ncap"=[1]OUT_TransportEnergyCons!$B$4:$B$10000)*1,("-"=[1]OUT_TransportEnergyCons!$C$4:$C$10000)*1,ISNUMBER(SEARCH("tfh*ice*nga*",[1]OUT_TransportEnergyCons!$A$4:$A$10000))*1,[1]OUT_TransportEnergyCons!G$4:G$10000))*1000</f>
        <v>7.8104542480964101E-2</v>
      </c>
      <c r="J2232" s="1" cm="1">
        <f t="array" ref="J2232">(SUMPRODUCT(("var_ncap"=[1]OUT_TransportEnergyCons!$B$4:$B$10000)*1,("-"=[1]OUT_TransportEnergyCons!$C$4:$C$10000)*1,ISNUMBER(SEARCH("tfh*ice*nga*",[1]OUT_TransportEnergyCons!$A$4:$A$10000))*1,[1]OUT_TransportEnergyCons!H$4:H$10000))*1000</f>
        <v>0.101467009290951</v>
      </c>
      <c r="K2232" s="1" cm="1">
        <f t="array" ref="K2232">(SUMPRODUCT(("var_ncap"=[1]OUT_TransportEnergyCons!$B$4:$B$10000)*1,("-"=[1]OUT_TransportEnergyCons!$C$4:$C$10000)*1,ISNUMBER(SEARCH("tfh*ice*nga*",[1]OUT_TransportEnergyCons!$A$4:$A$10000))*1,[1]OUT_TransportEnergyCons!I$4:I$10000))*1000</f>
        <v>3.9029814566355701E-2</v>
      </c>
      <c r="L2232" s="1" cm="1">
        <f t="array" ref="L2232">(SUMPRODUCT(("var_ncap"=[1]OUT_TransportEnergyCons!$B$4:$B$10000)*1,("-"=[1]OUT_TransportEnergyCons!$C$4:$C$10000)*1,ISNUMBER(SEARCH("tfh*ice*nga*",[1]OUT_TransportEnergyCons!$A$4:$A$10000))*1,[1]OUT_TransportEnergyCons!J$4:J$10000))*1000</f>
        <v>1.72950329551513E-2</v>
      </c>
      <c r="M2232" s="1" cm="1">
        <f t="array" ref="M2232">(SUMPRODUCT(("var_ncap"=[1]OUT_TransportEnergyCons!$B$4:$B$10000)*1,("-"=[1]OUT_TransportEnergyCons!$C$4:$C$10000)*1,ISNUMBER(SEARCH("tfh*ice*nga*",[1]OUT_TransportEnergyCons!$A$4:$A$10000))*1,[1]OUT_TransportEnergyCons!K$4:K$10000))*1000</f>
        <v>0</v>
      </c>
      <c r="N2232" s="1" cm="1">
        <f t="array" ref="N2232">(SUMPRODUCT(("var_ncap"=[1]OUT_TransportEnergyCons!$B$4:$B$10000)*1,("-"=[1]OUT_TransportEnergyCons!$C$4:$C$10000)*1,ISNUMBER(SEARCH("tfh*ice*nga*",[1]OUT_TransportEnergyCons!$A$4:$A$10000))*1,[1]OUT_TransportEnergyCons!L$4:L$10000))*1000</f>
        <v>0</v>
      </c>
      <c r="O2232" s="1" cm="1">
        <f t="array" ref="O2232">(SUMPRODUCT(("var_ncap"=[1]OUT_TransportEnergyCons!$B$4:$B$10000)*1,("-"=[1]OUT_TransportEnergyCons!$C$4:$C$10000)*1,ISNUMBER(SEARCH("tfh*ice*nga*",[1]OUT_TransportEnergyCons!$A$4:$A$10000))*1,[1]OUT_TransportEnergyCons!M$4:M$10000))*1000</f>
        <v>0</v>
      </c>
      <c r="P2232" s="1" cm="1">
        <f t="array" ref="P2232">(SUMPRODUCT(("var_ncap"=[1]OUT_TransportEnergyCons!$B$4:$B$10000)*1,("-"=[1]OUT_TransportEnergyCons!$C$4:$C$10000)*1,ISNUMBER(SEARCH("tfh*ice*nga*",[1]OUT_TransportEnergyCons!$A$4:$A$10000))*1,[1]OUT_TransportEnergyCons!N$4:N$10000))*1000</f>
        <v>0</v>
      </c>
      <c r="Q2232" s="1" cm="1">
        <f t="array" ref="Q2232">(SUMPRODUCT(("var_ncap"=[1]OUT_TransportEnergyCons!$B$4:$B$10000)*1,("-"=[1]OUT_TransportEnergyCons!$C$4:$C$10000)*1,ISNUMBER(SEARCH("tfh*ice*nga*",[1]OUT_TransportEnergyCons!$A$4:$A$10000))*1,[1]OUT_TransportEnergyCons!O$4:O$10000))*1000</f>
        <v>0</v>
      </c>
      <c r="S2232" s="3"/>
    </row>
    <row r="2233" spans="2:19" x14ac:dyDescent="0.5">
      <c r="B2233" s="5" t="str">
        <f>'SPS1'!B1822</f>
        <v>SPS1</v>
      </c>
      <c r="C2233" s="5" t="str">
        <f>'SPS1'!C1822</f>
        <v>CH</v>
      </c>
      <c r="D2233" s="2" t="s">
        <v>2367</v>
      </c>
      <c r="E2233" s="2" t="s">
        <v>1858</v>
      </c>
      <c r="F2233" s="3">
        <f t="shared" ref="F2233:K2233" si="2257">SUM(F2234,F2253)</f>
        <v>3.7135414280035315E-4</v>
      </c>
      <c r="G2233" s="3">
        <f t="shared" si="2257"/>
        <v>0.85093293681915094</v>
      </c>
      <c r="H2233" s="3">
        <f t="shared" si="2257"/>
        <v>0.57830390655591846</v>
      </c>
      <c r="I2233" s="3">
        <f t="shared" si="2257"/>
        <v>1.0640219235972668</v>
      </c>
      <c r="J2233" s="3">
        <f t="shared" si="2257"/>
        <v>5.91917132536451</v>
      </c>
      <c r="K2233" s="3">
        <f t="shared" si="2257"/>
        <v>3.3345991489033922</v>
      </c>
      <c r="L2233" s="3">
        <f t="shared" ref="L2233:O2233" si="2258">SUM(L2234,L2253)</f>
        <v>2.1662632559117938</v>
      </c>
      <c r="M2233" s="3">
        <f t="shared" si="2258"/>
        <v>5.2809624879031407</v>
      </c>
      <c r="N2233" s="3">
        <f t="shared" si="2258"/>
        <v>2.6813240467753192</v>
      </c>
      <c r="O2233" s="3">
        <f t="shared" si="2258"/>
        <v>2.0642087578825485</v>
      </c>
      <c r="P2233" s="3">
        <f>SUM(P2234,P2253)</f>
        <v>5.1317111930662369</v>
      </c>
      <c r="Q2233" s="3">
        <f>SUM(Q2234,Q2253)</f>
        <v>2.5746819875424487</v>
      </c>
      <c r="S2233" s="3"/>
    </row>
    <row r="2234" spans="2:19" x14ac:dyDescent="0.5">
      <c r="B2234" s="5" t="str">
        <f>'SPS1'!B1822</f>
        <v>SPS1</v>
      </c>
      <c r="C2234" s="5" t="str">
        <f>'SPS1'!C1822</f>
        <v>CH</v>
      </c>
      <c r="D2234" t="s">
        <v>2368</v>
      </c>
      <c r="E2234" t="str">
        <f>E2233</f>
        <v>GWth/yr.</v>
      </c>
      <c r="F2234" s="1">
        <f t="shared" ref="F2234:K2234" si="2259">SUM(F2235,F2238,F2240,F2243,F2245,F2247,F2249,F2251)</f>
        <v>3.2619517258455726E-4</v>
      </c>
      <c r="G2234" s="1">
        <f t="shared" si="2259"/>
        <v>0.69310917198730682</v>
      </c>
      <c r="H2234" s="1">
        <f t="shared" si="2259"/>
        <v>0.26765565063122454</v>
      </c>
      <c r="I2234" s="1">
        <f t="shared" si="2259"/>
        <v>0.84871574738413214</v>
      </c>
      <c r="J2234" s="1">
        <f t="shared" si="2259"/>
        <v>5.0747316950015575</v>
      </c>
      <c r="K2234" s="1">
        <f t="shared" si="2259"/>
        <v>2.5623228297005891</v>
      </c>
      <c r="L2234" s="1">
        <f t="shared" ref="L2234:O2234" si="2260">SUM(L2235,L2238,L2240,L2243,L2245,L2247,L2249,L2251)</f>
        <v>1.4281511480813234</v>
      </c>
      <c r="M2234" s="1">
        <f t="shared" si="2260"/>
        <v>4.4439458372406246</v>
      </c>
      <c r="N2234" s="1">
        <f t="shared" si="2260"/>
        <v>2.1249061953952495</v>
      </c>
      <c r="O2234" s="1">
        <f t="shared" si="2260"/>
        <v>1.7037488365586029</v>
      </c>
      <c r="P2234" s="1">
        <f>SUM(P2235,P2238,P2240,P2243,P2245,P2247,P2249,P2251)</f>
        <v>4.1029194569101977</v>
      </c>
      <c r="Q2234" s="1">
        <f>SUM(Q2235,Q2238,Q2240,Q2243,Q2245,Q2247,Q2249,Q2251)</f>
        <v>2.0806094277215847</v>
      </c>
      <c r="S2234" s="3"/>
    </row>
    <row r="2235" spans="2:19" x14ac:dyDescent="0.5">
      <c r="B2235" s="5" t="str">
        <f>B2233</f>
        <v>SPS1</v>
      </c>
      <c r="C2235" s="5" t="str">
        <f>C2233</f>
        <v>CH</v>
      </c>
      <c r="D2235" t="s">
        <v>2369</v>
      </c>
      <c r="E2235" t="str">
        <f>E2233</f>
        <v>GWth/yr.</v>
      </c>
      <c r="F2235" s="1">
        <f t="shared" ref="F2235:K2235" si="2261">SUM(F2236:F2237)</f>
        <v>8.9352725540126487E-6</v>
      </c>
      <c r="G2235" s="1">
        <f t="shared" si="2261"/>
        <v>0.30343667541602654</v>
      </c>
      <c r="H2235" s="1">
        <f t="shared" si="2261"/>
        <v>0.19738417548441911</v>
      </c>
      <c r="I2235" s="1">
        <f t="shared" si="2261"/>
        <v>0.83726332231398393</v>
      </c>
      <c r="J2235" s="1">
        <f t="shared" si="2261"/>
        <v>2.5817342657912254</v>
      </c>
      <c r="K2235" s="1">
        <f t="shared" si="2261"/>
        <v>2.0891266634672507</v>
      </c>
      <c r="L2235" s="1">
        <f t="shared" ref="L2235:O2235" si="2262">SUM(L2236:L2237)</f>
        <v>0.9828657737307559</v>
      </c>
      <c r="M2235" s="1">
        <f t="shared" si="2262"/>
        <v>3.1313825419362504</v>
      </c>
      <c r="N2235" s="1">
        <f t="shared" si="2262"/>
        <v>1.8825508121751351</v>
      </c>
      <c r="O2235" s="1">
        <f t="shared" si="2262"/>
        <v>1.2832177535554623</v>
      </c>
      <c r="P2235" s="1">
        <f>SUM(P2236:P2237)</f>
        <v>3.1066962974770158</v>
      </c>
      <c r="Q2235" s="1">
        <f>SUM(Q2236:Q2237)</f>
        <v>1.813095523643738</v>
      </c>
      <c r="S2235" s="3"/>
    </row>
    <row r="2236" spans="2:19" x14ac:dyDescent="0.5">
      <c r="B2236" s="5" t="str">
        <f t="shared" ref="B2236:B2267" si="2263">B2235</f>
        <v>SPS1</v>
      </c>
      <c r="C2236" s="5" t="str">
        <f t="shared" ref="C2236:C2267" si="2264">C2235</f>
        <v>CH</v>
      </c>
      <c r="D2236" t="s">
        <v>2370</v>
      </c>
      <c r="E2236" t="str">
        <f t="shared" ref="E2236:E2267" si="2265">E2235</f>
        <v>GWth/yr.</v>
      </c>
      <c r="F2236" s="1" cm="1">
        <f t="array" ref="F2236">SUMPRODUCT(([1]OUT_FinalEnergyCons!$B$4:$B$10000="var_ncap")*1,(ISNUMBER(SEARCH("RH*-SHELCBR",[1]OUT_FinalEnergyCons!$A$4:$A$10000)))*1,[1]OUT_FinalEnergyCons!D$4:D$10000)</f>
        <v>6.5563642379373718E-6</v>
      </c>
      <c r="G2236" s="1" cm="1">
        <f t="array" ref="G2236">SUMPRODUCT(([1]OUT_FinalEnergyCons!$B$4:$B$10000="var_ncap")*1,(ISNUMBER(SEARCH("RH*-SHELCBR",[1]OUT_FinalEnergyCons!$A$4:$A$10000)))*1,[1]OUT_FinalEnergyCons!E$4:E$10000)</f>
        <v>3.0199990636171733E-2</v>
      </c>
      <c r="H2236" s="1" cm="1">
        <f t="array" ref="H2236">SUMPRODUCT(([1]OUT_FinalEnergyCons!$B$4:$B$10000="var_ncap")*1,(ISNUMBER(SEARCH("RH*-SHELCBR",[1]OUT_FinalEnergyCons!$A$4:$A$10000)))*1,[1]OUT_FinalEnergyCons!F$4:F$10000)</f>
        <v>2.548867084798857E-5</v>
      </c>
      <c r="I2236" s="1" cm="1">
        <f t="array" ref="I2236">SUMPRODUCT(([1]OUT_FinalEnergyCons!$B$4:$B$10000="var_ncap")*1,(ISNUMBER(SEARCH("RH*-SHELCBR",[1]OUT_FinalEnergyCons!$A$4:$A$10000)))*1,[1]OUT_FinalEnergyCons!G$4:G$10000)</f>
        <v>9.3065582214549932E-5</v>
      </c>
      <c r="J2236" s="1" cm="1">
        <f t="array" ref="J2236">SUMPRODUCT(([1]OUT_FinalEnergyCons!$B$4:$B$10000="var_ncap")*1,(ISNUMBER(SEARCH("RH*-SHELCBR",[1]OUT_FinalEnergyCons!$A$4:$A$10000)))*1,[1]OUT_FinalEnergyCons!H$4:H$10000)</f>
        <v>0.11787405559241607</v>
      </c>
      <c r="K2236" s="1" cm="1">
        <f t="array" ref="K2236">SUMPRODUCT(([1]OUT_FinalEnergyCons!$B$4:$B$10000="var_ncap")*1,(ISNUMBER(SEARCH("RH*-SHELCBR",[1]OUT_FinalEnergyCons!$A$4:$A$10000)))*1,[1]OUT_FinalEnergyCons!I$4:I$10000)</f>
        <v>5.6413860150579559E-2</v>
      </c>
      <c r="L2236" s="1" cm="1">
        <f t="array" ref="L2236">SUMPRODUCT(([1]OUT_FinalEnergyCons!$B$4:$B$10000="var_ncap")*1,(ISNUMBER(SEARCH("RH*-SHELCBR",[1]OUT_FinalEnergyCons!$A$4:$A$10000)))*1,[1]OUT_FinalEnergyCons!J$4:J$10000)</f>
        <v>1.3166671694158554E-3</v>
      </c>
      <c r="M2236" s="1" cm="1">
        <f t="array" ref="M2236">SUMPRODUCT(([1]OUT_FinalEnergyCons!$B$4:$B$10000="var_ncap")*1,(ISNUMBER(SEARCH("RH*-SHELCBR",[1]OUT_FinalEnergyCons!$A$4:$A$10000)))*1,[1]OUT_FinalEnergyCons!K$4:K$10000)</f>
        <v>0.16466565506148881</v>
      </c>
      <c r="N2236" s="1" cm="1">
        <f t="array" ref="N2236">SUMPRODUCT(([1]OUT_FinalEnergyCons!$B$4:$B$10000="var_ncap")*1,(ISNUMBER(SEARCH("RH*-SHELCBR",[1]OUT_FinalEnergyCons!$A$4:$A$10000)))*1,[1]OUT_FinalEnergyCons!L$4:L$10000)</f>
        <v>2.2574981916889279E-3</v>
      </c>
      <c r="O2236" s="1" cm="1">
        <f t="array" ref="O2236">SUMPRODUCT(([1]OUT_FinalEnergyCons!$B$4:$B$10000="var_ncap")*1,(ISNUMBER(SEARCH("RH*-SHELCBR",[1]OUT_FinalEnergyCons!$A$4:$A$10000)))*1,[1]OUT_FinalEnergyCons!M$4:M$10000)</f>
        <v>0.10739867746733631</v>
      </c>
      <c r="P2236" s="1" cm="1">
        <f t="array" ref="P2236">SUMPRODUCT(([1]OUT_FinalEnergyCons!$B$4:$B$10000="var_ncap")*1,(ISNUMBER(SEARCH("RH*-SHELCBR",[1]OUT_FinalEnergyCons!$A$4:$A$10000)))*1,[1]OUT_FinalEnergyCons!N$4:N$10000)</f>
        <v>6.3661146689287421E-2</v>
      </c>
      <c r="Q2236" s="1" cm="1">
        <f t="array" ref="Q2236">SUMPRODUCT(([1]OUT_FinalEnergyCons!$B$4:$B$10000="var_ncap")*1,(ISNUMBER(SEARCH("RH*-SHELCBR",[1]OUT_FinalEnergyCons!$A$4:$A$10000)))*1,[1]OUT_FinalEnergyCons!O$4:O$10000)</f>
        <v>8.2849090890335653E-3</v>
      </c>
      <c r="S2236" s="3"/>
    </row>
    <row r="2237" spans="2:19" x14ac:dyDescent="0.5">
      <c r="B2237" s="5" t="str">
        <f t="shared" si="2263"/>
        <v>SPS1</v>
      </c>
      <c r="C2237" s="5" t="str">
        <f t="shared" si="2264"/>
        <v>CH</v>
      </c>
      <c r="D2237" t="s">
        <v>2371</v>
      </c>
      <c r="E2237" t="str">
        <f t="shared" si="2265"/>
        <v>GWth/yr.</v>
      </c>
      <c r="F2237" s="1" cm="1">
        <f t="array" ref="F2237">SUMPRODUCT(([1]OUT_FinalEnergyCons!$B$4:$B$10000="var_ncap")*1,ISNUMBER(SEARCH("RH*-SHELCHP",[1]OUT_FinalEnergyCons!$A$4:$A$10000))*1,[1]OUT_FinalEnergyCons!D$4:D$10000)</f>
        <v>2.378908316075277E-6</v>
      </c>
      <c r="G2237" s="1" cm="1">
        <f t="array" ref="G2237">SUMPRODUCT(([1]OUT_FinalEnergyCons!$B$4:$B$10000="var_ncap")*1,ISNUMBER(SEARCH("RH*-SHELCHP",[1]OUT_FinalEnergyCons!$A$4:$A$10000))*1,[1]OUT_FinalEnergyCons!E$4:E$10000)</f>
        <v>0.2732366847798548</v>
      </c>
      <c r="H2237" s="1" cm="1">
        <f t="array" ref="H2237">SUMPRODUCT(([1]OUT_FinalEnergyCons!$B$4:$B$10000="var_ncap")*1,ISNUMBER(SEARCH("RH*-SHELCHP",[1]OUT_FinalEnergyCons!$A$4:$A$10000))*1,[1]OUT_FinalEnergyCons!F$4:F$10000)</f>
        <v>0.19735868681357113</v>
      </c>
      <c r="I2237" s="1" cm="1">
        <f t="array" ref="I2237">SUMPRODUCT(([1]OUT_FinalEnergyCons!$B$4:$B$10000="var_ncap")*1,ISNUMBER(SEARCH("RH*-SHELCHP",[1]OUT_FinalEnergyCons!$A$4:$A$10000))*1,[1]OUT_FinalEnergyCons!G$4:G$10000)</f>
        <v>0.83717025673176937</v>
      </c>
      <c r="J2237" s="1" cm="1">
        <f t="array" ref="J2237">SUMPRODUCT(([1]OUT_FinalEnergyCons!$B$4:$B$10000="var_ncap")*1,ISNUMBER(SEARCH("RH*-SHELCHP",[1]OUT_FinalEnergyCons!$A$4:$A$10000))*1,[1]OUT_FinalEnergyCons!H$4:H$10000)</f>
        <v>2.4638602101988094</v>
      </c>
      <c r="K2237" s="1" cm="1">
        <f t="array" ref="K2237">SUMPRODUCT(([1]OUT_FinalEnergyCons!$B$4:$B$10000="var_ncap")*1,ISNUMBER(SEARCH("RH*-SHELCHP",[1]OUT_FinalEnergyCons!$A$4:$A$10000))*1,[1]OUT_FinalEnergyCons!I$4:I$10000)</f>
        <v>2.032712803316671</v>
      </c>
      <c r="L2237" s="1" cm="1">
        <f t="array" ref="L2237">SUMPRODUCT(([1]OUT_FinalEnergyCons!$B$4:$B$10000="var_ncap")*1,ISNUMBER(SEARCH("RH*-SHELCHP",[1]OUT_FinalEnergyCons!$A$4:$A$10000))*1,[1]OUT_FinalEnergyCons!J$4:J$10000)</f>
        <v>0.98154910656134009</v>
      </c>
      <c r="M2237" s="1" cm="1">
        <f t="array" ref="M2237">SUMPRODUCT(([1]OUT_FinalEnergyCons!$B$4:$B$10000="var_ncap")*1,ISNUMBER(SEARCH("RH*-SHELCHP",[1]OUT_FinalEnergyCons!$A$4:$A$10000))*1,[1]OUT_FinalEnergyCons!K$4:K$10000)</f>
        <v>2.9667168868747615</v>
      </c>
      <c r="N2237" s="1" cm="1">
        <f t="array" ref="N2237">SUMPRODUCT(([1]OUT_FinalEnergyCons!$B$4:$B$10000="var_ncap")*1,ISNUMBER(SEARCH("RH*-SHELCHP",[1]OUT_FinalEnergyCons!$A$4:$A$10000))*1,[1]OUT_FinalEnergyCons!L$4:L$10000)</f>
        <v>1.8802933139834461</v>
      </c>
      <c r="O2237" s="1" cm="1">
        <f t="array" ref="O2237">SUMPRODUCT(([1]OUT_FinalEnergyCons!$B$4:$B$10000="var_ncap")*1,ISNUMBER(SEARCH("RH*-SHELCHP",[1]OUT_FinalEnergyCons!$A$4:$A$10000))*1,[1]OUT_FinalEnergyCons!M$4:M$10000)</f>
        <v>1.175819076088126</v>
      </c>
      <c r="P2237" s="1" cm="1">
        <f t="array" ref="P2237">SUMPRODUCT(([1]OUT_FinalEnergyCons!$B$4:$B$10000="var_ncap")*1,ISNUMBER(SEARCH("RH*-SHELCHP",[1]OUT_FinalEnergyCons!$A$4:$A$10000))*1,[1]OUT_FinalEnergyCons!N$4:N$10000)</f>
        <v>3.0430351507877282</v>
      </c>
      <c r="Q2237" s="1" cm="1">
        <f t="array" ref="Q2237">SUMPRODUCT(([1]OUT_FinalEnergyCons!$B$4:$B$10000="var_ncap")*1,ISNUMBER(SEARCH("RH*-SHELCHP",[1]OUT_FinalEnergyCons!$A$4:$A$10000))*1,[1]OUT_FinalEnergyCons!O$4:O$10000)</f>
        <v>1.8048106145547045</v>
      </c>
      <c r="S2237" s="3"/>
    </row>
    <row r="2238" spans="2:19" x14ac:dyDescent="0.5">
      <c r="B2238" s="5" t="str">
        <f t="shared" si="2263"/>
        <v>SPS1</v>
      </c>
      <c r="C2238" s="5" t="str">
        <f t="shared" si="2264"/>
        <v>CH</v>
      </c>
      <c r="D2238" t="s">
        <v>2372</v>
      </c>
      <c r="E2238" t="str">
        <f t="shared" si="2265"/>
        <v>GWth/yr.</v>
      </c>
      <c r="F2238" s="1">
        <f t="shared" ref="F2238:O2238" si="2266">F2239</f>
        <v>0</v>
      </c>
      <c r="G2238" s="1">
        <f t="shared" si="2266"/>
        <v>3.74483521156939E-6</v>
      </c>
      <c r="H2238" s="1">
        <f t="shared" si="2266"/>
        <v>4.1458353599809601E-6</v>
      </c>
      <c r="I2238" s="1">
        <f t="shared" si="2266"/>
        <v>4.4255324858788198E-6</v>
      </c>
      <c r="J2238" s="1">
        <f t="shared" si="2266"/>
        <v>9.7046480833530601E-4</v>
      </c>
      <c r="K2238" s="1">
        <f t="shared" si="2266"/>
        <v>1.6857852722656779E-3</v>
      </c>
      <c r="L2238" s="1">
        <f t="shared" si="2266"/>
        <v>1.2960973920258471E-5</v>
      </c>
      <c r="M2238" s="1">
        <f t="shared" si="2266"/>
        <v>8.4037755447857504E-4</v>
      </c>
      <c r="N2238" s="1">
        <f t="shared" si="2266"/>
        <v>1.7929494386436311E-5</v>
      </c>
      <c r="O2238" s="1">
        <f t="shared" si="2266"/>
        <v>2.9334486337351099E-4</v>
      </c>
      <c r="P2238" s="1">
        <f>P2239</f>
        <v>6.3357552661740901E-4</v>
      </c>
      <c r="Q2238" s="1">
        <f>Q2239</f>
        <v>1.87005868640063E-4</v>
      </c>
      <c r="S2238" s="3"/>
    </row>
    <row r="2239" spans="2:19" x14ac:dyDescent="0.5">
      <c r="B2239" s="5" t="str">
        <f t="shared" si="2263"/>
        <v>SPS1</v>
      </c>
      <c r="C2239" s="5" t="str">
        <f t="shared" si="2264"/>
        <v>CH</v>
      </c>
      <c r="D2239" t="s">
        <v>2373</v>
      </c>
      <c r="E2239" t="str">
        <f t="shared" si="2265"/>
        <v>GWth/yr.</v>
      </c>
      <c r="F2239" s="1" cm="1">
        <f t="array" ref="F2239">SUMPRODUCT(([1]OUT_FinalEnergyCons!$B$4:$B$10000="var_ncap")*1, (ISNUMBER(SEARCH("RH*-SHLFOBR",[1]OUT_FinalEnergyCons!$A$4:$A$10000)))*1,[1]OUT_FinalEnergyCons!D$4:D$10000)</f>
        <v>0</v>
      </c>
      <c r="G2239" s="1" cm="1">
        <f t="array" ref="G2239">SUMPRODUCT(([1]OUT_FinalEnergyCons!$B$4:$B$10000="var_ncap")*1, (ISNUMBER(SEARCH("RH*-SHLFOBR",[1]OUT_FinalEnergyCons!$A$4:$A$10000)))*1,[1]OUT_FinalEnergyCons!E$4:E$10000)</f>
        <v>3.74483521156939E-6</v>
      </c>
      <c r="H2239" s="1" cm="1">
        <f t="array" ref="H2239">SUMPRODUCT(([1]OUT_FinalEnergyCons!$B$4:$B$10000="var_ncap")*1, (ISNUMBER(SEARCH("RH*-SHLFOBR",[1]OUT_FinalEnergyCons!$A$4:$A$10000)))*1,[1]OUT_FinalEnergyCons!F$4:F$10000)</f>
        <v>4.1458353599809601E-6</v>
      </c>
      <c r="I2239" s="1" cm="1">
        <f t="array" ref="I2239">SUMPRODUCT(([1]OUT_FinalEnergyCons!$B$4:$B$10000="var_ncap")*1, (ISNUMBER(SEARCH("RH*-SHLFOBR",[1]OUT_FinalEnergyCons!$A$4:$A$10000)))*1,[1]OUT_FinalEnergyCons!G$4:G$10000)</f>
        <v>4.4255324858788198E-6</v>
      </c>
      <c r="J2239" s="1" cm="1">
        <f t="array" ref="J2239">SUMPRODUCT(([1]OUT_FinalEnergyCons!$B$4:$B$10000="var_ncap")*1, (ISNUMBER(SEARCH("RH*-SHLFOBR",[1]OUT_FinalEnergyCons!$A$4:$A$10000)))*1,[1]OUT_FinalEnergyCons!H$4:H$10000)</f>
        <v>9.7046480833530601E-4</v>
      </c>
      <c r="K2239" s="1" cm="1">
        <f t="array" ref="K2239">SUMPRODUCT(([1]OUT_FinalEnergyCons!$B$4:$B$10000="var_ncap")*1, (ISNUMBER(SEARCH("RH*-SHLFOBR",[1]OUT_FinalEnergyCons!$A$4:$A$10000)))*1,[1]OUT_FinalEnergyCons!I$4:I$10000)</f>
        <v>1.6857852722656779E-3</v>
      </c>
      <c r="L2239" s="1" cm="1">
        <f t="array" ref="L2239">SUMPRODUCT(([1]OUT_FinalEnergyCons!$B$4:$B$10000="var_ncap")*1, (ISNUMBER(SEARCH("RH*-SHLFOBR",[1]OUT_FinalEnergyCons!$A$4:$A$10000)))*1,[1]OUT_FinalEnergyCons!J$4:J$10000)</f>
        <v>1.2960973920258471E-5</v>
      </c>
      <c r="M2239" s="1" cm="1">
        <f t="array" ref="M2239">SUMPRODUCT(([1]OUT_FinalEnergyCons!$B$4:$B$10000="var_ncap")*1, (ISNUMBER(SEARCH("RH*-SHLFOBR",[1]OUT_FinalEnergyCons!$A$4:$A$10000)))*1,[1]OUT_FinalEnergyCons!K$4:K$10000)</f>
        <v>8.4037755447857504E-4</v>
      </c>
      <c r="N2239" s="1" cm="1">
        <f t="array" ref="N2239">SUMPRODUCT(([1]OUT_FinalEnergyCons!$B$4:$B$10000="var_ncap")*1, (ISNUMBER(SEARCH("RH*-SHLFOBR",[1]OUT_FinalEnergyCons!$A$4:$A$10000)))*1,[1]OUT_FinalEnergyCons!L$4:L$10000)</f>
        <v>1.7929494386436311E-5</v>
      </c>
      <c r="O2239" s="1" cm="1">
        <f t="array" ref="O2239">SUMPRODUCT(([1]OUT_FinalEnergyCons!$B$4:$B$10000="var_ncap")*1, (ISNUMBER(SEARCH("RH*-SHLFOBR",[1]OUT_FinalEnergyCons!$A$4:$A$10000)))*1,[1]OUT_FinalEnergyCons!M$4:M$10000)</f>
        <v>2.9334486337351099E-4</v>
      </c>
      <c r="P2239" s="1" cm="1">
        <f t="array" ref="P2239">SUMPRODUCT(([1]OUT_FinalEnergyCons!$B$4:$B$10000="var_ncap")*1, (ISNUMBER(SEARCH("RH*-SHLFOBR",[1]OUT_FinalEnergyCons!$A$4:$A$10000)))*1,[1]OUT_FinalEnergyCons!N$4:N$10000)</f>
        <v>6.3357552661740901E-4</v>
      </c>
      <c r="Q2239" s="1" cm="1">
        <f t="array" ref="Q2239">SUMPRODUCT(([1]OUT_FinalEnergyCons!$B$4:$B$10000="var_ncap")*1, (ISNUMBER(SEARCH("RH*-SHLFOBR",[1]OUT_FinalEnergyCons!$A$4:$A$10000)))*1,[1]OUT_FinalEnergyCons!O$4:O$10000)</f>
        <v>1.87005868640063E-4</v>
      </c>
      <c r="S2239" s="3"/>
    </row>
    <row r="2240" spans="2:19" x14ac:dyDescent="0.5">
      <c r="B2240" s="5" t="str">
        <f t="shared" si="2263"/>
        <v>SPS1</v>
      </c>
      <c r="C2240" s="5" t="str">
        <f t="shared" si="2264"/>
        <v>CH</v>
      </c>
      <c r="D2240" t="s">
        <v>2374</v>
      </c>
      <c r="E2240" t="str">
        <f t="shared" si="2265"/>
        <v>GWth/yr.</v>
      </c>
      <c r="F2240" s="1">
        <f t="shared" ref="F2240:K2240" si="2267">SUM(F2241:F2242)</f>
        <v>1.7500960343343499E-6</v>
      </c>
      <c r="G2240" s="1">
        <f t="shared" si="2267"/>
        <v>0.22031185021918182</v>
      </c>
      <c r="H2240" s="1">
        <f t="shared" si="2267"/>
        <v>6.3385639557502371E-2</v>
      </c>
      <c r="I2240" s="1">
        <f t="shared" si="2267"/>
        <v>1.9525763754926995E-4</v>
      </c>
      <c r="J2240" s="1">
        <f t="shared" si="2267"/>
        <v>1.9858572400617502</v>
      </c>
      <c r="K2240" s="1">
        <f t="shared" si="2267"/>
        <v>6.5707025105504913E-2</v>
      </c>
      <c r="L2240" s="1">
        <f t="shared" ref="L2240:O2240" si="2268">SUM(L2241:L2242)</f>
        <v>0.20393689425072811</v>
      </c>
      <c r="M2240" s="1">
        <f t="shared" si="2268"/>
        <v>0.59398101440042883</v>
      </c>
      <c r="N2240" s="1">
        <f t="shared" si="2268"/>
        <v>2.7425211746484931E-2</v>
      </c>
      <c r="O2240" s="1">
        <f t="shared" si="2268"/>
        <v>0.17803270026562837</v>
      </c>
      <c r="P2240" s="1">
        <f>SUM(P2241:P2242)</f>
        <v>0.42939886320932424</v>
      </c>
      <c r="Q2240" s="1">
        <f>SUM(Q2241:Q2242)</f>
        <v>4.4466762010811192E-2</v>
      </c>
      <c r="S2240" s="3"/>
    </row>
    <row r="2241" spans="2:19" x14ac:dyDescent="0.5">
      <c r="B2241" s="5" t="str">
        <f t="shared" si="2263"/>
        <v>SPS1</v>
      </c>
      <c r="C2241" s="5" t="str">
        <f t="shared" si="2264"/>
        <v>CH</v>
      </c>
      <c r="D2241" t="s">
        <v>2375</v>
      </c>
      <c r="E2241" t="str">
        <f t="shared" si="2265"/>
        <v>GWth/yr.</v>
      </c>
      <c r="F2241" s="1" cm="1">
        <f t="array" ref="F2241">SUMPRODUCT(([1]OUT_FinalEnergyCons!$B$4:$B$10000="var_ncap")*1, (ISNUMBER(SEARCH("RH*-SHNGABR",[1]OUT_FinalEnergyCons!$A$4:$A$10000)))*1,[1]OUT_FinalEnergyCons!D$4:D$10000)</f>
        <v>0</v>
      </c>
      <c r="G2241" s="1" cm="1">
        <f t="array" ref="G2241">SUMPRODUCT(([1]OUT_FinalEnergyCons!$B$4:$B$10000="var_ncap")*1, (ISNUMBER(SEARCH("RH*-SHNGABR",[1]OUT_FinalEnergyCons!$A$4:$A$10000)))*1,[1]OUT_FinalEnergyCons!E$4:E$10000)</f>
        <v>0.22028916378070568</v>
      </c>
      <c r="H2241" s="1" cm="1">
        <f t="array" ref="H2241">SUMPRODUCT(([1]OUT_FinalEnergyCons!$B$4:$B$10000="var_ncap")*1, (ISNUMBER(SEARCH("RH*-SHNGABR",[1]OUT_FinalEnergyCons!$A$4:$A$10000)))*1,[1]OUT_FinalEnergyCons!F$4:F$10000)</f>
        <v>6.0108078080839948E-2</v>
      </c>
      <c r="I2241" s="1" cm="1">
        <f t="array" ref="I2241">SUMPRODUCT(([1]OUT_FinalEnergyCons!$B$4:$B$10000="var_ncap")*1, (ISNUMBER(SEARCH("RH*-SHNGABR",[1]OUT_FinalEnergyCons!$A$4:$A$10000)))*1,[1]OUT_FinalEnergyCons!G$4:G$10000)</f>
        <v>9.106011772565816E-5</v>
      </c>
      <c r="J2241" s="1" cm="1">
        <f t="array" ref="J2241">SUMPRODUCT(([1]OUT_FinalEnergyCons!$B$4:$B$10000="var_ncap")*1, (ISNUMBER(SEARCH("RH*-SHNGABR",[1]OUT_FinalEnergyCons!$A$4:$A$10000)))*1,[1]OUT_FinalEnergyCons!H$4:H$10000)</f>
        <v>1.6365411686887672</v>
      </c>
      <c r="K2241" s="1" cm="1">
        <f t="array" ref="K2241">SUMPRODUCT(([1]OUT_FinalEnergyCons!$B$4:$B$10000="var_ncap")*1, (ISNUMBER(SEARCH("RH*-SHNGABR",[1]OUT_FinalEnergyCons!$A$4:$A$10000)))*1,[1]OUT_FinalEnergyCons!I$4:I$10000)</f>
        <v>6.3166913638247987E-2</v>
      </c>
      <c r="L2241" s="1" cm="1">
        <f t="array" ref="L2241">SUMPRODUCT(([1]OUT_FinalEnergyCons!$B$4:$B$10000="var_ncap")*1, (ISNUMBER(SEARCH("RH*-SHNGABR",[1]OUT_FinalEnergyCons!$A$4:$A$10000)))*1,[1]OUT_FinalEnergyCons!J$4:J$10000)</f>
        <v>1.2417983163838239E-5</v>
      </c>
      <c r="M2241" s="1" cm="1">
        <f t="array" ref="M2241">SUMPRODUCT(([1]OUT_FinalEnergyCons!$B$4:$B$10000="var_ncap")*1, (ISNUMBER(SEARCH("RH*-SHNGABR",[1]OUT_FinalEnergyCons!$A$4:$A$10000)))*1,[1]OUT_FinalEnergyCons!K$4:K$10000)</f>
        <v>0.58877686600323098</v>
      </c>
      <c r="N2241" s="1" cm="1">
        <f t="array" ref="N2241">SUMPRODUCT(([1]OUT_FinalEnergyCons!$B$4:$B$10000="var_ncap")*1, (ISNUMBER(SEARCH("RH*-SHNGABR",[1]OUT_FinalEnergyCons!$A$4:$A$10000)))*1,[1]OUT_FinalEnergyCons!L$4:L$10000)</f>
        <v>2.189458100151024E-5</v>
      </c>
      <c r="O2241" s="1" cm="1">
        <f t="array" ref="O2241">SUMPRODUCT(([1]OUT_FinalEnergyCons!$B$4:$B$10000="var_ncap")*1, (ISNUMBER(SEARCH("RH*-SHNGABR",[1]OUT_FinalEnergyCons!$A$4:$A$10000)))*1,[1]OUT_FinalEnergyCons!M$4:M$10000)</f>
        <v>3.6082821557448155E-5</v>
      </c>
      <c r="P2241" s="1" cm="1">
        <f t="array" ref="P2241">SUMPRODUCT(([1]OUT_FinalEnergyCons!$B$4:$B$10000="var_ncap")*1, (ISNUMBER(SEARCH("RH*-SHNGABR",[1]OUT_FinalEnergyCons!$A$4:$A$10000)))*1,[1]OUT_FinalEnergyCons!N$4:N$10000)</f>
        <v>0.416625833469423</v>
      </c>
      <c r="Q2241" s="1" cm="1">
        <f t="array" ref="Q2241">SUMPRODUCT(([1]OUT_FinalEnergyCons!$B$4:$B$10000="var_ncap")*1, (ISNUMBER(SEARCH("RH*-SHNGABR",[1]OUT_FinalEnergyCons!$A$4:$A$10000)))*1,[1]OUT_FinalEnergyCons!O$4:O$10000)</f>
        <v>2.3946892903639147E-2</v>
      </c>
      <c r="S2241" s="3"/>
    </row>
    <row r="2242" spans="2:19" x14ac:dyDescent="0.5">
      <c r="B2242" s="5" t="str">
        <f t="shared" si="2263"/>
        <v>SPS1</v>
      </c>
      <c r="C2242" s="5" t="str">
        <f t="shared" si="2264"/>
        <v>CH</v>
      </c>
      <c r="D2242" t="s">
        <v>2376</v>
      </c>
      <c r="E2242" t="str">
        <f t="shared" si="2265"/>
        <v>GWth/yr.</v>
      </c>
      <c r="F2242" s="1" cm="1">
        <f t="array" ref="F2242">SUMPRODUCT(([1]OUT_FinalEnergyCons!$B$4:$B$10000="var_ncap")*1,ISNUMBER(SEARCH("RH*-SHngahp",[1]OUT_FinalEnergyCons!$A$4:$A$10000))*1,[1]OUT_FinalEnergyCons!D$4:D$10000)</f>
        <v>1.7500960343343499E-6</v>
      </c>
      <c r="G2242" s="1" cm="1">
        <f t="array" ref="G2242">SUMPRODUCT(([1]OUT_FinalEnergyCons!$B$4:$B$10000="var_ncap")*1,ISNUMBER(SEARCH("RH*-SHngahp",[1]OUT_FinalEnergyCons!$A$4:$A$10000))*1,[1]OUT_FinalEnergyCons!E$4:E$10000)</f>
        <v>2.2686438476150661E-5</v>
      </c>
      <c r="H2242" s="1" cm="1">
        <f t="array" ref="H2242">SUMPRODUCT(([1]OUT_FinalEnergyCons!$B$4:$B$10000="var_ncap")*1,ISNUMBER(SEARCH("RH*-SHngahp",[1]OUT_FinalEnergyCons!$A$4:$A$10000))*1,[1]OUT_FinalEnergyCons!F$4:F$10000)</f>
        <v>3.2775614766624179E-3</v>
      </c>
      <c r="I2242" s="1" cm="1">
        <f t="array" ref="I2242">SUMPRODUCT(([1]OUT_FinalEnergyCons!$B$4:$B$10000="var_ncap")*1,ISNUMBER(SEARCH("RH*-SHngahp",[1]OUT_FinalEnergyCons!$A$4:$A$10000))*1,[1]OUT_FinalEnergyCons!G$4:G$10000)</f>
        <v>1.041975198236118E-4</v>
      </c>
      <c r="J2242" s="1" cm="1">
        <f t="array" ref="J2242">SUMPRODUCT(([1]OUT_FinalEnergyCons!$B$4:$B$10000="var_ncap")*1,ISNUMBER(SEARCH("RH*-SHngahp",[1]OUT_FinalEnergyCons!$A$4:$A$10000))*1,[1]OUT_FinalEnergyCons!H$4:H$10000)</f>
        <v>0.34931607137298293</v>
      </c>
      <c r="K2242" s="1" cm="1">
        <f t="array" ref="K2242">SUMPRODUCT(([1]OUT_FinalEnergyCons!$B$4:$B$10000="var_ncap")*1,ISNUMBER(SEARCH("RH*-SHngahp",[1]OUT_FinalEnergyCons!$A$4:$A$10000))*1,[1]OUT_FinalEnergyCons!I$4:I$10000)</f>
        <v>2.5401114672569283E-3</v>
      </c>
      <c r="L2242" s="1" cm="1">
        <f t="array" ref="L2242">SUMPRODUCT(([1]OUT_FinalEnergyCons!$B$4:$B$10000="var_ncap")*1,ISNUMBER(SEARCH("RH*-SHngahp",[1]OUT_FinalEnergyCons!$A$4:$A$10000))*1,[1]OUT_FinalEnergyCons!J$4:J$10000)</f>
        <v>0.20392447626756427</v>
      </c>
      <c r="M2242" s="1" cm="1">
        <f t="array" ref="M2242">SUMPRODUCT(([1]OUT_FinalEnergyCons!$B$4:$B$10000="var_ncap")*1,ISNUMBER(SEARCH("RH*-SHngahp",[1]OUT_FinalEnergyCons!$A$4:$A$10000))*1,[1]OUT_FinalEnergyCons!K$4:K$10000)</f>
        <v>5.2041483971978376E-3</v>
      </c>
      <c r="N2242" s="1" cm="1">
        <f t="array" ref="N2242">SUMPRODUCT(([1]OUT_FinalEnergyCons!$B$4:$B$10000="var_ncap")*1,ISNUMBER(SEARCH("RH*-SHngahp",[1]OUT_FinalEnergyCons!$A$4:$A$10000))*1,[1]OUT_FinalEnergyCons!L$4:L$10000)</f>
        <v>2.7403317165483422E-2</v>
      </c>
      <c r="O2242" s="1" cm="1">
        <f t="array" ref="O2242">SUMPRODUCT(([1]OUT_FinalEnergyCons!$B$4:$B$10000="var_ncap")*1,ISNUMBER(SEARCH("RH*-SHngahp",[1]OUT_FinalEnergyCons!$A$4:$A$10000))*1,[1]OUT_FinalEnergyCons!M$4:M$10000)</f>
        <v>0.17799661744407091</v>
      </c>
      <c r="P2242" s="1" cm="1">
        <f t="array" ref="P2242">SUMPRODUCT(([1]OUT_FinalEnergyCons!$B$4:$B$10000="var_ncap")*1,ISNUMBER(SEARCH("RH*-SHngahp",[1]OUT_FinalEnergyCons!$A$4:$A$10000))*1,[1]OUT_FinalEnergyCons!N$4:N$10000)</f>
        <v>1.277302973990125E-2</v>
      </c>
      <c r="Q2242" s="1" cm="1">
        <f t="array" ref="Q2242">SUMPRODUCT(([1]OUT_FinalEnergyCons!$B$4:$B$10000="var_ncap")*1,ISNUMBER(SEARCH("RH*-SHngahp",[1]OUT_FinalEnergyCons!$A$4:$A$10000))*1,[1]OUT_FinalEnergyCons!O$4:O$10000)</f>
        <v>2.0519869107172049E-2</v>
      </c>
      <c r="S2242" s="3"/>
    </row>
    <row r="2243" spans="2:19" x14ac:dyDescent="0.5">
      <c r="B2243" s="5" t="str">
        <f t="shared" si="2263"/>
        <v>SPS1</v>
      </c>
      <c r="C2243" s="5" t="str">
        <f t="shared" si="2264"/>
        <v>CH</v>
      </c>
      <c r="D2243" t="s">
        <v>2377</v>
      </c>
      <c r="E2243" t="str">
        <f t="shared" si="2265"/>
        <v>GWth/yr.</v>
      </c>
      <c r="F2243" s="1">
        <f t="shared" ref="F2243:O2243" si="2269">F2244</f>
        <v>0</v>
      </c>
      <c r="G2243" s="1">
        <f t="shared" si="2269"/>
        <v>0</v>
      </c>
      <c r="H2243" s="1">
        <f t="shared" si="2269"/>
        <v>0</v>
      </c>
      <c r="I2243" s="1">
        <f t="shared" si="2269"/>
        <v>0</v>
      </c>
      <c r="J2243" s="1">
        <f t="shared" si="2269"/>
        <v>0</v>
      </c>
      <c r="K2243" s="1">
        <f t="shared" si="2269"/>
        <v>0</v>
      </c>
      <c r="L2243" s="1">
        <f t="shared" si="2269"/>
        <v>0</v>
      </c>
      <c r="M2243" s="1">
        <f t="shared" si="2269"/>
        <v>0</v>
      </c>
      <c r="N2243" s="1">
        <f t="shared" si="2269"/>
        <v>0</v>
      </c>
      <c r="O2243" s="1">
        <f t="shared" si="2269"/>
        <v>0</v>
      </c>
      <c r="P2243" s="1">
        <f>P2244</f>
        <v>0</v>
      </c>
      <c r="Q2243" s="1">
        <f>Q2244</f>
        <v>0</v>
      </c>
      <c r="S2243" s="3"/>
    </row>
    <row r="2244" spans="2:19" x14ac:dyDescent="0.5">
      <c r="B2244" s="5" t="str">
        <f t="shared" si="2263"/>
        <v>SPS1</v>
      </c>
      <c r="C2244" s="5" t="str">
        <f t="shared" si="2264"/>
        <v>CH</v>
      </c>
      <c r="D2244" t="s">
        <v>2378</v>
      </c>
      <c r="E2244" t="str">
        <f t="shared" si="2265"/>
        <v>GWth/yr.</v>
      </c>
      <c r="F2244" s="1" cm="1">
        <f t="array" ref="F2244">SUMPRODUCT(([1]OUT_FinalEnergyCons!$B$4:$B$10000="var_ncap")*1, (ISNUMBER(SEARCH("RH*-SHCOABR",[1]OUT_FinalEnergyCons!$A$4:$A$10000)))*1,[1]OUT_FinalEnergyCons!D$4:D$10000)</f>
        <v>0</v>
      </c>
      <c r="G2244" s="1" cm="1">
        <f t="array" ref="G2244">SUMPRODUCT(([1]OUT_FinalEnergyCons!$B$4:$B$10000="var_ncap")*1, (ISNUMBER(SEARCH("RH*-SHCOABR",[1]OUT_FinalEnergyCons!$A$4:$A$10000)))*1,[1]OUT_FinalEnergyCons!E$4:E$10000)</f>
        <v>0</v>
      </c>
      <c r="H2244" s="1" cm="1">
        <f t="array" ref="H2244">SUMPRODUCT(([1]OUT_FinalEnergyCons!$B$4:$B$10000="var_ncap")*1, (ISNUMBER(SEARCH("RH*-SHCOABR",[1]OUT_FinalEnergyCons!$A$4:$A$10000)))*1,[1]OUT_FinalEnergyCons!F$4:F$10000)</f>
        <v>0</v>
      </c>
      <c r="I2244" s="1" cm="1">
        <f t="array" ref="I2244">SUMPRODUCT(([1]OUT_FinalEnergyCons!$B$4:$B$10000="var_ncap")*1, (ISNUMBER(SEARCH("RH*-SHCOABR",[1]OUT_FinalEnergyCons!$A$4:$A$10000)))*1,[1]OUT_FinalEnergyCons!G$4:G$10000)</f>
        <v>0</v>
      </c>
      <c r="J2244" s="1" cm="1">
        <f t="array" ref="J2244">SUMPRODUCT(([1]OUT_FinalEnergyCons!$B$4:$B$10000="var_ncap")*1, (ISNUMBER(SEARCH("RH*-SHCOABR",[1]OUT_FinalEnergyCons!$A$4:$A$10000)))*1,[1]OUT_FinalEnergyCons!H$4:H$10000)</f>
        <v>0</v>
      </c>
      <c r="K2244" s="1" cm="1">
        <f t="array" ref="K2244">SUMPRODUCT(([1]OUT_FinalEnergyCons!$B$4:$B$10000="var_ncap")*1, (ISNUMBER(SEARCH("RH*-SHCOABR",[1]OUT_FinalEnergyCons!$A$4:$A$10000)))*1,[1]OUT_FinalEnergyCons!I$4:I$10000)</f>
        <v>0</v>
      </c>
      <c r="L2244" s="1" cm="1">
        <f t="array" ref="L2244">SUMPRODUCT(([1]OUT_FinalEnergyCons!$B$4:$B$10000="var_ncap")*1, (ISNUMBER(SEARCH("RH*-SHCOABR",[1]OUT_FinalEnergyCons!$A$4:$A$10000)))*1,[1]OUT_FinalEnergyCons!J$4:J$10000)</f>
        <v>0</v>
      </c>
      <c r="M2244" s="1" cm="1">
        <f t="array" ref="M2244">SUMPRODUCT(([1]OUT_FinalEnergyCons!$B$4:$B$10000="var_ncap")*1, (ISNUMBER(SEARCH("RH*-SHCOABR",[1]OUT_FinalEnergyCons!$A$4:$A$10000)))*1,[1]OUT_FinalEnergyCons!K$4:K$10000)</f>
        <v>0</v>
      </c>
      <c r="N2244" s="1" cm="1">
        <f t="array" ref="N2244">SUMPRODUCT(([1]OUT_FinalEnergyCons!$B$4:$B$10000="var_ncap")*1, (ISNUMBER(SEARCH("RH*-SHCOABR",[1]OUT_FinalEnergyCons!$A$4:$A$10000)))*1,[1]OUT_FinalEnergyCons!L$4:L$10000)</f>
        <v>0</v>
      </c>
      <c r="O2244" s="1" cm="1">
        <f t="array" ref="O2244">SUMPRODUCT(([1]OUT_FinalEnergyCons!$B$4:$B$10000="var_ncap")*1, (ISNUMBER(SEARCH("RH*-SHCOABR",[1]OUT_FinalEnergyCons!$A$4:$A$10000)))*1,[1]OUT_FinalEnergyCons!M$4:M$10000)</f>
        <v>0</v>
      </c>
      <c r="P2244" s="1" cm="1">
        <f t="array" ref="P2244">SUMPRODUCT(([1]OUT_FinalEnergyCons!$B$4:$B$10000="var_ncap")*1, (ISNUMBER(SEARCH("RH*-SHCOABR",[1]OUT_FinalEnergyCons!$A$4:$A$10000)))*1,[1]OUT_FinalEnergyCons!N$4:N$10000)</f>
        <v>0</v>
      </c>
      <c r="Q2244" s="1" cm="1">
        <f t="array" ref="Q2244">SUMPRODUCT(([1]OUT_FinalEnergyCons!$B$4:$B$10000="var_ncap")*1, (ISNUMBER(SEARCH("RH*-SHCOABR",[1]OUT_FinalEnergyCons!$A$4:$A$10000)))*1,[1]OUT_FinalEnergyCons!O$4:O$10000)</f>
        <v>0</v>
      </c>
      <c r="S2244" s="3"/>
    </row>
    <row r="2245" spans="2:19" x14ac:dyDescent="0.5">
      <c r="B2245" s="5" t="str">
        <f t="shared" si="2263"/>
        <v>SPS1</v>
      </c>
      <c r="C2245" s="5" t="str">
        <f t="shared" si="2264"/>
        <v>CH</v>
      </c>
      <c r="D2245" t="s">
        <v>2379</v>
      </c>
      <c r="E2245" t="str">
        <f t="shared" si="2265"/>
        <v>GWth/yr.</v>
      </c>
      <c r="F2245" s="1">
        <f t="shared" ref="F2245:O2245" si="2270">F2246</f>
        <v>1.53368657545411E-4</v>
      </c>
      <c r="G2245" s="1">
        <f t="shared" si="2270"/>
        <v>0.10956667794446648</v>
      </c>
      <c r="H2245" s="1">
        <f t="shared" si="2270"/>
        <v>6.0835350773792724E-3</v>
      </c>
      <c r="I2245" s="1">
        <f t="shared" si="2270"/>
        <v>1.046592995802452E-5</v>
      </c>
      <c r="J2245" s="1">
        <f t="shared" si="2270"/>
        <v>0.23186221528039919</v>
      </c>
      <c r="K2245" s="1">
        <f t="shared" si="2270"/>
        <v>0.18193200405206589</v>
      </c>
      <c r="L2245" s="1">
        <f t="shared" si="2270"/>
        <v>2.1681396106060648E-2</v>
      </c>
      <c r="M2245" s="1">
        <f t="shared" si="2270"/>
        <v>0.31287601521703218</v>
      </c>
      <c r="N2245" s="1">
        <f t="shared" si="2270"/>
        <v>2.2327662782012825E-3</v>
      </c>
      <c r="O2245" s="1">
        <f t="shared" si="2270"/>
        <v>1.9527488837152357E-2</v>
      </c>
      <c r="P2245" s="1">
        <f>P2246</f>
        <v>0.17255166757856782</v>
      </c>
      <c r="Q2245" s="1">
        <f>Q2246</f>
        <v>8.6945440704091059E-3</v>
      </c>
      <c r="S2245" s="3"/>
    </row>
    <row r="2246" spans="2:19" x14ac:dyDescent="0.5">
      <c r="B2246" s="5" t="str">
        <f t="shared" si="2263"/>
        <v>SPS1</v>
      </c>
      <c r="C2246" s="5" t="str">
        <f t="shared" si="2264"/>
        <v>CH</v>
      </c>
      <c r="D2246" t="s">
        <v>2380</v>
      </c>
      <c r="E2246" t="str">
        <f t="shared" si="2265"/>
        <v>GWth/yr.</v>
      </c>
      <c r="F2246" s="1" cm="1">
        <f t="array" ref="F2246">SUMPRODUCT(([1]OUT_FinalEnergyCons!$B$4:$B$10000="var_ncap")*1, (ISNUMBER(SEARCH("RH*-SHWODBR",[1]OUT_FinalEnergyCons!$A$4:$A$10000)))*1,[1]OUT_FinalEnergyCons!D$4:D$10000)</f>
        <v>1.53368657545411E-4</v>
      </c>
      <c r="G2246" s="1" cm="1">
        <f t="array" ref="G2246">SUMPRODUCT(([1]OUT_FinalEnergyCons!$B$4:$B$10000="var_ncap")*1, (ISNUMBER(SEARCH("RH*-SHWODBR",[1]OUT_FinalEnergyCons!$A$4:$A$10000)))*1,[1]OUT_FinalEnergyCons!E$4:E$10000)</f>
        <v>0.10956667794446648</v>
      </c>
      <c r="H2246" s="1" cm="1">
        <f t="array" ref="H2246">SUMPRODUCT(([1]OUT_FinalEnergyCons!$B$4:$B$10000="var_ncap")*1, (ISNUMBER(SEARCH("RH*-SHWODBR",[1]OUT_FinalEnergyCons!$A$4:$A$10000)))*1,[1]OUT_FinalEnergyCons!F$4:F$10000)</f>
        <v>6.0835350773792724E-3</v>
      </c>
      <c r="I2246" s="1" cm="1">
        <f t="array" ref="I2246">SUMPRODUCT(([1]OUT_FinalEnergyCons!$B$4:$B$10000="var_ncap")*1, (ISNUMBER(SEARCH("RH*-SHWODBR",[1]OUT_FinalEnergyCons!$A$4:$A$10000)))*1,[1]OUT_FinalEnergyCons!G$4:G$10000)</f>
        <v>1.046592995802452E-5</v>
      </c>
      <c r="J2246" s="1" cm="1">
        <f t="array" ref="J2246">SUMPRODUCT(([1]OUT_FinalEnergyCons!$B$4:$B$10000="var_ncap")*1, (ISNUMBER(SEARCH("RH*-SHWODBR",[1]OUT_FinalEnergyCons!$A$4:$A$10000)))*1,[1]OUT_FinalEnergyCons!H$4:H$10000)</f>
        <v>0.23186221528039919</v>
      </c>
      <c r="K2246" s="1" cm="1">
        <f t="array" ref="K2246">SUMPRODUCT(([1]OUT_FinalEnergyCons!$B$4:$B$10000="var_ncap")*1, (ISNUMBER(SEARCH("RH*-SHWODBR",[1]OUT_FinalEnergyCons!$A$4:$A$10000)))*1,[1]OUT_FinalEnergyCons!I$4:I$10000)</f>
        <v>0.18193200405206589</v>
      </c>
      <c r="L2246" s="1" cm="1">
        <f t="array" ref="L2246">SUMPRODUCT(([1]OUT_FinalEnergyCons!$B$4:$B$10000="var_ncap")*1, (ISNUMBER(SEARCH("RH*-SHWODBR",[1]OUT_FinalEnergyCons!$A$4:$A$10000)))*1,[1]OUT_FinalEnergyCons!J$4:J$10000)</f>
        <v>2.1681396106060648E-2</v>
      </c>
      <c r="M2246" s="1" cm="1">
        <f t="array" ref="M2246">SUMPRODUCT(([1]OUT_FinalEnergyCons!$B$4:$B$10000="var_ncap")*1, (ISNUMBER(SEARCH("RH*-SHWODBR",[1]OUT_FinalEnergyCons!$A$4:$A$10000)))*1,[1]OUT_FinalEnergyCons!K$4:K$10000)</f>
        <v>0.31287601521703218</v>
      </c>
      <c r="N2246" s="1" cm="1">
        <f t="array" ref="N2246">SUMPRODUCT(([1]OUT_FinalEnergyCons!$B$4:$B$10000="var_ncap")*1, (ISNUMBER(SEARCH("RH*-SHWODBR",[1]OUT_FinalEnergyCons!$A$4:$A$10000)))*1,[1]OUT_FinalEnergyCons!L$4:L$10000)</f>
        <v>2.2327662782012825E-3</v>
      </c>
      <c r="O2246" s="1" cm="1">
        <f t="array" ref="O2246">SUMPRODUCT(([1]OUT_FinalEnergyCons!$B$4:$B$10000="var_ncap")*1, (ISNUMBER(SEARCH("RH*-SHWODBR",[1]OUT_FinalEnergyCons!$A$4:$A$10000)))*1,[1]OUT_FinalEnergyCons!M$4:M$10000)</f>
        <v>1.9527488837152357E-2</v>
      </c>
      <c r="P2246" s="1" cm="1">
        <f t="array" ref="P2246">SUMPRODUCT(([1]OUT_FinalEnergyCons!$B$4:$B$10000="var_ncap")*1, (ISNUMBER(SEARCH("RH*-SHWODBR",[1]OUT_FinalEnergyCons!$A$4:$A$10000)))*1,[1]OUT_FinalEnergyCons!N$4:N$10000)</f>
        <v>0.17255166757856782</v>
      </c>
      <c r="Q2246" s="1" cm="1">
        <f t="array" ref="Q2246">SUMPRODUCT(([1]OUT_FinalEnergyCons!$B$4:$B$10000="var_ncap")*1, (ISNUMBER(SEARCH("RH*-SHWODBR",[1]OUT_FinalEnergyCons!$A$4:$A$10000)))*1,[1]OUT_FinalEnergyCons!O$4:O$10000)</f>
        <v>8.6945440704091059E-3</v>
      </c>
      <c r="S2246" s="3"/>
    </row>
    <row r="2247" spans="2:19" x14ac:dyDescent="0.5">
      <c r="B2247" s="5" t="str">
        <f t="shared" si="2263"/>
        <v>SPS1</v>
      </c>
      <c r="C2247" s="5" t="str">
        <f t="shared" si="2264"/>
        <v>CH</v>
      </c>
      <c r="D2247" t="s">
        <v>2381</v>
      </c>
      <c r="E2247" t="str">
        <f t="shared" si="2265"/>
        <v>GWth/yr.</v>
      </c>
      <c r="F2247" s="1">
        <f t="shared" ref="F2247:O2247" si="2271">F2248</f>
        <v>9.9929007004733001E-6</v>
      </c>
      <c r="G2247" s="1">
        <f t="shared" si="2271"/>
        <v>3.651900784517801E-2</v>
      </c>
      <c r="H2247" s="1">
        <f t="shared" si="2271"/>
        <v>1.443715163383487E-4</v>
      </c>
      <c r="I2247" s="1">
        <f t="shared" si="2271"/>
        <v>1.0852473476295607E-2</v>
      </c>
      <c r="J2247" s="1">
        <f t="shared" si="2271"/>
        <v>0.17823928389014448</v>
      </c>
      <c r="K2247" s="1">
        <f t="shared" si="2271"/>
        <v>8.1117645720561529E-2</v>
      </c>
      <c r="L2247" s="1">
        <f t="shared" si="2271"/>
        <v>1.4859241865307557E-2</v>
      </c>
      <c r="M2247" s="1">
        <f t="shared" si="2271"/>
        <v>0.18531889859628739</v>
      </c>
      <c r="N2247" s="1">
        <f t="shared" si="2271"/>
        <v>7.3678012051955816E-2</v>
      </c>
      <c r="O2247" s="1">
        <f t="shared" si="2271"/>
        <v>2.9939688349308297E-2</v>
      </c>
      <c r="P2247" s="1">
        <f>P2248</f>
        <v>0.17585214072296237</v>
      </c>
      <c r="Q2247" s="1">
        <f>Q2248</f>
        <v>8.5731803720896324E-2</v>
      </c>
      <c r="S2247" s="3"/>
    </row>
    <row r="2248" spans="2:19" x14ac:dyDescent="0.5">
      <c r="B2248" s="5" t="str">
        <f t="shared" si="2263"/>
        <v>SPS1</v>
      </c>
      <c r="C2248" s="5" t="str">
        <f t="shared" si="2264"/>
        <v>CH</v>
      </c>
      <c r="D2248" t="s">
        <v>2382</v>
      </c>
      <c r="E2248" t="str">
        <f t="shared" si="2265"/>
        <v>GWth/yr.</v>
      </c>
      <c r="F2248" s="1" cm="1">
        <f t="array" ref="F2248">SUMPRODUCT(([1]OUT_FinalEnergyCons!$B$4:$B$10000="var_ncap")*1, (ISNUMBER(SEARCH("RH*-SHPLTBR",[1]OUT_FinalEnergyCons!$A$4:$A$10000)))*1,[1]OUT_FinalEnergyCons!D$4:D$10000)</f>
        <v>9.9929007004733001E-6</v>
      </c>
      <c r="G2248" s="1" cm="1">
        <f t="array" ref="G2248">SUMPRODUCT(([1]OUT_FinalEnergyCons!$B$4:$B$10000="var_ncap")*1, (ISNUMBER(SEARCH("RH*-SHPLTBR",[1]OUT_FinalEnergyCons!$A$4:$A$10000)))*1,[1]OUT_FinalEnergyCons!E$4:E$10000)</f>
        <v>3.651900784517801E-2</v>
      </c>
      <c r="H2248" s="1" cm="1">
        <f t="array" ref="H2248">SUMPRODUCT(([1]OUT_FinalEnergyCons!$B$4:$B$10000="var_ncap")*1, (ISNUMBER(SEARCH("RH*-SHPLTBR",[1]OUT_FinalEnergyCons!$A$4:$A$10000)))*1,[1]OUT_FinalEnergyCons!F$4:F$10000)</f>
        <v>1.443715163383487E-4</v>
      </c>
      <c r="I2248" s="1" cm="1">
        <f t="array" ref="I2248">SUMPRODUCT(([1]OUT_FinalEnergyCons!$B$4:$B$10000="var_ncap")*1, (ISNUMBER(SEARCH("RH*-SHPLTBR",[1]OUT_FinalEnergyCons!$A$4:$A$10000)))*1,[1]OUT_FinalEnergyCons!G$4:G$10000)</f>
        <v>1.0852473476295607E-2</v>
      </c>
      <c r="J2248" s="1" cm="1">
        <f t="array" ref="J2248">SUMPRODUCT(([1]OUT_FinalEnergyCons!$B$4:$B$10000="var_ncap")*1, (ISNUMBER(SEARCH("RH*-SHPLTBR",[1]OUT_FinalEnergyCons!$A$4:$A$10000)))*1,[1]OUT_FinalEnergyCons!H$4:H$10000)</f>
        <v>0.17823928389014448</v>
      </c>
      <c r="K2248" s="1" cm="1">
        <f t="array" ref="K2248">SUMPRODUCT(([1]OUT_FinalEnergyCons!$B$4:$B$10000="var_ncap")*1, (ISNUMBER(SEARCH("RH*-SHPLTBR",[1]OUT_FinalEnergyCons!$A$4:$A$10000)))*1,[1]OUT_FinalEnergyCons!I$4:I$10000)</f>
        <v>8.1117645720561529E-2</v>
      </c>
      <c r="L2248" s="1" cm="1">
        <f t="array" ref="L2248">SUMPRODUCT(([1]OUT_FinalEnergyCons!$B$4:$B$10000="var_ncap")*1, (ISNUMBER(SEARCH("RH*-SHPLTBR",[1]OUT_FinalEnergyCons!$A$4:$A$10000)))*1,[1]OUT_FinalEnergyCons!J$4:J$10000)</f>
        <v>1.4859241865307557E-2</v>
      </c>
      <c r="M2248" s="1" cm="1">
        <f t="array" ref="M2248">SUMPRODUCT(([1]OUT_FinalEnergyCons!$B$4:$B$10000="var_ncap")*1, (ISNUMBER(SEARCH("RH*-SHPLTBR",[1]OUT_FinalEnergyCons!$A$4:$A$10000)))*1,[1]OUT_FinalEnergyCons!K$4:K$10000)</f>
        <v>0.18531889859628739</v>
      </c>
      <c r="N2248" s="1" cm="1">
        <f t="array" ref="N2248">SUMPRODUCT(([1]OUT_FinalEnergyCons!$B$4:$B$10000="var_ncap")*1, (ISNUMBER(SEARCH("RH*-SHPLTBR",[1]OUT_FinalEnergyCons!$A$4:$A$10000)))*1,[1]OUT_FinalEnergyCons!L$4:L$10000)</f>
        <v>7.3678012051955816E-2</v>
      </c>
      <c r="O2248" s="1" cm="1">
        <f t="array" ref="O2248">SUMPRODUCT(([1]OUT_FinalEnergyCons!$B$4:$B$10000="var_ncap")*1, (ISNUMBER(SEARCH("RH*-SHPLTBR",[1]OUT_FinalEnergyCons!$A$4:$A$10000)))*1,[1]OUT_FinalEnergyCons!M$4:M$10000)</f>
        <v>2.9939688349308297E-2</v>
      </c>
      <c r="P2248" s="1" cm="1">
        <f t="array" ref="P2248">SUMPRODUCT(([1]OUT_FinalEnergyCons!$B$4:$B$10000="var_ncap")*1, (ISNUMBER(SEARCH("RH*-SHPLTBR",[1]OUT_FinalEnergyCons!$A$4:$A$10000)))*1,[1]OUT_FinalEnergyCons!N$4:N$10000)</f>
        <v>0.17585214072296237</v>
      </c>
      <c r="Q2248" s="1" cm="1">
        <f t="array" ref="Q2248">SUMPRODUCT(([1]OUT_FinalEnergyCons!$B$4:$B$10000="var_ncap")*1, (ISNUMBER(SEARCH("RH*-SHPLTBR",[1]OUT_FinalEnergyCons!$A$4:$A$10000)))*1,[1]OUT_FinalEnergyCons!O$4:O$10000)</f>
        <v>8.5731803720896324E-2</v>
      </c>
      <c r="S2248" s="3"/>
    </row>
    <row r="2249" spans="2:19" x14ac:dyDescent="0.5">
      <c r="B2249" s="5" t="str">
        <f t="shared" si="2263"/>
        <v>SPS1</v>
      </c>
      <c r="C2249" s="5" t="str">
        <f t="shared" si="2264"/>
        <v>CH</v>
      </c>
      <c r="D2249" t="s">
        <v>2383</v>
      </c>
      <c r="E2249" t="str">
        <f t="shared" si="2265"/>
        <v>GWth/yr.</v>
      </c>
      <c r="F2249" s="1">
        <f t="shared" ref="F2249:O2249" si="2272">F2250</f>
        <v>1.5214824575032599E-4</v>
      </c>
      <c r="G2249" s="1">
        <f t="shared" si="2272"/>
        <v>2.3271215727242341E-2</v>
      </c>
      <c r="H2249" s="1">
        <f t="shared" si="2272"/>
        <v>6.5378316022546637E-4</v>
      </c>
      <c r="I2249" s="1">
        <f t="shared" si="2272"/>
        <v>3.8980249385939627E-4</v>
      </c>
      <c r="J2249" s="1">
        <f t="shared" si="2272"/>
        <v>9.6068225169702134E-2</v>
      </c>
      <c r="K2249" s="1">
        <f t="shared" si="2272"/>
        <v>0.14275370608294041</v>
      </c>
      <c r="L2249" s="1">
        <f t="shared" si="2272"/>
        <v>0.204794881154551</v>
      </c>
      <c r="M2249" s="1">
        <f t="shared" si="2272"/>
        <v>0.2195469895361474</v>
      </c>
      <c r="N2249" s="1">
        <f t="shared" si="2272"/>
        <v>0.139001463649086</v>
      </c>
      <c r="O2249" s="1">
        <f t="shared" si="2272"/>
        <v>0.1927378606876779</v>
      </c>
      <c r="P2249" s="1">
        <f>P2250</f>
        <v>0.21778691239570958</v>
      </c>
      <c r="Q2249" s="1">
        <f>Q2250</f>
        <v>0.12843378840708997</v>
      </c>
      <c r="S2249" s="3"/>
    </row>
    <row r="2250" spans="2:19" x14ac:dyDescent="0.5">
      <c r="B2250" s="5" t="str">
        <f t="shared" si="2263"/>
        <v>SPS1</v>
      </c>
      <c r="C2250" s="5" t="str">
        <f t="shared" si="2264"/>
        <v>CH</v>
      </c>
      <c r="D2250" t="s">
        <v>2384</v>
      </c>
      <c r="E2250" t="str">
        <f t="shared" si="2265"/>
        <v>GWth/yr.</v>
      </c>
      <c r="F2250" s="1" cm="1">
        <f t="array" ref="F2250">SUMPRODUCT(([1]OUT_FinalEnergyCons!$B$4:$B$10000="var_ncap")*1, (ISNUMBER(SEARCH("RH*-SHSOLBR",[1]OUT_FinalEnergyCons!$A$4:$A$10000)))*1,[1]OUT_FinalEnergyCons!D$4:D$10000)</f>
        <v>1.5214824575032599E-4</v>
      </c>
      <c r="G2250" s="1" cm="1">
        <f t="array" ref="G2250">SUMPRODUCT(([1]OUT_FinalEnergyCons!$B$4:$B$10000="var_ncap")*1, (ISNUMBER(SEARCH("RH*-SHSOLBR",[1]OUT_FinalEnergyCons!$A$4:$A$10000)))*1,[1]OUT_FinalEnergyCons!E$4:E$10000)</f>
        <v>2.3271215727242341E-2</v>
      </c>
      <c r="H2250" s="1" cm="1">
        <f t="array" ref="H2250">SUMPRODUCT(([1]OUT_FinalEnergyCons!$B$4:$B$10000="var_ncap")*1, (ISNUMBER(SEARCH("RH*-SHSOLBR",[1]OUT_FinalEnergyCons!$A$4:$A$10000)))*1,[1]OUT_FinalEnergyCons!F$4:F$10000)</f>
        <v>6.5378316022546637E-4</v>
      </c>
      <c r="I2250" s="1" cm="1">
        <f t="array" ref="I2250">SUMPRODUCT(([1]OUT_FinalEnergyCons!$B$4:$B$10000="var_ncap")*1, (ISNUMBER(SEARCH("RH*-SHSOLBR",[1]OUT_FinalEnergyCons!$A$4:$A$10000)))*1,[1]OUT_FinalEnergyCons!G$4:G$10000)</f>
        <v>3.8980249385939627E-4</v>
      </c>
      <c r="J2250" s="1" cm="1">
        <f t="array" ref="J2250">SUMPRODUCT(([1]OUT_FinalEnergyCons!$B$4:$B$10000="var_ncap")*1, (ISNUMBER(SEARCH("RH*-SHSOLBR",[1]OUT_FinalEnergyCons!$A$4:$A$10000)))*1,[1]OUT_FinalEnergyCons!H$4:H$10000)</f>
        <v>9.6068225169702134E-2</v>
      </c>
      <c r="K2250" s="1" cm="1">
        <f t="array" ref="K2250">SUMPRODUCT(([1]OUT_FinalEnergyCons!$B$4:$B$10000="var_ncap")*1, (ISNUMBER(SEARCH("RH*-SHSOLBR",[1]OUT_FinalEnergyCons!$A$4:$A$10000)))*1,[1]OUT_FinalEnergyCons!I$4:I$10000)</f>
        <v>0.14275370608294041</v>
      </c>
      <c r="L2250" s="1" cm="1">
        <f t="array" ref="L2250">SUMPRODUCT(([1]OUT_FinalEnergyCons!$B$4:$B$10000="var_ncap")*1, (ISNUMBER(SEARCH("RH*-SHSOLBR",[1]OUT_FinalEnergyCons!$A$4:$A$10000)))*1,[1]OUT_FinalEnergyCons!J$4:J$10000)</f>
        <v>0.204794881154551</v>
      </c>
      <c r="M2250" s="1" cm="1">
        <f t="array" ref="M2250">SUMPRODUCT(([1]OUT_FinalEnergyCons!$B$4:$B$10000="var_ncap")*1, (ISNUMBER(SEARCH("RH*-SHSOLBR",[1]OUT_FinalEnergyCons!$A$4:$A$10000)))*1,[1]OUT_FinalEnergyCons!K$4:K$10000)</f>
        <v>0.2195469895361474</v>
      </c>
      <c r="N2250" s="1" cm="1">
        <f t="array" ref="N2250">SUMPRODUCT(([1]OUT_FinalEnergyCons!$B$4:$B$10000="var_ncap")*1, (ISNUMBER(SEARCH("RH*-SHSOLBR",[1]OUT_FinalEnergyCons!$A$4:$A$10000)))*1,[1]OUT_FinalEnergyCons!L$4:L$10000)</f>
        <v>0.139001463649086</v>
      </c>
      <c r="O2250" s="1" cm="1">
        <f t="array" ref="O2250">SUMPRODUCT(([1]OUT_FinalEnergyCons!$B$4:$B$10000="var_ncap")*1, (ISNUMBER(SEARCH("RH*-SHSOLBR",[1]OUT_FinalEnergyCons!$A$4:$A$10000)))*1,[1]OUT_FinalEnergyCons!M$4:M$10000)</f>
        <v>0.1927378606876779</v>
      </c>
      <c r="P2250" s="1" cm="1">
        <f t="array" ref="P2250">SUMPRODUCT(([1]OUT_FinalEnergyCons!$B$4:$B$10000="var_ncap")*1, (ISNUMBER(SEARCH("RH*-SHSOLBR",[1]OUT_FinalEnergyCons!$A$4:$A$10000)))*1,[1]OUT_FinalEnergyCons!N$4:N$10000)</f>
        <v>0.21778691239570958</v>
      </c>
      <c r="Q2250" s="1" cm="1">
        <f t="array" ref="Q2250">SUMPRODUCT(([1]OUT_FinalEnergyCons!$B$4:$B$10000="var_ncap")*1, (ISNUMBER(SEARCH("RH*-SHSOLBR",[1]OUT_FinalEnergyCons!$A$4:$A$10000)))*1,[1]OUT_FinalEnergyCons!O$4:O$10000)</f>
        <v>0.12843378840708997</v>
      </c>
      <c r="S2250" s="3"/>
    </row>
    <row r="2251" spans="2:19" x14ac:dyDescent="0.5">
      <c r="B2251" s="5" t="str">
        <f t="shared" si="2263"/>
        <v>SPS1</v>
      </c>
      <c r="C2251" s="5" t="str">
        <f t="shared" si="2264"/>
        <v>CH</v>
      </c>
      <c r="D2251" t="s">
        <v>2385</v>
      </c>
      <c r="E2251" t="str">
        <f t="shared" si="2265"/>
        <v>GWth/yr.</v>
      </c>
      <c r="F2251" s="1">
        <f t="shared" ref="F2251:O2251" si="2273">F2252</f>
        <v>0</v>
      </c>
      <c r="G2251" s="1">
        <f t="shared" si="2273"/>
        <v>0</v>
      </c>
      <c r="H2251" s="1">
        <f t="shared" si="2273"/>
        <v>0</v>
      </c>
      <c r="I2251" s="1">
        <f t="shared" si="2273"/>
        <v>0</v>
      </c>
      <c r="J2251" s="1">
        <f t="shared" si="2273"/>
        <v>0</v>
      </c>
      <c r="K2251" s="1">
        <f t="shared" si="2273"/>
        <v>0</v>
      </c>
      <c r="L2251" s="1">
        <f t="shared" si="2273"/>
        <v>0</v>
      </c>
      <c r="M2251" s="1">
        <f t="shared" si="2273"/>
        <v>0</v>
      </c>
      <c r="N2251" s="1">
        <f t="shared" si="2273"/>
        <v>0</v>
      </c>
      <c r="O2251" s="1">
        <f t="shared" si="2273"/>
        <v>0</v>
      </c>
      <c r="P2251" s="1">
        <f>P2252</f>
        <v>0</v>
      </c>
      <c r="Q2251" s="1">
        <f>Q2252</f>
        <v>0</v>
      </c>
      <c r="S2251" s="3"/>
    </row>
    <row r="2252" spans="2:19" x14ac:dyDescent="0.5">
      <c r="B2252" s="5" t="str">
        <f t="shared" si="2263"/>
        <v>SPS1</v>
      </c>
      <c r="C2252" s="5" t="str">
        <f t="shared" si="2264"/>
        <v>CH</v>
      </c>
      <c r="D2252" t="s">
        <v>2386</v>
      </c>
      <c r="E2252" t="str">
        <f t="shared" si="2265"/>
        <v>GWth/yr.</v>
      </c>
      <c r="F2252" s="1" cm="1">
        <f t="array" ref="F2252">SUMPRODUCT(([1]OUT_FinalEnergyCons!$B$4:$B$10000="var_ncap")*1, (ISNUMBER(SEARCH("RH*-SHH2BR",[1]OUT_FinalEnergyCons!$A$4:$A$10000)))*1,[1]OUT_FinalEnergyCons!D$4:D$10000)</f>
        <v>0</v>
      </c>
      <c r="G2252" s="1" cm="1">
        <f t="array" ref="G2252">SUMPRODUCT(([1]OUT_FinalEnergyCons!$B$4:$B$10000="var_ncap")*1, (ISNUMBER(SEARCH("RH*-SHH2BR",[1]OUT_FinalEnergyCons!$A$4:$A$10000)))*1,[1]OUT_FinalEnergyCons!E$4:E$10000)</f>
        <v>0</v>
      </c>
      <c r="H2252" s="1" cm="1">
        <f t="array" ref="H2252">SUMPRODUCT(([1]OUT_FinalEnergyCons!$B$4:$B$10000="var_ncap")*1, (ISNUMBER(SEARCH("RH*-SHH2BR",[1]OUT_FinalEnergyCons!$A$4:$A$10000)))*1,[1]OUT_FinalEnergyCons!F$4:F$10000)</f>
        <v>0</v>
      </c>
      <c r="I2252" s="1" cm="1">
        <f t="array" ref="I2252">SUMPRODUCT(([1]OUT_FinalEnergyCons!$B$4:$B$10000="var_ncap")*1, (ISNUMBER(SEARCH("RH*-SHH2BR",[1]OUT_FinalEnergyCons!$A$4:$A$10000)))*1,[1]OUT_FinalEnergyCons!G$4:G$10000)</f>
        <v>0</v>
      </c>
      <c r="J2252" s="1" cm="1">
        <f t="array" ref="J2252">SUMPRODUCT(([1]OUT_FinalEnergyCons!$B$4:$B$10000="var_ncap")*1, (ISNUMBER(SEARCH("RH*-SHH2BR",[1]OUT_FinalEnergyCons!$A$4:$A$10000)))*1,[1]OUT_FinalEnergyCons!H$4:H$10000)</f>
        <v>0</v>
      </c>
      <c r="K2252" s="1" cm="1">
        <f t="array" ref="K2252">SUMPRODUCT(([1]OUT_FinalEnergyCons!$B$4:$B$10000="var_ncap")*1, (ISNUMBER(SEARCH("RH*-SHH2BR",[1]OUT_FinalEnergyCons!$A$4:$A$10000)))*1,[1]OUT_FinalEnergyCons!I$4:I$10000)</f>
        <v>0</v>
      </c>
      <c r="L2252" s="1" cm="1">
        <f t="array" ref="L2252">SUMPRODUCT(([1]OUT_FinalEnergyCons!$B$4:$B$10000="var_ncap")*1, (ISNUMBER(SEARCH("RH*-SHH2BR",[1]OUT_FinalEnergyCons!$A$4:$A$10000)))*1,[1]OUT_FinalEnergyCons!J$4:J$10000)</f>
        <v>0</v>
      </c>
      <c r="M2252" s="1" cm="1">
        <f t="array" ref="M2252">SUMPRODUCT(([1]OUT_FinalEnergyCons!$B$4:$B$10000="var_ncap")*1, (ISNUMBER(SEARCH("RH*-SHH2BR",[1]OUT_FinalEnergyCons!$A$4:$A$10000)))*1,[1]OUT_FinalEnergyCons!K$4:K$10000)</f>
        <v>0</v>
      </c>
      <c r="N2252" s="1" cm="1">
        <f t="array" ref="N2252">SUMPRODUCT(([1]OUT_FinalEnergyCons!$B$4:$B$10000="var_ncap")*1, (ISNUMBER(SEARCH("RH*-SHH2BR",[1]OUT_FinalEnergyCons!$A$4:$A$10000)))*1,[1]OUT_FinalEnergyCons!L$4:L$10000)</f>
        <v>0</v>
      </c>
      <c r="O2252" s="1" cm="1">
        <f t="array" ref="O2252">SUMPRODUCT(([1]OUT_FinalEnergyCons!$B$4:$B$10000="var_ncap")*1, (ISNUMBER(SEARCH("RH*-SHH2BR",[1]OUT_FinalEnergyCons!$A$4:$A$10000)))*1,[1]OUT_FinalEnergyCons!M$4:M$10000)</f>
        <v>0</v>
      </c>
      <c r="P2252" s="1" cm="1">
        <f t="array" ref="P2252">SUMPRODUCT(([1]OUT_FinalEnergyCons!$B$4:$B$10000="var_ncap")*1, (ISNUMBER(SEARCH("RH*-SHH2BR",[1]OUT_FinalEnergyCons!$A$4:$A$10000)))*1,[1]OUT_FinalEnergyCons!N$4:N$10000)</f>
        <v>0</v>
      </c>
      <c r="Q2252" s="1" cm="1">
        <f t="array" ref="Q2252">SUMPRODUCT(([1]OUT_FinalEnergyCons!$B$4:$B$10000="var_ncap")*1, (ISNUMBER(SEARCH("RH*-SHH2BR",[1]OUT_FinalEnergyCons!$A$4:$A$10000)))*1,[1]OUT_FinalEnergyCons!O$4:O$10000)</f>
        <v>0</v>
      </c>
      <c r="S2252" s="3"/>
    </row>
    <row r="2253" spans="2:19" x14ac:dyDescent="0.5">
      <c r="B2253" s="5" t="str">
        <f t="shared" si="2263"/>
        <v>SPS1</v>
      </c>
      <c r="C2253" s="5" t="str">
        <f t="shared" si="2264"/>
        <v>CH</v>
      </c>
      <c r="D2253" t="s">
        <v>2387</v>
      </c>
      <c r="E2253" t="str">
        <f t="shared" si="2265"/>
        <v>GWth/yr.</v>
      </c>
      <c r="F2253" s="1">
        <f t="shared" ref="F2253:K2253" si="2274">SUM(F2254,F2257,F2259,F2262,F2264,F2266,F2268,F2270)</f>
        <v>4.5158970215795891E-5</v>
      </c>
      <c r="G2253" s="1">
        <f t="shared" si="2274"/>
        <v>0.15782376483184413</v>
      </c>
      <c r="H2253" s="1">
        <f t="shared" si="2274"/>
        <v>0.31064825592469392</v>
      </c>
      <c r="I2253" s="1">
        <f t="shared" si="2274"/>
        <v>0.21530617621313458</v>
      </c>
      <c r="J2253" s="1">
        <f t="shared" si="2274"/>
        <v>0.84443963036295244</v>
      </c>
      <c r="K2253" s="1">
        <f t="shared" si="2274"/>
        <v>0.77227631920280304</v>
      </c>
      <c r="L2253" s="1">
        <f t="shared" ref="L2253:O2253" si="2275">SUM(L2254,L2257,L2259,L2262,L2264,L2266,L2268,L2270)</f>
        <v>0.73811210783047043</v>
      </c>
      <c r="M2253" s="1">
        <f t="shared" si="2275"/>
        <v>0.83701665066251596</v>
      </c>
      <c r="N2253" s="1">
        <f t="shared" si="2275"/>
        <v>0.55641785138006983</v>
      </c>
      <c r="O2253" s="1">
        <f t="shared" si="2275"/>
        <v>0.36045992132394544</v>
      </c>
      <c r="P2253" s="1">
        <f>SUM(P2254,P2257,P2259,P2262,P2264,P2266,P2268,P2270)</f>
        <v>1.0287917361560392</v>
      </c>
      <c r="Q2253" s="1">
        <f>SUM(Q2254,Q2257,Q2259,Q2262,Q2264,Q2266,Q2268,Q2270)</f>
        <v>0.4940725598208639</v>
      </c>
      <c r="S2253" s="3"/>
    </row>
    <row r="2254" spans="2:19" x14ac:dyDescent="0.5">
      <c r="B2254" s="5" t="str">
        <f t="shared" si="2263"/>
        <v>SPS1</v>
      </c>
      <c r="C2254" s="5" t="str">
        <f t="shared" si="2264"/>
        <v>CH</v>
      </c>
      <c r="D2254" t="s">
        <v>2388</v>
      </c>
      <c r="E2254" t="str">
        <f t="shared" si="2265"/>
        <v>GWth/yr.</v>
      </c>
      <c r="F2254" s="1">
        <f t="shared" ref="F2254:K2254" si="2276">SUM(F2255:F2256)</f>
        <v>4.5158970215795891E-5</v>
      </c>
      <c r="G2254" s="1">
        <f t="shared" si="2276"/>
        <v>6.8089211406234001E-2</v>
      </c>
      <c r="H2254" s="1">
        <f t="shared" si="2276"/>
        <v>0.10116523444917702</v>
      </c>
      <c r="I2254" s="1">
        <f t="shared" si="2276"/>
        <v>0.21034983580768415</v>
      </c>
      <c r="J2254" s="1">
        <f t="shared" si="2276"/>
        <v>0.57092772964343963</v>
      </c>
      <c r="K2254" s="1">
        <f t="shared" si="2276"/>
        <v>0.52347511884217601</v>
      </c>
      <c r="L2254" s="1">
        <f t="shared" ref="L2254:O2254" si="2277">SUM(L2255:L2256)</f>
        <v>0.136334230404558</v>
      </c>
      <c r="M2254" s="1">
        <f t="shared" si="2277"/>
        <v>0.63891782083981996</v>
      </c>
      <c r="N2254" s="1">
        <f t="shared" si="2277"/>
        <v>0.54709184407195455</v>
      </c>
      <c r="O2254" s="1">
        <f t="shared" si="2277"/>
        <v>0.32592344920918614</v>
      </c>
      <c r="P2254" s="1">
        <f>SUM(P2255:P2256)</f>
        <v>0.53513858794548264</v>
      </c>
      <c r="Q2254" s="1">
        <f>SUM(Q2255:Q2256)</f>
        <v>0.48398941633612946</v>
      </c>
      <c r="S2254" s="3"/>
    </row>
    <row r="2255" spans="2:19" x14ac:dyDescent="0.5">
      <c r="B2255" s="5" t="str">
        <f t="shared" si="2263"/>
        <v>SPS1</v>
      </c>
      <c r="C2255" s="5" t="str">
        <f t="shared" si="2264"/>
        <v>CH</v>
      </c>
      <c r="D2255" t="s">
        <v>2389</v>
      </c>
      <c r="E2255" t="str">
        <f t="shared" si="2265"/>
        <v>GWth/yr.</v>
      </c>
      <c r="F2255" s="1" cm="1">
        <f t="array" ref="F2255">SUMPRODUCT(([1]OUT_FinalEnergyCons!$B$4:$B$10000="var_ncap")*1,(ISNUMBER(SEARCH("RH*-WHELCBR",[1]OUT_FinalEnergyCons!$A$4:$A$10000)))*1,[1]OUT_FinalEnergyCons!D$4:D$10000)</f>
        <v>4.0994313180837398E-5</v>
      </c>
      <c r="G2255" s="1" cm="1">
        <f t="array" ref="G2255">SUMPRODUCT(([1]OUT_FinalEnergyCons!$B$4:$B$10000="var_ncap")*1,(ISNUMBER(SEARCH("RH*-WHELCBR",[1]OUT_FinalEnergyCons!$A$4:$A$10000)))*1,[1]OUT_FinalEnergyCons!E$4:E$10000)</f>
        <v>3.5289070881889997E-2</v>
      </c>
      <c r="H2255" s="1" cm="1">
        <f t="array" ref="H2255">SUMPRODUCT(([1]OUT_FinalEnergyCons!$B$4:$B$10000="var_ncap")*1,(ISNUMBER(SEARCH("RH*-WHELCBR",[1]OUT_FinalEnergyCons!$A$4:$A$10000)))*1,[1]OUT_FinalEnergyCons!F$4:F$10000)</f>
        <v>1.04716034100298E-5</v>
      </c>
      <c r="I2255" s="1" cm="1">
        <f t="array" ref="I2255">SUMPRODUCT(([1]OUT_FinalEnergyCons!$B$4:$B$10000="var_ncap")*1,(ISNUMBER(SEARCH("RH*-WHELCBR",[1]OUT_FinalEnergyCons!$A$4:$A$10000)))*1,[1]OUT_FinalEnergyCons!G$4:G$10000)</f>
        <v>2.0692336257153501E-5</v>
      </c>
      <c r="J2255" s="1" cm="1">
        <f t="array" ref="J2255">SUMPRODUCT(([1]OUT_FinalEnergyCons!$B$4:$B$10000="var_ncap")*1,(ISNUMBER(SEARCH("RH*-WHELCBR",[1]OUT_FinalEnergyCons!$A$4:$A$10000)))*1,[1]OUT_FinalEnergyCons!H$4:H$10000)</f>
        <v>6.6939387153100702E-2</v>
      </c>
      <c r="K2255" s="1" cm="1">
        <f t="array" ref="K2255">SUMPRODUCT(([1]OUT_FinalEnergyCons!$B$4:$B$10000="var_ncap")*1,(ISNUMBER(SEARCH("RH*-WHELCBR",[1]OUT_FinalEnergyCons!$A$4:$A$10000)))*1,[1]OUT_FinalEnergyCons!I$4:I$10000)</f>
        <v>3.4967134057780999E-2</v>
      </c>
      <c r="L2255" s="1" cm="1">
        <f t="array" ref="L2255">SUMPRODUCT(([1]OUT_FinalEnergyCons!$B$4:$B$10000="var_ncap")*1,(ISNUMBER(SEARCH("RH*-WHELCBR",[1]OUT_FinalEnergyCons!$A$4:$A$10000)))*1,[1]OUT_FinalEnergyCons!J$4:J$10000)</f>
        <v>6.6026274250036202E-6</v>
      </c>
      <c r="M2255" s="1" cm="1">
        <f t="array" ref="M2255">SUMPRODUCT(([1]OUT_FinalEnergyCons!$B$4:$B$10000="var_ncap")*1,(ISNUMBER(SEARCH("RH*-WHELCBR",[1]OUT_FinalEnergyCons!$A$4:$A$10000)))*1,[1]OUT_FinalEnergyCons!K$4:K$10000)</f>
        <v>0.12957525331938999</v>
      </c>
      <c r="N2255" s="1" cm="1">
        <f t="array" ref="N2255">SUMPRODUCT(([1]OUT_FinalEnergyCons!$B$4:$B$10000="var_ncap")*1,(ISNUMBER(SEARCH("RH*-WHELCBR",[1]OUT_FinalEnergyCons!$A$4:$A$10000)))*1,[1]OUT_FinalEnergyCons!L$4:L$10000)</f>
        <v>1.29273957801637E-4</v>
      </c>
      <c r="O2255" s="1" cm="1">
        <f t="array" ref="O2255">SUMPRODUCT(([1]OUT_FinalEnergyCons!$B$4:$B$10000="var_ncap")*1,(ISNUMBER(SEARCH("RH*-WHELCBR",[1]OUT_FinalEnergyCons!$A$4:$A$10000)))*1,[1]OUT_FinalEnergyCons!M$4:M$10000)</f>
        <v>2.7532896916814301E-4</v>
      </c>
      <c r="P2255" s="1" cm="1">
        <f t="array" ref="P2255">SUMPRODUCT(([1]OUT_FinalEnergyCons!$B$4:$B$10000="var_ncap")*1,(ISNUMBER(SEARCH("RH*-WHELCBR",[1]OUT_FinalEnergyCons!$A$4:$A$10000)))*1,[1]OUT_FinalEnergyCons!N$4:N$10000)</f>
        <v>4.0478230557827601E-2</v>
      </c>
      <c r="Q2255" s="1" cm="1">
        <f t="array" ref="Q2255">SUMPRODUCT(([1]OUT_FinalEnergyCons!$B$4:$B$10000="var_ncap")*1,(ISNUMBER(SEARCH("RH*-WHELCBR",[1]OUT_FinalEnergyCons!$A$4:$A$10000)))*1,[1]OUT_FinalEnergyCons!O$4:O$10000)</f>
        <v>2.4814133945284499E-3</v>
      </c>
      <c r="S2255" s="3"/>
    </row>
    <row r="2256" spans="2:19" x14ac:dyDescent="0.5">
      <c r="B2256" s="5" t="str">
        <f t="shared" si="2263"/>
        <v>SPS1</v>
      </c>
      <c r="C2256" s="5" t="str">
        <f t="shared" si="2264"/>
        <v>CH</v>
      </c>
      <c r="D2256" t="s">
        <v>2390</v>
      </c>
      <c r="E2256" t="str">
        <f t="shared" si="2265"/>
        <v>GWth/yr.</v>
      </c>
      <c r="F2256" s="1" cm="1">
        <f t="array" ref="F2256">SUMPRODUCT(([1]OUT_FinalEnergyCons!$B$4:$B$10000="var_ncap")*1,ISNUMBER(SEARCH("RH*-WHELCHP",[1]OUT_FinalEnergyCons!$A$4:$A$10000))*1,[1]OUT_FinalEnergyCons!D$4:D$10000)</f>
        <v>4.1646570349584897E-6</v>
      </c>
      <c r="G2256" s="1" cm="1">
        <f t="array" ref="G2256">SUMPRODUCT(([1]OUT_FinalEnergyCons!$B$4:$B$10000="var_ncap")*1,ISNUMBER(SEARCH("RH*-WHELCHP",[1]OUT_FinalEnergyCons!$A$4:$A$10000))*1,[1]OUT_FinalEnergyCons!E$4:E$10000)</f>
        <v>3.2800140524343997E-2</v>
      </c>
      <c r="H2256" s="1" cm="1">
        <f t="array" ref="H2256">SUMPRODUCT(([1]OUT_FinalEnergyCons!$B$4:$B$10000="var_ncap")*1,ISNUMBER(SEARCH("RH*-WHELCHP",[1]OUT_FinalEnergyCons!$A$4:$A$10000))*1,[1]OUT_FinalEnergyCons!F$4:F$10000)</f>
        <v>0.10115476284576699</v>
      </c>
      <c r="I2256" s="1" cm="1">
        <f t="array" ref="I2256">SUMPRODUCT(([1]OUT_FinalEnergyCons!$B$4:$B$10000="var_ncap")*1,ISNUMBER(SEARCH("RH*-WHELCHP",[1]OUT_FinalEnergyCons!$A$4:$A$10000))*1,[1]OUT_FinalEnergyCons!G$4:G$10000)</f>
        <v>0.210329143471427</v>
      </c>
      <c r="J2256" s="1" cm="1">
        <f t="array" ref="J2256">SUMPRODUCT(([1]OUT_FinalEnergyCons!$B$4:$B$10000="var_ncap")*1,ISNUMBER(SEARCH("RH*-WHELCHP",[1]OUT_FinalEnergyCons!$A$4:$A$10000))*1,[1]OUT_FinalEnergyCons!H$4:H$10000)</f>
        <v>0.50398834249033897</v>
      </c>
      <c r="K2256" s="1" cm="1">
        <f t="array" ref="K2256">SUMPRODUCT(([1]OUT_FinalEnergyCons!$B$4:$B$10000="var_ncap")*1,ISNUMBER(SEARCH("RH*-WHELCHP",[1]OUT_FinalEnergyCons!$A$4:$A$10000))*1,[1]OUT_FinalEnergyCons!I$4:I$10000)</f>
        <v>0.488507984784395</v>
      </c>
      <c r="L2256" s="1" cm="1">
        <f t="array" ref="L2256">SUMPRODUCT(([1]OUT_FinalEnergyCons!$B$4:$B$10000="var_ncap")*1,ISNUMBER(SEARCH("RH*-WHELCHP",[1]OUT_FinalEnergyCons!$A$4:$A$10000))*1,[1]OUT_FinalEnergyCons!J$4:J$10000)</f>
        <v>0.136327627777133</v>
      </c>
      <c r="M2256" s="1" cm="1">
        <f t="array" ref="M2256">SUMPRODUCT(([1]OUT_FinalEnergyCons!$B$4:$B$10000="var_ncap")*1,ISNUMBER(SEARCH("RH*-WHELCHP",[1]OUT_FinalEnergyCons!$A$4:$A$10000))*1,[1]OUT_FinalEnergyCons!K$4:K$10000)</f>
        <v>0.50934256752042995</v>
      </c>
      <c r="N2256" s="1" cm="1">
        <f t="array" ref="N2256">SUMPRODUCT(([1]OUT_FinalEnergyCons!$B$4:$B$10000="var_ncap")*1,ISNUMBER(SEARCH("RH*-WHELCHP",[1]OUT_FinalEnergyCons!$A$4:$A$10000))*1,[1]OUT_FinalEnergyCons!L$4:L$10000)</f>
        <v>0.54696257011415295</v>
      </c>
      <c r="O2256" s="1" cm="1">
        <f t="array" ref="O2256">SUMPRODUCT(([1]OUT_FinalEnergyCons!$B$4:$B$10000="var_ncap")*1,ISNUMBER(SEARCH("RH*-WHELCHP",[1]OUT_FinalEnergyCons!$A$4:$A$10000))*1,[1]OUT_FinalEnergyCons!M$4:M$10000)</f>
        <v>0.32564812024001799</v>
      </c>
      <c r="P2256" s="1" cm="1">
        <f t="array" ref="P2256">SUMPRODUCT(([1]OUT_FinalEnergyCons!$B$4:$B$10000="var_ncap")*1,ISNUMBER(SEARCH("RH*-WHELCHP",[1]OUT_FinalEnergyCons!$A$4:$A$10000))*1,[1]OUT_FinalEnergyCons!N$4:N$10000)</f>
        <v>0.49466035738765501</v>
      </c>
      <c r="Q2256" s="1" cm="1">
        <f t="array" ref="Q2256">SUMPRODUCT(([1]OUT_FinalEnergyCons!$B$4:$B$10000="var_ncap")*1,ISNUMBER(SEARCH("RH*-WHELCHP",[1]OUT_FinalEnergyCons!$A$4:$A$10000))*1,[1]OUT_FinalEnergyCons!O$4:O$10000)</f>
        <v>0.48150800294160101</v>
      </c>
      <c r="S2256" s="3"/>
    </row>
    <row r="2257" spans="2:19" x14ac:dyDescent="0.5">
      <c r="B2257" s="5" t="str">
        <f t="shared" si="2263"/>
        <v>SPS1</v>
      </c>
      <c r="C2257" s="5" t="str">
        <f t="shared" si="2264"/>
        <v>CH</v>
      </c>
      <c r="D2257" t="s">
        <v>2391</v>
      </c>
      <c r="E2257" t="str">
        <f t="shared" si="2265"/>
        <v>GWth/yr.</v>
      </c>
      <c r="F2257" s="1">
        <f t="shared" ref="F2257:O2257" si="2278">F2258</f>
        <v>0</v>
      </c>
      <c r="G2257" s="1">
        <f t="shared" si="2278"/>
        <v>2.01917308642208E-6</v>
      </c>
      <c r="H2257" s="1">
        <f t="shared" si="2278"/>
        <v>1.45875814425419E-6</v>
      </c>
      <c r="I2257" s="1">
        <f t="shared" si="2278"/>
        <v>1.47281723222595E-6</v>
      </c>
      <c r="J2257" s="1">
        <f t="shared" si="2278"/>
        <v>3.79995578318706E-5</v>
      </c>
      <c r="K2257" s="1">
        <f t="shared" si="2278"/>
        <v>1.27882090116841E-4</v>
      </c>
      <c r="L2257" s="1">
        <f t="shared" si="2278"/>
        <v>3.2892478588376901E-6</v>
      </c>
      <c r="M2257" s="1">
        <f t="shared" si="2278"/>
        <v>0</v>
      </c>
      <c r="N2257" s="1">
        <f t="shared" si="2278"/>
        <v>8.7617069397071299E-5</v>
      </c>
      <c r="O2257" s="1">
        <f t="shared" si="2278"/>
        <v>5.1831261030276203E-5</v>
      </c>
      <c r="P2257" s="1">
        <f>P2258</f>
        <v>6.5787270478230103E-5</v>
      </c>
      <c r="Q2257" s="1">
        <f>Q2258</f>
        <v>6.8544250139581397E-5</v>
      </c>
      <c r="S2257" s="3"/>
    </row>
    <row r="2258" spans="2:19" x14ac:dyDescent="0.5">
      <c r="B2258" s="5" t="str">
        <f t="shared" si="2263"/>
        <v>SPS1</v>
      </c>
      <c r="C2258" s="5" t="str">
        <f t="shared" si="2264"/>
        <v>CH</v>
      </c>
      <c r="D2258" t="s">
        <v>2392</v>
      </c>
      <c r="E2258" t="str">
        <f t="shared" si="2265"/>
        <v>GWth/yr.</v>
      </c>
      <c r="F2258" s="1" cm="1">
        <f t="array" ref="F2258">SUMPRODUCT(([1]OUT_FinalEnergyCons!$B$4:$B$10000="var_ncap")*1, (ISNUMBER(SEARCH("RH*-WHLFOBR",[1]OUT_FinalEnergyCons!$A$4:$A$10000)))*1,[1]OUT_FinalEnergyCons!D$4:D$10000)</f>
        <v>0</v>
      </c>
      <c r="G2258" s="1" cm="1">
        <f t="array" ref="G2258">SUMPRODUCT(([1]OUT_FinalEnergyCons!$B$4:$B$10000="var_ncap")*1, (ISNUMBER(SEARCH("RH*-WHLFOBR",[1]OUT_FinalEnergyCons!$A$4:$A$10000)))*1,[1]OUT_FinalEnergyCons!E$4:E$10000)</f>
        <v>2.01917308642208E-6</v>
      </c>
      <c r="H2258" s="1" cm="1">
        <f t="array" ref="H2258">SUMPRODUCT(([1]OUT_FinalEnergyCons!$B$4:$B$10000="var_ncap")*1, (ISNUMBER(SEARCH("RH*-WHLFOBR",[1]OUT_FinalEnergyCons!$A$4:$A$10000)))*1,[1]OUT_FinalEnergyCons!F$4:F$10000)</f>
        <v>1.45875814425419E-6</v>
      </c>
      <c r="I2258" s="1" cm="1">
        <f t="array" ref="I2258">SUMPRODUCT(([1]OUT_FinalEnergyCons!$B$4:$B$10000="var_ncap")*1, (ISNUMBER(SEARCH("RH*-WHLFOBR",[1]OUT_FinalEnergyCons!$A$4:$A$10000)))*1,[1]OUT_FinalEnergyCons!G$4:G$10000)</f>
        <v>1.47281723222595E-6</v>
      </c>
      <c r="J2258" s="1" cm="1">
        <f t="array" ref="J2258">SUMPRODUCT(([1]OUT_FinalEnergyCons!$B$4:$B$10000="var_ncap")*1, (ISNUMBER(SEARCH("RH*-WHLFOBR",[1]OUT_FinalEnergyCons!$A$4:$A$10000)))*1,[1]OUT_FinalEnergyCons!H$4:H$10000)</f>
        <v>3.79995578318706E-5</v>
      </c>
      <c r="K2258" s="1" cm="1">
        <f t="array" ref="K2258">SUMPRODUCT(([1]OUT_FinalEnergyCons!$B$4:$B$10000="var_ncap")*1, (ISNUMBER(SEARCH("RH*-WHLFOBR",[1]OUT_FinalEnergyCons!$A$4:$A$10000)))*1,[1]OUT_FinalEnergyCons!I$4:I$10000)</f>
        <v>1.27882090116841E-4</v>
      </c>
      <c r="L2258" s="1" cm="1">
        <f t="array" ref="L2258">SUMPRODUCT(([1]OUT_FinalEnergyCons!$B$4:$B$10000="var_ncap")*1, (ISNUMBER(SEARCH("RH*-WHLFOBR",[1]OUT_FinalEnergyCons!$A$4:$A$10000)))*1,[1]OUT_FinalEnergyCons!J$4:J$10000)</f>
        <v>3.2892478588376901E-6</v>
      </c>
      <c r="M2258" s="1" cm="1">
        <f t="array" ref="M2258">SUMPRODUCT(([1]OUT_FinalEnergyCons!$B$4:$B$10000="var_ncap")*1, (ISNUMBER(SEARCH("RH*-WHLFOBR",[1]OUT_FinalEnergyCons!$A$4:$A$10000)))*1,[1]OUT_FinalEnergyCons!K$4:K$10000)</f>
        <v>0</v>
      </c>
      <c r="N2258" s="1" cm="1">
        <f t="array" ref="N2258">SUMPRODUCT(([1]OUT_FinalEnergyCons!$B$4:$B$10000="var_ncap")*1, (ISNUMBER(SEARCH("RH*-WHLFOBR",[1]OUT_FinalEnergyCons!$A$4:$A$10000)))*1,[1]OUT_FinalEnergyCons!L$4:L$10000)</f>
        <v>8.7617069397071299E-5</v>
      </c>
      <c r="O2258" s="1" cm="1">
        <f t="array" ref="O2258">SUMPRODUCT(([1]OUT_FinalEnergyCons!$B$4:$B$10000="var_ncap")*1, (ISNUMBER(SEARCH("RH*-WHLFOBR",[1]OUT_FinalEnergyCons!$A$4:$A$10000)))*1,[1]OUT_FinalEnergyCons!M$4:M$10000)</f>
        <v>5.1831261030276203E-5</v>
      </c>
      <c r="P2258" s="1" cm="1">
        <f t="array" ref="P2258">SUMPRODUCT(([1]OUT_FinalEnergyCons!$B$4:$B$10000="var_ncap")*1, (ISNUMBER(SEARCH("RH*-WHLFOBR",[1]OUT_FinalEnergyCons!$A$4:$A$10000)))*1,[1]OUT_FinalEnergyCons!N$4:N$10000)</f>
        <v>6.5787270478230103E-5</v>
      </c>
      <c r="Q2258" s="1" cm="1">
        <f t="array" ref="Q2258">SUMPRODUCT(([1]OUT_FinalEnergyCons!$B$4:$B$10000="var_ncap")*1, (ISNUMBER(SEARCH("RH*-WHLFOBR",[1]OUT_FinalEnergyCons!$A$4:$A$10000)))*1,[1]OUT_FinalEnergyCons!O$4:O$10000)</f>
        <v>6.8544250139581397E-5</v>
      </c>
      <c r="S2258" s="3"/>
    </row>
    <row r="2259" spans="2:19" x14ac:dyDescent="0.5">
      <c r="B2259" s="5" t="str">
        <f t="shared" si="2263"/>
        <v>SPS1</v>
      </c>
      <c r="C2259" s="5" t="str">
        <f t="shared" si="2264"/>
        <v>CH</v>
      </c>
      <c r="D2259" t="s">
        <v>2393</v>
      </c>
      <c r="E2259" t="str">
        <f t="shared" si="2265"/>
        <v>GWth/yr.</v>
      </c>
      <c r="F2259" s="1">
        <f t="shared" ref="F2259:K2259" si="2279">SUM(F2260:F2261)</f>
        <v>0</v>
      </c>
      <c r="G2259" s="1">
        <f t="shared" si="2279"/>
        <v>1.368285251254605E-5</v>
      </c>
      <c r="H2259" s="1">
        <f t="shared" si="2279"/>
        <v>0.20946763531448681</v>
      </c>
      <c r="I2259" s="1">
        <f t="shared" si="2279"/>
        <v>4.8661052911670426E-3</v>
      </c>
      <c r="J2259" s="1">
        <f t="shared" si="2279"/>
        <v>0.20483351252462478</v>
      </c>
      <c r="K2259" s="1">
        <f t="shared" si="2279"/>
        <v>8.9518540328661859E-3</v>
      </c>
      <c r="L2259" s="1">
        <f t="shared" ref="L2259:O2259" si="2280">SUM(L2260:L2261)</f>
        <v>4.8742120523017962E-2</v>
      </c>
      <c r="M2259" s="1">
        <f t="shared" si="2280"/>
        <v>5.9509684419257358E-2</v>
      </c>
      <c r="N2259" s="1">
        <f t="shared" si="2280"/>
        <v>4.2527013601958473E-3</v>
      </c>
      <c r="O2259" s="1">
        <f t="shared" si="2280"/>
        <v>3.3272753800540705E-2</v>
      </c>
      <c r="P2259" s="1">
        <f>SUM(P2260:P2261)</f>
        <v>5.4704999664003488E-2</v>
      </c>
      <c r="Q2259" s="1">
        <f>SUM(Q2260:Q2261)</f>
        <v>5.3957550934576205E-3</v>
      </c>
      <c r="S2259" s="3"/>
    </row>
    <row r="2260" spans="2:19" x14ac:dyDescent="0.5">
      <c r="B2260" s="5" t="str">
        <f t="shared" si="2263"/>
        <v>SPS1</v>
      </c>
      <c r="C2260" s="5" t="str">
        <f t="shared" si="2264"/>
        <v>CH</v>
      </c>
      <c r="D2260" t="s">
        <v>2394</v>
      </c>
      <c r="E2260" t="str">
        <f t="shared" si="2265"/>
        <v>GWth/yr.</v>
      </c>
      <c r="F2260" s="1" cm="1">
        <f t="array" ref="F2260">SUMPRODUCT(([1]OUT_FinalEnergyCons!$B$4:$B$10000="var_ncap")*1, (ISNUMBER(SEARCH("RH*-WHNGABR",[1]OUT_FinalEnergyCons!$A$4:$A$10000)))*1,[1]OUT_FinalEnergyCons!D$4:D$10000)</f>
        <v>0</v>
      </c>
      <c r="G2260" s="1" cm="1">
        <f t="array" ref="G2260">SUMPRODUCT(([1]OUT_FinalEnergyCons!$B$4:$B$10000="var_ncap")*1, (ISNUMBER(SEARCH("RH*-WHNGABR",[1]OUT_FinalEnergyCons!$A$4:$A$10000)))*1,[1]OUT_FinalEnergyCons!E$4:E$10000)</f>
        <v>5.1094730169534299E-6</v>
      </c>
      <c r="H2260" s="1" cm="1">
        <f t="array" ref="H2260">SUMPRODUCT(([1]OUT_FinalEnergyCons!$B$4:$B$10000="var_ncap")*1, (ISNUMBER(SEARCH("RH*-WHNGABR",[1]OUT_FinalEnergyCons!$A$4:$A$10000)))*1,[1]OUT_FinalEnergyCons!F$4:F$10000)</f>
        <v>0.20879185300265099</v>
      </c>
      <c r="I2260" s="1" cm="1">
        <f t="array" ref="I2260">SUMPRODUCT(([1]OUT_FinalEnergyCons!$B$4:$B$10000="var_ncap")*1, (ISNUMBER(SEARCH("RH*-WHNGABR",[1]OUT_FinalEnergyCons!$A$4:$A$10000)))*1,[1]OUT_FinalEnergyCons!G$4:G$10000)</f>
        <v>4.85658933414979E-3</v>
      </c>
      <c r="J2260" s="1" cm="1">
        <f t="array" ref="J2260">SUMPRODUCT(([1]OUT_FinalEnergyCons!$B$4:$B$10000="var_ncap")*1, (ISNUMBER(SEARCH("RH*-WHNGABR",[1]OUT_FinalEnergyCons!$A$4:$A$10000)))*1,[1]OUT_FinalEnergyCons!H$4:H$10000)</f>
        <v>0.14467491741007299</v>
      </c>
      <c r="K2260" s="1" cm="1">
        <f t="array" ref="K2260">SUMPRODUCT(([1]OUT_FinalEnergyCons!$B$4:$B$10000="var_ncap")*1, (ISNUMBER(SEARCH("RH*-WHNGABR",[1]OUT_FinalEnergyCons!$A$4:$A$10000)))*1,[1]OUT_FinalEnergyCons!I$4:I$10000)</f>
        <v>8.9281156528481492E-3</v>
      </c>
      <c r="L2260" s="1" cm="1">
        <f t="array" ref="L2260">SUMPRODUCT(([1]OUT_FinalEnergyCons!$B$4:$B$10000="var_ncap")*1, (ISNUMBER(SEARCH("RH*-WHNGABR",[1]OUT_FinalEnergyCons!$A$4:$A$10000)))*1,[1]OUT_FinalEnergyCons!J$4:J$10000)</f>
        <v>9.2231423261359604E-3</v>
      </c>
      <c r="M2260" s="1" cm="1">
        <f t="array" ref="M2260">SUMPRODUCT(([1]OUT_FinalEnergyCons!$B$4:$B$10000="var_ncap")*1, (ISNUMBER(SEARCH("RH*-WHNGABR",[1]OUT_FinalEnergyCons!$A$4:$A$10000)))*1,[1]OUT_FinalEnergyCons!K$4:K$10000)</f>
        <v>5.7432289351895198E-2</v>
      </c>
      <c r="N2260" s="1" cm="1">
        <f t="array" ref="N2260">SUMPRODUCT(([1]OUT_FinalEnergyCons!$B$4:$B$10000="var_ncap")*1, (ISNUMBER(SEARCH("RH*-WHNGABR",[1]OUT_FinalEnergyCons!$A$4:$A$10000)))*1,[1]OUT_FinalEnergyCons!L$4:L$10000)</f>
        <v>6.3029782632666901E-6</v>
      </c>
      <c r="O2260" s="1" cm="1">
        <f t="array" ref="O2260">SUMPRODUCT(([1]OUT_FinalEnergyCons!$B$4:$B$10000="var_ncap")*1, (ISNUMBER(SEARCH("RH*-WHNGABR",[1]OUT_FinalEnergyCons!$A$4:$A$10000)))*1,[1]OUT_FinalEnergyCons!M$4:M$10000)</f>
        <v>1.26698198962074E-5</v>
      </c>
      <c r="P2260" s="1" cm="1">
        <f t="array" ref="P2260">SUMPRODUCT(([1]OUT_FinalEnergyCons!$B$4:$B$10000="var_ncap")*1, (ISNUMBER(SEARCH("RH*-WHNGABR",[1]OUT_FinalEnergyCons!$A$4:$A$10000)))*1,[1]OUT_FinalEnergyCons!N$4:N$10000)</f>
        <v>5.05087095727417E-2</v>
      </c>
      <c r="Q2260" s="1" cm="1">
        <f t="array" ref="Q2260">SUMPRODUCT(([1]OUT_FinalEnergyCons!$B$4:$B$10000="var_ncap")*1, (ISNUMBER(SEARCH("RH*-WHNGABR",[1]OUT_FinalEnergyCons!$A$4:$A$10000)))*1,[1]OUT_FinalEnergyCons!O$4:O$10000)</f>
        <v>1.97767090604065E-3</v>
      </c>
      <c r="S2260" s="3"/>
    </row>
    <row r="2261" spans="2:19" x14ac:dyDescent="0.5">
      <c r="B2261" s="5" t="str">
        <f t="shared" si="2263"/>
        <v>SPS1</v>
      </c>
      <c r="C2261" s="5" t="str">
        <f t="shared" si="2264"/>
        <v>CH</v>
      </c>
      <c r="D2261" t="s">
        <v>2395</v>
      </c>
      <c r="E2261" t="str">
        <f t="shared" si="2265"/>
        <v>GWth/yr.</v>
      </c>
      <c r="F2261" s="1" cm="1">
        <f t="array" ref="F2261">SUMPRODUCT(([1]OUT_FinalEnergyCons!$B$4:$B$10000="var_ncap")*1,ISNUMBER(SEARCH("RH*-WHngahp",[1]OUT_FinalEnergyCons!$A$4:$A$10000))*1,[1]OUT_FinalEnergyCons!D$4:D$10000)</f>
        <v>0</v>
      </c>
      <c r="G2261" s="1" cm="1">
        <f t="array" ref="G2261">SUMPRODUCT(([1]OUT_FinalEnergyCons!$B$4:$B$10000="var_ncap")*1,ISNUMBER(SEARCH("RH*-WHngahp",[1]OUT_FinalEnergyCons!$A$4:$A$10000))*1,[1]OUT_FinalEnergyCons!E$4:E$10000)</f>
        <v>8.5733794955926205E-6</v>
      </c>
      <c r="H2261" s="1" cm="1">
        <f t="array" ref="H2261">SUMPRODUCT(([1]OUT_FinalEnergyCons!$B$4:$B$10000="var_ncap")*1,ISNUMBER(SEARCH("RH*-WHngahp",[1]OUT_FinalEnergyCons!$A$4:$A$10000))*1,[1]OUT_FinalEnergyCons!F$4:F$10000)</f>
        <v>6.7578231183582104E-4</v>
      </c>
      <c r="I2261" s="1" cm="1">
        <f t="array" ref="I2261">SUMPRODUCT(([1]OUT_FinalEnergyCons!$B$4:$B$10000="var_ncap")*1,ISNUMBER(SEARCH("RH*-WHngahp",[1]OUT_FinalEnergyCons!$A$4:$A$10000))*1,[1]OUT_FinalEnergyCons!G$4:G$10000)</f>
        <v>9.5159570172529794E-6</v>
      </c>
      <c r="J2261" s="1" cm="1">
        <f t="array" ref="J2261">SUMPRODUCT(([1]OUT_FinalEnergyCons!$B$4:$B$10000="var_ncap")*1,ISNUMBER(SEARCH("RH*-WHngahp",[1]OUT_FinalEnergyCons!$A$4:$A$10000))*1,[1]OUT_FinalEnergyCons!H$4:H$10000)</f>
        <v>6.0158595114551801E-2</v>
      </c>
      <c r="K2261" s="1" cm="1">
        <f t="array" ref="K2261">SUMPRODUCT(([1]OUT_FinalEnergyCons!$B$4:$B$10000="var_ncap")*1,ISNUMBER(SEARCH("RH*-WHngahp",[1]OUT_FinalEnergyCons!$A$4:$A$10000))*1,[1]OUT_FinalEnergyCons!I$4:I$10000)</f>
        <v>2.3738380018036701E-5</v>
      </c>
      <c r="L2261" s="1" cm="1">
        <f t="array" ref="L2261">SUMPRODUCT(([1]OUT_FinalEnergyCons!$B$4:$B$10000="var_ncap")*1,ISNUMBER(SEARCH("RH*-WHngahp",[1]OUT_FinalEnergyCons!$A$4:$A$10000))*1,[1]OUT_FinalEnergyCons!J$4:J$10000)</f>
        <v>3.9518978196882E-2</v>
      </c>
      <c r="M2261" s="1" cm="1">
        <f t="array" ref="M2261">SUMPRODUCT(([1]OUT_FinalEnergyCons!$B$4:$B$10000="var_ncap")*1,ISNUMBER(SEARCH("RH*-WHngahp",[1]OUT_FinalEnergyCons!$A$4:$A$10000))*1,[1]OUT_FinalEnergyCons!K$4:K$10000)</f>
        <v>2.0773950673621598E-3</v>
      </c>
      <c r="N2261" s="1" cm="1">
        <f t="array" ref="N2261">SUMPRODUCT(([1]OUT_FinalEnergyCons!$B$4:$B$10000="var_ncap")*1,ISNUMBER(SEARCH("RH*-WHngahp",[1]OUT_FinalEnergyCons!$A$4:$A$10000))*1,[1]OUT_FinalEnergyCons!L$4:L$10000)</f>
        <v>4.2463983819325804E-3</v>
      </c>
      <c r="O2261" s="1" cm="1">
        <f t="array" ref="O2261">SUMPRODUCT(([1]OUT_FinalEnergyCons!$B$4:$B$10000="var_ncap")*1,ISNUMBER(SEARCH("RH*-WHngahp",[1]OUT_FinalEnergyCons!$A$4:$A$10000))*1,[1]OUT_FinalEnergyCons!M$4:M$10000)</f>
        <v>3.3260083980644499E-2</v>
      </c>
      <c r="P2261" s="1" cm="1">
        <f t="array" ref="P2261">SUMPRODUCT(([1]OUT_FinalEnergyCons!$B$4:$B$10000="var_ncap")*1,ISNUMBER(SEARCH("RH*-WHngahp",[1]OUT_FinalEnergyCons!$A$4:$A$10000))*1,[1]OUT_FinalEnergyCons!N$4:N$10000)</f>
        <v>4.1962900912617899E-3</v>
      </c>
      <c r="Q2261" s="1" cm="1">
        <f t="array" ref="Q2261">SUMPRODUCT(([1]OUT_FinalEnergyCons!$B$4:$B$10000="var_ncap")*1,ISNUMBER(SEARCH("RH*-WHngahp",[1]OUT_FinalEnergyCons!$A$4:$A$10000))*1,[1]OUT_FinalEnergyCons!O$4:O$10000)</f>
        <v>3.41808418741697E-3</v>
      </c>
      <c r="S2261" s="3"/>
    </row>
    <row r="2262" spans="2:19" x14ac:dyDescent="0.5">
      <c r="B2262" s="5" t="str">
        <f t="shared" si="2263"/>
        <v>SPS1</v>
      </c>
      <c r="C2262" s="5" t="str">
        <f t="shared" si="2264"/>
        <v>CH</v>
      </c>
      <c r="D2262" t="s">
        <v>2396</v>
      </c>
      <c r="E2262" t="str">
        <f t="shared" si="2265"/>
        <v>GWth/yr.</v>
      </c>
      <c r="F2262" s="1">
        <f t="shared" ref="F2262:O2262" si="2281">F2263</f>
        <v>0</v>
      </c>
      <c r="G2262" s="1">
        <f t="shared" si="2281"/>
        <v>0</v>
      </c>
      <c r="H2262" s="1">
        <f t="shared" si="2281"/>
        <v>0</v>
      </c>
      <c r="I2262" s="1">
        <f t="shared" si="2281"/>
        <v>0</v>
      </c>
      <c r="J2262" s="1">
        <f t="shared" si="2281"/>
        <v>0</v>
      </c>
      <c r="K2262" s="1">
        <f t="shared" si="2281"/>
        <v>0</v>
      </c>
      <c r="L2262" s="1">
        <f t="shared" si="2281"/>
        <v>0</v>
      </c>
      <c r="M2262" s="1">
        <f t="shared" si="2281"/>
        <v>0</v>
      </c>
      <c r="N2262" s="1">
        <f t="shared" si="2281"/>
        <v>0</v>
      </c>
      <c r="O2262" s="1">
        <f t="shared" si="2281"/>
        <v>0</v>
      </c>
      <c r="P2262" s="1">
        <f>P2263</f>
        <v>0</v>
      </c>
      <c r="Q2262" s="1">
        <f>Q2263</f>
        <v>0</v>
      </c>
      <c r="S2262" s="3"/>
    </row>
    <row r="2263" spans="2:19" x14ac:dyDescent="0.5">
      <c r="B2263" s="5" t="str">
        <f t="shared" si="2263"/>
        <v>SPS1</v>
      </c>
      <c r="C2263" s="5" t="str">
        <f t="shared" si="2264"/>
        <v>CH</v>
      </c>
      <c r="D2263" t="s">
        <v>2397</v>
      </c>
      <c r="E2263" t="str">
        <f t="shared" si="2265"/>
        <v>GWth/yr.</v>
      </c>
      <c r="F2263" s="1" cm="1">
        <f t="array" ref="F2263">SUMPRODUCT(([1]OUT_FinalEnergyCons!$B$4:$B$10000="var_ncap")*1, (ISNUMBER(SEARCH("RH*-WHCOABR",[1]OUT_FinalEnergyCons!$A$4:$A$10000)))*1,[1]OUT_FinalEnergyCons!D$4:D$10000)</f>
        <v>0</v>
      </c>
      <c r="G2263" s="1" cm="1">
        <f t="array" ref="G2263">SUMPRODUCT(([1]OUT_FinalEnergyCons!$B$4:$B$10000="var_ncap")*1, (ISNUMBER(SEARCH("RH*-WHCOABR",[1]OUT_FinalEnergyCons!$A$4:$A$10000)))*1,[1]OUT_FinalEnergyCons!E$4:E$10000)</f>
        <v>0</v>
      </c>
      <c r="H2263" s="1" cm="1">
        <f t="array" ref="H2263">SUMPRODUCT(([1]OUT_FinalEnergyCons!$B$4:$B$10000="var_ncap")*1, (ISNUMBER(SEARCH("RH*-WHCOABR",[1]OUT_FinalEnergyCons!$A$4:$A$10000)))*1,[1]OUT_FinalEnergyCons!F$4:F$10000)</f>
        <v>0</v>
      </c>
      <c r="I2263" s="1" cm="1">
        <f t="array" ref="I2263">SUMPRODUCT(([1]OUT_FinalEnergyCons!$B$4:$B$10000="var_ncap")*1, (ISNUMBER(SEARCH("RH*-WHCOABR",[1]OUT_FinalEnergyCons!$A$4:$A$10000)))*1,[1]OUT_FinalEnergyCons!G$4:G$10000)</f>
        <v>0</v>
      </c>
      <c r="J2263" s="1" cm="1">
        <f t="array" ref="J2263">SUMPRODUCT(([1]OUT_FinalEnergyCons!$B$4:$B$10000="var_ncap")*1, (ISNUMBER(SEARCH("RH*-WHCOABR",[1]OUT_FinalEnergyCons!$A$4:$A$10000)))*1,[1]OUT_FinalEnergyCons!H$4:H$10000)</f>
        <v>0</v>
      </c>
      <c r="K2263" s="1" cm="1">
        <f t="array" ref="K2263">SUMPRODUCT(([1]OUT_FinalEnergyCons!$B$4:$B$10000="var_ncap")*1, (ISNUMBER(SEARCH("RH*-WHCOABR",[1]OUT_FinalEnergyCons!$A$4:$A$10000)))*1,[1]OUT_FinalEnergyCons!I$4:I$10000)</f>
        <v>0</v>
      </c>
      <c r="L2263" s="1" cm="1">
        <f t="array" ref="L2263">SUMPRODUCT(([1]OUT_FinalEnergyCons!$B$4:$B$10000="var_ncap")*1, (ISNUMBER(SEARCH("RH*-WHCOABR",[1]OUT_FinalEnergyCons!$A$4:$A$10000)))*1,[1]OUT_FinalEnergyCons!J$4:J$10000)</f>
        <v>0</v>
      </c>
      <c r="M2263" s="1" cm="1">
        <f t="array" ref="M2263">SUMPRODUCT(([1]OUT_FinalEnergyCons!$B$4:$B$10000="var_ncap")*1, (ISNUMBER(SEARCH("RH*-WHCOABR",[1]OUT_FinalEnergyCons!$A$4:$A$10000)))*1,[1]OUT_FinalEnergyCons!K$4:K$10000)</f>
        <v>0</v>
      </c>
      <c r="N2263" s="1" cm="1">
        <f t="array" ref="N2263">SUMPRODUCT(([1]OUT_FinalEnergyCons!$B$4:$B$10000="var_ncap")*1, (ISNUMBER(SEARCH("RH*-WHCOABR",[1]OUT_FinalEnergyCons!$A$4:$A$10000)))*1,[1]OUT_FinalEnergyCons!L$4:L$10000)</f>
        <v>0</v>
      </c>
      <c r="O2263" s="1" cm="1">
        <f t="array" ref="O2263">SUMPRODUCT(([1]OUT_FinalEnergyCons!$B$4:$B$10000="var_ncap")*1, (ISNUMBER(SEARCH("RH*-WHCOABR",[1]OUT_FinalEnergyCons!$A$4:$A$10000)))*1,[1]OUT_FinalEnergyCons!M$4:M$10000)</f>
        <v>0</v>
      </c>
      <c r="P2263" s="1" cm="1">
        <f t="array" ref="P2263">SUMPRODUCT(([1]OUT_FinalEnergyCons!$B$4:$B$10000="var_ncap")*1, (ISNUMBER(SEARCH("RH*-WHCOABR",[1]OUT_FinalEnergyCons!$A$4:$A$10000)))*1,[1]OUT_FinalEnergyCons!N$4:N$10000)</f>
        <v>0</v>
      </c>
      <c r="Q2263" s="1" cm="1">
        <f t="array" ref="Q2263">SUMPRODUCT(([1]OUT_FinalEnergyCons!$B$4:$B$10000="var_ncap")*1, (ISNUMBER(SEARCH("RH*-WHCOABR",[1]OUT_FinalEnergyCons!$A$4:$A$10000)))*1,[1]OUT_FinalEnergyCons!O$4:O$10000)</f>
        <v>0</v>
      </c>
      <c r="S2263" s="3"/>
    </row>
    <row r="2264" spans="2:19" x14ac:dyDescent="0.5">
      <c r="B2264" s="5" t="str">
        <f t="shared" si="2263"/>
        <v>SPS1</v>
      </c>
      <c r="C2264" s="5" t="str">
        <f t="shared" si="2264"/>
        <v>CH</v>
      </c>
      <c r="D2264" t="s">
        <v>2398</v>
      </c>
      <c r="E2264" t="str">
        <f t="shared" si="2265"/>
        <v>GWth/yr.</v>
      </c>
      <c r="F2264" s="1">
        <f t="shared" ref="F2264:O2264" si="2282">F2265</f>
        <v>0</v>
      </c>
      <c r="G2264" s="1">
        <f t="shared" si="2282"/>
        <v>5.1309438548679202E-3</v>
      </c>
      <c r="H2264" s="1">
        <f t="shared" si="2282"/>
        <v>1.90717696073154E-6</v>
      </c>
      <c r="I2264" s="1">
        <f t="shared" si="2282"/>
        <v>1.9658963429149198E-6</v>
      </c>
      <c r="J2264" s="1">
        <f t="shared" si="2282"/>
        <v>5.4278969007623603E-3</v>
      </c>
      <c r="K2264" s="1">
        <f t="shared" si="2282"/>
        <v>9.7901901790787595E-3</v>
      </c>
      <c r="L2264" s="1">
        <f t="shared" si="2282"/>
        <v>1.3630656573421799E-5</v>
      </c>
      <c r="M2264" s="1">
        <f t="shared" si="2282"/>
        <v>9.9283749099346504E-3</v>
      </c>
      <c r="N2264" s="1">
        <f t="shared" si="2282"/>
        <v>1.3655734394631899E-3</v>
      </c>
      <c r="O2264" s="1">
        <f t="shared" si="2282"/>
        <v>3.7500355429697898E-4</v>
      </c>
      <c r="P2264" s="1">
        <f>P2265</f>
        <v>5.9235559924745102E-3</v>
      </c>
      <c r="Q2264" s="1">
        <f>Q2265</f>
        <v>6.8706664870109204E-4</v>
      </c>
      <c r="S2264" s="3"/>
    </row>
    <row r="2265" spans="2:19" x14ac:dyDescent="0.5">
      <c r="B2265" s="5" t="str">
        <f t="shared" si="2263"/>
        <v>SPS1</v>
      </c>
      <c r="C2265" s="5" t="str">
        <f t="shared" si="2264"/>
        <v>CH</v>
      </c>
      <c r="D2265" t="s">
        <v>2399</v>
      </c>
      <c r="E2265" t="str">
        <f t="shared" si="2265"/>
        <v>GWth/yr.</v>
      </c>
      <c r="F2265" s="1" cm="1">
        <f t="array" ref="F2265">SUMPRODUCT(([1]OUT_FinalEnergyCons!$B$4:$B$10000="var_ncap")*1, (ISNUMBER(SEARCH("RH*-WHWODBR",[1]OUT_FinalEnergyCons!$A$4:$A$10000)))*1,[1]OUT_FinalEnergyCons!D$4:D$10000)</f>
        <v>0</v>
      </c>
      <c r="G2265" s="1" cm="1">
        <f t="array" ref="G2265">SUMPRODUCT(([1]OUT_FinalEnergyCons!$B$4:$B$10000="var_ncap")*1, (ISNUMBER(SEARCH("RH*-WHWODBR",[1]OUT_FinalEnergyCons!$A$4:$A$10000)))*1,[1]OUT_FinalEnergyCons!E$4:E$10000)</f>
        <v>5.1309438548679202E-3</v>
      </c>
      <c r="H2265" s="1" cm="1">
        <f t="array" ref="H2265">SUMPRODUCT(([1]OUT_FinalEnergyCons!$B$4:$B$10000="var_ncap")*1, (ISNUMBER(SEARCH("RH*-WHWODBR",[1]OUT_FinalEnergyCons!$A$4:$A$10000)))*1,[1]OUT_FinalEnergyCons!F$4:F$10000)</f>
        <v>1.90717696073154E-6</v>
      </c>
      <c r="I2265" s="1" cm="1">
        <f t="array" ref="I2265">SUMPRODUCT(([1]OUT_FinalEnergyCons!$B$4:$B$10000="var_ncap")*1, (ISNUMBER(SEARCH("RH*-WHWODBR",[1]OUT_FinalEnergyCons!$A$4:$A$10000)))*1,[1]OUT_FinalEnergyCons!G$4:G$10000)</f>
        <v>1.9658963429149198E-6</v>
      </c>
      <c r="J2265" s="1" cm="1">
        <f t="array" ref="J2265">SUMPRODUCT(([1]OUT_FinalEnergyCons!$B$4:$B$10000="var_ncap")*1, (ISNUMBER(SEARCH("RH*-WHWODBR",[1]OUT_FinalEnergyCons!$A$4:$A$10000)))*1,[1]OUT_FinalEnergyCons!H$4:H$10000)</f>
        <v>5.4278969007623603E-3</v>
      </c>
      <c r="K2265" s="1" cm="1">
        <f t="array" ref="K2265">SUMPRODUCT(([1]OUT_FinalEnergyCons!$B$4:$B$10000="var_ncap")*1, (ISNUMBER(SEARCH("RH*-WHWODBR",[1]OUT_FinalEnergyCons!$A$4:$A$10000)))*1,[1]OUT_FinalEnergyCons!I$4:I$10000)</f>
        <v>9.7901901790787595E-3</v>
      </c>
      <c r="L2265" s="1" cm="1">
        <f t="array" ref="L2265">SUMPRODUCT(([1]OUT_FinalEnergyCons!$B$4:$B$10000="var_ncap")*1, (ISNUMBER(SEARCH("RH*-WHWODBR",[1]OUT_FinalEnergyCons!$A$4:$A$10000)))*1,[1]OUT_FinalEnergyCons!J$4:J$10000)</f>
        <v>1.3630656573421799E-5</v>
      </c>
      <c r="M2265" s="1" cm="1">
        <f t="array" ref="M2265">SUMPRODUCT(([1]OUT_FinalEnergyCons!$B$4:$B$10000="var_ncap")*1, (ISNUMBER(SEARCH("RH*-WHWODBR",[1]OUT_FinalEnergyCons!$A$4:$A$10000)))*1,[1]OUT_FinalEnergyCons!K$4:K$10000)</f>
        <v>9.9283749099346504E-3</v>
      </c>
      <c r="N2265" s="1" cm="1">
        <f t="array" ref="N2265">SUMPRODUCT(([1]OUT_FinalEnergyCons!$B$4:$B$10000="var_ncap")*1, (ISNUMBER(SEARCH("RH*-WHWODBR",[1]OUT_FinalEnergyCons!$A$4:$A$10000)))*1,[1]OUT_FinalEnergyCons!L$4:L$10000)</f>
        <v>1.3655734394631899E-3</v>
      </c>
      <c r="O2265" s="1" cm="1">
        <f t="array" ref="O2265">SUMPRODUCT(([1]OUT_FinalEnergyCons!$B$4:$B$10000="var_ncap")*1, (ISNUMBER(SEARCH("RH*-WHWODBR",[1]OUT_FinalEnergyCons!$A$4:$A$10000)))*1,[1]OUT_FinalEnergyCons!M$4:M$10000)</f>
        <v>3.7500355429697898E-4</v>
      </c>
      <c r="P2265" s="1" cm="1">
        <f t="array" ref="P2265">SUMPRODUCT(([1]OUT_FinalEnergyCons!$B$4:$B$10000="var_ncap")*1, (ISNUMBER(SEARCH("RH*-WHWODBR",[1]OUT_FinalEnergyCons!$A$4:$A$10000)))*1,[1]OUT_FinalEnergyCons!N$4:N$10000)</f>
        <v>5.9235559924745102E-3</v>
      </c>
      <c r="Q2265" s="1" cm="1">
        <f t="array" ref="Q2265">SUMPRODUCT(([1]OUT_FinalEnergyCons!$B$4:$B$10000="var_ncap")*1, (ISNUMBER(SEARCH("RH*-WHWODBR",[1]OUT_FinalEnergyCons!$A$4:$A$10000)))*1,[1]OUT_FinalEnergyCons!O$4:O$10000)</f>
        <v>6.8706664870109204E-4</v>
      </c>
      <c r="S2265" s="3"/>
    </row>
    <row r="2266" spans="2:19" x14ac:dyDescent="0.5">
      <c r="B2266" s="5" t="str">
        <f t="shared" si="2263"/>
        <v>SPS1</v>
      </c>
      <c r="C2266" s="5" t="str">
        <f t="shared" si="2264"/>
        <v>CH</v>
      </c>
      <c r="D2266" t="s">
        <v>2400</v>
      </c>
      <c r="E2266" t="str">
        <f t="shared" si="2265"/>
        <v>GWth/yr.</v>
      </c>
      <c r="F2266" s="1">
        <f t="shared" ref="F2266:O2266" si="2283">F2267</f>
        <v>0</v>
      </c>
      <c r="G2266" s="1">
        <f t="shared" si="2283"/>
        <v>1.9653457952371199E-3</v>
      </c>
      <c r="H2266" s="1">
        <f t="shared" si="2283"/>
        <v>1.36439726072381E-6</v>
      </c>
      <c r="I2266" s="1">
        <f t="shared" si="2283"/>
        <v>2.3886611645736902E-6</v>
      </c>
      <c r="J2266" s="1">
        <f t="shared" si="2283"/>
        <v>5.6633985816152196E-3</v>
      </c>
      <c r="K2266" s="1">
        <f t="shared" si="2283"/>
        <v>4.1614533190902801E-3</v>
      </c>
      <c r="L2266" s="1">
        <f t="shared" si="2283"/>
        <v>2.26792330721186E-4</v>
      </c>
      <c r="M2266" s="1">
        <f t="shared" si="2283"/>
        <v>5.98651897327287E-3</v>
      </c>
      <c r="N2266" s="1">
        <f t="shared" si="2283"/>
        <v>3.57831850839728E-3</v>
      </c>
      <c r="O2266" s="1">
        <f t="shared" si="2283"/>
        <v>8.24868804922444E-4</v>
      </c>
      <c r="P2266" s="1">
        <f>P2267</f>
        <v>6.2700945873114299E-3</v>
      </c>
      <c r="Q2266" s="1">
        <f>Q2267</f>
        <v>3.8816901583312302E-3</v>
      </c>
      <c r="S2266" s="3"/>
    </row>
    <row r="2267" spans="2:19" x14ac:dyDescent="0.5">
      <c r="B2267" s="5" t="str">
        <f t="shared" si="2263"/>
        <v>SPS1</v>
      </c>
      <c r="C2267" s="5" t="str">
        <f t="shared" si="2264"/>
        <v>CH</v>
      </c>
      <c r="D2267" t="s">
        <v>2401</v>
      </c>
      <c r="E2267" t="str">
        <f t="shared" si="2265"/>
        <v>GWth/yr.</v>
      </c>
      <c r="F2267" s="1" cm="1">
        <f t="array" ref="F2267">SUMPRODUCT(([1]OUT_FinalEnergyCons!$B$4:$B$10000="var_ncap")*1, (ISNUMBER(SEARCH("RH*-WHPLTBR",[1]OUT_FinalEnergyCons!$A$4:$A$10000)))*1,[1]OUT_FinalEnergyCons!D$4:D$10000)</f>
        <v>0</v>
      </c>
      <c r="G2267" s="1" cm="1">
        <f t="array" ref="G2267">SUMPRODUCT(([1]OUT_FinalEnergyCons!$B$4:$B$10000="var_ncap")*1, (ISNUMBER(SEARCH("RH*-WHPLTBR",[1]OUT_FinalEnergyCons!$A$4:$A$10000)))*1,[1]OUT_FinalEnergyCons!E$4:E$10000)</f>
        <v>1.9653457952371199E-3</v>
      </c>
      <c r="H2267" s="1" cm="1">
        <f t="array" ref="H2267">SUMPRODUCT(([1]OUT_FinalEnergyCons!$B$4:$B$10000="var_ncap")*1, (ISNUMBER(SEARCH("RH*-WHPLTBR",[1]OUT_FinalEnergyCons!$A$4:$A$10000)))*1,[1]OUT_FinalEnergyCons!F$4:F$10000)</f>
        <v>1.36439726072381E-6</v>
      </c>
      <c r="I2267" s="1" cm="1">
        <f t="array" ref="I2267">SUMPRODUCT(([1]OUT_FinalEnergyCons!$B$4:$B$10000="var_ncap")*1, (ISNUMBER(SEARCH("RH*-WHPLTBR",[1]OUT_FinalEnergyCons!$A$4:$A$10000)))*1,[1]OUT_FinalEnergyCons!G$4:G$10000)</f>
        <v>2.3886611645736902E-6</v>
      </c>
      <c r="J2267" s="1" cm="1">
        <f t="array" ref="J2267">SUMPRODUCT(([1]OUT_FinalEnergyCons!$B$4:$B$10000="var_ncap")*1, (ISNUMBER(SEARCH("RH*-WHPLTBR",[1]OUT_FinalEnergyCons!$A$4:$A$10000)))*1,[1]OUT_FinalEnergyCons!H$4:H$10000)</f>
        <v>5.6633985816152196E-3</v>
      </c>
      <c r="K2267" s="1" cm="1">
        <f t="array" ref="K2267">SUMPRODUCT(([1]OUT_FinalEnergyCons!$B$4:$B$10000="var_ncap")*1, (ISNUMBER(SEARCH("RH*-WHPLTBR",[1]OUT_FinalEnergyCons!$A$4:$A$10000)))*1,[1]OUT_FinalEnergyCons!I$4:I$10000)</f>
        <v>4.1614533190902801E-3</v>
      </c>
      <c r="L2267" s="1" cm="1">
        <f t="array" ref="L2267">SUMPRODUCT(([1]OUT_FinalEnergyCons!$B$4:$B$10000="var_ncap")*1, (ISNUMBER(SEARCH("RH*-WHPLTBR",[1]OUT_FinalEnergyCons!$A$4:$A$10000)))*1,[1]OUT_FinalEnergyCons!J$4:J$10000)</f>
        <v>2.26792330721186E-4</v>
      </c>
      <c r="M2267" s="1" cm="1">
        <f t="array" ref="M2267">SUMPRODUCT(([1]OUT_FinalEnergyCons!$B$4:$B$10000="var_ncap")*1, (ISNUMBER(SEARCH("RH*-WHPLTBR",[1]OUT_FinalEnergyCons!$A$4:$A$10000)))*1,[1]OUT_FinalEnergyCons!K$4:K$10000)</f>
        <v>5.98651897327287E-3</v>
      </c>
      <c r="N2267" s="1" cm="1">
        <f t="array" ref="N2267">SUMPRODUCT(([1]OUT_FinalEnergyCons!$B$4:$B$10000="var_ncap")*1, (ISNUMBER(SEARCH("RH*-WHPLTBR",[1]OUT_FinalEnergyCons!$A$4:$A$10000)))*1,[1]OUT_FinalEnergyCons!L$4:L$10000)</f>
        <v>3.57831850839728E-3</v>
      </c>
      <c r="O2267" s="1" cm="1">
        <f t="array" ref="O2267">SUMPRODUCT(([1]OUT_FinalEnergyCons!$B$4:$B$10000="var_ncap")*1, (ISNUMBER(SEARCH("RH*-WHPLTBR",[1]OUT_FinalEnergyCons!$A$4:$A$10000)))*1,[1]OUT_FinalEnergyCons!M$4:M$10000)</f>
        <v>8.24868804922444E-4</v>
      </c>
      <c r="P2267" s="1" cm="1">
        <f t="array" ref="P2267">SUMPRODUCT(([1]OUT_FinalEnergyCons!$B$4:$B$10000="var_ncap")*1, (ISNUMBER(SEARCH("RH*-WHPLTBR",[1]OUT_FinalEnergyCons!$A$4:$A$10000)))*1,[1]OUT_FinalEnergyCons!N$4:N$10000)</f>
        <v>6.2700945873114299E-3</v>
      </c>
      <c r="Q2267" s="1" cm="1">
        <f t="array" ref="Q2267">SUMPRODUCT(([1]OUT_FinalEnergyCons!$B$4:$B$10000="var_ncap")*1, (ISNUMBER(SEARCH("RH*-WHPLTBR",[1]OUT_FinalEnergyCons!$A$4:$A$10000)))*1,[1]OUT_FinalEnergyCons!O$4:O$10000)</f>
        <v>3.8816901583312302E-3</v>
      </c>
      <c r="S2267" s="3"/>
    </row>
    <row r="2268" spans="2:19" x14ac:dyDescent="0.5">
      <c r="B2268" s="5" t="str">
        <f t="shared" ref="B2268:B2294" si="2284">B2267</f>
        <v>SPS1</v>
      </c>
      <c r="C2268" s="5" t="str">
        <f t="shared" ref="C2268:C2294" si="2285">C2267</f>
        <v>CH</v>
      </c>
      <c r="D2268" t="s">
        <v>2402</v>
      </c>
      <c r="E2268" t="str">
        <f t="shared" ref="E2268:E2299" si="2286">E2267</f>
        <v>GWth/yr.</v>
      </c>
      <c r="F2268" s="1">
        <f t="shared" ref="F2268:O2268" si="2287">F2269</f>
        <v>0</v>
      </c>
      <c r="G2268" s="1">
        <f t="shared" si="2287"/>
        <v>8.2622561749906107E-2</v>
      </c>
      <c r="H2268" s="1">
        <f t="shared" si="2287"/>
        <v>1.0655828664360701E-5</v>
      </c>
      <c r="I2268" s="1">
        <f t="shared" si="2287"/>
        <v>8.4407739543666195E-5</v>
      </c>
      <c r="J2268" s="1">
        <f t="shared" si="2287"/>
        <v>5.7549093154678502E-2</v>
      </c>
      <c r="K2268" s="1">
        <f t="shared" si="2287"/>
        <v>0.22576982073947499</v>
      </c>
      <c r="L2268" s="1">
        <f t="shared" si="2287"/>
        <v>0.55279204466774101</v>
      </c>
      <c r="M2268" s="1">
        <f t="shared" si="2287"/>
        <v>0.122674251520231</v>
      </c>
      <c r="N2268" s="1">
        <f t="shared" si="2287"/>
        <v>4.1796930661904899E-5</v>
      </c>
      <c r="O2268" s="1">
        <f t="shared" si="2287"/>
        <v>1.20146939688869E-5</v>
      </c>
      <c r="P2268" s="1">
        <f>P2269</f>
        <v>0.426688710696289</v>
      </c>
      <c r="Q2268" s="1">
        <f>Q2269</f>
        <v>5.0087334104874297E-5</v>
      </c>
      <c r="S2268" s="3"/>
    </row>
    <row r="2269" spans="2:19" x14ac:dyDescent="0.5">
      <c r="B2269" s="5" t="str">
        <f t="shared" si="2284"/>
        <v>SPS1</v>
      </c>
      <c r="C2269" s="5" t="str">
        <f t="shared" si="2285"/>
        <v>CH</v>
      </c>
      <c r="D2269" t="s">
        <v>2403</v>
      </c>
      <c r="E2269" t="str">
        <f t="shared" si="2286"/>
        <v>GWth/yr.</v>
      </c>
      <c r="F2269" s="1" cm="1">
        <f t="array" ref="F2269">SUMPRODUCT(([1]OUT_FinalEnergyCons!$B$4:$B$10000="var_ncap")*1, (ISNUMBER(SEARCH("RH*-WHSOLBR",[1]OUT_FinalEnergyCons!$A$4:$A$10000)))*1,[1]OUT_FinalEnergyCons!D$4:D$10000)</f>
        <v>0</v>
      </c>
      <c r="G2269" s="1" cm="1">
        <f t="array" ref="G2269">SUMPRODUCT(([1]OUT_FinalEnergyCons!$B$4:$B$10000="var_ncap")*1, (ISNUMBER(SEARCH("RH*-WHSOLBR",[1]OUT_FinalEnergyCons!$A$4:$A$10000)))*1,[1]OUT_FinalEnergyCons!E$4:E$10000)</f>
        <v>8.2622561749906107E-2</v>
      </c>
      <c r="H2269" s="1" cm="1">
        <f t="array" ref="H2269">SUMPRODUCT(([1]OUT_FinalEnergyCons!$B$4:$B$10000="var_ncap")*1, (ISNUMBER(SEARCH("RH*-WHSOLBR",[1]OUT_FinalEnergyCons!$A$4:$A$10000)))*1,[1]OUT_FinalEnergyCons!F$4:F$10000)</f>
        <v>1.0655828664360701E-5</v>
      </c>
      <c r="I2269" s="1" cm="1">
        <f t="array" ref="I2269">SUMPRODUCT(([1]OUT_FinalEnergyCons!$B$4:$B$10000="var_ncap")*1, (ISNUMBER(SEARCH("RH*-WHSOLBR",[1]OUT_FinalEnergyCons!$A$4:$A$10000)))*1,[1]OUT_FinalEnergyCons!G$4:G$10000)</f>
        <v>8.4407739543666195E-5</v>
      </c>
      <c r="J2269" s="1" cm="1">
        <f t="array" ref="J2269">SUMPRODUCT(([1]OUT_FinalEnergyCons!$B$4:$B$10000="var_ncap")*1, (ISNUMBER(SEARCH("RH*-WHSOLBR",[1]OUT_FinalEnergyCons!$A$4:$A$10000)))*1,[1]OUT_FinalEnergyCons!H$4:H$10000)</f>
        <v>5.7549093154678502E-2</v>
      </c>
      <c r="K2269" s="1" cm="1">
        <f t="array" ref="K2269">SUMPRODUCT(([1]OUT_FinalEnergyCons!$B$4:$B$10000="var_ncap")*1, (ISNUMBER(SEARCH("RH*-WHSOLBR",[1]OUT_FinalEnergyCons!$A$4:$A$10000)))*1,[1]OUT_FinalEnergyCons!I$4:I$10000)</f>
        <v>0.22576982073947499</v>
      </c>
      <c r="L2269" s="1" cm="1">
        <f t="array" ref="L2269">SUMPRODUCT(([1]OUT_FinalEnergyCons!$B$4:$B$10000="var_ncap")*1, (ISNUMBER(SEARCH("RH*-WHSOLBR",[1]OUT_FinalEnergyCons!$A$4:$A$10000)))*1,[1]OUT_FinalEnergyCons!J$4:J$10000)</f>
        <v>0.55279204466774101</v>
      </c>
      <c r="M2269" s="1" cm="1">
        <f t="array" ref="M2269">SUMPRODUCT(([1]OUT_FinalEnergyCons!$B$4:$B$10000="var_ncap")*1, (ISNUMBER(SEARCH("RH*-WHSOLBR",[1]OUT_FinalEnergyCons!$A$4:$A$10000)))*1,[1]OUT_FinalEnergyCons!K$4:K$10000)</f>
        <v>0.122674251520231</v>
      </c>
      <c r="N2269" s="1" cm="1">
        <f t="array" ref="N2269">SUMPRODUCT(([1]OUT_FinalEnergyCons!$B$4:$B$10000="var_ncap")*1, (ISNUMBER(SEARCH("RH*-WHSOLBR",[1]OUT_FinalEnergyCons!$A$4:$A$10000)))*1,[1]OUT_FinalEnergyCons!L$4:L$10000)</f>
        <v>4.1796930661904899E-5</v>
      </c>
      <c r="O2269" s="1" cm="1">
        <f t="array" ref="O2269">SUMPRODUCT(([1]OUT_FinalEnergyCons!$B$4:$B$10000="var_ncap")*1, (ISNUMBER(SEARCH("RH*-WHSOLBR",[1]OUT_FinalEnergyCons!$A$4:$A$10000)))*1,[1]OUT_FinalEnergyCons!M$4:M$10000)</f>
        <v>1.20146939688869E-5</v>
      </c>
      <c r="P2269" s="1" cm="1">
        <f t="array" ref="P2269">SUMPRODUCT(([1]OUT_FinalEnergyCons!$B$4:$B$10000="var_ncap")*1, (ISNUMBER(SEARCH("RH*-WHSOLBR",[1]OUT_FinalEnergyCons!$A$4:$A$10000)))*1,[1]OUT_FinalEnergyCons!N$4:N$10000)</f>
        <v>0.426688710696289</v>
      </c>
      <c r="Q2269" s="1" cm="1">
        <f t="array" ref="Q2269">SUMPRODUCT(([1]OUT_FinalEnergyCons!$B$4:$B$10000="var_ncap")*1, (ISNUMBER(SEARCH("RH*-WHSOLBR",[1]OUT_FinalEnergyCons!$A$4:$A$10000)))*1,[1]OUT_FinalEnergyCons!O$4:O$10000)</f>
        <v>5.0087334104874297E-5</v>
      </c>
      <c r="S2269" s="3"/>
    </row>
    <row r="2270" spans="2:19" x14ac:dyDescent="0.5">
      <c r="B2270" s="5" t="str">
        <f t="shared" si="2284"/>
        <v>SPS1</v>
      </c>
      <c r="C2270" s="5" t="str">
        <f t="shared" si="2285"/>
        <v>CH</v>
      </c>
      <c r="D2270" t="s">
        <v>2404</v>
      </c>
      <c r="E2270" t="str">
        <f t="shared" si="2286"/>
        <v>GWth/yr.</v>
      </c>
      <c r="F2270" s="1">
        <f t="shared" ref="F2270:O2270" si="2288">F2271</f>
        <v>0</v>
      </c>
      <c r="G2270" s="1">
        <f t="shared" si="2288"/>
        <v>0</v>
      </c>
      <c r="H2270" s="1">
        <f t="shared" si="2288"/>
        <v>0</v>
      </c>
      <c r="I2270" s="1">
        <f t="shared" si="2288"/>
        <v>0</v>
      </c>
      <c r="J2270" s="1">
        <f t="shared" si="2288"/>
        <v>0</v>
      </c>
      <c r="K2270" s="1">
        <f t="shared" si="2288"/>
        <v>0</v>
      </c>
      <c r="L2270" s="1">
        <f t="shared" si="2288"/>
        <v>0</v>
      </c>
      <c r="M2270" s="1">
        <f t="shared" si="2288"/>
        <v>0</v>
      </c>
      <c r="N2270" s="1">
        <f t="shared" si="2288"/>
        <v>0</v>
      </c>
      <c r="O2270" s="1">
        <f t="shared" si="2288"/>
        <v>0</v>
      </c>
      <c r="P2270" s="1">
        <f>P2271</f>
        <v>0</v>
      </c>
      <c r="Q2270" s="1">
        <f>Q2271</f>
        <v>0</v>
      </c>
      <c r="S2270" s="3"/>
    </row>
    <row r="2271" spans="2:19" x14ac:dyDescent="0.5">
      <c r="B2271" s="5" t="str">
        <f t="shared" si="2284"/>
        <v>SPS1</v>
      </c>
      <c r="C2271" s="5" t="str">
        <f t="shared" si="2285"/>
        <v>CH</v>
      </c>
      <c r="D2271" t="s">
        <v>2405</v>
      </c>
      <c r="E2271" t="str">
        <f t="shared" si="2286"/>
        <v>GWth/yr.</v>
      </c>
      <c r="F2271" s="1" cm="1">
        <f t="array" ref="F2271">SUMPRODUCT(([1]OUT_FinalEnergyCons!$B$4:$B$10000="var_ncap")*1, (ISNUMBER(SEARCH("RH*-WHH2BR",[1]OUT_FinalEnergyCons!$A$4:$A$10000)))*1,[1]OUT_FinalEnergyCons!D$4:D$10000)</f>
        <v>0</v>
      </c>
      <c r="G2271" s="1" cm="1">
        <f t="array" ref="G2271">SUMPRODUCT(([1]OUT_FinalEnergyCons!$B$4:$B$10000="var_ncap")*1, (ISNUMBER(SEARCH("RH*-WHH2BR",[1]OUT_FinalEnergyCons!$A$4:$A$10000)))*1,[1]OUT_FinalEnergyCons!E$4:E$10000)</f>
        <v>0</v>
      </c>
      <c r="H2271" s="1" cm="1">
        <f t="array" ref="H2271">SUMPRODUCT(([1]OUT_FinalEnergyCons!$B$4:$B$10000="var_ncap")*1, (ISNUMBER(SEARCH("RH*-WHH2BR",[1]OUT_FinalEnergyCons!$A$4:$A$10000)))*1,[1]OUT_FinalEnergyCons!F$4:F$10000)</f>
        <v>0</v>
      </c>
      <c r="I2271" s="1" cm="1">
        <f t="array" ref="I2271">SUMPRODUCT(([1]OUT_FinalEnergyCons!$B$4:$B$10000="var_ncap")*1, (ISNUMBER(SEARCH("RH*-WHH2BR",[1]OUT_FinalEnergyCons!$A$4:$A$10000)))*1,[1]OUT_FinalEnergyCons!G$4:G$10000)</f>
        <v>0</v>
      </c>
      <c r="J2271" s="1" cm="1">
        <f t="array" ref="J2271">SUMPRODUCT(([1]OUT_FinalEnergyCons!$B$4:$B$10000="var_ncap")*1, (ISNUMBER(SEARCH("RH*-WHH2BR",[1]OUT_FinalEnergyCons!$A$4:$A$10000)))*1,[1]OUT_FinalEnergyCons!H$4:H$10000)</f>
        <v>0</v>
      </c>
      <c r="K2271" s="1" cm="1">
        <f t="array" ref="K2271">SUMPRODUCT(([1]OUT_FinalEnergyCons!$B$4:$B$10000="var_ncap")*1, (ISNUMBER(SEARCH("RH*-WHH2BR",[1]OUT_FinalEnergyCons!$A$4:$A$10000)))*1,[1]OUT_FinalEnergyCons!I$4:I$10000)</f>
        <v>0</v>
      </c>
      <c r="L2271" s="1" cm="1">
        <f t="array" ref="L2271">SUMPRODUCT(([1]OUT_FinalEnergyCons!$B$4:$B$10000="var_ncap")*1, (ISNUMBER(SEARCH("RH*-WHH2BR",[1]OUT_FinalEnergyCons!$A$4:$A$10000)))*1,[1]OUT_FinalEnergyCons!J$4:J$10000)</f>
        <v>0</v>
      </c>
      <c r="M2271" s="1" cm="1">
        <f t="array" ref="M2271">SUMPRODUCT(([1]OUT_FinalEnergyCons!$B$4:$B$10000="var_ncap")*1, (ISNUMBER(SEARCH("RH*-WHH2BR",[1]OUT_FinalEnergyCons!$A$4:$A$10000)))*1,[1]OUT_FinalEnergyCons!K$4:K$10000)</f>
        <v>0</v>
      </c>
      <c r="N2271" s="1" cm="1">
        <f t="array" ref="N2271">SUMPRODUCT(([1]OUT_FinalEnergyCons!$B$4:$B$10000="var_ncap")*1, (ISNUMBER(SEARCH("RH*-WHH2BR",[1]OUT_FinalEnergyCons!$A$4:$A$10000)))*1,[1]OUT_FinalEnergyCons!L$4:L$10000)</f>
        <v>0</v>
      </c>
      <c r="O2271" s="1" cm="1">
        <f t="array" ref="O2271">SUMPRODUCT(([1]OUT_FinalEnergyCons!$B$4:$B$10000="var_ncap")*1, (ISNUMBER(SEARCH("RH*-WHH2BR",[1]OUT_FinalEnergyCons!$A$4:$A$10000)))*1,[1]OUT_FinalEnergyCons!M$4:M$10000)</f>
        <v>0</v>
      </c>
      <c r="P2271" s="1" cm="1">
        <f t="array" ref="P2271">SUMPRODUCT(([1]OUT_FinalEnergyCons!$B$4:$B$10000="var_ncap")*1, (ISNUMBER(SEARCH("RH*-WHH2BR",[1]OUT_FinalEnergyCons!$A$4:$A$10000)))*1,[1]OUT_FinalEnergyCons!N$4:N$10000)</f>
        <v>0</v>
      </c>
      <c r="Q2271" s="1" cm="1">
        <f t="array" ref="Q2271">SUMPRODUCT(([1]OUT_FinalEnergyCons!$B$4:$B$10000="var_ncap")*1, (ISNUMBER(SEARCH("RH*-WHH2BR",[1]OUT_FinalEnergyCons!$A$4:$A$10000)))*1,[1]OUT_FinalEnergyCons!O$4:O$10000)</f>
        <v>0</v>
      </c>
      <c r="S2271" s="3"/>
    </row>
    <row r="2272" spans="2:19" x14ac:dyDescent="0.5">
      <c r="B2272" s="9" t="str">
        <f t="shared" si="2284"/>
        <v>SPS1</v>
      </c>
      <c r="C2272" s="9" t="str">
        <f t="shared" si="2285"/>
        <v>CH</v>
      </c>
      <c r="D2272" s="2" t="s">
        <v>2406</v>
      </c>
      <c r="E2272" s="9" t="str">
        <f t="shared" si="2286"/>
        <v>GWth/yr.</v>
      </c>
      <c r="F2272" s="17">
        <f t="shared" ref="F2272:K2272" si="2289">SUM(F2273,F2276,F2279,F2283,F2285,F2287,F2289,F2291,F2293)</f>
        <v>3.2761485234117501E-3</v>
      </c>
      <c r="G2272" s="17">
        <f t="shared" si="2289"/>
        <v>0.26596079927905569</v>
      </c>
      <c r="H2272" s="17">
        <f t="shared" si="2289"/>
        <v>0.19221503119474051</v>
      </c>
      <c r="I2272" s="17">
        <f t="shared" si="2289"/>
        <v>0.78426757033857064</v>
      </c>
      <c r="J2272" s="17">
        <f t="shared" si="2289"/>
        <v>1.8795404526293804</v>
      </c>
      <c r="K2272" s="17">
        <f t="shared" si="2289"/>
        <v>0.98142477975716491</v>
      </c>
      <c r="L2272" s="17">
        <f t="shared" ref="L2272:O2272" si="2290">SUM(L2273,L2276,L2279,L2283,L2285,L2287,L2289,L2291,L2293)</f>
        <v>0.58700907594542673</v>
      </c>
      <c r="M2272" s="17">
        <f t="shared" si="2290"/>
        <v>1.4164344376812057</v>
      </c>
      <c r="N2272" s="17">
        <f t="shared" si="2290"/>
        <v>0.98092576590109182</v>
      </c>
      <c r="O2272" s="17">
        <f t="shared" si="2290"/>
        <v>0.80506919735201476</v>
      </c>
      <c r="P2272" s="17">
        <f>SUM(P2273,P2276,P2279,P2283,P2285,P2287,P2289,P2291,P2293)</f>
        <v>1.336656669337966</v>
      </c>
      <c r="Q2272" s="17">
        <f>SUM(Q2273,Q2276,Q2279,Q2283,Q2285,Q2287,Q2289,Q2291,Q2293)</f>
        <v>0.90707682325871741</v>
      </c>
      <c r="S2272" s="3"/>
    </row>
    <row r="2273" spans="2:19" x14ac:dyDescent="0.5">
      <c r="B2273" s="5" t="str">
        <f t="shared" si="2284"/>
        <v>SPS1</v>
      </c>
      <c r="C2273" s="5" t="str">
        <f t="shared" si="2285"/>
        <v>CH</v>
      </c>
      <c r="D2273" t="s">
        <v>2407</v>
      </c>
      <c r="E2273" t="str">
        <f t="shared" si="2286"/>
        <v>GWth/yr.</v>
      </c>
      <c r="F2273" s="18">
        <f t="shared" ref="F2273:K2273" si="2291">SUM(F2274:F2275)</f>
        <v>0</v>
      </c>
      <c r="G2273" s="18">
        <f t="shared" si="2291"/>
        <v>0.1884045449670704</v>
      </c>
      <c r="H2273" s="18">
        <f t="shared" si="2291"/>
        <v>0.1501613955266467</v>
      </c>
      <c r="I2273" s="18">
        <f t="shared" si="2291"/>
        <v>0.74885627198649796</v>
      </c>
      <c r="J2273" s="18">
        <f t="shared" si="2291"/>
        <v>0.628404665075326</v>
      </c>
      <c r="K2273" s="18">
        <f t="shared" si="2291"/>
        <v>0.57988247979837304</v>
      </c>
      <c r="L2273" s="18">
        <f t="shared" ref="L2273:O2273" si="2292">SUM(L2274:L2275)</f>
        <v>0.56298845373432105</v>
      </c>
      <c r="M2273" s="18">
        <f t="shared" si="2292"/>
        <v>0.70033816724312403</v>
      </c>
      <c r="N2273" s="18">
        <f t="shared" si="2292"/>
        <v>0.64638658469036603</v>
      </c>
      <c r="O2273" s="18">
        <f t="shared" si="2292"/>
        <v>0.53165691779753999</v>
      </c>
      <c r="P2273" s="18">
        <f>SUM(P2274:P2275)</f>
        <v>0.81715877968681605</v>
      </c>
      <c r="Q2273" s="18">
        <f>SUM(Q2274:Q2275)</f>
        <v>0.55442320856112903</v>
      </c>
      <c r="S2273" s="3"/>
    </row>
    <row r="2274" spans="2:19" x14ac:dyDescent="0.5">
      <c r="B2274" s="5" t="str">
        <f t="shared" si="2284"/>
        <v>SPS1</v>
      </c>
      <c r="C2274" s="5" t="str">
        <f t="shared" si="2285"/>
        <v>CH</v>
      </c>
      <c r="D2274" t="s">
        <v>2408</v>
      </c>
      <c r="E2274" t="str">
        <f t="shared" si="2286"/>
        <v>GWth/yr.</v>
      </c>
      <c r="F2274" s="1" cm="1">
        <f t="array" ref="F2274">SUMPRODUCT(([1]OUT_FinalEnergyCons!$B$4:$B$10000="var_ncap")*1,  (ISNUMBER(SEARCH("ITOT-SWHELCBR",[1]OUT_FinalEnergyCons!$A$4:$A$10000)))*1,[1]OUT_FinalEnergyCons!D$4:D$10000)</f>
        <v>0</v>
      </c>
      <c r="G2274" s="1" cm="1">
        <f t="array" ref="G2274">SUMPRODUCT(([1]OUT_FinalEnergyCons!$B$4:$B$10000="var_ncap")*1,  (ISNUMBER(SEARCH("ITOT-SWHELCBR",[1]OUT_FinalEnergyCons!$A$4:$A$10000)))*1,[1]OUT_FinalEnergyCons!E$4:E$10000)</f>
        <v>0.171941286542939</v>
      </c>
      <c r="H2274" s="1" cm="1">
        <f t="array" ref="H2274">SUMPRODUCT(([1]OUT_FinalEnergyCons!$B$4:$B$10000="var_ncap")*1,  (ISNUMBER(SEARCH("ITOT-SWHELCBR",[1]OUT_FinalEnergyCons!$A$4:$A$10000)))*1,[1]OUT_FinalEnergyCons!F$4:F$10000)</f>
        <v>3.2017465899734698E-2</v>
      </c>
      <c r="I2274" s="1" cm="1">
        <f t="array" ref="I2274">SUMPRODUCT(([1]OUT_FinalEnergyCons!$B$4:$B$10000="var_ncap")*1,  (ISNUMBER(SEARCH("ITOT-SWHELCBR",[1]OUT_FinalEnergyCons!$A$4:$A$10000)))*1,[1]OUT_FinalEnergyCons!G$4:G$10000)</f>
        <v>0.61657728640092802</v>
      </c>
      <c r="J2274" s="1" cm="1">
        <f t="array" ref="J2274">SUMPRODUCT(([1]OUT_FinalEnergyCons!$B$4:$B$10000="var_ncap")*1,  (ISNUMBER(SEARCH("ITOT-SWHELCBR",[1]OUT_FinalEnergyCons!$A$4:$A$10000)))*1,[1]OUT_FinalEnergyCons!H$4:H$10000)</f>
        <v>0.49699523871067403</v>
      </c>
      <c r="K2274" s="1" cm="1">
        <f t="array" ref="K2274">SUMPRODUCT(([1]OUT_FinalEnergyCons!$B$4:$B$10000="var_ncap")*1,  (ISNUMBER(SEARCH("ITOT-SWHELCBR",[1]OUT_FinalEnergyCons!$A$4:$A$10000)))*1,[1]OUT_FinalEnergyCons!I$4:I$10000)</f>
        <v>0.32988717846193899</v>
      </c>
      <c r="L2274" s="1" cm="1">
        <f t="array" ref="L2274">SUMPRODUCT(([1]OUT_FinalEnergyCons!$B$4:$B$10000="var_ncap")*1,  (ISNUMBER(SEARCH("ITOT-SWHELCBR",[1]OUT_FinalEnergyCons!$A$4:$A$10000)))*1,[1]OUT_FinalEnergyCons!J$4:J$10000)</f>
        <v>0.32028920786011</v>
      </c>
      <c r="M2274" s="1" cm="1">
        <f t="array" ref="M2274">SUMPRODUCT(([1]OUT_FinalEnergyCons!$B$4:$B$10000="var_ncap")*1,  (ISNUMBER(SEARCH("ITOT-SWHELCBR",[1]OUT_FinalEnergyCons!$A$4:$A$10000)))*1,[1]OUT_FinalEnergyCons!K$4:K$10000)</f>
        <v>0.46578671044377801</v>
      </c>
      <c r="N2274" s="1" cm="1">
        <f t="array" ref="N2274">SUMPRODUCT(([1]OUT_FinalEnergyCons!$B$4:$B$10000="var_ncap")*1,  (ISNUMBER(SEARCH("ITOT-SWHELCBR",[1]OUT_FinalEnergyCons!$A$4:$A$10000)))*1,[1]OUT_FinalEnergyCons!L$4:L$10000)</f>
        <v>0.40451319867482</v>
      </c>
      <c r="O2274" s="1" cm="1">
        <f t="array" ref="O2274">SUMPRODUCT(([1]OUT_FinalEnergyCons!$B$4:$B$10000="var_ncap")*1,  (ISNUMBER(SEARCH("ITOT-SWHELCBR",[1]OUT_FinalEnergyCons!$A$4:$A$10000)))*1,[1]OUT_FinalEnergyCons!M$4:M$10000)</f>
        <v>0.28767945238201797</v>
      </c>
      <c r="P2274" s="1" cm="1">
        <f t="array" ref="P2274">SUMPRODUCT(([1]OUT_FinalEnergyCons!$B$4:$B$10000="var_ncap")*1,  (ISNUMBER(SEARCH("ITOT-SWHELCBR",[1]OUT_FinalEnergyCons!$A$4:$A$10000)))*1,[1]OUT_FinalEnergyCons!N$4:N$10000)</f>
        <v>0.55099329586568802</v>
      </c>
      <c r="Q2274" s="1" cm="1">
        <f t="array" ref="Q2274">SUMPRODUCT(([1]OUT_FinalEnergyCons!$B$4:$B$10000="var_ncap")*1,  (ISNUMBER(SEARCH("ITOT-SWHELCBR",[1]OUT_FinalEnergyCons!$A$4:$A$10000)))*1,[1]OUT_FinalEnergyCons!O$4:O$10000)</f>
        <v>0.349702125193949</v>
      </c>
      <c r="S2274" s="3"/>
    </row>
    <row r="2275" spans="2:19" x14ac:dyDescent="0.5">
      <c r="B2275" s="5" t="str">
        <f t="shared" si="2284"/>
        <v>SPS1</v>
      </c>
      <c r="C2275" s="5" t="str">
        <f t="shared" si="2285"/>
        <v>CH</v>
      </c>
      <c r="D2275" t="s">
        <v>2409</v>
      </c>
      <c r="E2275" t="str">
        <f t="shared" si="2286"/>
        <v>GWth/yr.</v>
      </c>
      <c r="F2275" s="1" cm="1">
        <f t="array" ref="F2275">SUMPRODUCT(([1]OUT_FinalEnergyCons!$B$4:$B$10000="var_ncap")*1,  (ISNUMBER(SEARCH("ITOT-SWHELCHP",[1]OUT_FinalEnergyCons!$A$4:$A$10000)))*1,[1]OUT_FinalEnergyCons!D$4:D$10000)</f>
        <v>0</v>
      </c>
      <c r="G2275" s="1" cm="1">
        <f t="array" ref="G2275">SUMPRODUCT(([1]OUT_FinalEnergyCons!$B$4:$B$10000="var_ncap")*1,  (ISNUMBER(SEARCH("ITOT-SWHELCHP",[1]OUT_FinalEnergyCons!$A$4:$A$10000)))*1,[1]OUT_FinalEnergyCons!E$4:E$10000)</f>
        <v>1.6463258424131402E-2</v>
      </c>
      <c r="H2275" s="1" cm="1">
        <f t="array" ref="H2275">SUMPRODUCT(([1]OUT_FinalEnergyCons!$B$4:$B$10000="var_ncap")*1,  (ISNUMBER(SEARCH("ITOT-SWHELCHP",[1]OUT_FinalEnergyCons!$A$4:$A$10000)))*1,[1]OUT_FinalEnergyCons!F$4:F$10000)</f>
        <v>0.118143929626912</v>
      </c>
      <c r="I2275" s="1" cm="1">
        <f t="array" ref="I2275">SUMPRODUCT(([1]OUT_FinalEnergyCons!$B$4:$B$10000="var_ncap")*1,  (ISNUMBER(SEARCH("ITOT-SWHELCHP",[1]OUT_FinalEnergyCons!$A$4:$A$10000)))*1,[1]OUT_FinalEnergyCons!G$4:G$10000)</f>
        <v>0.13227898558557</v>
      </c>
      <c r="J2275" s="1" cm="1">
        <f t="array" ref="J2275">SUMPRODUCT(([1]OUT_FinalEnergyCons!$B$4:$B$10000="var_ncap")*1,  (ISNUMBER(SEARCH("ITOT-SWHELCHP",[1]OUT_FinalEnergyCons!$A$4:$A$10000)))*1,[1]OUT_FinalEnergyCons!H$4:H$10000)</f>
        <v>0.131409426364652</v>
      </c>
      <c r="K2275" s="1" cm="1">
        <f t="array" ref="K2275">SUMPRODUCT(([1]OUT_FinalEnergyCons!$B$4:$B$10000="var_ncap")*1,  (ISNUMBER(SEARCH("ITOT-SWHELCHP",[1]OUT_FinalEnergyCons!$A$4:$A$10000)))*1,[1]OUT_FinalEnergyCons!I$4:I$10000)</f>
        <v>0.24999530133643399</v>
      </c>
      <c r="L2275" s="1" cm="1">
        <f t="array" ref="L2275">SUMPRODUCT(([1]OUT_FinalEnergyCons!$B$4:$B$10000="var_ncap")*1,  (ISNUMBER(SEARCH("ITOT-SWHELCHP",[1]OUT_FinalEnergyCons!$A$4:$A$10000)))*1,[1]OUT_FinalEnergyCons!J$4:J$10000)</f>
        <v>0.24269924587421099</v>
      </c>
      <c r="M2275" s="1" cm="1">
        <f t="array" ref="M2275">SUMPRODUCT(([1]OUT_FinalEnergyCons!$B$4:$B$10000="var_ncap")*1,  (ISNUMBER(SEARCH("ITOT-SWHELCHP",[1]OUT_FinalEnergyCons!$A$4:$A$10000)))*1,[1]OUT_FinalEnergyCons!K$4:K$10000)</f>
        <v>0.234551456799346</v>
      </c>
      <c r="N2275" s="1" cm="1">
        <f t="array" ref="N2275">SUMPRODUCT(([1]OUT_FinalEnergyCons!$B$4:$B$10000="var_ncap")*1,  (ISNUMBER(SEARCH("ITOT-SWHELCHP",[1]OUT_FinalEnergyCons!$A$4:$A$10000)))*1,[1]OUT_FinalEnergyCons!L$4:L$10000)</f>
        <v>0.241873386015546</v>
      </c>
      <c r="O2275" s="1" cm="1">
        <f t="array" ref="O2275">SUMPRODUCT(([1]OUT_FinalEnergyCons!$B$4:$B$10000="var_ncap")*1,  (ISNUMBER(SEARCH("ITOT-SWHELCHP",[1]OUT_FinalEnergyCons!$A$4:$A$10000)))*1,[1]OUT_FinalEnergyCons!M$4:M$10000)</f>
        <v>0.24397746541552201</v>
      </c>
      <c r="P2275" s="1" cm="1">
        <f t="array" ref="P2275">SUMPRODUCT(([1]OUT_FinalEnergyCons!$B$4:$B$10000="var_ncap")*1,  (ISNUMBER(SEARCH("ITOT-SWHELCHP",[1]OUT_FinalEnergyCons!$A$4:$A$10000)))*1,[1]OUT_FinalEnergyCons!N$4:N$10000)</f>
        <v>0.26616548382112798</v>
      </c>
      <c r="Q2275" s="1" cm="1">
        <f t="array" ref="Q2275">SUMPRODUCT(([1]OUT_FinalEnergyCons!$B$4:$B$10000="var_ncap")*1,  (ISNUMBER(SEARCH("ITOT-SWHELCHP",[1]OUT_FinalEnergyCons!$A$4:$A$10000)))*1,[1]OUT_FinalEnergyCons!O$4:O$10000)</f>
        <v>0.20472108336718001</v>
      </c>
      <c r="S2275" s="3"/>
    </row>
    <row r="2276" spans="2:19" x14ac:dyDescent="0.5">
      <c r="B2276" s="5" t="str">
        <f t="shared" si="2284"/>
        <v>SPS1</v>
      </c>
      <c r="C2276" s="5" t="str">
        <f t="shared" si="2285"/>
        <v>CH</v>
      </c>
      <c r="D2276" t="s">
        <v>2410</v>
      </c>
      <c r="E2276" t="str">
        <f t="shared" si="2286"/>
        <v>GWth/yr.</v>
      </c>
      <c r="F2276" s="18">
        <f t="shared" ref="F2276:K2276" si="2293">SUM(F2277:F2278)</f>
        <v>3.2761485234117501E-3</v>
      </c>
      <c r="G2276" s="18">
        <f t="shared" si="2293"/>
        <v>1.0776426580089092E-2</v>
      </c>
      <c r="H2276" s="18">
        <f t="shared" si="2293"/>
        <v>1.6406064960909991E-4</v>
      </c>
      <c r="I2276" s="18">
        <f t="shared" si="2293"/>
        <v>1.4541094719664521E-4</v>
      </c>
      <c r="J2276" s="18">
        <f t="shared" si="2293"/>
        <v>0.14001817728229127</v>
      </c>
      <c r="K2276" s="18">
        <f t="shared" si="2293"/>
        <v>1.5739238239151729E-2</v>
      </c>
      <c r="L2276" s="18">
        <f t="shared" ref="L2276:O2276" si="2294">SUM(L2277:L2278)</f>
        <v>1.245198461032531E-4</v>
      </c>
      <c r="M2276" s="18">
        <f t="shared" si="2294"/>
        <v>3.5004055435321614E-4</v>
      </c>
      <c r="N2276" s="18">
        <f t="shared" si="2294"/>
        <v>1.3886320631604703E-2</v>
      </c>
      <c r="O2276" s="18">
        <f t="shared" si="2294"/>
        <v>3.8682285155002172E-3</v>
      </c>
      <c r="P2276" s="18">
        <f>SUM(P2277:P2278)</f>
        <v>3.0565612465225708E-3</v>
      </c>
      <c r="Q2276" s="18">
        <f>SUM(Q2277:Q2278)</f>
        <v>8.7993832245773593E-3</v>
      </c>
      <c r="S2276" s="3"/>
    </row>
    <row r="2277" spans="2:19" x14ac:dyDescent="0.5">
      <c r="B2277" s="5" t="str">
        <f t="shared" si="2284"/>
        <v>SPS1</v>
      </c>
      <c r="C2277" s="5" t="str">
        <f t="shared" si="2285"/>
        <v>CH</v>
      </c>
      <c r="D2277" t="s">
        <v>2411</v>
      </c>
      <c r="E2277" t="str">
        <f t="shared" si="2286"/>
        <v>GWth/yr.</v>
      </c>
      <c r="F2277" s="1" cm="1">
        <f t="array" ref="F2277">SUMPRODUCT(([1]OUT_FinalEnergyCons!$B$4:$B$10000="var_ncap")*1,  (ISNUMBER(SEARCH("ITOT-SWHLFOBR",[1]OUT_FinalEnergyCons!$A$4:$A$10000)))*1,[1]OUT_FinalEnergyCons!D$4:D$10000)</f>
        <v>0</v>
      </c>
      <c r="G2277" s="1" cm="1">
        <f t="array" ref="G2277">SUMPRODUCT(([1]OUT_FinalEnergyCons!$B$4:$B$10000="var_ncap")*1,  (ISNUMBER(SEARCH("ITOT-SWHLFOBR",[1]OUT_FinalEnergyCons!$A$4:$A$10000)))*1,[1]OUT_FinalEnergyCons!E$4:E$10000)</f>
        <v>1.0672971777840899E-2</v>
      </c>
      <c r="H2277" s="1" cm="1">
        <f t="array" ref="H2277">SUMPRODUCT(([1]OUT_FinalEnergyCons!$B$4:$B$10000="var_ncap")*1,  (ISNUMBER(SEARCH("ITOT-SWHLFOBR",[1]OUT_FinalEnergyCons!$A$4:$A$10000)))*1,[1]OUT_FinalEnergyCons!F$4:F$10000)</f>
        <v>1.09139397729373E-4</v>
      </c>
      <c r="I2277" s="1" cm="1">
        <f t="array" ref="I2277">SUMPRODUCT(([1]OUT_FinalEnergyCons!$B$4:$B$10000="var_ncap")*1,  (ISNUMBER(SEARCH("ITOT-SWHLFOBR",[1]OUT_FinalEnergyCons!$A$4:$A$10000)))*1,[1]OUT_FinalEnergyCons!G$4:G$10000)</f>
        <v>1.10379279643326E-4</v>
      </c>
      <c r="J2277" s="1" cm="1">
        <f t="array" ref="J2277">SUMPRODUCT(([1]OUT_FinalEnergyCons!$B$4:$B$10000="var_ncap")*1,  (ISNUMBER(SEARCH("ITOT-SWHLFOBR",[1]OUT_FinalEnergyCons!$A$4:$A$10000)))*1,[1]OUT_FinalEnergyCons!H$4:H$10000)</f>
        <v>0.139912915690698</v>
      </c>
      <c r="K2277" s="1" cm="1">
        <f t="array" ref="K2277">SUMPRODUCT(([1]OUT_FinalEnergyCons!$B$4:$B$10000="var_ncap")*1,  (ISNUMBER(SEARCH("ITOT-SWHLFOBR",[1]OUT_FinalEnergyCons!$A$4:$A$10000)))*1,[1]OUT_FinalEnergyCons!I$4:I$10000)</f>
        <v>1.5526268859180299E-2</v>
      </c>
      <c r="L2277" s="1" cm="1">
        <f t="array" ref="L2277">SUMPRODUCT(([1]OUT_FinalEnergyCons!$B$4:$B$10000="var_ncap")*1,  (ISNUMBER(SEARCH("ITOT-SWHLFOBR",[1]OUT_FinalEnergyCons!$A$4:$A$10000)))*1,[1]OUT_FinalEnergyCons!J$4:J$10000)</f>
        <v>8.3294010466132402E-5</v>
      </c>
      <c r="M2277" s="1" cm="1">
        <f t="array" ref="M2277">SUMPRODUCT(([1]OUT_FinalEnergyCons!$B$4:$B$10000="var_ncap")*1,  (ISNUMBER(SEARCH("ITOT-SWHLFOBR",[1]OUT_FinalEnergyCons!$A$4:$A$10000)))*1,[1]OUT_FinalEnergyCons!K$4:K$10000)</f>
        <v>3.4982954225658199E-4</v>
      </c>
      <c r="N2277" s="1" cm="1">
        <f t="array" ref="N2277">SUMPRODUCT(([1]OUT_FinalEnergyCons!$B$4:$B$10000="var_ncap")*1,  (ISNUMBER(SEARCH("ITOT-SWHLFOBR",[1]OUT_FinalEnergyCons!$A$4:$A$10000)))*1,[1]OUT_FinalEnergyCons!L$4:L$10000)</f>
        <v>1.38860674476168E-2</v>
      </c>
      <c r="O2277" s="1" cm="1">
        <f t="array" ref="O2277">SUMPRODUCT(([1]OUT_FinalEnergyCons!$B$4:$B$10000="var_ncap")*1,  (ISNUMBER(SEARCH("ITOT-SWHLFOBR",[1]OUT_FinalEnergyCons!$A$4:$A$10000)))*1,[1]OUT_FinalEnergyCons!M$4:M$10000)</f>
        <v>3.8679642604009098E-3</v>
      </c>
      <c r="P2277" s="1" cm="1">
        <f t="array" ref="P2277">SUMPRODUCT(([1]OUT_FinalEnergyCons!$B$4:$B$10000="var_ncap")*1,  (ISNUMBER(SEARCH("ITOT-SWHLFOBR",[1]OUT_FinalEnergyCons!$A$4:$A$10000)))*1,[1]OUT_FinalEnergyCons!N$4:N$10000)</f>
        <v>3.05637224683151E-3</v>
      </c>
      <c r="Q2277" s="1" cm="1">
        <f t="array" ref="Q2277">SUMPRODUCT(([1]OUT_FinalEnergyCons!$B$4:$B$10000="var_ncap")*1,  (ISNUMBER(SEARCH("ITOT-SWHLFOBR",[1]OUT_FinalEnergyCons!$A$4:$A$10000)))*1,[1]OUT_FinalEnergyCons!O$4:O$10000)</f>
        <v>8.7992419287253598E-3</v>
      </c>
      <c r="S2277" s="3"/>
    </row>
    <row r="2278" spans="2:19" x14ac:dyDescent="0.5">
      <c r="B2278" s="5" t="str">
        <f t="shared" si="2284"/>
        <v>SPS1</v>
      </c>
      <c r="C2278" s="5" t="str">
        <f t="shared" si="2285"/>
        <v>CH</v>
      </c>
      <c r="D2278" t="s">
        <v>2412</v>
      </c>
      <c r="E2278" t="str">
        <f t="shared" si="2286"/>
        <v>GWth/yr.</v>
      </c>
      <c r="F2278" s="1" cm="1">
        <f t="array" ref="F2278">SUMPRODUCT(([1]OUT_FinalEnergyCons!$B$4:$B$10000="var_ncap")*1,  (ISNUMBER(SEARCH("ITOT-SWHHFOBR",[1]OUT_FinalEnergyCons!$A$4:$A$10000)))*1,[1]OUT_FinalEnergyCons!D$4:D$10000)</f>
        <v>3.2761485234117501E-3</v>
      </c>
      <c r="G2278" s="1" cm="1">
        <f t="array" ref="G2278">SUMPRODUCT(([1]OUT_FinalEnergyCons!$B$4:$B$10000="var_ncap")*1,  (ISNUMBER(SEARCH("ITOT-SWHHFOBR",[1]OUT_FinalEnergyCons!$A$4:$A$10000)))*1,[1]OUT_FinalEnergyCons!E$4:E$10000)</f>
        <v>1.03454802248193E-4</v>
      </c>
      <c r="H2278" s="1" cm="1">
        <f t="array" ref="H2278">SUMPRODUCT(([1]OUT_FinalEnergyCons!$B$4:$B$10000="var_ncap")*1,  (ISNUMBER(SEARCH("ITOT-SWHHFOBR",[1]OUT_FinalEnergyCons!$A$4:$A$10000)))*1,[1]OUT_FinalEnergyCons!F$4:F$10000)</f>
        <v>5.4921251879726899E-5</v>
      </c>
      <c r="I2278" s="1" cm="1">
        <f t="array" ref="I2278">SUMPRODUCT(([1]OUT_FinalEnergyCons!$B$4:$B$10000="var_ncap")*1,  (ISNUMBER(SEARCH("ITOT-SWHHFOBR",[1]OUT_FinalEnergyCons!$A$4:$A$10000)))*1,[1]OUT_FinalEnergyCons!G$4:G$10000)</f>
        <v>3.5031667553319199E-5</v>
      </c>
      <c r="J2278" s="1" cm="1">
        <f t="array" ref="J2278">SUMPRODUCT(([1]OUT_FinalEnergyCons!$B$4:$B$10000="var_ncap")*1,  (ISNUMBER(SEARCH("ITOT-SWHHFOBR",[1]OUT_FinalEnergyCons!$A$4:$A$10000)))*1,[1]OUT_FinalEnergyCons!H$4:H$10000)</f>
        <v>1.0526159159327299E-4</v>
      </c>
      <c r="K2278" s="1" cm="1">
        <f t="array" ref="K2278">SUMPRODUCT(([1]OUT_FinalEnergyCons!$B$4:$B$10000="var_ncap")*1,  (ISNUMBER(SEARCH("ITOT-SWHHFOBR",[1]OUT_FinalEnergyCons!$A$4:$A$10000)))*1,[1]OUT_FinalEnergyCons!I$4:I$10000)</f>
        <v>2.12969379971431E-4</v>
      </c>
      <c r="L2278" s="1" cm="1">
        <f t="array" ref="L2278">SUMPRODUCT(([1]OUT_FinalEnergyCons!$B$4:$B$10000="var_ncap")*1,  (ISNUMBER(SEARCH("ITOT-SWHHFOBR",[1]OUT_FinalEnergyCons!$A$4:$A$10000)))*1,[1]OUT_FinalEnergyCons!J$4:J$10000)</f>
        <v>4.1225835637120697E-5</v>
      </c>
      <c r="M2278" s="1" cm="1">
        <f t="array" ref="M2278">SUMPRODUCT(([1]OUT_FinalEnergyCons!$B$4:$B$10000="var_ncap")*1,  (ISNUMBER(SEARCH("ITOT-SWHHFOBR",[1]OUT_FinalEnergyCons!$A$4:$A$10000)))*1,[1]OUT_FinalEnergyCons!K$4:K$10000)</f>
        <v>2.1101209663416101E-7</v>
      </c>
      <c r="N2278" s="1" cm="1">
        <f t="array" ref="N2278">SUMPRODUCT(([1]OUT_FinalEnergyCons!$B$4:$B$10000="var_ncap")*1,  (ISNUMBER(SEARCH("ITOT-SWHHFOBR",[1]OUT_FinalEnergyCons!$A$4:$A$10000)))*1,[1]OUT_FinalEnergyCons!L$4:L$10000)</f>
        <v>2.53183987903893E-7</v>
      </c>
      <c r="O2278" s="1" cm="1">
        <f t="array" ref="O2278">SUMPRODUCT(([1]OUT_FinalEnergyCons!$B$4:$B$10000="var_ncap")*1,  (ISNUMBER(SEARCH("ITOT-SWHHFOBR",[1]OUT_FinalEnergyCons!$A$4:$A$10000)))*1,[1]OUT_FinalEnergyCons!M$4:M$10000)</f>
        <v>2.64255099307376E-7</v>
      </c>
      <c r="P2278" s="1" cm="1">
        <f t="array" ref="P2278">SUMPRODUCT(([1]OUT_FinalEnergyCons!$B$4:$B$10000="var_ncap")*1,  (ISNUMBER(SEARCH("ITOT-SWHHFOBR",[1]OUT_FinalEnergyCons!$A$4:$A$10000)))*1,[1]OUT_FinalEnergyCons!N$4:N$10000)</f>
        <v>1.8899969106092899E-7</v>
      </c>
      <c r="Q2278" s="1" cm="1">
        <f t="array" ref="Q2278">SUMPRODUCT(([1]OUT_FinalEnergyCons!$B$4:$B$10000="var_ncap")*1,  (ISNUMBER(SEARCH("ITOT-SWHHFOBR",[1]OUT_FinalEnergyCons!$A$4:$A$10000)))*1,[1]OUT_FinalEnergyCons!O$4:O$10000)</f>
        <v>1.4129585199941E-7</v>
      </c>
      <c r="S2278" s="3"/>
    </row>
    <row r="2279" spans="2:19" x14ac:dyDescent="0.5">
      <c r="B2279" s="5" t="str">
        <f t="shared" si="2284"/>
        <v>SPS1</v>
      </c>
      <c r="C2279" s="5" t="str">
        <f t="shared" si="2285"/>
        <v>CH</v>
      </c>
      <c r="D2279" t="s">
        <v>2413</v>
      </c>
      <c r="E2279" t="str">
        <f t="shared" si="2286"/>
        <v>GWth/yr.</v>
      </c>
      <c r="F2279" s="18">
        <f t="shared" ref="F2279:K2279" si="2295">SUM(F2280:F2281)</f>
        <v>0</v>
      </c>
      <c r="G2279" s="18">
        <f t="shared" si="2295"/>
        <v>1.2209438840548061E-3</v>
      </c>
      <c r="H2279" s="18">
        <f t="shared" si="2295"/>
        <v>4.1507929482011964E-2</v>
      </c>
      <c r="I2279" s="18">
        <f t="shared" si="2295"/>
        <v>1.0412633419528231E-4</v>
      </c>
      <c r="J2279" s="18">
        <f t="shared" si="2295"/>
        <v>0.27415391906106479</v>
      </c>
      <c r="K2279" s="18">
        <f t="shared" si="2295"/>
        <v>8.9870003583958469E-2</v>
      </c>
      <c r="L2279" s="18">
        <f t="shared" ref="L2279:O2279" si="2296">SUM(L2280:L2281)</f>
        <v>1.100505541104716E-4</v>
      </c>
      <c r="M2279" s="18">
        <f t="shared" si="2296"/>
        <v>2.6008856953886948E-3</v>
      </c>
      <c r="N2279" s="18">
        <f t="shared" si="2296"/>
        <v>4.0752860871682547E-2</v>
      </c>
      <c r="O2279" s="18">
        <f t="shared" si="2296"/>
        <v>1.8702243020483525E-2</v>
      </c>
      <c r="P2279" s="18">
        <f>SUM(P2280:P2281)</f>
        <v>1.09952103508455E-2</v>
      </c>
      <c r="Q2279" s="18">
        <f>SUM(Q2280:Q2281)</f>
        <v>2.575110375519046E-2</v>
      </c>
      <c r="S2279" s="3"/>
    </row>
    <row r="2280" spans="2:19" x14ac:dyDescent="0.5">
      <c r="B2280" s="5" t="str">
        <f t="shared" si="2284"/>
        <v>SPS1</v>
      </c>
      <c r="C2280" s="5" t="str">
        <f t="shared" si="2285"/>
        <v>CH</v>
      </c>
      <c r="D2280" t="s">
        <v>2414</v>
      </c>
      <c r="E2280" t="str">
        <f t="shared" si="2286"/>
        <v>GWth/yr.</v>
      </c>
      <c r="F2280" s="1" cm="1">
        <f t="array" ref="F2280">SUMPRODUCT(([1]OUT_FinalEnergyCons!$B$4:$B$10000="var_ncap")*1,  (ISNUMBER(SEARCH("ITOT-SWHNGA*BR",[1]OUT_FinalEnergyCons!$A$4:$A$10000)))*1,[1]OUT_FinalEnergyCons!D$4:D$10000)</f>
        <v>0</v>
      </c>
      <c r="G2280" s="1" cm="1">
        <f t="array" ref="G2280">SUMPRODUCT(([1]OUT_FinalEnergyCons!$B$4:$B$10000="var_ncap")*1,  (ISNUMBER(SEARCH("ITOT-SWHNGA*BR",[1]OUT_FinalEnergyCons!$A$4:$A$10000)))*1,[1]OUT_FinalEnergyCons!E$4:E$10000)</f>
        <v>2.5716031158107999E-4</v>
      </c>
      <c r="H2280" s="1" cm="1">
        <f t="array" ref="H2280">SUMPRODUCT(([1]OUT_FinalEnergyCons!$B$4:$B$10000="var_ncap")*1,  (ISNUMBER(SEARCH("ITOT-SWHNGA*BR",[1]OUT_FinalEnergyCons!$A$4:$A$10000)))*1,[1]OUT_FinalEnergyCons!F$4:F$10000)</f>
        <v>4.0638866273228498E-2</v>
      </c>
      <c r="I2280" s="1" cm="1">
        <f t="array" ref="I2280">SUMPRODUCT(([1]OUT_FinalEnergyCons!$B$4:$B$10000="var_ncap")*1,  (ISNUMBER(SEARCH("ITOT-SWHNGA*BR",[1]OUT_FinalEnergyCons!$A$4:$A$10000)))*1,[1]OUT_FinalEnergyCons!G$4:G$10000)</f>
        <v>9.9369393934862598E-5</v>
      </c>
      <c r="J2280" s="1" cm="1">
        <f t="array" ref="J2280">SUMPRODUCT(([1]OUT_FinalEnergyCons!$B$4:$B$10000="var_ncap")*1,  (ISNUMBER(SEARCH("ITOT-SWHNGA*BR",[1]OUT_FinalEnergyCons!$A$4:$A$10000)))*1,[1]OUT_FinalEnergyCons!H$4:H$10000)</f>
        <v>0.27344490128975601</v>
      </c>
      <c r="K2280" s="1" cm="1">
        <f t="array" ref="K2280">SUMPRODUCT(([1]OUT_FinalEnergyCons!$B$4:$B$10000="var_ncap")*1,  (ISNUMBER(SEARCH("ITOT-SWHNGA*BR",[1]OUT_FinalEnergyCons!$A$4:$A$10000)))*1,[1]OUT_FinalEnergyCons!I$4:I$10000)</f>
        <v>8.8057896209593506E-2</v>
      </c>
      <c r="L2280" s="1" cm="1">
        <f t="array" ref="L2280">SUMPRODUCT(([1]OUT_FinalEnergyCons!$B$4:$B$10000="var_ncap")*1,  (ISNUMBER(SEARCH("ITOT-SWHNGA*BR",[1]OUT_FinalEnergyCons!$A$4:$A$10000)))*1,[1]OUT_FinalEnergyCons!J$4:J$10000)</f>
        <v>8.4349482472505498E-5</v>
      </c>
      <c r="M2280" s="1" cm="1">
        <f t="array" ref="M2280">SUMPRODUCT(([1]OUT_FinalEnergyCons!$B$4:$B$10000="var_ncap")*1,  (ISNUMBER(SEARCH("ITOT-SWHNGA*BR",[1]OUT_FinalEnergyCons!$A$4:$A$10000)))*1,[1]OUT_FinalEnergyCons!K$4:K$10000)</f>
        <v>2.7919910408808499E-4</v>
      </c>
      <c r="N2280" s="1" cm="1">
        <f t="array" ref="N2280">SUMPRODUCT(([1]OUT_FinalEnergyCons!$B$4:$B$10000="var_ncap")*1,  (ISNUMBER(SEARCH("ITOT-SWHNGA*BR",[1]OUT_FinalEnergyCons!$A$4:$A$10000)))*1,[1]OUT_FinalEnergyCons!L$4:L$10000)</f>
        <v>3.9877202621540299E-2</v>
      </c>
      <c r="O2280" s="1" cm="1">
        <f t="array" ref="O2280">SUMPRODUCT(([1]OUT_FinalEnergyCons!$B$4:$B$10000="var_ncap")*1,  (ISNUMBER(SEARCH("ITOT-SWHNGA*BR",[1]OUT_FinalEnergyCons!$A$4:$A$10000)))*1,[1]OUT_FinalEnergyCons!M$4:M$10000)</f>
        <v>1.7720181719346698E-2</v>
      </c>
      <c r="P2280" s="1" cm="1">
        <f t="array" ref="P2280">SUMPRODUCT(([1]OUT_FinalEnergyCons!$B$4:$B$10000="var_ncap")*1,  (ISNUMBER(SEARCH("ITOT-SWHNGA*BR",[1]OUT_FinalEnergyCons!$A$4:$A$10000)))*1,[1]OUT_FinalEnergyCons!N$4:N$10000)</f>
        <v>8.9640006243912902E-3</v>
      </c>
      <c r="Q2280" s="1" cm="1">
        <f t="array" ref="Q2280">SUMPRODUCT(([1]OUT_FinalEnergyCons!$B$4:$B$10000="var_ncap")*1,  (ISNUMBER(SEARCH("ITOT-SWHNGA*BR",[1]OUT_FinalEnergyCons!$A$4:$A$10000)))*1,[1]OUT_FinalEnergyCons!O$4:O$10000)</f>
        <v>2.42433910438269E-2</v>
      </c>
      <c r="S2280" s="3"/>
    </row>
    <row r="2281" spans="2:19" x14ac:dyDescent="0.5">
      <c r="B2281" s="5" t="str">
        <f t="shared" si="2284"/>
        <v>SPS1</v>
      </c>
      <c r="C2281" s="5" t="str">
        <f t="shared" si="2285"/>
        <v>CH</v>
      </c>
      <c r="D2281" t="s">
        <v>2415</v>
      </c>
      <c r="E2281" t="str">
        <f t="shared" si="2286"/>
        <v>GWth/yr.</v>
      </c>
      <c r="F2281" s="1" cm="1">
        <f t="array" ref="F2281">SUMPRODUCT(([1]OUT_FinalEnergyCons!$B$4:$B$10000="var_ncap")*1,  (ISNUMBER(SEARCH("ITOT-SWHNGAHP",[1]OUT_FinalEnergyCons!$A$4:$A$10000)))*1,[1]OUT_FinalEnergyCons!D$4:D$10000)</f>
        <v>0</v>
      </c>
      <c r="G2281" s="1" cm="1">
        <f t="array" ref="G2281">SUMPRODUCT(([1]OUT_FinalEnergyCons!$B$4:$B$10000="var_ncap")*1,  (ISNUMBER(SEARCH("ITOT-SWHNGAHP",[1]OUT_FinalEnergyCons!$A$4:$A$10000)))*1,[1]OUT_FinalEnergyCons!E$4:E$10000)</f>
        <v>9.6378357247372604E-4</v>
      </c>
      <c r="H2281" s="1" cm="1">
        <f t="array" ref="H2281">SUMPRODUCT(([1]OUT_FinalEnergyCons!$B$4:$B$10000="var_ncap")*1,  (ISNUMBER(SEARCH("ITOT-SWHNGAHP",[1]OUT_FinalEnergyCons!$A$4:$A$10000)))*1,[1]OUT_FinalEnergyCons!F$4:F$10000)</f>
        <v>8.6906320878346805E-4</v>
      </c>
      <c r="I2281" s="1" cm="1">
        <f t="array" ref="I2281">SUMPRODUCT(([1]OUT_FinalEnergyCons!$B$4:$B$10000="var_ncap")*1,  (ISNUMBER(SEARCH("ITOT-SWHNGAHP",[1]OUT_FinalEnergyCons!$A$4:$A$10000)))*1,[1]OUT_FinalEnergyCons!G$4:G$10000)</f>
        <v>4.75694026041971E-6</v>
      </c>
      <c r="J2281" s="1" cm="1">
        <f t="array" ref="J2281">SUMPRODUCT(([1]OUT_FinalEnergyCons!$B$4:$B$10000="var_ncap")*1,  (ISNUMBER(SEARCH("ITOT-SWHNGAHP",[1]OUT_FinalEnergyCons!$A$4:$A$10000)))*1,[1]OUT_FinalEnergyCons!H$4:H$10000)</f>
        <v>7.0901777130876202E-4</v>
      </c>
      <c r="K2281" s="1" cm="1">
        <f t="array" ref="K2281">SUMPRODUCT(([1]OUT_FinalEnergyCons!$B$4:$B$10000="var_ncap")*1,  (ISNUMBER(SEARCH("ITOT-SWHNGAHP",[1]OUT_FinalEnergyCons!$A$4:$A$10000)))*1,[1]OUT_FinalEnergyCons!I$4:I$10000)</f>
        <v>1.8121073743649599E-3</v>
      </c>
      <c r="L2281" s="1" cm="1">
        <f t="array" ref="L2281">SUMPRODUCT(([1]OUT_FinalEnergyCons!$B$4:$B$10000="var_ncap")*1,  (ISNUMBER(SEARCH("ITOT-SWHNGAHP",[1]OUT_FinalEnergyCons!$A$4:$A$10000)))*1,[1]OUT_FinalEnergyCons!J$4:J$10000)</f>
        <v>2.5701071637966101E-5</v>
      </c>
      <c r="M2281" s="1" cm="1">
        <f t="array" ref="M2281">SUMPRODUCT(([1]OUT_FinalEnergyCons!$B$4:$B$10000="var_ncap")*1,  (ISNUMBER(SEARCH("ITOT-SWHNGAHP",[1]OUT_FinalEnergyCons!$A$4:$A$10000)))*1,[1]OUT_FinalEnergyCons!K$4:K$10000)</f>
        <v>2.3216865913006099E-3</v>
      </c>
      <c r="N2281" s="1" cm="1">
        <f t="array" ref="N2281">SUMPRODUCT(([1]OUT_FinalEnergyCons!$B$4:$B$10000="var_ncap")*1,  (ISNUMBER(SEARCH("ITOT-SWHNGAHP",[1]OUT_FinalEnergyCons!$A$4:$A$10000)))*1,[1]OUT_FinalEnergyCons!L$4:L$10000)</f>
        <v>8.7565825014224597E-4</v>
      </c>
      <c r="O2281" s="1" cm="1">
        <f t="array" ref="O2281">SUMPRODUCT(([1]OUT_FinalEnergyCons!$B$4:$B$10000="var_ncap")*1,  (ISNUMBER(SEARCH("ITOT-SWHNGAHP",[1]OUT_FinalEnergyCons!$A$4:$A$10000)))*1,[1]OUT_FinalEnergyCons!M$4:M$10000)</f>
        <v>9.8206130113682706E-4</v>
      </c>
      <c r="P2281" s="1" cm="1">
        <f t="array" ref="P2281">SUMPRODUCT(([1]OUT_FinalEnergyCons!$B$4:$B$10000="var_ncap")*1,  (ISNUMBER(SEARCH("ITOT-SWHNGAHP",[1]OUT_FinalEnergyCons!$A$4:$A$10000)))*1,[1]OUT_FinalEnergyCons!N$4:N$10000)</f>
        <v>2.0312097264542101E-3</v>
      </c>
      <c r="Q2281" s="1" cm="1">
        <f t="array" ref="Q2281">SUMPRODUCT(([1]OUT_FinalEnergyCons!$B$4:$B$10000="var_ncap")*1,  (ISNUMBER(SEARCH("ITOT-SWHNGAHP",[1]OUT_FinalEnergyCons!$A$4:$A$10000)))*1,[1]OUT_FinalEnergyCons!O$4:O$10000)</f>
        <v>1.5077127113635601E-3</v>
      </c>
      <c r="S2281" s="3"/>
    </row>
    <row r="2282" spans="2:19" x14ac:dyDescent="0.5">
      <c r="B2282" s="5" t="str">
        <f t="shared" si="2284"/>
        <v>SPS1</v>
      </c>
      <c r="C2282" s="5" t="str">
        <f t="shared" si="2285"/>
        <v>CH</v>
      </c>
      <c r="D2282" t="s">
        <v>2416</v>
      </c>
      <c r="E2282" t="str">
        <f t="shared" si="2286"/>
        <v>GWth/yr.</v>
      </c>
      <c r="F2282" s="1" cm="1">
        <f t="array" ref="F2282">SUMPRODUCT(([1]OUT_FinalEnergyCons!$B$4:$B$10000="var_ncap")*1,  (("ITOT-SWHBIOBR"=[1]OUT_FinalEnergyCons!$A$4:$A$10000)*1+("ITOT-SWHBNGABR"=[1]OUT_FinalEnergyCons!$A$4:$A$10000))*1,[1]OUT_FinalEnergyCons!D$4:D$10000)</f>
        <v>0</v>
      </c>
      <c r="G2282" s="1" cm="1">
        <f t="array" ref="G2282">SUMPRODUCT(([1]OUT_FinalEnergyCons!$B$4:$B$10000="var_ncap")*1,  (("ITOT-SWHBIOBR"=[1]OUT_FinalEnergyCons!$A$4:$A$10000)*1+("ITOT-SWHBNGABR"=[1]OUT_FinalEnergyCons!$A$4:$A$10000))*1,[1]OUT_FinalEnergyCons!E$4:E$10000)</f>
        <v>1.47141143997166E-2</v>
      </c>
      <c r="H2282" s="1" cm="1">
        <f t="array" ref="H2282">SUMPRODUCT(([1]OUT_FinalEnergyCons!$B$4:$B$10000="var_ncap")*1,  (("ITOT-SWHBIOBR"=[1]OUT_FinalEnergyCons!$A$4:$A$10000)*1+("ITOT-SWHBNGABR"=[1]OUT_FinalEnergyCons!$A$4:$A$10000))*1,[1]OUT_FinalEnergyCons!F$4:F$10000)</f>
        <v>2.2463859094431E-2</v>
      </c>
      <c r="I2282" s="1" cm="1">
        <f t="array" ref="I2282">SUMPRODUCT(([1]OUT_FinalEnergyCons!$B$4:$B$10000="var_ncap")*1,  (("ITOT-SWHBIOBR"=[1]OUT_FinalEnergyCons!$A$4:$A$10000)*1+("ITOT-SWHBNGABR"=[1]OUT_FinalEnergyCons!$A$4:$A$10000))*1,[1]OUT_FinalEnergyCons!G$4:G$10000)</f>
        <v>0.120606000391778</v>
      </c>
      <c r="J2282" s="1" cm="1">
        <f t="array" ref="J2282">SUMPRODUCT(([1]OUT_FinalEnergyCons!$B$4:$B$10000="var_ncap")*1,  (("ITOT-SWHBIOBR"=[1]OUT_FinalEnergyCons!$A$4:$A$10000)*1+("ITOT-SWHBNGABR"=[1]OUT_FinalEnergyCons!$A$4:$A$10000))*1,[1]OUT_FinalEnergyCons!H$4:H$10000)</f>
        <v>3.3642014548548302E-2</v>
      </c>
      <c r="K2282" s="1" cm="1">
        <f t="array" ref="K2282">SUMPRODUCT(([1]OUT_FinalEnergyCons!$B$4:$B$10000="var_ncap")*1,  (("ITOT-SWHBIOBR"=[1]OUT_FinalEnergyCons!$A$4:$A$10000)*1+("ITOT-SWHBNGABR"=[1]OUT_FinalEnergyCons!$A$4:$A$10000))*1,[1]OUT_FinalEnergyCons!I$4:I$10000)</f>
        <v>0.106351783821273</v>
      </c>
      <c r="L2282" s="1" cm="1">
        <f t="array" ref="L2282">SUMPRODUCT(([1]OUT_FinalEnergyCons!$B$4:$B$10000="var_ncap")*1,  (("ITOT-SWHBIOBR"=[1]OUT_FinalEnergyCons!$A$4:$A$10000)*1+("ITOT-SWHBNGABR"=[1]OUT_FinalEnergyCons!$A$4:$A$10000))*1,[1]OUT_FinalEnergyCons!J$4:J$10000)</f>
        <v>8.6452053713342303E-2</v>
      </c>
      <c r="M2282" s="1" cm="1">
        <f t="array" ref="M2282">SUMPRODUCT(([1]OUT_FinalEnergyCons!$B$4:$B$10000="var_ncap")*1,  (("ITOT-SWHBIOBR"=[1]OUT_FinalEnergyCons!$A$4:$A$10000)*1+("ITOT-SWHBNGABR"=[1]OUT_FinalEnergyCons!$A$4:$A$10000))*1,[1]OUT_FinalEnergyCons!K$4:K$10000)</f>
        <v>4.9109807322541797E-2</v>
      </c>
      <c r="N2282" s="1" cm="1">
        <f t="array" ref="N2282">SUMPRODUCT(([1]OUT_FinalEnergyCons!$B$4:$B$10000="var_ncap")*1,  (("ITOT-SWHBIOBR"=[1]OUT_FinalEnergyCons!$A$4:$A$10000)*1+("ITOT-SWHBNGABR"=[1]OUT_FinalEnergyCons!$A$4:$A$10000))*1,[1]OUT_FinalEnergyCons!L$4:L$10000)</f>
        <v>0.10572172932466301</v>
      </c>
      <c r="O2282" s="1" cm="1">
        <f t="array" ref="O2282">SUMPRODUCT(([1]OUT_FinalEnergyCons!$B$4:$B$10000="var_ncap")*1,  (("ITOT-SWHBIOBR"=[1]OUT_FinalEnergyCons!$A$4:$A$10000)*1+("ITOT-SWHBNGABR"=[1]OUT_FinalEnergyCons!$A$4:$A$10000))*1,[1]OUT_FinalEnergyCons!M$4:M$10000)</f>
        <v>0.119388128509752</v>
      </c>
      <c r="P2282" s="1" cm="1">
        <f t="array" ref="P2282">SUMPRODUCT(([1]OUT_FinalEnergyCons!$B$4:$B$10000="var_ncap")*1,  (("ITOT-SWHBIOBR"=[1]OUT_FinalEnergyCons!$A$4:$A$10000)*1+("ITOT-SWHBNGABR"=[1]OUT_FinalEnergyCons!$A$4:$A$10000))*1,[1]OUT_FinalEnergyCons!N$4:N$10000)</f>
        <v>6.5347290947691997E-2</v>
      </c>
      <c r="Q2282" s="1" cm="1">
        <f t="array" ref="Q2282">SUMPRODUCT(([1]OUT_FinalEnergyCons!$B$4:$B$10000="var_ncap")*1,  (("ITOT-SWHBIOBR"=[1]OUT_FinalEnergyCons!$A$4:$A$10000)*1+("ITOT-SWHBNGABR"=[1]OUT_FinalEnergyCons!$A$4:$A$10000))*1,[1]OUT_FinalEnergyCons!O$4:O$10000)</f>
        <v>0.120409851274439</v>
      </c>
      <c r="S2282" s="3"/>
    </row>
    <row r="2283" spans="2:19" x14ac:dyDescent="0.5">
      <c r="B2283" s="5" t="str">
        <f t="shared" si="2284"/>
        <v>SPS1</v>
      </c>
      <c r="C2283" s="5" t="str">
        <f t="shared" si="2285"/>
        <v>CH</v>
      </c>
      <c r="D2283" t="s">
        <v>2417</v>
      </c>
      <c r="E2283" t="str">
        <f t="shared" si="2286"/>
        <v>GWth/yr.</v>
      </c>
      <c r="F2283" s="1">
        <f t="shared" ref="F2283:O2283" si="2297">F2284</f>
        <v>0</v>
      </c>
      <c r="G2283" s="1">
        <f t="shared" si="2297"/>
        <v>3.2268288186117802E-5</v>
      </c>
      <c r="H2283" s="1">
        <f t="shared" si="2297"/>
        <v>3.1618765442506499E-5</v>
      </c>
      <c r="I2283" s="1">
        <f t="shared" si="2297"/>
        <v>2.3251251323297498E-5</v>
      </c>
      <c r="J2283" s="1">
        <f t="shared" si="2297"/>
        <v>7.7056645374809897E-5</v>
      </c>
      <c r="K2283" s="1">
        <f t="shared" si="2297"/>
        <v>1.7420871960896101E-4</v>
      </c>
      <c r="L2283" s="1">
        <f t="shared" si="2297"/>
        <v>2.44065761763614E-5</v>
      </c>
      <c r="M2283" s="1">
        <f t="shared" si="2297"/>
        <v>7.5705806272263402E-7</v>
      </c>
      <c r="N2283" s="1">
        <f t="shared" si="2297"/>
        <v>4.9393157749840703E-6</v>
      </c>
      <c r="O2283" s="1">
        <f t="shared" si="2297"/>
        <v>6.3165496549970301E-6</v>
      </c>
      <c r="P2283" s="1">
        <f>P2284</f>
        <v>5.0097925869187401E-6</v>
      </c>
      <c r="Q2283" s="1">
        <f>Q2284</f>
        <v>6.0953013999056303E-6</v>
      </c>
      <c r="S2283" s="3"/>
    </row>
    <row r="2284" spans="2:19" x14ac:dyDescent="0.5">
      <c r="B2284" s="5" t="str">
        <f t="shared" si="2284"/>
        <v>SPS1</v>
      </c>
      <c r="C2284" s="5" t="str">
        <f t="shared" si="2285"/>
        <v>CH</v>
      </c>
      <c r="D2284" t="s">
        <v>2418</v>
      </c>
      <c r="E2284" t="str">
        <f t="shared" si="2286"/>
        <v>GWth/yr.</v>
      </c>
      <c r="F2284" s="1" cm="1">
        <f t="array" ref="F2284">SUMPRODUCT(([1]OUT_FinalEnergyCons!$B$4:$B$10000="var_ncap")*1,  (ISNUMBER(SEARCH("ITOT-SWHCOA*BR",[1]OUT_FinalEnergyCons!$A$4:$A$10000)))*1,[1]OUT_FinalEnergyCons!D$4:D$10000)</f>
        <v>0</v>
      </c>
      <c r="G2284" s="1" cm="1">
        <f t="array" ref="G2284">SUMPRODUCT(([1]OUT_FinalEnergyCons!$B$4:$B$10000="var_ncap")*1,  (ISNUMBER(SEARCH("ITOT-SWHCOA*BR",[1]OUT_FinalEnergyCons!$A$4:$A$10000)))*1,[1]OUT_FinalEnergyCons!E$4:E$10000)</f>
        <v>3.2268288186117802E-5</v>
      </c>
      <c r="H2284" s="1" cm="1">
        <f t="array" ref="H2284">SUMPRODUCT(([1]OUT_FinalEnergyCons!$B$4:$B$10000="var_ncap")*1,  (ISNUMBER(SEARCH("ITOT-SWHCOA*BR",[1]OUT_FinalEnergyCons!$A$4:$A$10000)))*1,[1]OUT_FinalEnergyCons!F$4:F$10000)</f>
        <v>3.1618765442506499E-5</v>
      </c>
      <c r="I2284" s="1" cm="1">
        <f t="array" ref="I2284">SUMPRODUCT(([1]OUT_FinalEnergyCons!$B$4:$B$10000="var_ncap")*1,  (ISNUMBER(SEARCH("ITOT-SWHCOA*BR",[1]OUT_FinalEnergyCons!$A$4:$A$10000)))*1,[1]OUT_FinalEnergyCons!G$4:G$10000)</f>
        <v>2.3251251323297498E-5</v>
      </c>
      <c r="J2284" s="1" cm="1">
        <f t="array" ref="J2284">SUMPRODUCT(([1]OUT_FinalEnergyCons!$B$4:$B$10000="var_ncap")*1,  (ISNUMBER(SEARCH("ITOT-SWHCOA*BR",[1]OUT_FinalEnergyCons!$A$4:$A$10000)))*1,[1]OUT_FinalEnergyCons!H$4:H$10000)</f>
        <v>7.7056645374809897E-5</v>
      </c>
      <c r="K2284" s="1" cm="1">
        <f t="array" ref="K2284">SUMPRODUCT(([1]OUT_FinalEnergyCons!$B$4:$B$10000="var_ncap")*1,  (ISNUMBER(SEARCH("ITOT-SWHCOA*BR",[1]OUT_FinalEnergyCons!$A$4:$A$10000)))*1,[1]OUT_FinalEnergyCons!I$4:I$10000)</f>
        <v>1.7420871960896101E-4</v>
      </c>
      <c r="L2284" s="1" cm="1">
        <f t="array" ref="L2284">SUMPRODUCT(([1]OUT_FinalEnergyCons!$B$4:$B$10000="var_ncap")*1,  (ISNUMBER(SEARCH("ITOT-SWHCOA*BR",[1]OUT_FinalEnergyCons!$A$4:$A$10000)))*1,[1]OUT_FinalEnergyCons!J$4:J$10000)</f>
        <v>2.44065761763614E-5</v>
      </c>
      <c r="M2284" s="1" cm="1">
        <f t="array" ref="M2284">SUMPRODUCT(([1]OUT_FinalEnergyCons!$B$4:$B$10000="var_ncap")*1,  (ISNUMBER(SEARCH("ITOT-SWHCOA*BR",[1]OUT_FinalEnergyCons!$A$4:$A$10000)))*1,[1]OUT_FinalEnergyCons!K$4:K$10000)</f>
        <v>7.5705806272263402E-7</v>
      </c>
      <c r="N2284" s="1" cm="1">
        <f t="array" ref="N2284">SUMPRODUCT(([1]OUT_FinalEnergyCons!$B$4:$B$10000="var_ncap")*1,  (ISNUMBER(SEARCH("ITOT-SWHCOA*BR",[1]OUT_FinalEnergyCons!$A$4:$A$10000)))*1,[1]OUT_FinalEnergyCons!L$4:L$10000)</f>
        <v>4.9393157749840703E-6</v>
      </c>
      <c r="O2284" s="1" cm="1">
        <f t="array" ref="O2284">SUMPRODUCT(([1]OUT_FinalEnergyCons!$B$4:$B$10000="var_ncap")*1,  (ISNUMBER(SEARCH("ITOT-SWHCOA*BR",[1]OUT_FinalEnergyCons!$A$4:$A$10000)))*1,[1]OUT_FinalEnergyCons!M$4:M$10000)</f>
        <v>6.3165496549970301E-6</v>
      </c>
      <c r="P2284" s="1" cm="1">
        <f t="array" ref="P2284">SUMPRODUCT(([1]OUT_FinalEnergyCons!$B$4:$B$10000="var_ncap")*1,  (ISNUMBER(SEARCH("ITOT-SWHCOA*BR",[1]OUT_FinalEnergyCons!$A$4:$A$10000)))*1,[1]OUT_FinalEnergyCons!N$4:N$10000)</f>
        <v>5.0097925869187401E-6</v>
      </c>
      <c r="Q2284" s="1" cm="1">
        <f t="array" ref="Q2284">SUMPRODUCT(([1]OUT_FinalEnergyCons!$B$4:$B$10000="var_ncap")*1,  (ISNUMBER(SEARCH("ITOT-SWHCOA*BR",[1]OUT_FinalEnergyCons!$A$4:$A$10000)))*1,[1]OUT_FinalEnergyCons!O$4:O$10000)</f>
        <v>6.0953013999056303E-6</v>
      </c>
      <c r="S2284" s="3"/>
    </row>
    <row r="2285" spans="2:19" x14ac:dyDescent="0.5">
      <c r="B2285" s="5" t="str">
        <f t="shared" si="2284"/>
        <v>SPS1</v>
      </c>
      <c r="C2285" s="5" t="str">
        <f t="shared" si="2285"/>
        <v>CH</v>
      </c>
      <c r="D2285" t="s">
        <v>2419</v>
      </c>
      <c r="E2285" t="str">
        <f t="shared" si="2286"/>
        <v>GWth/yr.</v>
      </c>
      <c r="F2285" s="1">
        <f t="shared" ref="F2285:O2285" si="2298">F2286</f>
        <v>0</v>
      </c>
      <c r="G2285" s="1">
        <f t="shared" si="2298"/>
        <v>5.4552833682546799E-2</v>
      </c>
      <c r="H2285" s="1">
        <f t="shared" si="2298"/>
        <v>1.2993160755517299E-4</v>
      </c>
      <c r="I2285" s="1">
        <f t="shared" si="2298"/>
        <v>3.1559017257300502E-2</v>
      </c>
      <c r="J2285" s="1">
        <f t="shared" si="2298"/>
        <v>0.25388343603264102</v>
      </c>
      <c r="K2285" s="1">
        <f t="shared" si="2298"/>
        <v>7.0079312578721395E-2</v>
      </c>
      <c r="L2285" s="1">
        <f t="shared" si="2298"/>
        <v>1.68353881950862E-2</v>
      </c>
      <c r="M2285" s="1">
        <f t="shared" si="2298"/>
        <v>0.27557756446264198</v>
      </c>
      <c r="N2285" s="1">
        <f t="shared" si="2298"/>
        <v>4.3774175637148902E-2</v>
      </c>
      <c r="O2285" s="1">
        <f t="shared" si="2298"/>
        <v>0.18131548446048501</v>
      </c>
      <c r="P2285" s="1">
        <f>P2286</f>
        <v>8.0373626493288206E-2</v>
      </c>
      <c r="Q2285" s="1">
        <f>Q2286</f>
        <v>7.7314653366933897E-2</v>
      </c>
      <c r="S2285" s="3"/>
    </row>
    <row r="2286" spans="2:19" x14ac:dyDescent="0.5">
      <c r="B2286" s="5" t="str">
        <f t="shared" si="2284"/>
        <v>SPS1</v>
      </c>
      <c r="C2286" s="5" t="str">
        <f t="shared" si="2285"/>
        <v>CH</v>
      </c>
      <c r="D2286" t="s">
        <v>2420</v>
      </c>
      <c r="E2286" t="str">
        <f t="shared" si="2286"/>
        <v>GWth/yr.</v>
      </c>
      <c r="F2286" s="1" cm="1">
        <f t="array" ref="F2286">SUMPRODUCT(([1]OUT_FinalEnergyCons!$B$4:$B$10000="var_ncap")*1,  (ISNUMBER(SEARCH("ITOT-SWHWOD*BR",[1]OUT_FinalEnergyCons!$A$4:$A$10000)))*1,[1]OUT_FinalEnergyCons!D$4:D$10000)</f>
        <v>0</v>
      </c>
      <c r="G2286" s="1" cm="1">
        <f t="array" ref="G2286">SUMPRODUCT(([1]OUT_FinalEnergyCons!$B$4:$B$10000="var_ncap")*1,  (ISNUMBER(SEARCH("ITOT-SWHWOD*BR",[1]OUT_FinalEnergyCons!$A$4:$A$10000)))*1,[1]OUT_FinalEnergyCons!E$4:E$10000)</f>
        <v>5.4552833682546799E-2</v>
      </c>
      <c r="H2286" s="1" cm="1">
        <f t="array" ref="H2286">SUMPRODUCT(([1]OUT_FinalEnergyCons!$B$4:$B$10000="var_ncap")*1,  (ISNUMBER(SEARCH("ITOT-SWHWOD*BR",[1]OUT_FinalEnergyCons!$A$4:$A$10000)))*1,[1]OUT_FinalEnergyCons!F$4:F$10000)</f>
        <v>1.2993160755517299E-4</v>
      </c>
      <c r="I2286" s="1" cm="1">
        <f t="array" ref="I2286">SUMPRODUCT(([1]OUT_FinalEnergyCons!$B$4:$B$10000="var_ncap")*1,  (ISNUMBER(SEARCH("ITOT-SWHWOD*BR",[1]OUT_FinalEnergyCons!$A$4:$A$10000)))*1,[1]OUT_FinalEnergyCons!G$4:G$10000)</f>
        <v>3.1559017257300502E-2</v>
      </c>
      <c r="J2286" s="1" cm="1">
        <f t="array" ref="J2286">SUMPRODUCT(([1]OUT_FinalEnergyCons!$B$4:$B$10000="var_ncap")*1,  (ISNUMBER(SEARCH("ITOT-SWHWOD*BR",[1]OUT_FinalEnergyCons!$A$4:$A$10000)))*1,[1]OUT_FinalEnergyCons!H$4:H$10000)</f>
        <v>0.25388343603264102</v>
      </c>
      <c r="K2286" s="1" cm="1">
        <f t="array" ref="K2286">SUMPRODUCT(([1]OUT_FinalEnergyCons!$B$4:$B$10000="var_ncap")*1,  (ISNUMBER(SEARCH("ITOT-SWHWOD*BR",[1]OUT_FinalEnergyCons!$A$4:$A$10000)))*1,[1]OUT_FinalEnergyCons!I$4:I$10000)</f>
        <v>7.0079312578721395E-2</v>
      </c>
      <c r="L2286" s="1" cm="1">
        <f t="array" ref="L2286">SUMPRODUCT(([1]OUT_FinalEnergyCons!$B$4:$B$10000="var_ncap")*1,  (ISNUMBER(SEARCH("ITOT-SWHWOD*BR",[1]OUT_FinalEnergyCons!$A$4:$A$10000)))*1,[1]OUT_FinalEnergyCons!J$4:J$10000)</f>
        <v>1.68353881950862E-2</v>
      </c>
      <c r="M2286" s="1" cm="1">
        <f t="array" ref="M2286">SUMPRODUCT(([1]OUT_FinalEnergyCons!$B$4:$B$10000="var_ncap")*1,  (ISNUMBER(SEARCH("ITOT-SWHWOD*BR",[1]OUT_FinalEnergyCons!$A$4:$A$10000)))*1,[1]OUT_FinalEnergyCons!K$4:K$10000)</f>
        <v>0.27557756446264198</v>
      </c>
      <c r="N2286" s="1" cm="1">
        <f t="array" ref="N2286">SUMPRODUCT(([1]OUT_FinalEnergyCons!$B$4:$B$10000="var_ncap")*1,  (ISNUMBER(SEARCH("ITOT-SWHWOD*BR",[1]OUT_FinalEnergyCons!$A$4:$A$10000)))*1,[1]OUT_FinalEnergyCons!L$4:L$10000)</f>
        <v>4.3774175637148902E-2</v>
      </c>
      <c r="O2286" s="1" cm="1">
        <f t="array" ref="O2286">SUMPRODUCT(([1]OUT_FinalEnergyCons!$B$4:$B$10000="var_ncap")*1,  (ISNUMBER(SEARCH("ITOT-SWHWOD*BR",[1]OUT_FinalEnergyCons!$A$4:$A$10000)))*1,[1]OUT_FinalEnergyCons!M$4:M$10000)</f>
        <v>0.18131548446048501</v>
      </c>
      <c r="P2286" s="1" cm="1">
        <f t="array" ref="P2286">SUMPRODUCT(([1]OUT_FinalEnergyCons!$B$4:$B$10000="var_ncap")*1,  (ISNUMBER(SEARCH("ITOT-SWHWOD*BR",[1]OUT_FinalEnergyCons!$A$4:$A$10000)))*1,[1]OUT_FinalEnergyCons!N$4:N$10000)</f>
        <v>8.0373626493288206E-2</v>
      </c>
      <c r="Q2286" s="1" cm="1">
        <f t="array" ref="Q2286">SUMPRODUCT(([1]OUT_FinalEnergyCons!$B$4:$B$10000="var_ncap")*1,  (ISNUMBER(SEARCH("ITOT-SWHWOD*BR",[1]OUT_FinalEnergyCons!$A$4:$A$10000)))*1,[1]OUT_FinalEnergyCons!O$4:O$10000)</f>
        <v>7.7314653366933897E-2</v>
      </c>
      <c r="S2286" s="3"/>
    </row>
    <row r="2287" spans="2:19" x14ac:dyDescent="0.5">
      <c r="B2287" s="5" t="str">
        <f t="shared" si="2284"/>
        <v>SPS1</v>
      </c>
      <c r="C2287" s="5" t="str">
        <f t="shared" si="2285"/>
        <v>CH</v>
      </c>
      <c r="D2287" t="s">
        <v>2421</v>
      </c>
      <c r="E2287" t="str">
        <f t="shared" si="2286"/>
        <v>GWth/yr.</v>
      </c>
      <c r="F2287" s="1">
        <f t="shared" ref="F2287:O2287" si="2299">F2288</f>
        <v>0</v>
      </c>
      <c r="G2287" s="1">
        <f t="shared" si="2299"/>
        <v>8.2315024159053101E-3</v>
      </c>
      <c r="H2287" s="1">
        <f t="shared" si="2299"/>
        <v>1.77205166362491E-4</v>
      </c>
      <c r="I2287" s="1">
        <f t="shared" si="2299"/>
        <v>3.5318727540392999E-3</v>
      </c>
      <c r="J2287" s="1">
        <f t="shared" si="2299"/>
        <v>2.73043730860527E-2</v>
      </c>
      <c r="K2287" s="1">
        <f t="shared" si="2299"/>
        <v>1.1469685660271201E-2</v>
      </c>
      <c r="L2287" s="1">
        <f t="shared" si="2299"/>
        <v>6.3913385003749896E-3</v>
      </c>
      <c r="M2287" s="1">
        <f t="shared" si="2299"/>
        <v>2.37044573579357E-2</v>
      </c>
      <c r="N2287" s="1">
        <f t="shared" si="2299"/>
        <v>9.9042142504647893E-3</v>
      </c>
      <c r="O2287" s="1">
        <f t="shared" si="2299"/>
        <v>5.4065368354129601E-3</v>
      </c>
      <c r="P2287" s="1">
        <f>P2288</f>
        <v>2.50087475253663E-2</v>
      </c>
      <c r="Q2287" s="1">
        <f>Q2288</f>
        <v>5.0210063313465498E-3</v>
      </c>
      <c r="S2287" s="3"/>
    </row>
    <row r="2288" spans="2:19" x14ac:dyDescent="0.5">
      <c r="B2288" s="5" t="str">
        <f t="shared" si="2284"/>
        <v>SPS1</v>
      </c>
      <c r="C2288" s="5" t="str">
        <f t="shared" si="2285"/>
        <v>CH</v>
      </c>
      <c r="D2288" t="s">
        <v>2422</v>
      </c>
      <c r="E2288" t="str">
        <f t="shared" si="2286"/>
        <v>GWth/yr.</v>
      </c>
      <c r="F2288" s="1" cm="1">
        <f t="array" ref="F2288">SUMPRODUCT(([1]OUT_FinalEnergyCons!$B$4:$B$10000="var_ncap")*1,  (ISNUMBER(SEARCH("ITOT-SWHPLT*BR",[1]OUT_FinalEnergyCons!$A$4:$A$10000)))*1,[1]OUT_FinalEnergyCons!D$4:D$10000)</f>
        <v>0</v>
      </c>
      <c r="G2288" s="1" cm="1">
        <f t="array" ref="G2288">SUMPRODUCT(([1]OUT_FinalEnergyCons!$B$4:$B$10000="var_ncap")*1,  (ISNUMBER(SEARCH("ITOT-SWHPLT*BR",[1]OUT_FinalEnergyCons!$A$4:$A$10000)))*1,[1]OUT_FinalEnergyCons!E$4:E$10000)</f>
        <v>8.2315024159053101E-3</v>
      </c>
      <c r="H2288" s="1" cm="1">
        <f t="array" ref="H2288">SUMPRODUCT(([1]OUT_FinalEnergyCons!$B$4:$B$10000="var_ncap")*1,  (ISNUMBER(SEARCH("ITOT-SWHPLT*BR",[1]OUT_FinalEnergyCons!$A$4:$A$10000)))*1,[1]OUT_FinalEnergyCons!F$4:F$10000)</f>
        <v>1.77205166362491E-4</v>
      </c>
      <c r="I2288" s="1" cm="1">
        <f t="array" ref="I2288">SUMPRODUCT(([1]OUT_FinalEnergyCons!$B$4:$B$10000="var_ncap")*1,  (ISNUMBER(SEARCH("ITOT-SWHPLT*BR",[1]OUT_FinalEnergyCons!$A$4:$A$10000)))*1,[1]OUT_FinalEnergyCons!G$4:G$10000)</f>
        <v>3.5318727540392999E-3</v>
      </c>
      <c r="J2288" s="1" cm="1">
        <f t="array" ref="J2288">SUMPRODUCT(([1]OUT_FinalEnergyCons!$B$4:$B$10000="var_ncap")*1,  (ISNUMBER(SEARCH("ITOT-SWHPLT*BR",[1]OUT_FinalEnergyCons!$A$4:$A$10000)))*1,[1]OUT_FinalEnergyCons!H$4:H$10000)</f>
        <v>2.73043730860527E-2</v>
      </c>
      <c r="K2288" s="1" cm="1">
        <f t="array" ref="K2288">SUMPRODUCT(([1]OUT_FinalEnergyCons!$B$4:$B$10000="var_ncap")*1,  (ISNUMBER(SEARCH("ITOT-SWHPLT*BR",[1]OUT_FinalEnergyCons!$A$4:$A$10000)))*1,[1]OUT_FinalEnergyCons!I$4:I$10000)</f>
        <v>1.1469685660271201E-2</v>
      </c>
      <c r="L2288" s="1" cm="1">
        <f t="array" ref="L2288">SUMPRODUCT(([1]OUT_FinalEnergyCons!$B$4:$B$10000="var_ncap")*1,  (ISNUMBER(SEARCH("ITOT-SWHPLT*BR",[1]OUT_FinalEnergyCons!$A$4:$A$10000)))*1,[1]OUT_FinalEnergyCons!J$4:J$10000)</f>
        <v>6.3913385003749896E-3</v>
      </c>
      <c r="M2288" s="1" cm="1">
        <f t="array" ref="M2288">SUMPRODUCT(([1]OUT_FinalEnergyCons!$B$4:$B$10000="var_ncap")*1,  (ISNUMBER(SEARCH("ITOT-SWHPLT*BR",[1]OUT_FinalEnergyCons!$A$4:$A$10000)))*1,[1]OUT_FinalEnergyCons!K$4:K$10000)</f>
        <v>2.37044573579357E-2</v>
      </c>
      <c r="N2288" s="1" cm="1">
        <f t="array" ref="N2288">SUMPRODUCT(([1]OUT_FinalEnergyCons!$B$4:$B$10000="var_ncap")*1,  (ISNUMBER(SEARCH("ITOT-SWHPLT*BR",[1]OUT_FinalEnergyCons!$A$4:$A$10000)))*1,[1]OUT_FinalEnergyCons!L$4:L$10000)</f>
        <v>9.9042142504647893E-3</v>
      </c>
      <c r="O2288" s="1" cm="1">
        <f t="array" ref="O2288">SUMPRODUCT(([1]OUT_FinalEnergyCons!$B$4:$B$10000="var_ncap")*1,  (ISNUMBER(SEARCH("ITOT-SWHPLT*BR",[1]OUT_FinalEnergyCons!$A$4:$A$10000)))*1,[1]OUT_FinalEnergyCons!M$4:M$10000)</f>
        <v>5.4065368354129601E-3</v>
      </c>
      <c r="P2288" s="1" cm="1">
        <f t="array" ref="P2288">SUMPRODUCT(([1]OUT_FinalEnergyCons!$B$4:$B$10000="var_ncap")*1,  (ISNUMBER(SEARCH("ITOT-SWHPLT*BR",[1]OUT_FinalEnergyCons!$A$4:$A$10000)))*1,[1]OUT_FinalEnergyCons!N$4:N$10000)</f>
        <v>2.50087475253663E-2</v>
      </c>
      <c r="Q2288" s="1" cm="1">
        <f t="array" ref="Q2288">SUMPRODUCT(([1]OUT_FinalEnergyCons!$B$4:$B$10000="var_ncap")*1,  (ISNUMBER(SEARCH("ITOT-SWHPLT*BR",[1]OUT_FinalEnergyCons!$A$4:$A$10000)))*1,[1]OUT_FinalEnergyCons!O$4:O$10000)</f>
        <v>5.0210063313465498E-3</v>
      </c>
      <c r="S2288" s="3"/>
    </row>
    <row r="2289" spans="2:19" x14ac:dyDescent="0.5">
      <c r="B2289" s="5" t="str">
        <f t="shared" si="2284"/>
        <v>SPS1</v>
      </c>
      <c r="C2289" s="5" t="str">
        <f t="shared" si="2285"/>
        <v>CH</v>
      </c>
      <c r="D2289" t="s">
        <v>2423</v>
      </c>
      <c r="E2289" t="str">
        <f t="shared" si="2286"/>
        <v>GWth/yr.</v>
      </c>
      <c r="F2289" s="1">
        <f t="shared" ref="F2289:O2289" si="2300">F2290</f>
        <v>0</v>
      </c>
      <c r="G2289" s="1">
        <f t="shared" si="2300"/>
        <v>4.1152555659971298E-5</v>
      </c>
      <c r="H2289" s="1">
        <f t="shared" si="2300"/>
        <v>4.1396007876124803E-5</v>
      </c>
      <c r="I2289" s="1">
        <f t="shared" si="2300"/>
        <v>4.5690222976612703E-5</v>
      </c>
      <c r="J2289" s="1">
        <f t="shared" si="2300"/>
        <v>0.17088631531118201</v>
      </c>
      <c r="K2289" s="1">
        <f t="shared" si="2300"/>
        <v>2.75493241042108E-2</v>
      </c>
      <c r="L2289" s="1">
        <f t="shared" si="2300"/>
        <v>1.16615623411792E-4</v>
      </c>
      <c r="M2289" s="1">
        <f t="shared" si="2300"/>
        <v>1.5552813434625799E-4</v>
      </c>
      <c r="N2289" s="1">
        <f t="shared" si="2300"/>
        <v>1.63266380664426E-4</v>
      </c>
      <c r="O2289" s="1">
        <f t="shared" si="2300"/>
        <v>4.4586054523021497E-5</v>
      </c>
      <c r="P2289" s="1">
        <f>P2290</f>
        <v>6.42233564008768E-5</v>
      </c>
      <c r="Q2289" s="1">
        <f>Q2290</f>
        <v>2.3877013651555999E-5</v>
      </c>
      <c r="S2289" s="3"/>
    </row>
    <row r="2290" spans="2:19" x14ac:dyDescent="0.5">
      <c r="B2290" s="5" t="str">
        <f t="shared" si="2284"/>
        <v>SPS1</v>
      </c>
      <c r="C2290" s="5" t="str">
        <f t="shared" si="2285"/>
        <v>CH</v>
      </c>
      <c r="D2290" t="s">
        <v>2424</v>
      </c>
      <c r="E2290" t="str">
        <f t="shared" si="2286"/>
        <v>GWth/yr.</v>
      </c>
      <c r="F2290" s="1" cm="1">
        <f t="array" ref="F2290">SUMPRODUCT(([1]OUT_FinalEnergyCons!$B$4:$B$10000="var_ncap")*1,  (ISNUMBER(SEARCH("ITOT-SWHWST*BR",[1]OUT_FinalEnergyCons!$A$4:$A$10000)))*1,[1]OUT_FinalEnergyCons!D$4:D$10000)</f>
        <v>0</v>
      </c>
      <c r="G2290" s="1" cm="1">
        <f t="array" ref="G2290">SUMPRODUCT(([1]OUT_FinalEnergyCons!$B$4:$B$10000="var_ncap")*1,  (ISNUMBER(SEARCH("ITOT-SWHWST*BR",[1]OUT_FinalEnergyCons!$A$4:$A$10000)))*1,[1]OUT_FinalEnergyCons!E$4:E$10000)</f>
        <v>4.1152555659971298E-5</v>
      </c>
      <c r="H2290" s="1" cm="1">
        <f t="array" ref="H2290">SUMPRODUCT(([1]OUT_FinalEnergyCons!$B$4:$B$10000="var_ncap")*1,  (ISNUMBER(SEARCH("ITOT-SWHWST*BR",[1]OUT_FinalEnergyCons!$A$4:$A$10000)))*1,[1]OUT_FinalEnergyCons!F$4:F$10000)</f>
        <v>4.1396007876124803E-5</v>
      </c>
      <c r="I2290" s="1" cm="1">
        <f t="array" ref="I2290">SUMPRODUCT(([1]OUT_FinalEnergyCons!$B$4:$B$10000="var_ncap")*1,  (ISNUMBER(SEARCH("ITOT-SWHWST*BR",[1]OUT_FinalEnergyCons!$A$4:$A$10000)))*1,[1]OUT_FinalEnergyCons!G$4:G$10000)</f>
        <v>4.5690222976612703E-5</v>
      </c>
      <c r="J2290" s="1" cm="1">
        <f t="array" ref="J2290">SUMPRODUCT(([1]OUT_FinalEnergyCons!$B$4:$B$10000="var_ncap")*1,  (ISNUMBER(SEARCH("ITOT-SWHWST*BR",[1]OUT_FinalEnergyCons!$A$4:$A$10000)))*1,[1]OUT_FinalEnergyCons!H$4:H$10000)</f>
        <v>0.17088631531118201</v>
      </c>
      <c r="K2290" s="1" cm="1">
        <f t="array" ref="K2290">SUMPRODUCT(([1]OUT_FinalEnergyCons!$B$4:$B$10000="var_ncap")*1,  (ISNUMBER(SEARCH("ITOT-SWHWST*BR",[1]OUT_FinalEnergyCons!$A$4:$A$10000)))*1,[1]OUT_FinalEnergyCons!I$4:I$10000)</f>
        <v>2.75493241042108E-2</v>
      </c>
      <c r="L2290" s="1" cm="1">
        <f t="array" ref="L2290">SUMPRODUCT(([1]OUT_FinalEnergyCons!$B$4:$B$10000="var_ncap")*1,  (ISNUMBER(SEARCH("ITOT-SWHWST*BR",[1]OUT_FinalEnergyCons!$A$4:$A$10000)))*1,[1]OUT_FinalEnergyCons!J$4:J$10000)</f>
        <v>1.16615623411792E-4</v>
      </c>
      <c r="M2290" s="1" cm="1">
        <f t="array" ref="M2290">SUMPRODUCT(([1]OUT_FinalEnergyCons!$B$4:$B$10000="var_ncap")*1,  (ISNUMBER(SEARCH("ITOT-SWHWST*BR",[1]OUT_FinalEnergyCons!$A$4:$A$10000)))*1,[1]OUT_FinalEnergyCons!K$4:K$10000)</f>
        <v>1.5552813434625799E-4</v>
      </c>
      <c r="N2290" s="1" cm="1">
        <f t="array" ref="N2290">SUMPRODUCT(([1]OUT_FinalEnergyCons!$B$4:$B$10000="var_ncap")*1,  (ISNUMBER(SEARCH("ITOT-SWHWST*BR",[1]OUT_FinalEnergyCons!$A$4:$A$10000)))*1,[1]OUT_FinalEnergyCons!L$4:L$10000)</f>
        <v>1.63266380664426E-4</v>
      </c>
      <c r="O2290" s="1" cm="1">
        <f t="array" ref="O2290">SUMPRODUCT(([1]OUT_FinalEnergyCons!$B$4:$B$10000="var_ncap")*1,  (ISNUMBER(SEARCH("ITOT-SWHWST*BR",[1]OUT_FinalEnergyCons!$A$4:$A$10000)))*1,[1]OUT_FinalEnergyCons!M$4:M$10000)</f>
        <v>4.4586054523021497E-5</v>
      </c>
      <c r="P2290" s="1" cm="1">
        <f t="array" ref="P2290">SUMPRODUCT(([1]OUT_FinalEnergyCons!$B$4:$B$10000="var_ncap")*1,  (ISNUMBER(SEARCH("ITOT-SWHWST*BR",[1]OUT_FinalEnergyCons!$A$4:$A$10000)))*1,[1]OUT_FinalEnergyCons!N$4:N$10000)</f>
        <v>6.42233564008768E-5</v>
      </c>
      <c r="Q2290" s="1" cm="1">
        <f t="array" ref="Q2290">SUMPRODUCT(([1]OUT_FinalEnergyCons!$B$4:$B$10000="var_ncap")*1,  (ISNUMBER(SEARCH("ITOT-SWHWST*BR",[1]OUT_FinalEnergyCons!$A$4:$A$10000)))*1,[1]OUT_FinalEnergyCons!O$4:O$10000)</f>
        <v>2.3877013651555999E-5</v>
      </c>
      <c r="S2290" s="3"/>
    </row>
    <row r="2291" spans="2:19" x14ac:dyDescent="0.5">
      <c r="B2291" s="5" t="str">
        <f t="shared" si="2284"/>
        <v>SPS1</v>
      </c>
      <c r="C2291" s="5" t="str">
        <f t="shared" si="2285"/>
        <v>CH</v>
      </c>
      <c r="D2291" t="s">
        <v>2425</v>
      </c>
      <c r="E2291" t="str">
        <f t="shared" si="2286"/>
        <v>GWth/yr.</v>
      </c>
      <c r="F2291" s="1">
        <f t="shared" ref="F2291:O2291" si="2301">F2292</f>
        <v>0</v>
      </c>
      <c r="G2291" s="1">
        <f t="shared" si="2301"/>
        <v>2.7011269055432201E-3</v>
      </c>
      <c r="H2291" s="1">
        <f t="shared" si="2301"/>
        <v>1.49398923645107E-6</v>
      </c>
      <c r="I2291" s="1">
        <f t="shared" si="2301"/>
        <v>1.92958504101201E-6</v>
      </c>
      <c r="J2291" s="1">
        <f t="shared" si="2301"/>
        <v>8.5928832802670291E-3</v>
      </c>
      <c r="K2291" s="1">
        <f t="shared" si="2301"/>
        <v>3.9829993845993004E-3</v>
      </c>
      <c r="L2291" s="1">
        <f t="shared" si="2301"/>
        <v>1.70139415372204E-4</v>
      </c>
      <c r="M2291" s="1">
        <f t="shared" si="2301"/>
        <v>8.6159176440373294E-3</v>
      </c>
      <c r="N2291" s="1">
        <f t="shared" si="2301"/>
        <v>3.39460176599148E-3</v>
      </c>
      <c r="O2291" s="1">
        <f t="shared" si="2301"/>
        <v>7.6211737765095097E-4</v>
      </c>
      <c r="P2291" s="1">
        <f>P2292</f>
        <v>8.1697763398997907E-3</v>
      </c>
      <c r="Q2291" s="1">
        <f>Q2292</f>
        <v>3.85958466122062E-3</v>
      </c>
      <c r="S2291" s="3"/>
    </row>
    <row r="2292" spans="2:19" x14ac:dyDescent="0.5">
      <c r="B2292" s="5" t="str">
        <f t="shared" si="2284"/>
        <v>SPS1</v>
      </c>
      <c r="C2292" s="5" t="str">
        <f t="shared" si="2285"/>
        <v>CH</v>
      </c>
      <c r="D2292" t="s">
        <v>2426</v>
      </c>
      <c r="E2292" t="str">
        <f t="shared" si="2286"/>
        <v>GWth/yr.</v>
      </c>
      <c r="F2292" s="1" cm="1">
        <f t="array" ref="F2292">SUMPRODUCT(([1]OUT_FinalEnergyCons!$B$4:$B$10000="var_ncap")*1, (ISNUMBER(SEARCH("ITOT-SWHSOLBR",[1]OUT_FinalEnergyCons!$A$4:$A$10000)))*1,[1]OUT_FinalEnergyCons!D$4:D$10000)</f>
        <v>0</v>
      </c>
      <c r="G2292" s="1" cm="1">
        <f t="array" ref="G2292">SUMPRODUCT(([1]OUT_FinalEnergyCons!$B$4:$B$10000="var_ncap")*1, (ISNUMBER(SEARCH("ITOT-SWHSOLBR",[1]OUT_FinalEnergyCons!$A$4:$A$10000)))*1,[1]OUT_FinalEnergyCons!E$4:E$10000)</f>
        <v>2.7011269055432201E-3</v>
      </c>
      <c r="H2292" s="1" cm="1">
        <f t="array" ref="H2292">SUMPRODUCT(([1]OUT_FinalEnergyCons!$B$4:$B$10000="var_ncap")*1, (ISNUMBER(SEARCH("ITOT-SWHSOLBR",[1]OUT_FinalEnergyCons!$A$4:$A$10000)))*1,[1]OUT_FinalEnergyCons!F$4:F$10000)</f>
        <v>1.49398923645107E-6</v>
      </c>
      <c r="I2292" s="1" cm="1">
        <f t="array" ref="I2292">SUMPRODUCT(([1]OUT_FinalEnergyCons!$B$4:$B$10000="var_ncap")*1, (ISNUMBER(SEARCH("ITOT-SWHSOLBR",[1]OUT_FinalEnergyCons!$A$4:$A$10000)))*1,[1]OUT_FinalEnergyCons!G$4:G$10000)</f>
        <v>1.92958504101201E-6</v>
      </c>
      <c r="J2292" s="1" cm="1">
        <f t="array" ref="J2292">SUMPRODUCT(([1]OUT_FinalEnergyCons!$B$4:$B$10000="var_ncap")*1, (ISNUMBER(SEARCH("ITOT-SWHSOLBR",[1]OUT_FinalEnergyCons!$A$4:$A$10000)))*1,[1]OUT_FinalEnergyCons!H$4:H$10000)</f>
        <v>8.5928832802670291E-3</v>
      </c>
      <c r="K2292" s="1" cm="1">
        <f t="array" ref="K2292">SUMPRODUCT(([1]OUT_FinalEnergyCons!$B$4:$B$10000="var_ncap")*1, (ISNUMBER(SEARCH("ITOT-SWHSOLBR",[1]OUT_FinalEnergyCons!$A$4:$A$10000)))*1,[1]OUT_FinalEnergyCons!I$4:I$10000)</f>
        <v>3.9829993845993004E-3</v>
      </c>
      <c r="L2292" s="1" cm="1">
        <f t="array" ref="L2292">SUMPRODUCT(([1]OUT_FinalEnergyCons!$B$4:$B$10000="var_ncap")*1, (ISNUMBER(SEARCH("ITOT-SWHSOLBR",[1]OUT_FinalEnergyCons!$A$4:$A$10000)))*1,[1]OUT_FinalEnergyCons!J$4:J$10000)</f>
        <v>1.70139415372204E-4</v>
      </c>
      <c r="M2292" s="1" cm="1">
        <f t="array" ref="M2292">SUMPRODUCT(([1]OUT_FinalEnergyCons!$B$4:$B$10000="var_ncap")*1, (ISNUMBER(SEARCH("ITOT-SWHSOLBR",[1]OUT_FinalEnergyCons!$A$4:$A$10000)))*1,[1]OUT_FinalEnergyCons!K$4:K$10000)</f>
        <v>8.6159176440373294E-3</v>
      </c>
      <c r="N2292" s="1" cm="1">
        <f t="array" ref="N2292">SUMPRODUCT(([1]OUT_FinalEnergyCons!$B$4:$B$10000="var_ncap")*1, (ISNUMBER(SEARCH("ITOT-SWHSOLBR",[1]OUT_FinalEnergyCons!$A$4:$A$10000)))*1,[1]OUT_FinalEnergyCons!L$4:L$10000)</f>
        <v>3.39460176599148E-3</v>
      </c>
      <c r="O2292" s="1" cm="1">
        <f t="array" ref="O2292">SUMPRODUCT(([1]OUT_FinalEnergyCons!$B$4:$B$10000="var_ncap")*1, (ISNUMBER(SEARCH("ITOT-SWHSOLBR",[1]OUT_FinalEnergyCons!$A$4:$A$10000)))*1,[1]OUT_FinalEnergyCons!M$4:M$10000)</f>
        <v>7.6211737765095097E-4</v>
      </c>
      <c r="P2292" s="1" cm="1">
        <f t="array" ref="P2292">SUMPRODUCT(([1]OUT_FinalEnergyCons!$B$4:$B$10000="var_ncap")*1, (ISNUMBER(SEARCH("ITOT-SWHSOLBR",[1]OUT_FinalEnergyCons!$A$4:$A$10000)))*1,[1]OUT_FinalEnergyCons!N$4:N$10000)</f>
        <v>8.1697763398997907E-3</v>
      </c>
      <c r="Q2292" s="1" cm="1">
        <f t="array" ref="Q2292">SUMPRODUCT(([1]OUT_FinalEnergyCons!$B$4:$B$10000="var_ncap")*1, (ISNUMBER(SEARCH("ITOT-SWHSOLBR",[1]OUT_FinalEnergyCons!$A$4:$A$10000)))*1,[1]OUT_FinalEnergyCons!O$4:O$10000)</f>
        <v>3.85958466122062E-3</v>
      </c>
      <c r="S2292" s="3"/>
    </row>
    <row r="2293" spans="2:19" x14ac:dyDescent="0.5">
      <c r="B2293" s="5" t="str">
        <f t="shared" si="2284"/>
        <v>SPS1</v>
      </c>
      <c r="C2293" s="5" t="str">
        <f t="shared" si="2285"/>
        <v>CH</v>
      </c>
      <c r="D2293" t="s">
        <v>2427</v>
      </c>
      <c r="E2293" t="str">
        <f t="shared" si="2286"/>
        <v>GWth/yr.</v>
      </c>
      <c r="F2293" s="1">
        <f t="shared" ref="F2293:O2293" si="2302">F2294</f>
        <v>0</v>
      </c>
      <c r="G2293" s="1">
        <f t="shared" si="2302"/>
        <v>0</v>
      </c>
      <c r="H2293" s="1">
        <f t="shared" si="2302"/>
        <v>0</v>
      </c>
      <c r="I2293" s="1">
        <f t="shared" si="2302"/>
        <v>0</v>
      </c>
      <c r="J2293" s="1">
        <f t="shared" si="2302"/>
        <v>0.37621962685518101</v>
      </c>
      <c r="K2293" s="1">
        <f t="shared" si="2302"/>
        <v>0.18267752768827</v>
      </c>
      <c r="L2293" s="1">
        <f t="shared" si="2302"/>
        <v>2.48163500470179E-4</v>
      </c>
      <c r="M2293" s="1">
        <f t="shared" si="2302"/>
        <v>0.40509111953131599</v>
      </c>
      <c r="N2293" s="1">
        <f t="shared" si="2302"/>
        <v>0.22265880235739399</v>
      </c>
      <c r="O2293" s="1">
        <f t="shared" si="2302"/>
        <v>6.3306766740764103E-2</v>
      </c>
      <c r="P2293" s="1">
        <f>P2294</f>
        <v>0.39182473454624001</v>
      </c>
      <c r="Q2293" s="1">
        <f>Q2294</f>
        <v>0.23187791104326799</v>
      </c>
      <c r="S2293" s="3"/>
    </row>
    <row r="2294" spans="2:19" x14ac:dyDescent="0.5">
      <c r="B2294" s="5" t="str">
        <f t="shared" si="2284"/>
        <v>SPS1</v>
      </c>
      <c r="C2294" s="5" t="str">
        <f t="shared" si="2285"/>
        <v>CH</v>
      </c>
      <c r="D2294" t="s">
        <v>2428</v>
      </c>
      <c r="E2294" t="str">
        <f t="shared" si="2286"/>
        <v>GWth/yr.</v>
      </c>
      <c r="F2294" s="1" cm="1">
        <f t="array" ref="F2294">SUMPRODUCT(([1]OUT_FinalEnergyCons!$B$4:$B$10000="var_ncap")*1, (ISNUMBER(SEARCH("ITOT-SWHH2BR",[1]OUT_FinalEnergyCons!$A$4:$A$10000)))*1,[1]OUT_FinalEnergyCons!D$4:D$10000)</f>
        <v>0</v>
      </c>
      <c r="G2294" s="1" cm="1">
        <f t="array" ref="G2294">SUMPRODUCT(([1]OUT_FinalEnergyCons!$B$4:$B$10000="var_ncap")*1, (ISNUMBER(SEARCH("ITOT-SWHH2BR",[1]OUT_FinalEnergyCons!$A$4:$A$10000)))*1,[1]OUT_FinalEnergyCons!E$4:E$10000)</f>
        <v>0</v>
      </c>
      <c r="H2294" s="1" cm="1">
        <f t="array" ref="H2294">SUMPRODUCT(([1]OUT_FinalEnergyCons!$B$4:$B$10000="var_ncap")*1, (ISNUMBER(SEARCH("ITOT-SWHH2BR",[1]OUT_FinalEnergyCons!$A$4:$A$10000)))*1,[1]OUT_FinalEnergyCons!F$4:F$10000)</f>
        <v>0</v>
      </c>
      <c r="I2294" s="1" cm="1">
        <f t="array" ref="I2294">SUMPRODUCT(([1]OUT_FinalEnergyCons!$B$4:$B$10000="var_ncap")*1, (ISNUMBER(SEARCH("ITOT-SWHH2BR",[1]OUT_FinalEnergyCons!$A$4:$A$10000)))*1,[1]OUT_FinalEnergyCons!G$4:G$10000)</f>
        <v>0</v>
      </c>
      <c r="J2294" s="1" cm="1">
        <f t="array" ref="J2294">SUMPRODUCT(([1]OUT_FinalEnergyCons!$B$4:$B$10000="var_ncap")*1, (ISNUMBER(SEARCH("ITOT-SWHH2BR",[1]OUT_FinalEnergyCons!$A$4:$A$10000)))*1,[1]OUT_FinalEnergyCons!H$4:H$10000)</f>
        <v>0.37621962685518101</v>
      </c>
      <c r="K2294" s="1" cm="1">
        <f t="array" ref="K2294">SUMPRODUCT(([1]OUT_FinalEnergyCons!$B$4:$B$10000="var_ncap")*1, (ISNUMBER(SEARCH("ITOT-SWHH2BR",[1]OUT_FinalEnergyCons!$A$4:$A$10000)))*1,[1]OUT_FinalEnergyCons!I$4:I$10000)</f>
        <v>0.18267752768827</v>
      </c>
      <c r="L2294" s="1" cm="1">
        <f t="array" ref="L2294">SUMPRODUCT(([1]OUT_FinalEnergyCons!$B$4:$B$10000="var_ncap")*1, (ISNUMBER(SEARCH("ITOT-SWHH2BR",[1]OUT_FinalEnergyCons!$A$4:$A$10000)))*1,[1]OUT_FinalEnergyCons!J$4:J$10000)</f>
        <v>2.48163500470179E-4</v>
      </c>
      <c r="M2294" s="1" cm="1">
        <f t="array" ref="M2294">SUMPRODUCT(([1]OUT_FinalEnergyCons!$B$4:$B$10000="var_ncap")*1, (ISNUMBER(SEARCH("ITOT-SWHH2BR",[1]OUT_FinalEnergyCons!$A$4:$A$10000)))*1,[1]OUT_FinalEnergyCons!K$4:K$10000)</f>
        <v>0.40509111953131599</v>
      </c>
      <c r="N2294" s="1" cm="1">
        <f t="array" ref="N2294">SUMPRODUCT(([1]OUT_FinalEnergyCons!$B$4:$B$10000="var_ncap")*1, (ISNUMBER(SEARCH("ITOT-SWHH2BR",[1]OUT_FinalEnergyCons!$A$4:$A$10000)))*1,[1]OUT_FinalEnergyCons!L$4:L$10000)</f>
        <v>0.22265880235739399</v>
      </c>
      <c r="O2294" s="1" cm="1">
        <f t="array" ref="O2294">SUMPRODUCT(([1]OUT_FinalEnergyCons!$B$4:$B$10000="var_ncap")*1, (ISNUMBER(SEARCH("ITOT-SWHH2BR",[1]OUT_FinalEnergyCons!$A$4:$A$10000)))*1,[1]OUT_FinalEnergyCons!M$4:M$10000)</f>
        <v>6.3306766740764103E-2</v>
      </c>
      <c r="P2294" s="1" cm="1">
        <f t="array" ref="P2294">SUMPRODUCT(([1]OUT_FinalEnergyCons!$B$4:$B$10000="var_ncap")*1, (ISNUMBER(SEARCH("ITOT-SWHH2BR",[1]OUT_FinalEnergyCons!$A$4:$A$10000)))*1,[1]OUT_FinalEnergyCons!N$4:N$10000)</f>
        <v>0.39182473454624001</v>
      </c>
      <c r="Q2294" s="1" cm="1">
        <f t="array" ref="Q2294">SUMPRODUCT(([1]OUT_FinalEnergyCons!$B$4:$B$10000="var_ncap")*1, (ISNUMBER(SEARCH("ITOT-SWHH2BR",[1]OUT_FinalEnergyCons!$A$4:$A$10000)))*1,[1]OUT_FinalEnergyCons!O$4:O$10000)</f>
        <v>0.23187791104326799</v>
      </c>
      <c r="S2294" s="3"/>
    </row>
    <row r="2295" spans="2:19" x14ac:dyDescent="0.5">
      <c r="B2295" s="9" t="str">
        <f>'SPS1'!B1813</f>
        <v>SPS1</v>
      </c>
      <c r="C2295" s="9" t="str">
        <f>'SPS1'!C1813</f>
        <v>CH</v>
      </c>
      <c r="D2295" s="2" t="s">
        <v>2429</v>
      </c>
      <c r="E2295" s="9" t="str">
        <f t="shared" si="2286"/>
        <v>GWth/yr.</v>
      </c>
      <c r="F2295" s="17">
        <f t="shared" ref="F2295:K2295" si="2303">SUM(F2296,F2299,F2301,F2305,F2307,F2309,F2311)</f>
        <v>9.5292474188129567E-5</v>
      </c>
      <c r="G2295" s="17">
        <f t="shared" si="2303"/>
        <v>3.2515183709507456E-2</v>
      </c>
      <c r="H2295" s="17">
        <f t="shared" si="2303"/>
        <v>0.15095804752193992</v>
      </c>
      <c r="I2295" s="17">
        <f t="shared" si="2303"/>
        <v>4.7830384103184506E-2</v>
      </c>
      <c r="J2295" s="17">
        <f t="shared" si="2303"/>
        <v>2.6265417502817758</v>
      </c>
      <c r="K2295" s="17">
        <f t="shared" si="2303"/>
        <v>1.9839841371448386</v>
      </c>
      <c r="L2295" s="17">
        <f t="shared" ref="L2295:O2295" si="2304">SUM(L2296,L2299,L2301,L2305,L2307,L2309,L2311)</f>
        <v>0.71242631842609083</v>
      </c>
      <c r="M2295" s="17">
        <f t="shared" si="2304"/>
        <v>2.6621721159728535</v>
      </c>
      <c r="N2295" s="17">
        <f t="shared" si="2304"/>
        <v>1.9564537800033317</v>
      </c>
      <c r="O2295" s="17">
        <f t="shared" si="2304"/>
        <v>0.98374022280210172</v>
      </c>
      <c r="P2295" s="17">
        <f>SUM(P2296,P2299,P2301,P2305,P2307,P2309,P2311)</f>
        <v>2.7564372053713169</v>
      </c>
      <c r="Q2295" s="17">
        <f>SUM(Q2296,Q2299,Q2301,Q2305,Q2307,Q2309,Q2311)</f>
        <v>1.6057501736237816</v>
      </c>
      <c r="S2295" s="3"/>
    </row>
    <row r="2296" spans="2:19" x14ac:dyDescent="0.5">
      <c r="B2296" s="5" t="str">
        <f t="shared" ref="B2296:B2312" si="2305">B2295</f>
        <v>SPS1</v>
      </c>
      <c r="C2296" s="5" t="str">
        <f t="shared" ref="C2296:C2312" si="2306">C2295</f>
        <v>CH</v>
      </c>
      <c r="D2296" t="s">
        <v>2430</v>
      </c>
      <c r="E2296" t="str">
        <f t="shared" si="2286"/>
        <v>GWth/yr.</v>
      </c>
      <c r="F2296" s="1">
        <f t="shared" ref="F2296:K2296" si="2307">SUM(F2297:F2298)</f>
        <v>8.8287143356409768E-6</v>
      </c>
      <c r="G2296" s="1">
        <f t="shared" si="2307"/>
        <v>8.0312110884612991E-6</v>
      </c>
      <c r="H2296" s="1">
        <f t="shared" si="2307"/>
        <v>0.15044921812522141</v>
      </c>
      <c r="I2296" s="1">
        <f t="shared" si="2307"/>
        <v>1.6261236787497253E-2</v>
      </c>
      <c r="J2296" s="1">
        <f t="shared" si="2307"/>
        <v>0.31867743633127082</v>
      </c>
      <c r="K2296" s="1">
        <f t="shared" si="2307"/>
        <v>0.22403335858419099</v>
      </c>
      <c r="L2296" s="1">
        <f t="shared" ref="L2296:O2296" si="2308">SUM(L2297:L2298)</f>
        <v>3.2052858540899912E-2</v>
      </c>
      <c r="M2296" s="1">
        <f t="shared" si="2308"/>
        <v>1.0623082463604661</v>
      </c>
      <c r="N2296" s="1">
        <f t="shared" si="2308"/>
        <v>0.41565053805108698</v>
      </c>
      <c r="O2296" s="1">
        <f t="shared" si="2308"/>
        <v>0.16450521972776674</v>
      </c>
      <c r="P2296" s="1">
        <f>SUM(P2297:P2298)</f>
        <v>1.0939385093469627</v>
      </c>
      <c r="Q2296" s="1">
        <f>SUM(Q2297:Q2298)</f>
        <v>0.68654324798470479</v>
      </c>
      <c r="S2296" s="3"/>
    </row>
    <row r="2297" spans="2:19" x14ac:dyDescent="0.5">
      <c r="B2297" s="5" t="str">
        <f t="shared" si="2305"/>
        <v>SPS1</v>
      </c>
      <c r="C2297" s="5" t="str">
        <f t="shared" si="2306"/>
        <v>CH</v>
      </c>
      <c r="D2297" t="s">
        <v>2431</v>
      </c>
      <c r="E2297" t="str">
        <f t="shared" si="2286"/>
        <v>GWth/yr.</v>
      </c>
      <c r="F2297" s="1" cm="1">
        <f t="array" ref="F2297">SUMPRODUCT(([1]OUT_FinalEnergyCons!$B$4:$B$10000="var_ncap")*1, (ISNUMBER(SEARCH("SCOM-SHELCBR",[1]OUT_FinalEnergyCons!$A$4:$A$10000)))*1,[1]OUT_FinalEnergyCons!D$4:D$10000)</f>
        <v>8.3523213917886205E-6</v>
      </c>
      <c r="G2297" s="1" cm="1">
        <f t="array" ref="G2297">SUMPRODUCT(([1]OUT_FinalEnergyCons!$B$4:$B$10000="var_ncap")*1, (ISNUMBER(SEARCH("SCOM-SHELCBR",[1]OUT_FinalEnergyCons!$A$4:$A$10000)))*1,[1]OUT_FinalEnergyCons!E$4:E$10000)</f>
        <v>5.5697349061526696E-6</v>
      </c>
      <c r="H2297" s="1" cm="1">
        <f t="array" ref="H2297">SUMPRODUCT(([1]OUT_FinalEnergyCons!$B$4:$B$10000="var_ncap")*1, (ISNUMBER(SEARCH("SCOM-SHELCBR",[1]OUT_FinalEnergyCons!$A$4:$A$10000)))*1,[1]OUT_FinalEnergyCons!F$4:F$10000)</f>
        <v>0.150445563322359</v>
      </c>
      <c r="I2297" s="1" cm="1">
        <f t="array" ref="I2297">SUMPRODUCT(([1]OUT_FinalEnergyCons!$B$4:$B$10000="var_ncap")*1, (ISNUMBER(SEARCH("SCOM-SHELCBR",[1]OUT_FinalEnergyCons!$A$4:$A$10000)))*1,[1]OUT_FinalEnergyCons!G$4:G$10000)</f>
        <v>1.62543231059969E-2</v>
      </c>
      <c r="J2297" s="1" cm="1">
        <f t="array" ref="J2297">SUMPRODUCT(([1]OUT_FinalEnergyCons!$B$4:$B$10000="var_ncap")*1, (ISNUMBER(SEARCH("SCOM-SHELCBR",[1]OUT_FinalEnergyCons!$A$4:$A$10000)))*1,[1]OUT_FinalEnergyCons!H$4:H$10000)</f>
        <v>8.1537395508834304E-5</v>
      </c>
      <c r="K2297" s="1" cm="1">
        <f t="array" ref="K2297">SUMPRODUCT(([1]OUT_FinalEnergyCons!$B$4:$B$10000="var_ncap")*1, (ISNUMBER(SEARCH("SCOM-SHELCBR",[1]OUT_FinalEnergyCons!$A$4:$A$10000)))*1,[1]OUT_FinalEnergyCons!I$4:I$10000)</f>
        <v>0.10813077054822599</v>
      </c>
      <c r="L2297" s="1" cm="1">
        <f t="array" ref="L2297">SUMPRODUCT(([1]OUT_FinalEnergyCons!$B$4:$B$10000="var_ncap")*1, (ISNUMBER(SEARCH("SCOM-SHELCBR",[1]OUT_FinalEnergyCons!$A$4:$A$10000)))*1,[1]OUT_FinalEnergyCons!J$4:J$10000)</f>
        <v>3.4190607979416503E-5</v>
      </c>
      <c r="M2297" s="1" cm="1">
        <f t="array" ref="M2297">SUMPRODUCT(([1]OUT_FinalEnergyCons!$B$4:$B$10000="var_ncap")*1, (ISNUMBER(SEARCH("SCOM-SHELCBR",[1]OUT_FinalEnergyCons!$A$4:$A$10000)))*1,[1]OUT_FinalEnergyCons!K$4:K$10000)</f>
        <v>1.9420769658587501E-4</v>
      </c>
      <c r="N2297" s="1" cm="1">
        <f t="array" ref="N2297">SUMPRODUCT(([1]OUT_FinalEnergyCons!$B$4:$B$10000="var_ncap")*1, (ISNUMBER(SEARCH("SCOM-SHELCBR",[1]OUT_FinalEnergyCons!$A$4:$A$10000)))*1,[1]OUT_FinalEnergyCons!L$4:L$10000)</f>
        <v>0.16654495587479101</v>
      </c>
      <c r="O2297" s="1" cm="1">
        <f t="array" ref="O2297">SUMPRODUCT(([1]OUT_FinalEnergyCons!$B$4:$B$10000="var_ncap")*1, (ISNUMBER(SEARCH("SCOM-SHELCBR",[1]OUT_FinalEnergyCons!$A$4:$A$10000)))*1,[1]OUT_FinalEnergyCons!M$4:M$10000)</f>
        <v>1.55600560217752E-4</v>
      </c>
      <c r="P2297" s="1" cm="1">
        <f t="array" ref="P2297">SUMPRODUCT(([1]OUT_FinalEnergyCons!$B$4:$B$10000="var_ncap")*1, (ISNUMBER(SEARCH("SCOM-SHELCBR",[1]OUT_FinalEnergyCons!$A$4:$A$10000)))*1,[1]OUT_FinalEnergyCons!N$4:N$10000)</f>
        <v>5.5780397072731301E-5</v>
      </c>
      <c r="Q2297" s="1" cm="1">
        <f t="array" ref="Q2297">SUMPRODUCT(([1]OUT_FinalEnergyCons!$B$4:$B$10000="var_ncap")*1, (ISNUMBER(SEARCH("SCOM-SHELCBR",[1]OUT_FinalEnergyCons!$A$4:$A$10000)))*1,[1]OUT_FinalEnergyCons!O$4:O$10000)</f>
        <v>8.1217531097362697E-2</v>
      </c>
      <c r="S2297" s="3"/>
    </row>
    <row r="2298" spans="2:19" x14ac:dyDescent="0.5">
      <c r="B2298" s="5" t="str">
        <f t="shared" si="2305"/>
        <v>SPS1</v>
      </c>
      <c r="C2298" s="5" t="str">
        <f t="shared" si="2306"/>
        <v>CH</v>
      </c>
      <c r="D2298" t="s">
        <v>2432</v>
      </c>
      <c r="E2298" t="str">
        <f t="shared" si="2286"/>
        <v>GWth/yr.</v>
      </c>
      <c r="F2298" s="1" cm="1">
        <f t="array" ref="F2298">SUMPRODUCT(([1]OUT_FinalEnergyCons!$B$4:$B$10000="var_ncap")*1, (ISNUMBER(SEARCH("SCOM-SHELCHP",[1]OUT_FinalEnergyCons!$A$4:$A$10000)))*1,[1]OUT_FinalEnergyCons!D$4:D$10000)</f>
        <v>4.76392943852357E-7</v>
      </c>
      <c r="G2298" s="1" cm="1">
        <f t="array" ref="G2298">SUMPRODUCT(([1]OUT_FinalEnergyCons!$B$4:$B$10000="var_ncap")*1, (ISNUMBER(SEARCH("SCOM-SHELCHP",[1]OUT_FinalEnergyCons!$A$4:$A$10000)))*1,[1]OUT_FinalEnergyCons!E$4:E$10000)</f>
        <v>2.4614761823086299E-6</v>
      </c>
      <c r="H2298" s="1" cm="1">
        <f t="array" ref="H2298">SUMPRODUCT(([1]OUT_FinalEnergyCons!$B$4:$B$10000="var_ncap")*1, (ISNUMBER(SEARCH("SCOM-SHELCHP",[1]OUT_FinalEnergyCons!$A$4:$A$10000)))*1,[1]OUT_FinalEnergyCons!F$4:F$10000)</f>
        <v>3.6548028624080401E-6</v>
      </c>
      <c r="I2298" s="1" cm="1">
        <f t="array" ref="I2298">SUMPRODUCT(([1]OUT_FinalEnergyCons!$B$4:$B$10000="var_ncap")*1, (ISNUMBER(SEARCH("SCOM-SHELCHP",[1]OUT_FinalEnergyCons!$A$4:$A$10000)))*1,[1]OUT_FinalEnergyCons!G$4:G$10000)</f>
        <v>6.9136815003534903E-6</v>
      </c>
      <c r="J2298" s="1" cm="1">
        <f t="array" ref="J2298">SUMPRODUCT(([1]OUT_FinalEnergyCons!$B$4:$B$10000="var_ncap")*1, (ISNUMBER(SEARCH("SCOM-SHELCHP",[1]OUT_FinalEnergyCons!$A$4:$A$10000)))*1,[1]OUT_FinalEnergyCons!H$4:H$10000)</f>
        <v>0.31859589893576201</v>
      </c>
      <c r="K2298" s="1" cm="1">
        <f t="array" ref="K2298">SUMPRODUCT(([1]OUT_FinalEnergyCons!$B$4:$B$10000="var_ncap")*1, (ISNUMBER(SEARCH("SCOM-SHELCHP",[1]OUT_FinalEnergyCons!$A$4:$A$10000)))*1,[1]OUT_FinalEnergyCons!I$4:I$10000)</f>
        <v>0.115902588035965</v>
      </c>
      <c r="L2298" s="1" cm="1">
        <f t="array" ref="L2298">SUMPRODUCT(([1]OUT_FinalEnergyCons!$B$4:$B$10000="var_ncap")*1, (ISNUMBER(SEARCH("SCOM-SHELCHP",[1]OUT_FinalEnergyCons!$A$4:$A$10000)))*1,[1]OUT_FinalEnergyCons!J$4:J$10000)</f>
        <v>3.2018667932920498E-2</v>
      </c>
      <c r="M2298" s="1" cm="1">
        <f t="array" ref="M2298">SUMPRODUCT(([1]OUT_FinalEnergyCons!$B$4:$B$10000="var_ncap")*1, (ISNUMBER(SEARCH("SCOM-SHELCHP",[1]OUT_FinalEnergyCons!$A$4:$A$10000)))*1,[1]OUT_FinalEnergyCons!K$4:K$10000)</f>
        <v>1.0621140386638801</v>
      </c>
      <c r="N2298" s="1" cm="1">
        <f t="array" ref="N2298">SUMPRODUCT(([1]OUT_FinalEnergyCons!$B$4:$B$10000="var_ncap")*1, (ISNUMBER(SEARCH("SCOM-SHELCHP",[1]OUT_FinalEnergyCons!$A$4:$A$10000)))*1,[1]OUT_FinalEnergyCons!L$4:L$10000)</f>
        <v>0.249105582176296</v>
      </c>
      <c r="O2298" s="1" cm="1">
        <f t="array" ref="O2298">SUMPRODUCT(([1]OUT_FinalEnergyCons!$B$4:$B$10000="var_ncap")*1, (ISNUMBER(SEARCH("SCOM-SHELCHP",[1]OUT_FinalEnergyCons!$A$4:$A$10000)))*1,[1]OUT_FinalEnergyCons!M$4:M$10000)</f>
        <v>0.164349619167549</v>
      </c>
      <c r="P2298" s="1" cm="1">
        <f t="array" ref="P2298">SUMPRODUCT(([1]OUT_FinalEnergyCons!$B$4:$B$10000="var_ncap")*1, (ISNUMBER(SEARCH("SCOM-SHELCHP",[1]OUT_FinalEnergyCons!$A$4:$A$10000)))*1,[1]OUT_FinalEnergyCons!N$4:N$10000)</f>
        <v>1.09388272894989</v>
      </c>
      <c r="Q2298" s="1" cm="1">
        <f t="array" ref="Q2298">SUMPRODUCT(([1]OUT_FinalEnergyCons!$B$4:$B$10000="var_ncap")*1, (ISNUMBER(SEARCH("SCOM-SHELCHP",[1]OUT_FinalEnergyCons!$A$4:$A$10000)))*1,[1]OUT_FinalEnergyCons!O$4:O$10000)</f>
        <v>0.60532571688734205</v>
      </c>
      <c r="S2298" s="3"/>
    </row>
    <row r="2299" spans="2:19" x14ac:dyDescent="0.5">
      <c r="B2299" s="5" t="str">
        <f t="shared" si="2305"/>
        <v>SPS1</v>
      </c>
      <c r="C2299" s="5" t="str">
        <f t="shared" si="2306"/>
        <v>CH</v>
      </c>
      <c r="D2299" t="s">
        <v>2433</v>
      </c>
      <c r="E2299" t="str">
        <f t="shared" si="2286"/>
        <v>GWth/yr.</v>
      </c>
      <c r="F2299" s="1">
        <f t="shared" ref="F2299:O2299" si="2309">F2300</f>
        <v>5.0539509590880498E-6</v>
      </c>
      <c r="G2299" s="1">
        <f t="shared" si="2309"/>
        <v>5.8257159872037297E-6</v>
      </c>
      <c r="H2299" s="1">
        <f t="shared" si="2309"/>
        <v>5.6404083712357202E-6</v>
      </c>
      <c r="I2299" s="1">
        <f t="shared" si="2309"/>
        <v>8.3421950501798403E-6</v>
      </c>
      <c r="J2299" s="1">
        <f t="shared" si="2309"/>
        <v>7.0249988052296097E-2</v>
      </c>
      <c r="K2299" s="1">
        <f t="shared" si="2309"/>
        <v>0.317912389496248</v>
      </c>
      <c r="L2299" s="1">
        <f t="shared" si="2309"/>
        <v>1.18427582400045E-5</v>
      </c>
      <c r="M2299" s="1">
        <f t="shared" si="2309"/>
        <v>3.9756314744731097E-2</v>
      </c>
      <c r="N2299" s="1">
        <f t="shared" si="2309"/>
        <v>9.4246158857375306E-2</v>
      </c>
      <c r="O2299" s="1">
        <f t="shared" si="2309"/>
        <v>7.1012971998834506E-5</v>
      </c>
      <c r="P2299" s="1">
        <f>P2300</f>
        <v>4.5942726036746699E-2</v>
      </c>
      <c r="Q2299" s="1">
        <f>Q2300</f>
        <v>6.7385410596100107E-2</v>
      </c>
      <c r="S2299" s="3"/>
    </row>
    <row r="2300" spans="2:19" x14ac:dyDescent="0.5">
      <c r="B2300" s="5" t="str">
        <f t="shared" si="2305"/>
        <v>SPS1</v>
      </c>
      <c r="C2300" s="5" t="str">
        <f t="shared" si="2306"/>
        <v>CH</v>
      </c>
      <c r="D2300" t="s">
        <v>2434</v>
      </c>
      <c r="E2300" t="str">
        <f t="shared" ref="E2300:E2312" si="2310">E2299</f>
        <v>GWth/yr.</v>
      </c>
      <c r="F2300" s="1" cm="1">
        <f t="array" ref="F2300">SUMPRODUCT(([1]OUT_FinalEnergyCons!$B$4:$B$10000="var_ncap")*1,(ISNUMBER(SEARCH("SCOM-SHLFOBR",[1]OUT_FinalEnergyCons!$A$4:$A$10000)))*1,[1]OUT_FinalEnergyCons!D$4:D$10000)</f>
        <v>5.0539509590880498E-6</v>
      </c>
      <c r="G2300" s="1" cm="1">
        <f t="array" ref="G2300">SUMPRODUCT(([1]OUT_FinalEnergyCons!$B$4:$B$10000="var_ncap")*1,(ISNUMBER(SEARCH("SCOM-SHLFOBR",[1]OUT_FinalEnergyCons!$A$4:$A$10000)))*1,[1]OUT_FinalEnergyCons!E$4:E$10000)</f>
        <v>5.8257159872037297E-6</v>
      </c>
      <c r="H2300" s="1" cm="1">
        <f t="array" ref="H2300">SUMPRODUCT(([1]OUT_FinalEnergyCons!$B$4:$B$10000="var_ncap")*1,(ISNUMBER(SEARCH("SCOM-SHLFOBR",[1]OUT_FinalEnergyCons!$A$4:$A$10000)))*1,[1]OUT_FinalEnergyCons!F$4:F$10000)</f>
        <v>5.6404083712357202E-6</v>
      </c>
      <c r="I2300" s="1" cm="1">
        <f t="array" ref="I2300">SUMPRODUCT(([1]OUT_FinalEnergyCons!$B$4:$B$10000="var_ncap")*1,(ISNUMBER(SEARCH("SCOM-SHLFOBR",[1]OUT_FinalEnergyCons!$A$4:$A$10000)))*1,[1]OUT_FinalEnergyCons!G$4:G$10000)</f>
        <v>8.3421950501798403E-6</v>
      </c>
      <c r="J2300" s="1" cm="1">
        <f t="array" ref="J2300">SUMPRODUCT(([1]OUT_FinalEnergyCons!$B$4:$B$10000="var_ncap")*1,(ISNUMBER(SEARCH("SCOM-SHLFOBR",[1]OUT_FinalEnergyCons!$A$4:$A$10000)))*1,[1]OUT_FinalEnergyCons!H$4:H$10000)</f>
        <v>7.0249988052296097E-2</v>
      </c>
      <c r="K2300" s="1" cm="1">
        <f t="array" ref="K2300">SUMPRODUCT(([1]OUT_FinalEnergyCons!$B$4:$B$10000="var_ncap")*1,(ISNUMBER(SEARCH("SCOM-SHLFOBR",[1]OUT_FinalEnergyCons!$A$4:$A$10000)))*1,[1]OUT_FinalEnergyCons!I$4:I$10000)</f>
        <v>0.317912389496248</v>
      </c>
      <c r="L2300" s="1" cm="1">
        <f t="array" ref="L2300">SUMPRODUCT(([1]OUT_FinalEnergyCons!$B$4:$B$10000="var_ncap")*1,(ISNUMBER(SEARCH("SCOM-SHLFOBR",[1]OUT_FinalEnergyCons!$A$4:$A$10000)))*1,[1]OUT_FinalEnergyCons!J$4:J$10000)</f>
        <v>1.18427582400045E-5</v>
      </c>
      <c r="M2300" s="1" cm="1">
        <f t="array" ref="M2300">SUMPRODUCT(([1]OUT_FinalEnergyCons!$B$4:$B$10000="var_ncap")*1,(ISNUMBER(SEARCH("SCOM-SHLFOBR",[1]OUT_FinalEnergyCons!$A$4:$A$10000)))*1,[1]OUT_FinalEnergyCons!K$4:K$10000)</f>
        <v>3.9756314744731097E-2</v>
      </c>
      <c r="N2300" s="1" cm="1">
        <f t="array" ref="N2300">SUMPRODUCT(([1]OUT_FinalEnergyCons!$B$4:$B$10000="var_ncap")*1,(ISNUMBER(SEARCH("SCOM-SHLFOBR",[1]OUT_FinalEnergyCons!$A$4:$A$10000)))*1,[1]OUT_FinalEnergyCons!L$4:L$10000)</f>
        <v>9.4246158857375306E-2</v>
      </c>
      <c r="O2300" s="1" cm="1">
        <f t="array" ref="O2300">SUMPRODUCT(([1]OUT_FinalEnergyCons!$B$4:$B$10000="var_ncap")*1,(ISNUMBER(SEARCH("SCOM-SHLFOBR",[1]OUT_FinalEnergyCons!$A$4:$A$10000)))*1,[1]OUT_FinalEnergyCons!M$4:M$10000)</f>
        <v>7.1012971998834506E-5</v>
      </c>
      <c r="P2300" s="1" cm="1">
        <f t="array" ref="P2300">SUMPRODUCT(([1]OUT_FinalEnergyCons!$B$4:$B$10000="var_ncap")*1,(ISNUMBER(SEARCH("SCOM-SHLFOBR",[1]OUT_FinalEnergyCons!$A$4:$A$10000)))*1,[1]OUT_FinalEnergyCons!N$4:N$10000)</f>
        <v>4.5942726036746699E-2</v>
      </c>
      <c r="Q2300" s="1" cm="1">
        <f t="array" ref="Q2300">SUMPRODUCT(([1]OUT_FinalEnergyCons!$B$4:$B$10000="var_ncap")*1,(ISNUMBER(SEARCH("SCOM-SHLFOBR",[1]OUT_FinalEnergyCons!$A$4:$A$10000)))*1,[1]OUT_FinalEnergyCons!O$4:O$10000)</f>
        <v>6.7385410596100107E-2</v>
      </c>
      <c r="S2300" s="3"/>
    </row>
    <row r="2301" spans="2:19" x14ac:dyDescent="0.5">
      <c r="B2301" s="5" t="str">
        <f t="shared" si="2305"/>
        <v>SPS1</v>
      </c>
      <c r="C2301" s="5" t="str">
        <f t="shared" si="2306"/>
        <v>CH</v>
      </c>
      <c r="D2301" t="s">
        <v>2435</v>
      </c>
      <c r="E2301" t="str">
        <f t="shared" si="2310"/>
        <v>GWth/yr.</v>
      </c>
      <c r="F2301" s="1">
        <f t="shared" ref="F2301:K2301" si="2311">SUM(F2302:F2304)</f>
        <v>1.3251135713159407E-5</v>
      </c>
      <c r="G2301" s="1">
        <f t="shared" si="2311"/>
        <v>2.0907261706235058E-4</v>
      </c>
      <c r="H2301" s="1">
        <f t="shared" si="2311"/>
        <v>4.6676007910493314E-4</v>
      </c>
      <c r="I2301" s="1">
        <f t="shared" si="2311"/>
        <v>1.1596920044230639E-4</v>
      </c>
      <c r="J2301" s="1">
        <f t="shared" si="2311"/>
        <v>1.1173659942710397</v>
      </c>
      <c r="K2301" s="1">
        <f t="shared" si="2311"/>
        <v>0.76361826203111438</v>
      </c>
      <c r="L2301" s="1">
        <f t="shared" ref="L2301:O2301" si="2312">SUM(L2302:L2304)</f>
        <v>2.4369659663351861E-4</v>
      </c>
      <c r="M2301" s="1">
        <f t="shared" si="2312"/>
        <v>0.79599954597163547</v>
      </c>
      <c r="N2301" s="1">
        <f t="shared" si="2312"/>
        <v>0.88911729103264669</v>
      </c>
      <c r="O2301" s="1">
        <f t="shared" si="2312"/>
        <v>0.6032974593032524</v>
      </c>
      <c r="P2301" s="1">
        <f>SUM(P2302:P2304)</f>
        <v>0.8994424595062982</v>
      </c>
      <c r="Q2301" s="1">
        <f>SUM(Q2302:Q2304)</f>
        <v>0.36224817125117964</v>
      </c>
      <c r="S2301" s="3"/>
    </row>
    <row r="2302" spans="2:19" x14ac:dyDescent="0.5">
      <c r="B2302" s="5" t="str">
        <f t="shared" si="2305"/>
        <v>SPS1</v>
      </c>
      <c r="C2302" s="5" t="str">
        <f t="shared" si="2306"/>
        <v>CH</v>
      </c>
      <c r="D2302" t="s">
        <v>2436</v>
      </c>
      <c r="E2302" t="str">
        <f t="shared" si="2310"/>
        <v>GWth/yr.</v>
      </c>
      <c r="F2302" s="1" cm="1">
        <f t="array" ref="F2302">SUMPRODUCT(([1]OUT_FinalEnergyCons!$B$4:$B$10000="var_ncap")*1, (ISNUMBER(SEARCH("SCOM-SHNGABR",[1]OUT_FinalEnergyCons!$A$4:$A$10000)))*1,[1]OUT_FinalEnergyCons!D$4:D$10000)</f>
        <v>5.8657812976522798E-7</v>
      </c>
      <c r="G2302" s="1" cm="1">
        <f t="array" ref="G2302">SUMPRODUCT(([1]OUT_FinalEnergyCons!$B$4:$B$10000="var_ncap")*1, (ISNUMBER(SEARCH("SCOM-SHNGABR",[1]OUT_FinalEnergyCons!$A$4:$A$10000)))*1,[1]OUT_FinalEnergyCons!E$4:E$10000)</f>
        <v>6.7457500071141803E-6</v>
      </c>
      <c r="H2302" s="1" cm="1">
        <f t="array" ref="H2302">SUMPRODUCT(([1]OUT_FinalEnergyCons!$B$4:$B$10000="var_ncap")*1, (ISNUMBER(SEARCH("SCOM-SHNGABR",[1]OUT_FinalEnergyCons!$A$4:$A$10000)))*1,[1]OUT_FinalEnergyCons!F$4:F$10000)</f>
        <v>7.7696207574776503E-6</v>
      </c>
      <c r="I2302" s="1" cm="1">
        <f t="array" ref="I2302">SUMPRODUCT(([1]OUT_FinalEnergyCons!$B$4:$B$10000="var_ncap")*1, (ISNUMBER(SEARCH("SCOM-SHNGABR",[1]OUT_FinalEnergyCons!$A$4:$A$10000)))*1,[1]OUT_FinalEnergyCons!G$4:G$10000)</f>
        <v>9.3198810126178297E-5</v>
      </c>
      <c r="J2302" s="1" cm="1">
        <f t="array" ref="J2302">SUMPRODUCT(([1]OUT_FinalEnergyCons!$B$4:$B$10000="var_ncap")*1, (ISNUMBER(SEARCH("SCOM-SHNGABR",[1]OUT_FinalEnergyCons!$A$4:$A$10000)))*1,[1]OUT_FinalEnergyCons!H$4:H$10000)</f>
        <v>0.99552503833134598</v>
      </c>
      <c r="K2302" s="1" cm="1">
        <f t="array" ref="K2302">SUMPRODUCT(([1]OUT_FinalEnergyCons!$B$4:$B$10000="var_ncap")*1, (ISNUMBER(SEARCH("SCOM-SHNGABR",[1]OUT_FinalEnergyCons!$A$4:$A$10000)))*1,[1]OUT_FinalEnergyCons!I$4:I$10000)</f>
        <v>0.56484120045830499</v>
      </c>
      <c r="L2302" s="1" cm="1">
        <f t="array" ref="L2302">SUMPRODUCT(([1]OUT_FinalEnergyCons!$B$4:$B$10000="var_ncap")*1, (ISNUMBER(SEARCH("SCOM-SHNGABR",[1]OUT_FinalEnergyCons!$A$4:$A$10000)))*1,[1]OUT_FinalEnergyCons!J$4:J$10000)</f>
        <v>1.6621655240248E-4</v>
      </c>
      <c r="M2302" s="1" cm="1">
        <f t="array" ref="M2302">SUMPRODUCT(([1]OUT_FinalEnergyCons!$B$4:$B$10000="var_ncap")*1, (ISNUMBER(SEARCH("SCOM-SHNGABR",[1]OUT_FinalEnergyCons!$A$4:$A$10000)))*1,[1]OUT_FinalEnergyCons!K$4:K$10000)</f>
        <v>0.66026479795719395</v>
      </c>
      <c r="N2302" s="1" cm="1">
        <f t="array" ref="N2302">SUMPRODUCT(([1]OUT_FinalEnergyCons!$B$4:$B$10000="var_ncap")*1, (ISNUMBER(SEARCH("SCOM-SHNGABR",[1]OUT_FinalEnergyCons!$A$4:$A$10000)))*1,[1]OUT_FinalEnergyCons!L$4:L$10000)</f>
        <v>0.72868766046080902</v>
      </c>
      <c r="O2302" s="1" cm="1">
        <f t="array" ref="O2302">SUMPRODUCT(([1]OUT_FinalEnergyCons!$B$4:$B$10000="var_ncap")*1, (ISNUMBER(SEARCH("SCOM-SHNGABR",[1]OUT_FinalEnergyCons!$A$4:$A$10000)))*1,[1]OUT_FinalEnergyCons!M$4:M$10000)</f>
        <v>0.53696878942034898</v>
      </c>
      <c r="P2302" s="1" cm="1">
        <f t="array" ref="P2302">SUMPRODUCT(([1]OUT_FinalEnergyCons!$B$4:$B$10000="var_ncap")*1, (ISNUMBER(SEARCH("SCOM-SHNGABR",[1]OUT_FinalEnergyCons!$A$4:$A$10000)))*1,[1]OUT_FinalEnergyCons!N$4:N$10000)</f>
        <v>0.70494969873616897</v>
      </c>
      <c r="Q2302" s="1" cm="1">
        <f t="array" ref="Q2302">SUMPRODUCT(([1]OUT_FinalEnergyCons!$B$4:$B$10000="var_ncap")*1, (ISNUMBER(SEARCH("SCOM-SHNGABR",[1]OUT_FinalEnergyCons!$A$4:$A$10000)))*1,[1]OUT_FinalEnergyCons!O$4:O$10000)</f>
        <v>0.32558615760294402</v>
      </c>
      <c r="S2302" s="3"/>
    </row>
    <row r="2303" spans="2:19" x14ac:dyDescent="0.5">
      <c r="B2303" s="5" t="str">
        <f t="shared" si="2305"/>
        <v>SPS1</v>
      </c>
      <c r="C2303" s="5" t="str">
        <f t="shared" si="2306"/>
        <v>CH</v>
      </c>
      <c r="D2303" t="s">
        <v>2437</v>
      </c>
      <c r="E2303" t="str">
        <f t="shared" si="2310"/>
        <v>GWth/yr.</v>
      </c>
      <c r="F2303" s="1" cm="1">
        <f t="array" ref="F2303">SUMPRODUCT(([1]OUT_FinalEnergyCons!$B$4:$B$10000="var_ncap")*1, (ISNUMBER(SEARCH("SCOM-SHngahp",[1]OUT_FinalEnergyCons!$A$4:$A$10000)))*1,[1]OUT_FinalEnergyCons!D$4:D$10000)</f>
        <v>3.0773827900938301E-6</v>
      </c>
      <c r="G2303" s="1" cm="1">
        <f t="array" ref="G2303">SUMPRODUCT(([1]OUT_FinalEnergyCons!$B$4:$B$10000="var_ncap")*1, (ISNUMBER(SEARCH("SCOM-SHngahp",[1]OUT_FinalEnergyCons!$A$4:$A$10000)))*1,[1]OUT_FinalEnergyCons!E$4:E$10000)</f>
        <v>1.5977047529087799E-4</v>
      </c>
      <c r="H2303" s="1" cm="1">
        <f t="array" ref="H2303">SUMPRODUCT(([1]OUT_FinalEnergyCons!$B$4:$B$10000="var_ncap")*1, (ISNUMBER(SEARCH("SCOM-SHngahp",[1]OUT_FinalEnergyCons!$A$4:$A$10000)))*1,[1]OUT_FinalEnergyCons!F$4:F$10000)</f>
        <v>4.5246932863034098E-4</v>
      </c>
      <c r="I2303" s="1" cm="1">
        <f t="array" ref="I2303">SUMPRODUCT(([1]OUT_FinalEnergyCons!$B$4:$B$10000="var_ncap")*1, (ISNUMBER(SEARCH("SCOM-SHngahp",[1]OUT_FinalEnergyCons!$A$4:$A$10000)))*1,[1]OUT_FinalEnergyCons!G$4:G$10000)</f>
        <v>1.57150333020917E-5</v>
      </c>
      <c r="J2303" s="1" cm="1">
        <f t="array" ref="J2303">SUMPRODUCT(([1]OUT_FinalEnergyCons!$B$4:$B$10000="var_ncap")*1, (ISNUMBER(SEARCH("SCOM-SHngahp",[1]OUT_FinalEnergyCons!$A$4:$A$10000)))*1,[1]OUT_FinalEnergyCons!H$4:H$10000)</f>
        <v>4.0745270238968199E-3</v>
      </c>
      <c r="K2303" s="1" cm="1">
        <f t="array" ref="K2303">SUMPRODUCT(([1]OUT_FinalEnergyCons!$B$4:$B$10000="var_ncap")*1, (ISNUMBER(SEARCH("SCOM-SHngahp",[1]OUT_FinalEnergyCons!$A$4:$A$10000)))*1,[1]OUT_FinalEnergyCons!I$4:I$10000)</f>
        <v>3.4328300836844301E-2</v>
      </c>
      <c r="L2303" s="1" cm="1">
        <f t="array" ref="L2303">SUMPRODUCT(([1]OUT_FinalEnergyCons!$B$4:$B$10000="var_ncap")*1, (ISNUMBER(SEARCH("SCOM-SHngahp",[1]OUT_FinalEnergyCons!$A$4:$A$10000)))*1,[1]OUT_FinalEnergyCons!J$4:J$10000)</f>
        <v>5.0523590635574802E-5</v>
      </c>
      <c r="M2303" s="1" cm="1">
        <f t="array" ref="M2303">SUMPRODUCT(([1]OUT_FinalEnergyCons!$B$4:$B$10000="var_ncap")*1, (ISNUMBER(SEARCH("SCOM-SHngahp",[1]OUT_FinalEnergyCons!$A$4:$A$10000)))*1,[1]OUT_FinalEnergyCons!K$4:K$10000)</f>
        <v>2.5702731626299501E-2</v>
      </c>
      <c r="N2303" s="1" cm="1">
        <f t="array" ref="N2303">SUMPRODUCT(([1]OUT_FinalEnergyCons!$B$4:$B$10000="var_ncap")*1, (ISNUMBER(SEARCH("SCOM-SHngahp",[1]OUT_FinalEnergyCons!$A$4:$A$10000)))*1,[1]OUT_FinalEnergyCons!L$4:L$10000)</f>
        <v>5.6116498889682999E-5</v>
      </c>
      <c r="O2303" s="1" cm="1">
        <f t="array" ref="O2303">SUMPRODUCT(([1]OUT_FinalEnergyCons!$B$4:$B$10000="var_ncap")*1, (ISNUMBER(SEARCH("SCOM-SHngahp",[1]OUT_FinalEnergyCons!$A$4:$A$10000)))*1,[1]OUT_FinalEnergyCons!M$4:M$10000)</f>
        <v>2.0262886107394601E-3</v>
      </c>
      <c r="P2303" s="1" cm="1">
        <f t="array" ref="P2303">SUMPRODUCT(([1]OUT_FinalEnergyCons!$B$4:$B$10000="var_ncap")*1, (ISNUMBER(SEARCH("SCOM-SHngahp",[1]OUT_FinalEnergyCons!$A$4:$A$10000)))*1,[1]OUT_FinalEnergyCons!N$4:N$10000)</f>
        <v>3.0477327702429301E-2</v>
      </c>
      <c r="Q2303" s="1" cm="1">
        <f t="array" ref="Q2303">SUMPRODUCT(([1]OUT_FinalEnergyCons!$B$4:$B$10000="var_ncap")*1, (ISNUMBER(SEARCH("SCOM-SHngahp",[1]OUT_FinalEnergyCons!$A$4:$A$10000)))*1,[1]OUT_FinalEnergyCons!O$4:O$10000)</f>
        <v>4.03399879095014E-3</v>
      </c>
      <c r="S2303" s="3"/>
    </row>
    <row r="2304" spans="2:19" x14ac:dyDescent="0.5">
      <c r="B2304" s="5" t="str">
        <f t="shared" si="2305"/>
        <v>SPS1</v>
      </c>
      <c r="C2304" s="5" t="str">
        <f t="shared" si="2306"/>
        <v>CH</v>
      </c>
      <c r="D2304" t="s">
        <v>2438</v>
      </c>
      <c r="E2304" t="str">
        <f t="shared" si="2310"/>
        <v>GWth/yr.</v>
      </c>
      <c r="F2304" s="1" cm="1">
        <f t="array" ref="F2304">SUMPRODUCT(([1]OUT_FinalEnergyCons!$B$4:$B$10000="var_ncap")*1, (("SCOM-SHBIOBR"=[1]OUT_FinalEnergyCons!$A$4:$A$10000)*1+("SCOM-SHBNGABR"=[1]OUT_FinalEnergyCons!$A$4:$A$10000)*1),[1]OUT_FinalEnergyCons!D$4:D$10000)</f>
        <v>9.5871747933003492E-6</v>
      </c>
      <c r="G2304" s="1" cm="1">
        <f t="array" ref="G2304">SUMPRODUCT(([1]OUT_FinalEnergyCons!$B$4:$B$10000="var_ncap")*1, (("SCOM-SHBIOBR"=[1]OUT_FinalEnergyCons!$A$4:$A$10000)*1+("SCOM-SHBNGABR"=[1]OUT_FinalEnergyCons!$A$4:$A$10000)*1),[1]OUT_FinalEnergyCons!E$4:E$10000)</f>
        <v>4.2556391764358398E-5</v>
      </c>
      <c r="H2304" s="1" cm="1">
        <f t="array" ref="H2304">SUMPRODUCT(([1]OUT_FinalEnergyCons!$B$4:$B$10000="var_ncap")*1, (("SCOM-SHBIOBR"=[1]OUT_FinalEnergyCons!$A$4:$A$10000)*1+("SCOM-SHBNGABR"=[1]OUT_FinalEnergyCons!$A$4:$A$10000)*1),[1]OUT_FinalEnergyCons!F$4:F$10000)</f>
        <v>6.5211297171145098E-6</v>
      </c>
      <c r="I2304" s="1" cm="1">
        <f t="array" ref="I2304">SUMPRODUCT(([1]OUT_FinalEnergyCons!$B$4:$B$10000="var_ncap")*1, (("SCOM-SHBIOBR"=[1]OUT_FinalEnergyCons!$A$4:$A$10000)*1+("SCOM-SHBNGABR"=[1]OUT_FinalEnergyCons!$A$4:$A$10000)*1),[1]OUT_FinalEnergyCons!G$4:G$10000)</f>
        <v>7.0553570140363999E-6</v>
      </c>
      <c r="J2304" s="1" cm="1">
        <f t="array" ref="J2304">SUMPRODUCT(([1]OUT_FinalEnergyCons!$B$4:$B$10000="var_ncap")*1, (("SCOM-SHBIOBR"=[1]OUT_FinalEnergyCons!$A$4:$A$10000)*1+("SCOM-SHBNGABR"=[1]OUT_FinalEnergyCons!$A$4:$A$10000)*1),[1]OUT_FinalEnergyCons!H$4:H$10000)</f>
        <v>0.117766428915797</v>
      </c>
      <c r="K2304" s="1" cm="1">
        <f t="array" ref="K2304">SUMPRODUCT(([1]OUT_FinalEnergyCons!$B$4:$B$10000="var_ncap")*1, (("SCOM-SHBIOBR"=[1]OUT_FinalEnergyCons!$A$4:$A$10000)*1+("SCOM-SHBNGABR"=[1]OUT_FinalEnergyCons!$A$4:$A$10000)*1),[1]OUT_FinalEnergyCons!I$4:I$10000)</f>
        <v>0.16444876073596501</v>
      </c>
      <c r="L2304" s="1" cm="1">
        <f t="array" ref="L2304">SUMPRODUCT(([1]OUT_FinalEnergyCons!$B$4:$B$10000="var_ncap")*1, (("SCOM-SHBIOBR"=[1]OUT_FinalEnergyCons!$A$4:$A$10000)*1+("SCOM-SHBNGABR"=[1]OUT_FinalEnergyCons!$A$4:$A$10000)*1),[1]OUT_FinalEnergyCons!J$4:J$10000)</f>
        <v>2.6956453595463799E-5</v>
      </c>
      <c r="M2304" s="1" cm="1">
        <f t="array" ref="M2304">SUMPRODUCT(([1]OUT_FinalEnergyCons!$B$4:$B$10000="var_ncap")*1, (("SCOM-SHBIOBR"=[1]OUT_FinalEnergyCons!$A$4:$A$10000)*1+("SCOM-SHBNGABR"=[1]OUT_FinalEnergyCons!$A$4:$A$10000)*1),[1]OUT_FinalEnergyCons!K$4:K$10000)</f>
        <v>0.110032016388142</v>
      </c>
      <c r="N2304" s="1" cm="1">
        <f t="array" ref="N2304">SUMPRODUCT(([1]OUT_FinalEnergyCons!$B$4:$B$10000="var_ncap")*1, (("SCOM-SHBIOBR"=[1]OUT_FinalEnergyCons!$A$4:$A$10000)*1+("SCOM-SHBNGABR"=[1]OUT_FinalEnergyCons!$A$4:$A$10000)*1),[1]OUT_FinalEnergyCons!L$4:L$10000)</f>
        <v>0.160373514072948</v>
      </c>
      <c r="O2304" s="1" cm="1">
        <f t="array" ref="O2304">SUMPRODUCT(([1]OUT_FinalEnergyCons!$B$4:$B$10000="var_ncap")*1, (("SCOM-SHBIOBR"=[1]OUT_FinalEnergyCons!$A$4:$A$10000)*1+("SCOM-SHBNGABR"=[1]OUT_FinalEnergyCons!$A$4:$A$10000)*1),[1]OUT_FinalEnergyCons!M$4:M$10000)</f>
        <v>6.4302381272163894E-2</v>
      </c>
      <c r="P2304" s="1" cm="1">
        <f t="array" ref="P2304">SUMPRODUCT(([1]OUT_FinalEnergyCons!$B$4:$B$10000="var_ncap")*1, (("SCOM-SHBIOBR"=[1]OUT_FinalEnergyCons!$A$4:$A$10000)*1+("SCOM-SHBNGABR"=[1]OUT_FinalEnergyCons!$A$4:$A$10000)*1),[1]OUT_FinalEnergyCons!N$4:N$10000)</f>
        <v>0.1640154330677</v>
      </c>
      <c r="Q2304" s="1" cm="1">
        <f t="array" ref="Q2304">SUMPRODUCT(([1]OUT_FinalEnergyCons!$B$4:$B$10000="var_ncap")*1, (("SCOM-SHBIOBR"=[1]OUT_FinalEnergyCons!$A$4:$A$10000)*1+("SCOM-SHBNGABR"=[1]OUT_FinalEnergyCons!$A$4:$A$10000)*1),[1]OUT_FinalEnergyCons!O$4:O$10000)</f>
        <v>3.2628014857285503E-2</v>
      </c>
      <c r="S2304" s="3"/>
    </row>
    <row r="2305" spans="2:19" x14ac:dyDescent="0.5">
      <c r="B2305" s="5" t="str">
        <f t="shared" si="2305"/>
        <v>SPS1</v>
      </c>
      <c r="C2305" s="5" t="str">
        <f t="shared" si="2306"/>
        <v>CH</v>
      </c>
      <c r="D2305" t="s">
        <v>2439</v>
      </c>
      <c r="E2305" t="str">
        <f t="shared" si="2310"/>
        <v>GWth/yr.</v>
      </c>
      <c r="F2305" s="1">
        <f t="shared" ref="F2305:O2305" si="2313">F2306</f>
        <v>4.1785134744214E-6</v>
      </c>
      <c r="G2305" s="1">
        <f t="shared" si="2313"/>
        <v>2.0144807264688099E-5</v>
      </c>
      <c r="H2305" s="1">
        <f t="shared" si="2313"/>
        <v>8.6354517373265408E-6</v>
      </c>
      <c r="I2305" s="1">
        <f t="shared" si="2313"/>
        <v>7.1536110037591903E-6</v>
      </c>
      <c r="J2305" s="1">
        <f t="shared" si="2313"/>
        <v>0.48606576752921199</v>
      </c>
      <c r="K2305" s="1">
        <f t="shared" si="2313"/>
        <v>0.27190240559016299</v>
      </c>
      <c r="L2305" s="1">
        <f t="shared" si="2313"/>
        <v>0.53760012824690395</v>
      </c>
      <c r="M2305" s="1">
        <f t="shared" si="2313"/>
        <v>6.4290664103693607E-2</v>
      </c>
      <c r="N2305" s="1">
        <f t="shared" si="2313"/>
        <v>8.5015031001575994E-2</v>
      </c>
      <c r="O2305" s="1">
        <f t="shared" si="2313"/>
        <v>6.8131223523521593E-5</v>
      </c>
      <c r="P2305" s="1">
        <f>P2306</f>
        <v>1.0249932539521E-4</v>
      </c>
      <c r="Q2305" s="1">
        <f>Q2306</f>
        <v>6.2437747272737203E-2</v>
      </c>
      <c r="S2305" s="3"/>
    </row>
    <row r="2306" spans="2:19" x14ac:dyDescent="0.5">
      <c r="B2306" s="5" t="str">
        <f t="shared" si="2305"/>
        <v>SPS1</v>
      </c>
      <c r="C2306" s="5" t="str">
        <f t="shared" si="2306"/>
        <v>CH</v>
      </c>
      <c r="D2306" t="s">
        <v>2440</v>
      </c>
      <c r="E2306" t="str">
        <f t="shared" si="2310"/>
        <v>GWth/yr.</v>
      </c>
      <c r="F2306" s="1" cm="1">
        <f t="array" ref="F2306">SUMPRODUCT(([1]OUT_FinalEnergyCons!$B$4:$B$10000="var_ncap")*1, (ISNUMBER(SEARCH("SCOM-SHWODBR",[1]OUT_FinalEnergyCons!$A$4:$A$10000)))*1,[1]OUT_FinalEnergyCons!D$4:D$10000)</f>
        <v>4.1785134744214E-6</v>
      </c>
      <c r="G2306" s="1" cm="1">
        <f t="array" ref="G2306">SUMPRODUCT(([1]OUT_FinalEnergyCons!$B$4:$B$10000="var_ncap")*1, (ISNUMBER(SEARCH("SCOM-SHWODBR",[1]OUT_FinalEnergyCons!$A$4:$A$10000)))*1,[1]OUT_FinalEnergyCons!E$4:E$10000)</f>
        <v>2.0144807264688099E-5</v>
      </c>
      <c r="H2306" s="1" cm="1">
        <f t="array" ref="H2306">SUMPRODUCT(([1]OUT_FinalEnergyCons!$B$4:$B$10000="var_ncap")*1, (ISNUMBER(SEARCH("SCOM-SHWODBR",[1]OUT_FinalEnergyCons!$A$4:$A$10000)))*1,[1]OUT_FinalEnergyCons!F$4:F$10000)</f>
        <v>8.6354517373265408E-6</v>
      </c>
      <c r="I2306" s="1" cm="1">
        <f t="array" ref="I2306">SUMPRODUCT(([1]OUT_FinalEnergyCons!$B$4:$B$10000="var_ncap")*1, (ISNUMBER(SEARCH("SCOM-SHWODBR",[1]OUT_FinalEnergyCons!$A$4:$A$10000)))*1,[1]OUT_FinalEnergyCons!G$4:G$10000)</f>
        <v>7.1536110037591903E-6</v>
      </c>
      <c r="J2306" s="1" cm="1">
        <f t="array" ref="J2306">SUMPRODUCT(([1]OUT_FinalEnergyCons!$B$4:$B$10000="var_ncap")*1, (ISNUMBER(SEARCH("SCOM-SHWODBR",[1]OUT_FinalEnergyCons!$A$4:$A$10000)))*1,[1]OUT_FinalEnergyCons!H$4:H$10000)</f>
        <v>0.48606576752921199</v>
      </c>
      <c r="K2306" s="1" cm="1">
        <f t="array" ref="K2306">SUMPRODUCT(([1]OUT_FinalEnergyCons!$B$4:$B$10000="var_ncap")*1, (ISNUMBER(SEARCH("SCOM-SHWODBR",[1]OUT_FinalEnergyCons!$A$4:$A$10000)))*1,[1]OUT_FinalEnergyCons!I$4:I$10000)</f>
        <v>0.27190240559016299</v>
      </c>
      <c r="L2306" s="1" cm="1">
        <f t="array" ref="L2306">SUMPRODUCT(([1]OUT_FinalEnergyCons!$B$4:$B$10000="var_ncap")*1, (ISNUMBER(SEARCH("SCOM-SHWODBR",[1]OUT_FinalEnergyCons!$A$4:$A$10000)))*1,[1]OUT_FinalEnergyCons!J$4:J$10000)</f>
        <v>0.53760012824690395</v>
      </c>
      <c r="M2306" s="1" cm="1">
        <f t="array" ref="M2306">SUMPRODUCT(([1]OUT_FinalEnergyCons!$B$4:$B$10000="var_ncap")*1, (ISNUMBER(SEARCH("SCOM-SHWODBR",[1]OUT_FinalEnergyCons!$A$4:$A$10000)))*1,[1]OUT_FinalEnergyCons!K$4:K$10000)</f>
        <v>6.4290664103693607E-2</v>
      </c>
      <c r="N2306" s="1" cm="1">
        <f t="array" ref="N2306">SUMPRODUCT(([1]OUT_FinalEnergyCons!$B$4:$B$10000="var_ncap")*1, (ISNUMBER(SEARCH("SCOM-SHWODBR",[1]OUT_FinalEnergyCons!$A$4:$A$10000)))*1,[1]OUT_FinalEnergyCons!L$4:L$10000)</f>
        <v>8.5015031001575994E-2</v>
      </c>
      <c r="O2306" s="1" cm="1">
        <f t="array" ref="O2306">SUMPRODUCT(([1]OUT_FinalEnergyCons!$B$4:$B$10000="var_ncap")*1, (ISNUMBER(SEARCH("SCOM-SHWODBR",[1]OUT_FinalEnergyCons!$A$4:$A$10000)))*1,[1]OUT_FinalEnergyCons!M$4:M$10000)</f>
        <v>6.8131223523521593E-5</v>
      </c>
      <c r="P2306" s="1" cm="1">
        <f t="array" ref="P2306">SUMPRODUCT(([1]OUT_FinalEnergyCons!$B$4:$B$10000="var_ncap")*1, (ISNUMBER(SEARCH("SCOM-SHWODBR",[1]OUT_FinalEnergyCons!$A$4:$A$10000)))*1,[1]OUT_FinalEnergyCons!N$4:N$10000)</f>
        <v>1.0249932539521E-4</v>
      </c>
      <c r="Q2306" s="1" cm="1">
        <f t="array" ref="Q2306">SUMPRODUCT(([1]OUT_FinalEnergyCons!$B$4:$B$10000="var_ncap")*1, (ISNUMBER(SEARCH("SCOM-SHWODBR",[1]OUT_FinalEnergyCons!$A$4:$A$10000)))*1,[1]OUT_FinalEnergyCons!O$4:O$10000)</f>
        <v>6.2437747272737203E-2</v>
      </c>
      <c r="S2306" s="3"/>
    </row>
    <row r="2307" spans="2:19" x14ac:dyDescent="0.5">
      <c r="B2307" s="5" t="str">
        <f t="shared" si="2305"/>
        <v>SPS1</v>
      </c>
      <c r="C2307" s="5" t="str">
        <f t="shared" si="2306"/>
        <v>CH</v>
      </c>
      <c r="D2307" t="s">
        <v>2441</v>
      </c>
      <c r="E2307" t="str">
        <f t="shared" si="2310"/>
        <v>GWth/yr.</v>
      </c>
      <c r="F2307" s="1">
        <f t="shared" ref="F2307:O2307" si="2314">F2308</f>
        <v>4.4646330361709401E-6</v>
      </c>
      <c r="G2307" s="1">
        <f t="shared" si="2314"/>
        <v>2.3442764689894001E-2</v>
      </c>
      <c r="H2307" s="1">
        <f t="shared" si="2314"/>
        <v>7.6762463961382905E-6</v>
      </c>
      <c r="I2307" s="1">
        <f t="shared" si="2314"/>
        <v>9.0063755208080796E-6</v>
      </c>
      <c r="J2307" s="1">
        <f t="shared" si="2314"/>
        <v>0.124176023617374</v>
      </c>
      <c r="K2307" s="1">
        <f t="shared" si="2314"/>
        <v>5.64938128938983E-2</v>
      </c>
      <c r="L2307" s="1">
        <f t="shared" si="2314"/>
        <v>3.5414506748542498E-5</v>
      </c>
      <c r="M2307" s="1">
        <f t="shared" si="2314"/>
        <v>0.14633645966675399</v>
      </c>
      <c r="N2307" s="1">
        <f t="shared" si="2314"/>
        <v>7.0593650258777105E-2</v>
      </c>
      <c r="O2307" s="1">
        <f t="shared" si="2314"/>
        <v>7.8072372576323994E-5</v>
      </c>
      <c r="P2307" s="1">
        <f>P2308</f>
        <v>0.15834020653980699</v>
      </c>
      <c r="Q2307" s="1">
        <f>Q2308</f>
        <v>0.12772610325692901</v>
      </c>
      <c r="S2307" s="3"/>
    </row>
    <row r="2308" spans="2:19" x14ac:dyDescent="0.5">
      <c r="B2308" s="5" t="str">
        <f t="shared" si="2305"/>
        <v>SPS1</v>
      </c>
      <c r="C2308" s="5" t="str">
        <f t="shared" si="2306"/>
        <v>CH</v>
      </c>
      <c r="D2308" t="s">
        <v>2442</v>
      </c>
      <c r="E2308" t="str">
        <f t="shared" si="2310"/>
        <v>GWth/yr.</v>
      </c>
      <c r="F2308" s="1" cm="1">
        <f t="array" ref="F2308">SUMPRODUCT(([1]OUT_FinalEnergyCons!$B$4:$B$10000="var_ncap")*1,(ISNUMBER(SEARCH("SCOM-SHPLTBR",[1]OUT_FinalEnergyCons!$A$4:$A$10000)))*1,[1]OUT_FinalEnergyCons!D$4:D$10000)</f>
        <v>4.4646330361709401E-6</v>
      </c>
      <c r="G2308" s="1" cm="1">
        <f t="array" ref="G2308">SUMPRODUCT(([1]OUT_FinalEnergyCons!$B$4:$B$10000="var_ncap")*1,(ISNUMBER(SEARCH("SCOM-SHPLTBR",[1]OUT_FinalEnergyCons!$A$4:$A$10000)))*1,[1]OUT_FinalEnergyCons!E$4:E$10000)</f>
        <v>2.3442764689894001E-2</v>
      </c>
      <c r="H2308" s="1" cm="1">
        <f t="array" ref="H2308">SUMPRODUCT(([1]OUT_FinalEnergyCons!$B$4:$B$10000="var_ncap")*1,(ISNUMBER(SEARCH("SCOM-SHPLTBR",[1]OUT_FinalEnergyCons!$A$4:$A$10000)))*1,[1]OUT_FinalEnergyCons!F$4:F$10000)</f>
        <v>7.6762463961382905E-6</v>
      </c>
      <c r="I2308" s="1" cm="1">
        <f t="array" ref="I2308">SUMPRODUCT(([1]OUT_FinalEnergyCons!$B$4:$B$10000="var_ncap")*1,(ISNUMBER(SEARCH("SCOM-SHPLTBR",[1]OUT_FinalEnergyCons!$A$4:$A$10000)))*1,[1]OUT_FinalEnergyCons!G$4:G$10000)</f>
        <v>9.0063755208080796E-6</v>
      </c>
      <c r="J2308" s="1" cm="1">
        <f t="array" ref="J2308">SUMPRODUCT(([1]OUT_FinalEnergyCons!$B$4:$B$10000="var_ncap")*1,(ISNUMBER(SEARCH("SCOM-SHPLTBR",[1]OUT_FinalEnergyCons!$A$4:$A$10000)))*1,[1]OUT_FinalEnergyCons!H$4:H$10000)</f>
        <v>0.124176023617374</v>
      </c>
      <c r="K2308" s="1" cm="1">
        <f t="array" ref="K2308">SUMPRODUCT(([1]OUT_FinalEnergyCons!$B$4:$B$10000="var_ncap")*1,(ISNUMBER(SEARCH("SCOM-SHPLTBR",[1]OUT_FinalEnergyCons!$A$4:$A$10000)))*1,[1]OUT_FinalEnergyCons!I$4:I$10000)</f>
        <v>5.64938128938983E-2</v>
      </c>
      <c r="L2308" s="1" cm="1">
        <f t="array" ref="L2308">SUMPRODUCT(([1]OUT_FinalEnergyCons!$B$4:$B$10000="var_ncap")*1,(ISNUMBER(SEARCH("SCOM-SHPLTBR",[1]OUT_FinalEnergyCons!$A$4:$A$10000)))*1,[1]OUT_FinalEnergyCons!J$4:J$10000)</f>
        <v>3.5414506748542498E-5</v>
      </c>
      <c r="M2308" s="1" cm="1">
        <f t="array" ref="M2308">SUMPRODUCT(([1]OUT_FinalEnergyCons!$B$4:$B$10000="var_ncap")*1,(ISNUMBER(SEARCH("SCOM-SHPLTBR",[1]OUT_FinalEnergyCons!$A$4:$A$10000)))*1,[1]OUT_FinalEnergyCons!K$4:K$10000)</f>
        <v>0.14633645966675399</v>
      </c>
      <c r="N2308" s="1" cm="1">
        <f t="array" ref="N2308">SUMPRODUCT(([1]OUT_FinalEnergyCons!$B$4:$B$10000="var_ncap")*1,(ISNUMBER(SEARCH("SCOM-SHPLTBR",[1]OUT_FinalEnergyCons!$A$4:$A$10000)))*1,[1]OUT_FinalEnergyCons!L$4:L$10000)</f>
        <v>7.0593650258777105E-2</v>
      </c>
      <c r="O2308" s="1" cm="1">
        <f t="array" ref="O2308">SUMPRODUCT(([1]OUT_FinalEnergyCons!$B$4:$B$10000="var_ncap")*1,(ISNUMBER(SEARCH("SCOM-SHPLTBR",[1]OUT_FinalEnergyCons!$A$4:$A$10000)))*1,[1]OUT_FinalEnergyCons!M$4:M$10000)</f>
        <v>7.8072372576323994E-5</v>
      </c>
      <c r="P2308" s="1" cm="1">
        <f t="array" ref="P2308">SUMPRODUCT(([1]OUT_FinalEnergyCons!$B$4:$B$10000="var_ncap")*1,(ISNUMBER(SEARCH("SCOM-SHPLTBR",[1]OUT_FinalEnergyCons!$A$4:$A$10000)))*1,[1]OUT_FinalEnergyCons!N$4:N$10000)</f>
        <v>0.15834020653980699</v>
      </c>
      <c r="Q2308" s="1" cm="1">
        <f t="array" ref="Q2308">SUMPRODUCT(([1]OUT_FinalEnergyCons!$B$4:$B$10000="var_ncap")*1,(ISNUMBER(SEARCH("SCOM-SHPLTBR",[1]OUT_FinalEnergyCons!$A$4:$A$10000)))*1,[1]OUT_FinalEnergyCons!O$4:O$10000)</f>
        <v>0.12772610325692901</v>
      </c>
      <c r="S2308" s="3"/>
    </row>
    <row r="2309" spans="2:19" x14ac:dyDescent="0.5">
      <c r="B2309" s="5" t="str">
        <f t="shared" si="2305"/>
        <v>SPS1</v>
      </c>
      <c r="C2309" s="5" t="str">
        <f t="shared" si="2306"/>
        <v>CH</v>
      </c>
      <c r="D2309" t="s">
        <v>2443</v>
      </c>
      <c r="E2309" t="str">
        <f t="shared" si="2310"/>
        <v>GWth/yr.</v>
      </c>
      <c r="F2309" s="1">
        <f t="shared" ref="F2309:O2309" si="2315">F2310</f>
        <v>5.9515526669648799E-5</v>
      </c>
      <c r="G2309" s="1">
        <f t="shared" si="2315"/>
        <v>8.82934466821075E-3</v>
      </c>
      <c r="H2309" s="1">
        <f t="shared" si="2315"/>
        <v>2.0117211108898301E-5</v>
      </c>
      <c r="I2309" s="1">
        <f t="shared" si="2315"/>
        <v>3.4200114238897501E-5</v>
      </c>
      <c r="J2309" s="1">
        <f t="shared" si="2315"/>
        <v>0.49961574153079003</v>
      </c>
      <c r="K2309" s="1">
        <f t="shared" si="2315"/>
        <v>0.340344397213519</v>
      </c>
      <c r="L2309" s="1">
        <f t="shared" si="2315"/>
        <v>0.14247025612282099</v>
      </c>
      <c r="M2309" s="1">
        <f t="shared" si="2315"/>
        <v>0.49961606641074502</v>
      </c>
      <c r="N2309" s="1">
        <f t="shared" si="2315"/>
        <v>0.306925848984754</v>
      </c>
      <c r="O2309" s="1">
        <f t="shared" si="2315"/>
        <v>0.17588973567999899</v>
      </c>
      <c r="P2309" s="1">
        <f>P2310</f>
        <v>0.50842335279145601</v>
      </c>
      <c r="Q2309" s="1">
        <f>Q2310</f>
        <v>0.29812154825832998</v>
      </c>
      <c r="S2309" s="3"/>
    </row>
    <row r="2310" spans="2:19" x14ac:dyDescent="0.5">
      <c r="B2310" s="5" t="str">
        <f t="shared" si="2305"/>
        <v>SPS1</v>
      </c>
      <c r="C2310" s="5" t="str">
        <f t="shared" si="2306"/>
        <v>CH</v>
      </c>
      <c r="D2310" t="s">
        <v>2444</v>
      </c>
      <c r="E2310" t="str">
        <f t="shared" si="2310"/>
        <v>GWth/yr.</v>
      </c>
      <c r="F2310" s="1" cm="1">
        <f t="array" ref="F2310">SUMPRODUCT(([1]OUT_FinalEnergyCons!$B$4:$B$10000="var_ncap")*1, (ISNUMBER(SEARCH("SCOM-SHSOLBR",[1]OUT_FinalEnergyCons!$A$4:$A$10000)))*1,[1]OUT_FinalEnergyCons!D$4:D$10000)</f>
        <v>5.9515526669648799E-5</v>
      </c>
      <c r="G2310" s="1" cm="1">
        <f t="array" ref="G2310">SUMPRODUCT(([1]OUT_FinalEnergyCons!$B$4:$B$10000="var_ncap")*1, (ISNUMBER(SEARCH("SCOM-SHSOLBR",[1]OUT_FinalEnergyCons!$A$4:$A$10000)))*1,[1]OUT_FinalEnergyCons!E$4:E$10000)</f>
        <v>8.82934466821075E-3</v>
      </c>
      <c r="H2310" s="1" cm="1">
        <f t="array" ref="H2310">SUMPRODUCT(([1]OUT_FinalEnergyCons!$B$4:$B$10000="var_ncap")*1, (ISNUMBER(SEARCH("SCOM-SHSOLBR",[1]OUT_FinalEnergyCons!$A$4:$A$10000)))*1,[1]OUT_FinalEnergyCons!F$4:F$10000)</f>
        <v>2.0117211108898301E-5</v>
      </c>
      <c r="I2310" s="1" cm="1">
        <f t="array" ref="I2310">SUMPRODUCT(([1]OUT_FinalEnergyCons!$B$4:$B$10000="var_ncap")*1, (ISNUMBER(SEARCH("SCOM-SHSOLBR",[1]OUT_FinalEnergyCons!$A$4:$A$10000)))*1,[1]OUT_FinalEnergyCons!G$4:G$10000)</f>
        <v>3.4200114238897501E-5</v>
      </c>
      <c r="J2310" s="1" cm="1">
        <f t="array" ref="J2310">SUMPRODUCT(([1]OUT_FinalEnergyCons!$B$4:$B$10000="var_ncap")*1, (ISNUMBER(SEARCH("SCOM-SHSOLBR",[1]OUT_FinalEnergyCons!$A$4:$A$10000)))*1,[1]OUT_FinalEnergyCons!H$4:H$10000)</f>
        <v>0.49961574153079003</v>
      </c>
      <c r="K2310" s="1" cm="1">
        <f t="array" ref="K2310">SUMPRODUCT(([1]OUT_FinalEnergyCons!$B$4:$B$10000="var_ncap")*1, (ISNUMBER(SEARCH("SCOM-SHSOLBR",[1]OUT_FinalEnergyCons!$A$4:$A$10000)))*1,[1]OUT_FinalEnergyCons!I$4:I$10000)</f>
        <v>0.340344397213519</v>
      </c>
      <c r="L2310" s="1" cm="1">
        <f t="array" ref="L2310">SUMPRODUCT(([1]OUT_FinalEnergyCons!$B$4:$B$10000="var_ncap")*1, (ISNUMBER(SEARCH("SCOM-SHSOLBR",[1]OUT_FinalEnergyCons!$A$4:$A$10000)))*1,[1]OUT_FinalEnergyCons!J$4:J$10000)</f>
        <v>0.14247025612282099</v>
      </c>
      <c r="M2310" s="1" cm="1">
        <f t="array" ref="M2310">SUMPRODUCT(([1]OUT_FinalEnergyCons!$B$4:$B$10000="var_ncap")*1, (ISNUMBER(SEARCH("SCOM-SHSOLBR",[1]OUT_FinalEnergyCons!$A$4:$A$10000)))*1,[1]OUT_FinalEnergyCons!K$4:K$10000)</f>
        <v>0.49961606641074502</v>
      </c>
      <c r="N2310" s="1" cm="1">
        <f t="array" ref="N2310">SUMPRODUCT(([1]OUT_FinalEnergyCons!$B$4:$B$10000="var_ncap")*1, (ISNUMBER(SEARCH("SCOM-SHSOLBR",[1]OUT_FinalEnergyCons!$A$4:$A$10000)))*1,[1]OUT_FinalEnergyCons!L$4:L$10000)</f>
        <v>0.306925848984754</v>
      </c>
      <c r="O2310" s="1" cm="1">
        <f t="array" ref="O2310">SUMPRODUCT(([1]OUT_FinalEnergyCons!$B$4:$B$10000="var_ncap")*1, (ISNUMBER(SEARCH("SCOM-SHSOLBR",[1]OUT_FinalEnergyCons!$A$4:$A$10000)))*1,[1]OUT_FinalEnergyCons!M$4:M$10000)</f>
        <v>0.17588973567999899</v>
      </c>
      <c r="P2310" s="1" cm="1">
        <f t="array" ref="P2310">SUMPRODUCT(([1]OUT_FinalEnergyCons!$B$4:$B$10000="var_ncap")*1, (ISNUMBER(SEARCH("SCOM-SHSOLBR",[1]OUT_FinalEnergyCons!$A$4:$A$10000)))*1,[1]OUT_FinalEnergyCons!N$4:N$10000)</f>
        <v>0.50842335279145601</v>
      </c>
      <c r="Q2310" s="1" cm="1">
        <f t="array" ref="Q2310">SUMPRODUCT(([1]OUT_FinalEnergyCons!$B$4:$B$10000="var_ncap")*1, (ISNUMBER(SEARCH("SCOM-SHSOLBR",[1]OUT_FinalEnergyCons!$A$4:$A$10000)))*1,[1]OUT_FinalEnergyCons!O$4:O$10000)</f>
        <v>0.29812154825832998</v>
      </c>
      <c r="S2310" s="3"/>
    </row>
    <row r="2311" spans="2:19" x14ac:dyDescent="0.5">
      <c r="B2311" s="5" t="str">
        <f t="shared" si="2305"/>
        <v>SPS1</v>
      </c>
      <c r="C2311" s="5" t="str">
        <f t="shared" si="2306"/>
        <v>CH</v>
      </c>
      <c r="D2311" t="s">
        <v>2445</v>
      </c>
      <c r="E2311" t="str">
        <f t="shared" si="2310"/>
        <v>GWth/yr.</v>
      </c>
      <c r="F2311" s="1">
        <f t="shared" ref="F2311:O2311" si="2316">F2312</f>
        <v>0</v>
      </c>
      <c r="G2311" s="1">
        <f t="shared" si="2316"/>
        <v>0</v>
      </c>
      <c r="H2311" s="1">
        <f t="shared" si="2316"/>
        <v>0</v>
      </c>
      <c r="I2311" s="1">
        <f t="shared" si="2316"/>
        <v>3.1394475819431299E-2</v>
      </c>
      <c r="J2311" s="1">
        <f t="shared" si="2316"/>
        <v>1.0390798949792999E-2</v>
      </c>
      <c r="K2311" s="1">
        <f t="shared" si="2316"/>
        <v>9.6795113357048008E-3</v>
      </c>
      <c r="L2311" s="1">
        <f t="shared" si="2316"/>
        <v>1.2121653844034601E-5</v>
      </c>
      <c r="M2311" s="1">
        <f t="shared" si="2316"/>
        <v>5.3864818714828802E-2</v>
      </c>
      <c r="N2311" s="1">
        <f t="shared" si="2316"/>
        <v>9.4905261817115505E-2</v>
      </c>
      <c r="O2311" s="1">
        <f t="shared" si="2316"/>
        <v>3.98305915229848E-2</v>
      </c>
      <c r="P2311" s="1">
        <f>P2312</f>
        <v>5.02474518246512E-2</v>
      </c>
      <c r="Q2311" s="1">
        <f>Q2312</f>
        <v>1.28794500380112E-3</v>
      </c>
      <c r="S2311" s="3"/>
    </row>
    <row r="2312" spans="2:19" x14ac:dyDescent="0.5">
      <c r="B2312" s="5" t="str">
        <f t="shared" si="2305"/>
        <v>SPS1</v>
      </c>
      <c r="C2312" s="5" t="str">
        <f t="shared" si="2306"/>
        <v>CH</v>
      </c>
      <c r="D2312" t="s">
        <v>2446</v>
      </c>
      <c r="E2312" t="str">
        <f t="shared" si="2310"/>
        <v>GWth/yr.</v>
      </c>
      <c r="F2312" s="1" cm="1">
        <f t="array" ref="F2312">SUMPRODUCT(([1]OUT_FinalEnergyCons!$B$4:$B$10000="var_ncap")*1, (ISNUMBER(SEARCH("SCOM-SHH2BR",[1]OUT_FinalEnergyCons!$A$4:$A$10000)))*1,[1]OUT_FinalEnergyCons!D$4:D$10000)</f>
        <v>0</v>
      </c>
      <c r="G2312" s="1" cm="1">
        <f t="array" ref="G2312">SUMPRODUCT(([1]OUT_FinalEnergyCons!$B$4:$B$10000="var_ncap")*1, (ISNUMBER(SEARCH("SCOM-SHH2BR",[1]OUT_FinalEnergyCons!$A$4:$A$10000)))*1,[1]OUT_FinalEnergyCons!E$4:E$10000)</f>
        <v>0</v>
      </c>
      <c r="H2312" s="1" cm="1">
        <f t="array" ref="H2312">SUMPRODUCT(([1]OUT_FinalEnergyCons!$B$4:$B$10000="var_ncap")*1, (ISNUMBER(SEARCH("SCOM-SHH2BR",[1]OUT_FinalEnergyCons!$A$4:$A$10000)))*1,[1]OUT_FinalEnergyCons!F$4:F$10000)</f>
        <v>0</v>
      </c>
      <c r="I2312" s="1" cm="1">
        <f t="array" ref="I2312">SUMPRODUCT(([1]OUT_FinalEnergyCons!$B$4:$B$10000="var_ncap")*1, (ISNUMBER(SEARCH("SCOM-SHH2BR",[1]OUT_FinalEnergyCons!$A$4:$A$10000)))*1,[1]OUT_FinalEnergyCons!G$4:G$10000)</f>
        <v>3.1394475819431299E-2</v>
      </c>
      <c r="J2312" s="1" cm="1">
        <f t="array" ref="J2312">SUMPRODUCT(([1]OUT_FinalEnergyCons!$B$4:$B$10000="var_ncap")*1, (ISNUMBER(SEARCH("SCOM-SHH2BR",[1]OUT_FinalEnergyCons!$A$4:$A$10000)))*1,[1]OUT_FinalEnergyCons!H$4:H$10000)</f>
        <v>1.0390798949792999E-2</v>
      </c>
      <c r="K2312" s="1" cm="1">
        <f t="array" ref="K2312">SUMPRODUCT(([1]OUT_FinalEnergyCons!$B$4:$B$10000="var_ncap")*1, (ISNUMBER(SEARCH("SCOM-SHH2BR",[1]OUT_FinalEnergyCons!$A$4:$A$10000)))*1,[1]OUT_FinalEnergyCons!I$4:I$10000)</f>
        <v>9.6795113357048008E-3</v>
      </c>
      <c r="L2312" s="1" cm="1">
        <f t="array" ref="L2312">SUMPRODUCT(([1]OUT_FinalEnergyCons!$B$4:$B$10000="var_ncap")*1, (ISNUMBER(SEARCH("SCOM-SHH2BR",[1]OUT_FinalEnergyCons!$A$4:$A$10000)))*1,[1]OUT_FinalEnergyCons!J$4:J$10000)</f>
        <v>1.2121653844034601E-5</v>
      </c>
      <c r="M2312" s="1" cm="1">
        <f t="array" ref="M2312">SUMPRODUCT(([1]OUT_FinalEnergyCons!$B$4:$B$10000="var_ncap")*1, (ISNUMBER(SEARCH("SCOM-SHH2BR",[1]OUT_FinalEnergyCons!$A$4:$A$10000)))*1,[1]OUT_FinalEnergyCons!K$4:K$10000)</f>
        <v>5.3864818714828802E-2</v>
      </c>
      <c r="N2312" s="1" cm="1">
        <f t="array" ref="N2312">SUMPRODUCT(([1]OUT_FinalEnergyCons!$B$4:$B$10000="var_ncap")*1, (ISNUMBER(SEARCH("SCOM-SHH2BR",[1]OUT_FinalEnergyCons!$A$4:$A$10000)))*1,[1]OUT_FinalEnergyCons!L$4:L$10000)</f>
        <v>9.4905261817115505E-2</v>
      </c>
      <c r="O2312" s="1" cm="1">
        <f t="array" ref="O2312">SUMPRODUCT(([1]OUT_FinalEnergyCons!$B$4:$B$10000="var_ncap")*1, (ISNUMBER(SEARCH("SCOM-SHH2BR",[1]OUT_FinalEnergyCons!$A$4:$A$10000)))*1,[1]OUT_FinalEnergyCons!M$4:M$10000)</f>
        <v>3.98305915229848E-2</v>
      </c>
      <c r="P2312" s="1" cm="1">
        <f t="array" ref="P2312">SUMPRODUCT(([1]OUT_FinalEnergyCons!$B$4:$B$10000="var_ncap")*1, (ISNUMBER(SEARCH("SCOM-SHH2BR",[1]OUT_FinalEnergyCons!$A$4:$A$10000)))*1,[1]OUT_FinalEnergyCons!N$4:N$10000)</f>
        <v>5.02474518246512E-2</v>
      </c>
      <c r="Q2312" s="1" cm="1">
        <f t="array" ref="Q2312">SUMPRODUCT(([1]OUT_FinalEnergyCons!$B$4:$B$10000="var_ncap")*1, (ISNUMBER(SEARCH("SCOM-SHH2BR",[1]OUT_FinalEnergyCons!$A$4:$A$10000)))*1,[1]OUT_FinalEnergyCons!O$4:O$10000)</f>
        <v>1.28794500380112E-3</v>
      </c>
      <c r="S2312" s="3"/>
    </row>
    <row r="2313" spans="2:19" x14ac:dyDescent="0.5">
      <c r="B2313" s="5" t="str">
        <f>'SPS1'!B2021</f>
        <v>SPS1</v>
      </c>
      <c r="C2313" s="5" t="str">
        <f>'SPS1'!C2021</f>
        <v>CH</v>
      </c>
      <c r="D2313" s="2" t="s">
        <v>2448</v>
      </c>
      <c r="E2313" s="2" t="s">
        <v>2154</v>
      </c>
      <c r="F2313" s="3">
        <f t="shared" ref="F2313:K2313" si="2317">SUM(F2314,F2318,F2321)</f>
        <v>7.7249490318217302E-4</v>
      </c>
      <c r="G2313" s="3">
        <f t="shared" si="2317"/>
        <v>4.3580516910773502E-4</v>
      </c>
      <c r="H2313" s="3">
        <f t="shared" si="2317"/>
        <v>2.4980388509860501E-5</v>
      </c>
      <c r="I2313" s="3">
        <f t="shared" si="2317"/>
        <v>1.9143108199772895E-2</v>
      </c>
      <c r="J2313" s="3">
        <f t="shared" si="2317"/>
        <v>0.30973307481931878</v>
      </c>
      <c r="K2313" s="3">
        <f t="shared" si="2317"/>
        <v>1.0702926940900164</v>
      </c>
      <c r="L2313" s="3">
        <f t="shared" ref="L2313:O2313" si="2318">SUM(L2314,L2318,L2321)</f>
        <v>0.80075697660047052</v>
      </c>
      <c r="M2313" s="3">
        <f t="shared" si="2318"/>
        <v>1.5214442472259075</v>
      </c>
      <c r="N2313" s="3">
        <f t="shared" si="2318"/>
        <v>0.10868097695430309</v>
      </c>
      <c r="O2313" s="3">
        <f t="shared" si="2318"/>
        <v>1.0313827086576657</v>
      </c>
      <c r="P2313" s="3">
        <f>SUM(P2314,P2318,P2321)</f>
        <v>0.9141129215073136</v>
      </c>
      <c r="Q2313" s="3">
        <f>SUM(Q2314,Q2318,Q2321)</f>
        <v>1.3947645445105668</v>
      </c>
      <c r="S2313" s="3"/>
    </row>
    <row r="2314" spans="2:19" x14ac:dyDescent="0.5">
      <c r="B2314" s="5" t="str">
        <f t="shared" ref="B2314:B2340" si="2319">B2313</f>
        <v>SPS1</v>
      </c>
      <c r="C2314" s="5" t="str">
        <f t="shared" ref="C2314:C2340" si="2320">C2313</f>
        <v>CH</v>
      </c>
      <c r="D2314" t="s">
        <v>2449</v>
      </c>
      <c r="E2314" t="s">
        <v>2154</v>
      </c>
      <c r="F2314" s="1" cm="1">
        <f t="array" ref="F2314">SUMPRODUCT(ISNUMBER(SEARCH("SUP_ELCH2*",[1]OUT_SyntheticFuels!$C$4:$C$1000))*1,("var_ncap"=[1]OUT_SyntheticFuels!$B$4:$B$1000)*1,[1]OUT_SyntheticFuels!E$4:E$1000)</f>
        <v>7.7249490318217302E-4</v>
      </c>
      <c r="G2314" s="1" cm="1">
        <f t="array" ref="G2314">SUMPRODUCT(ISNUMBER(SEARCH("SUP_ELCH2*",[1]OUT_SyntheticFuels!$C$4:$C$1000))*1,("var_ncap"=[1]OUT_SyntheticFuels!$B$4:$B$1000)*1,[1]OUT_SyntheticFuels!F$4:F$1000)</f>
        <v>4.3580516910773502E-4</v>
      </c>
      <c r="H2314" s="1" cm="1">
        <f t="array" ref="H2314">SUMPRODUCT(ISNUMBER(SEARCH("SUP_ELCH2*",[1]OUT_SyntheticFuels!$C$4:$C$1000))*1,("var_ncap"=[1]OUT_SyntheticFuels!$B$4:$B$1000)*1,[1]OUT_SyntheticFuels!G$4:G$1000)</f>
        <v>2.4980388509860501E-5</v>
      </c>
      <c r="I2314" s="1" cm="1">
        <f t="array" ref="I2314">SUMPRODUCT(ISNUMBER(SEARCH("SUP_ELCH2*",[1]OUT_SyntheticFuels!$C$4:$C$1000))*1,("var_ncap"=[1]OUT_SyntheticFuels!$B$4:$B$1000)*1,[1]OUT_SyntheticFuels!H$4:H$1000)</f>
        <v>1.8791708085268935E-2</v>
      </c>
      <c r="J2314" s="1" cm="1">
        <f t="array" ref="J2314">SUMPRODUCT(ISNUMBER(SEARCH("SUP_ELCH2*",[1]OUT_SyntheticFuels!$C$4:$C$1000))*1,("var_ncap"=[1]OUT_SyntheticFuels!$B$4:$B$1000)*1,[1]OUT_SyntheticFuels!I$4:I$1000)</f>
        <v>0.28716895456455976</v>
      </c>
      <c r="K2314" s="1" cm="1">
        <f t="array" ref="K2314">SUMPRODUCT(ISNUMBER(SEARCH("SUP_ELCH2*",[1]OUT_SyntheticFuels!$C$4:$C$1000))*1,("var_ncap"=[1]OUT_SyntheticFuels!$B$4:$B$1000)*1,[1]OUT_SyntheticFuels!J$4:J$1000)</f>
        <v>1.0702802688889874</v>
      </c>
      <c r="L2314" s="1" cm="1">
        <f t="array" ref="L2314">SUMPRODUCT(ISNUMBER(SEARCH("SUP_ELCH2*",[1]OUT_SyntheticFuels!$C$4:$C$1000))*1,("var_ncap"=[1]OUT_SyntheticFuels!$B$4:$B$1000)*1,[1]OUT_SyntheticFuels!K$4:K$1000)</f>
        <v>0.80073870645134904</v>
      </c>
      <c r="M2314" s="1" cm="1">
        <f t="array" ref="M2314">SUMPRODUCT(ISNUMBER(SEARCH("SUP_ELCH2*",[1]OUT_SyntheticFuels!$C$4:$C$1000))*1,("var_ncap"=[1]OUT_SyntheticFuels!$B$4:$B$1000)*1,[1]OUT_SyntheticFuels!L$4:L$1000)</f>
        <v>1.3800275591580464</v>
      </c>
      <c r="N2314" s="1" cm="1">
        <f t="array" ref="N2314">SUMPRODUCT(ISNUMBER(SEARCH("SUP_ELCH2*",[1]OUT_SyntheticFuels!$C$4:$C$1000))*1,("var_ncap"=[1]OUT_SyntheticFuels!$B$4:$B$1000)*1,[1]OUT_SyntheticFuels!M$4:M$1000)</f>
        <v>4.8346434464349455E-2</v>
      </c>
      <c r="O2314" s="1" cm="1">
        <f t="array" ref="O2314">SUMPRODUCT(ISNUMBER(SEARCH("SUP_ELCH2*",[1]OUT_SyntheticFuels!$C$4:$C$1000))*1,("var_ncap"=[1]OUT_SyntheticFuels!$B$4:$B$1000)*1,[1]OUT_SyntheticFuels!N$4:N$1000)</f>
        <v>1.0307456741542638</v>
      </c>
      <c r="P2314" s="1" cm="1">
        <f t="array" ref="P2314">SUMPRODUCT(ISNUMBER(SEARCH("SUP_ELCH2*",[1]OUT_SyntheticFuels!$C$4:$C$1000))*1,("var_ncap"=[1]OUT_SyntheticFuels!$B$4:$B$1000)*1,[1]OUT_SyntheticFuels!O$4:O$1000)</f>
        <v>0.80868194573949725</v>
      </c>
      <c r="Q2314" s="1" cm="1">
        <f t="array" ref="Q2314">SUMPRODUCT(ISNUMBER(SEARCH("SUP_ELCH2*",[1]OUT_SyntheticFuels!$C$4:$C$1000))*1,("var_ncap"=[1]OUT_SyntheticFuels!$B$4:$B$1000)*1,[1]OUT_SyntheticFuels!P$4:P$1000)</f>
        <v>1.368205908251243</v>
      </c>
      <c r="S2314" s="3"/>
    </row>
    <row r="2315" spans="2:19" x14ac:dyDescent="0.5">
      <c r="B2315" s="5" t="str">
        <f t="shared" si="2319"/>
        <v>SPS1</v>
      </c>
      <c r="C2315" s="5" t="str">
        <f t="shared" si="2320"/>
        <v>CH</v>
      </c>
      <c r="D2315" t="s">
        <v>2450</v>
      </c>
      <c r="E2315" t="s">
        <v>2154</v>
      </c>
      <c r="F2315" s="1">
        <f t="shared" ref="F2315:K2315" si="2321">F2314-F2316-F2317</f>
        <v>7.7249490318217302E-4</v>
      </c>
      <c r="G2315" s="1">
        <f t="shared" si="2321"/>
        <v>4.3580516910773502E-4</v>
      </c>
      <c r="H2315" s="1">
        <f t="shared" si="2321"/>
        <v>2.4980388509860501E-5</v>
      </c>
      <c r="I2315" s="1">
        <f t="shared" si="2321"/>
        <v>1.8767265452464099E-2</v>
      </c>
      <c r="J2315" s="1">
        <f t="shared" si="2321"/>
        <v>0.28713891385485302</v>
      </c>
      <c r="K2315" s="1">
        <f t="shared" si="2321"/>
        <v>0.71668679538624613</v>
      </c>
      <c r="L2315" s="1">
        <f t="shared" ref="L2315:O2315" si="2322">L2314-L2316-L2317</f>
        <v>0.67789946907030096</v>
      </c>
      <c r="M2315" s="1">
        <f t="shared" si="2322"/>
        <v>1.3655142070263999</v>
      </c>
      <c r="N2315" s="1">
        <f t="shared" si="2322"/>
        <v>1.0311138181911875E-3</v>
      </c>
      <c r="O2315" s="1">
        <f t="shared" si="2322"/>
        <v>0.72331029798098001</v>
      </c>
      <c r="P2315" s="1">
        <f>P2314-P2316-P2317</f>
        <v>0.68727363381265505</v>
      </c>
      <c r="Q2315" s="1">
        <f>Q2314-Q2316-Q2317</f>
        <v>1.3498639721618599</v>
      </c>
      <c r="S2315" s="3"/>
    </row>
    <row r="2316" spans="2:19" x14ac:dyDescent="0.5">
      <c r="B2316" s="5" t="str">
        <f t="shared" si="2319"/>
        <v>SPS1</v>
      </c>
      <c r="C2316" s="5" t="str">
        <f t="shared" si="2320"/>
        <v>CH</v>
      </c>
      <c r="D2316" t="s">
        <v>2451</v>
      </c>
      <c r="E2316" t="s">
        <v>2154</v>
      </c>
      <c r="F2316" s="1" cm="1">
        <f t="array" ref="F2316">SUMPRODUCT(ISNUMBER(SEARCH("SUP_ELCH2*D",[1]OUT_SyntheticFuels!$C$4:$C$1000))*1,("var_ncap"=[1]OUT_SyntheticFuels!$B$4:$B$1000)*1,[1]OUT_SyntheticFuels!E$4:E$1000)</f>
        <v>0</v>
      </c>
      <c r="G2316" s="1" cm="1">
        <f t="array" ref="G2316">SUMPRODUCT(ISNUMBER(SEARCH("SUP_ELCH2*D",[1]OUT_SyntheticFuels!$C$4:$C$1000))*1,("var_ncap"=[1]OUT_SyntheticFuels!$B$4:$B$1000)*1,[1]OUT_SyntheticFuels!F$4:F$1000)</f>
        <v>0</v>
      </c>
      <c r="H2316" s="1" cm="1">
        <f t="array" ref="H2316">SUMPRODUCT(ISNUMBER(SEARCH("SUP_ELCH2*D",[1]OUT_SyntheticFuels!$C$4:$C$1000))*1,("var_ncap"=[1]OUT_SyntheticFuels!$B$4:$B$1000)*1,[1]OUT_SyntheticFuels!G$4:G$1000)</f>
        <v>0</v>
      </c>
      <c r="I2316" s="1" cm="1">
        <f t="array" ref="I2316">SUMPRODUCT(ISNUMBER(SEARCH("SUP_ELCH2*D",[1]OUT_SyntheticFuels!$C$4:$C$1000))*1,("var_ncap"=[1]OUT_SyntheticFuels!$B$4:$B$1000)*1,[1]OUT_SyntheticFuels!H$4:H$1000)</f>
        <v>2.4442632804837201E-5</v>
      </c>
      <c r="J2316" s="1" cm="1">
        <f t="array" ref="J2316">SUMPRODUCT(ISNUMBER(SEARCH("SUP_ELCH2*D",[1]OUT_SyntheticFuels!$C$4:$C$1000))*1,("var_ncap"=[1]OUT_SyntheticFuels!$B$4:$B$1000)*1,[1]OUT_SyntheticFuels!I$4:I$1000)</f>
        <v>3.0040709706742099E-5</v>
      </c>
      <c r="K2316" s="1" cm="1">
        <f t="array" ref="K2316">SUMPRODUCT(ISNUMBER(SEARCH("SUP_ELCH2*D",[1]OUT_SyntheticFuels!$C$4:$C$1000))*1,("var_ncap"=[1]OUT_SyntheticFuels!$B$4:$B$1000)*1,[1]OUT_SyntheticFuels!J$4:J$1000)</f>
        <v>0.351422674278769</v>
      </c>
      <c r="L2316" s="1" cm="1">
        <f t="array" ref="L2316">SUMPRODUCT(ISNUMBER(SEARCH("SUP_ELCH2*D",[1]OUT_SyntheticFuels!$C$4:$C$1000))*1,("var_ncap"=[1]OUT_SyntheticFuels!$B$4:$B$1000)*1,[1]OUT_SyntheticFuels!K$4:K$1000)</f>
        <v>0.120549161972603</v>
      </c>
      <c r="M2316" s="1" cm="1">
        <f t="array" ref="M2316">SUMPRODUCT(ISNUMBER(SEARCH("SUP_ELCH2*D",[1]OUT_SyntheticFuels!$C$4:$C$1000))*1,("var_ncap"=[1]OUT_SyntheticFuels!$B$4:$B$1000)*1,[1]OUT_SyntheticFuels!L$4:L$1000)</f>
        <v>1.33824053872507E-2</v>
      </c>
      <c r="N2316" s="1" cm="1">
        <f t="array" ref="N2316">SUMPRODUCT(ISNUMBER(SEARCH("SUP_ELCH2*D",[1]OUT_SyntheticFuels!$C$4:$C$1000))*1,("var_ncap"=[1]OUT_SyntheticFuels!$B$4:$B$1000)*1,[1]OUT_SyntheticFuels!M$4:M$1000)</f>
        <v>4.6549182919990398E-2</v>
      </c>
      <c r="O2316" s="1" cm="1">
        <f t="array" ref="O2316">SUMPRODUCT(ISNUMBER(SEARCH("SUP_ELCH2*D",[1]OUT_SyntheticFuels!$C$4:$C$1000))*1,("var_ncap"=[1]OUT_SyntheticFuels!$B$4:$B$1000)*1,[1]OUT_SyntheticFuels!N$4:N$1000)</f>
        <v>0.30490786862800401</v>
      </c>
      <c r="P2316" s="1" cm="1">
        <f t="array" ref="P2316">SUMPRODUCT(ISNUMBER(SEARCH("SUP_ELCH2*D",[1]OUT_SyntheticFuels!$C$4:$C$1000))*1,("var_ncap"=[1]OUT_SyntheticFuels!$B$4:$B$1000)*1,[1]OUT_SyntheticFuels!O$4:O$1000)</f>
        <v>0.12053452064650901</v>
      </c>
      <c r="Q2316" s="1" cm="1">
        <f t="array" ref="Q2316">SUMPRODUCT(ISNUMBER(SEARCH("SUP_ELCH2*D",[1]OUT_SyntheticFuels!$C$4:$C$1000))*1,("var_ncap"=[1]OUT_SyntheticFuels!$B$4:$B$1000)*1,[1]OUT_SyntheticFuels!P$4:P$1000)</f>
        <v>1.34674691346559E-2</v>
      </c>
      <c r="S2316" s="3"/>
    </row>
    <row r="2317" spans="2:19" x14ac:dyDescent="0.5">
      <c r="B2317" s="5" t="str">
        <f t="shared" si="2319"/>
        <v>SPS1</v>
      </c>
      <c r="C2317" s="5" t="str">
        <f t="shared" si="2320"/>
        <v>CH</v>
      </c>
      <c r="D2317" t="s">
        <v>2452</v>
      </c>
      <c r="E2317" t="s">
        <v>2154</v>
      </c>
      <c r="F2317" s="1" cm="1">
        <f t="array" ref="F2317">SUMPRODUCT(ISNUMBER(SEARCH("SUP_ELCH2*SOEC*",[1]OUT_SyntheticFuels!$C$4:$C$1000))*1,("var_ncap"=[1]OUT_SyntheticFuels!$B$4:$B$1000)*1,[1]OUT_SyntheticFuels!E$4:E$1000)</f>
        <v>0</v>
      </c>
      <c r="G2317" s="1" cm="1">
        <f t="array" ref="G2317">SUMPRODUCT(ISNUMBER(SEARCH("SUP_ELCH2*SOEC*",[1]OUT_SyntheticFuels!$C$4:$C$1000))*1,("var_ncap"=[1]OUT_SyntheticFuels!$B$4:$B$1000)*1,[1]OUT_SyntheticFuels!F$4:F$1000)</f>
        <v>0</v>
      </c>
      <c r="H2317" s="1" cm="1">
        <f t="array" ref="H2317">SUMPRODUCT(ISNUMBER(SEARCH("SUP_ELCH2*SOEC*",[1]OUT_SyntheticFuels!$C$4:$C$1000))*1,("var_ncap"=[1]OUT_SyntheticFuels!$B$4:$B$1000)*1,[1]OUT_SyntheticFuels!G$4:G$1000)</f>
        <v>0</v>
      </c>
      <c r="I2317" s="1" cm="1">
        <f t="array" ref="I2317">SUMPRODUCT(ISNUMBER(SEARCH("SUP_ELCH2*SOEC*",[1]OUT_SyntheticFuels!$C$4:$C$1000))*1,("var_ncap"=[1]OUT_SyntheticFuels!$B$4:$B$1000)*1,[1]OUT_SyntheticFuels!H$4:H$1000)</f>
        <v>0</v>
      </c>
      <c r="J2317" s="1" cm="1">
        <f t="array" ref="J2317">SUMPRODUCT(ISNUMBER(SEARCH("SUP_ELCH2*SOEC*",[1]OUT_SyntheticFuels!$C$4:$C$1000))*1,("var_ncap"=[1]OUT_SyntheticFuels!$B$4:$B$1000)*1,[1]OUT_SyntheticFuels!I$4:I$1000)</f>
        <v>0</v>
      </c>
      <c r="K2317" s="1" cm="1">
        <f t="array" ref="K2317">SUMPRODUCT(ISNUMBER(SEARCH("SUP_ELCH2*SOEC*",[1]OUT_SyntheticFuels!$C$4:$C$1000))*1,("var_ncap"=[1]OUT_SyntheticFuels!$B$4:$B$1000)*1,[1]OUT_SyntheticFuels!J$4:J$1000)</f>
        <v>2.1707992239723898E-3</v>
      </c>
      <c r="L2317" s="1" cm="1">
        <f t="array" ref="L2317">SUMPRODUCT(ISNUMBER(SEARCH("SUP_ELCH2*SOEC*",[1]OUT_SyntheticFuels!$C$4:$C$1000))*1,("var_ncap"=[1]OUT_SyntheticFuels!$B$4:$B$1000)*1,[1]OUT_SyntheticFuels!K$4:K$1000)</f>
        <v>2.2900754084450399E-3</v>
      </c>
      <c r="M2317" s="1" cm="1">
        <f t="array" ref="M2317">SUMPRODUCT(ISNUMBER(SEARCH("SUP_ELCH2*SOEC*",[1]OUT_SyntheticFuels!$C$4:$C$1000))*1,("var_ncap"=[1]OUT_SyntheticFuels!$B$4:$B$1000)*1,[1]OUT_SyntheticFuels!L$4:L$1000)</f>
        <v>1.1309467443958499E-3</v>
      </c>
      <c r="N2317" s="1" cm="1">
        <f t="array" ref="N2317">SUMPRODUCT(ISNUMBER(SEARCH("SUP_ELCH2*SOEC*",[1]OUT_SyntheticFuels!$C$4:$C$1000))*1,("var_ncap"=[1]OUT_SyntheticFuels!$B$4:$B$1000)*1,[1]OUT_SyntheticFuels!M$4:M$1000)</f>
        <v>7.6613772616787004E-4</v>
      </c>
      <c r="O2317" s="1" cm="1">
        <f t="array" ref="O2317">SUMPRODUCT(ISNUMBER(SEARCH("SUP_ELCH2*SOEC*",[1]OUT_SyntheticFuels!$C$4:$C$1000))*1,("var_ncap"=[1]OUT_SyntheticFuels!$B$4:$B$1000)*1,[1]OUT_SyntheticFuels!N$4:N$1000)</f>
        <v>2.5275075452797502E-3</v>
      </c>
      <c r="P2317" s="1" cm="1">
        <f t="array" ref="P2317">SUMPRODUCT(ISNUMBER(SEARCH("SUP_ELCH2*SOEC*",[1]OUT_SyntheticFuels!$C$4:$C$1000))*1,("var_ncap"=[1]OUT_SyntheticFuels!$B$4:$B$1000)*1,[1]OUT_SyntheticFuels!O$4:O$1000)</f>
        <v>8.7379128033315497E-4</v>
      </c>
      <c r="Q2317" s="1" cm="1">
        <f t="array" ref="Q2317">SUMPRODUCT(ISNUMBER(SEARCH("SUP_ELCH2*SOEC*",[1]OUT_SyntheticFuels!$C$4:$C$1000))*1,("var_ncap"=[1]OUT_SyntheticFuels!$B$4:$B$1000)*1,[1]OUT_SyntheticFuels!P$4:P$1000)</f>
        <v>4.87446695472724E-3</v>
      </c>
      <c r="S2317" s="3"/>
    </row>
    <row r="2318" spans="2:19" x14ac:dyDescent="0.5">
      <c r="B2318" s="5" t="str">
        <f t="shared" si="2319"/>
        <v>SPS1</v>
      </c>
      <c r="C2318" s="5" t="str">
        <f t="shared" si="2320"/>
        <v>CH</v>
      </c>
      <c r="D2318" t="s">
        <v>2453</v>
      </c>
      <c r="E2318" t="s">
        <v>2154</v>
      </c>
      <c r="F2318" s="1">
        <f t="shared" ref="F2318:K2318" si="2323">SUM(F2319:F2320)</f>
        <v>0</v>
      </c>
      <c r="G2318" s="1">
        <f t="shared" si="2323"/>
        <v>0</v>
      </c>
      <c r="H2318" s="1">
        <f t="shared" si="2323"/>
        <v>0</v>
      </c>
      <c r="I2318" s="1">
        <f t="shared" si="2323"/>
        <v>3.02713238775691E-6</v>
      </c>
      <c r="J2318" s="1">
        <f t="shared" si="2323"/>
        <v>4.6448239905571799E-6</v>
      </c>
      <c r="K2318" s="1">
        <f t="shared" si="2323"/>
        <v>1.0074671738110681E-5</v>
      </c>
      <c r="L2318" s="1">
        <f t="shared" ref="L2318:O2318" si="2324">SUM(L2319:L2320)</f>
        <v>1.3645103155127509E-5</v>
      </c>
      <c r="M2318" s="1">
        <f t="shared" si="2324"/>
        <v>8.943874060524889E-4</v>
      </c>
      <c r="N2318" s="1">
        <f t="shared" si="2324"/>
        <v>2.2444510656383001E-5</v>
      </c>
      <c r="O2318" s="1">
        <f t="shared" si="2324"/>
        <v>3.6764942282496997E-4</v>
      </c>
      <c r="P2318" s="1">
        <f>SUM(P2319:P2320)</f>
        <v>3.9723244290898199E-5</v>
      </c>
      <c r="Q2318" s="1">
        <f>SUM(Q2319:Q2320)</f>
        <v>1.4162959068865009E-3</v>
      </c>
      <c r="S2318" s="3"/>
    </row>
    <row r="2319" spans="2:19" x14ac:dyDescent="0.5">
      <c r="B2319" s="5" t="str">
        <f t="shared" si="2319"/>
        <v>SPS1</v>
      </c>
      <c r="C2319" s="5" t="str">
        <f t="shared" si="2320"/>
        <v>CH</v>
      </c>
      <c r="D2319" t="s">
        <v>2454</v>
      </c>
      <c r="E2319" t="s">
        <v>2154</v>
      </c>
      <c r="F2319" s="1" cm="1">
        <f t="array" ref="F2319">SUMPRODUCT(ISNUMBER(SEARCH("SUP_NGAH2",[1]OUT_SyntheticFuels!$C$4:$C$1000))*1,("var_ncap"=[1]OUT_SyntheticFuels!$B$4:$B$1000)*1,[1]OUT_SyntheticFuels!E$4:E$1000)-F2320</f>
        <v>0</v>
      </c>
      <c r="G2319" s="1" cm="1">
        <f t="array" ref="G2319">SUMPRODUCT(ISNUMBER(SEARCH("SUP_NGAH2",[1]OUT_SyntheticFuels!$C$4:$C$1000))*1,("var_ncap"=[1]OUT_SyntheticFuels!$B$4:$B$1000)*1,[1]OUT_SyntheticFuels!F$4:F$1000)-G2320</f>
        <v>0</v>
      </c>
      <c r="H2319" s="1" cm="1">
        <f t="array" ref="H2319">SUMPRODUCT(ISNUMBER(SEARCH("SUP_NGAH2",[1]OUT_SyntheticFuels!$C$4:$C$1000))*1,("var_ncap"=[1]OUT_SyntheticFuels!$B$4:$B$1000)*1,[1]OUT_SyntheticFuels!G$4:G$1000)-H2320</f>
        <v>0</v>
      </c>
      <c r="I2319" s="1" cm="1">
        <f t="array" ref="I2319">SUMPRODUCT(ISNUMBER(SEARCH("SUP_NGAH2",[1]OUT_SyntheticFuels!$C$4:$C$1000))*1,("var_ncap"=[1]OUT_SyntheticFuels!$B$4:$B$1000)*1,[1]OUT_SyntheticFuels!H$4:H$1000)-I2320</f>
        <v>3.02713238775691E-6</v>
      </c>
      <c r="J2319" s="1" cm="1">
        <f t="array" ref="J2319">SUMPRODUCT(ISNUMBER(SEARCH("SUP_NGAH2",[1]OUT_SyntheticFuels!$C$4:$C$1000))*1,("var_ncap"=[1]OUT_SyntheticFuels!$B$4:$B$1000)*1,[1]OUT_SyntheticFuels!I$4:I$1000)-J2320</f>
        <v>4.6448239905571799E-6</v>
      </c>
      <c r="K2319" s="1" cm="1">
        <f t="array" ref="K2319">SUMPRODUCT(ISNUMBER(SEARCH("SUP_NGAH2",[1]OUT_SyntheticFuels!$C$4:$C$1000))*1,("var_ncap"=[1]OUT_SyntheticFuels!$B$4:$B$1000)*1,[1]OUT_SyntheticFuels!J$4:J$1000)-K2320</f>
        <v>5.8634631909954708E-6</v>
      </c>
      <c r="L2319" s="1" cm="1">
        <f t="array" ref="L2319">SUMPRODUCT(ISNUMBER(SEARCH("SUP_NGAH2",[1]OUT_SyntheticFuels!$C$4:$C$1000))*1,("var_ncap"=[1]OUT_SyntheticFuels!$B$4:$B$1000)*1,[1]OUT_SyntheticFuels!K$4:K$1000)-L2320</f>
        <v>9.7676057545938478E-6</v>
      </c>
      <c r="M2319" s="1" cm="1">
        <f t="array" ref="M2319">SUMPRODUCT(ISNUMBER(SEARCH("SUP_NGAH2",[1]OUT_SyntheticFuels!$C$4:$C$1000))*1,("var_ncap"=[1]OUT_SyntheticFuels!$B$4:$B$1000)*1,[1]OUT_SyntheticFuels!L$4:L$1000)-M2320</f>
        <v>4.9214271686752985E-4</v>
      </c>
      <c r="N2319" s="1" cm="1">
        <f t="array" ref="N2319">SUMPRODUCT(ISNUMBER(SEARCH("SUP_NGAH2",[1]OUT_SyntheticFuels!$C$4:$C$1000))*1,("var_ncap"=[1]OUT_SyntheticFuels!$B$4:$B$1000)*1,[1]OUT_SyntheticFuels!M$4:M$1000)-N2320</f>
        <v>1.63391801370534E-5</v>
      </c>
      <c r="O2319" s="1" cm="1">
        <f t="array" ref="O2319">SUMPRODUCT(ISNUMBER(SEARCH("SUP_NGAH2",[1]OUT_SyntheticFuels!$C$4:$C$1000))*1,("var_ncap"=[1]OUT_SyntheticFuels!$B$4:$B$1000)*1,[1]OUT_SyntheticFuels!N$4:N$1000)-O2320</f>
        <v>2.6421241681636598E-4</v>
      </c>
      <c r="P2319" s="1" cm="1">
        <f t="array" ref="P2319">SUMPRODUCT(ISNUMBER(SEARCH("SUP_NGAH2",[1]OUT_SyntheticFuels!$C$4:$C$1000))*1,("var_ncap"=[1]OUT_SyntheticFuels!$B$4:$B$1000)*1,[1]OUT_SyntheticFuels!O$4:O$1000)-P2320</f>
        <v>2.8753261868288498E-5</v>
      </c>
      <c r="Q2319" s="1" cm="1">
        <f t="array" ref="Q2319">SUMPRODUCT(ISNUMBER(SEARCH("SUP_NGAH2",[1]OUT_SyntheticFuels!$C$4:$C$1000))*1,("var_ncap"=[1]OUT_SyntheticFuels!$B$4:$B$1000)*1,[1]OUT_SyntheticFuels!P$4:P$1000)-Q2320</f>
        <v>9.7880734665278693E-4</v>
      </c>
      <c r="S2319" s="3"/>
    </row>
    <row r="2320" spans="2:19" x14ac:dyDescent="0.5">
      <c r="B2320" s="5" t="str">
        <f t="shared" si="2319"/>
        <v>SPS1</v>
      </c>
      <c r="C2320" s="5" t="str">
        <f t="shared" si="2320"/>
        <v>CH</v>
      </c>
      <c r="D2320" t="s">
        <v>2455</v>
      </c>
      <c r="E2320" t="s">
        <v>2154</v>
      </c>
      <c r="F2320" s="1" cm="1">
        <f t="array" ref="F2320">SUMPRODUCT(ISNUMBER(SEARCH("SUP_NGAH2CCS",[1]OUT_SyntheticFuels!$C$4:$C$1000))*1,("var_ncap"=[1]OUT_SyntheticFuels!$B$4:$B$1000)*1,[1]OUT_SyntheticFuels!E$4:E$1000)</f>
        <v>0</v>
      </c>
      <c r="G2320" s="1" cm="1">
        <f t="array" ref="G2320">SUMPRODUCT(ISNUMBER(SEARCH("SUP_NGAH2CCS",[1]OUT_SyntheticFuels!$C$4:$C$1000))*1,("var_ncap"=[1]OUT_SyntheticFuels!$B$4:$B$1000)*1,[1]OUT_SyntheticFuels!F$4:F$1000)</f>
        <v>0</v>
      </c>
      <c r="H2320" s="1" cm="1">
        <f t="array" ref="H2320">SUMPRODUCT(ISNUMBER(SEARCH("SUP_NGAH2CCS",[1]OUT_SyntheticFuels!$C$4:$C$1000))*1,("var_ncap"=[1]OUT_SyntheticFuels!$B$4:$B$1000)*1,[1]OUT_SyntheticFuels!G$4:G$1000)</f>
        <v>0</v>
      </c>
      <c r="I2320" s="1" cm="1">
        <f t="array" ref="I2320">SUMPRODUCT(ISNUMBER(SEARCH("SUP_NGAH2CCS",[1]OUT_SyntheticFuels!$C$4:$C$1000))*1,("var_ncap"=[1]OUT_SyntheticFuels!$B$4:$B$1000)*1,[1]OUT_SyntheticFuels!H$4:H$1000)</f>
        <v>0</v>
      </c>
      <c r="J2320" s="1" cm="1">
        <f t="array" ref="J2320">SUMPRODUCT(ISNUMBER(SEARCH("SUP_NGAH2CCS",[1]OUT_SyntheticFuels!$C$4:$C$1000))*1,("var_ncap"=[1]OUT_SyntheticFuels!$B$4:$B$1000)*1,[1]OUT_SyntheticFuels!I$4:I$1000)</f>
        <v>0</v>
      </c>
      <c r="K2320" s="1" cm="1">
        <f t="array" ref="K2320">SUMPRODUCT(ISNUMBER(SEARCH("SUP_NGAH2CCS",[1]OUT_SyntheticFuels!$C$4:$C$1000))*1,("var_ncap"=[1]OUT_SyntheticFuels!$B$4:$B$1000)*1,[1]OUT_SyntheticFuels!J$4:J$1000)</f>
        <v>4.2112085471152102E-6</v>
      </c>
      <c r="L2320" s="1" cm="1">
        <f t="array" ref="L2320">SUMPRODUCT(ISNUMBER(SEARCH("SUP_NGAH2CCS",[1]OUT_SyntheticFuels!$C$4:$C$1000))*1,("var_ncap"=[1]OUT_SyntheticFuels!$B$4:$B$1000)*1,[1]OUT_SyntheticFuels!K$4:K$1000)</f>
        <v>3.87749740053366E-6</v>
      </c>
      <c r="M2320" s="1" cm="1">
        <f t="array" ref="M2320">SUMPRODUCT(ISNUMBER(SEARCH("SUP_NGAH2CCS",[1]OUT_SyntheticFuels!$C$4:$C$1000))*1,("var_ncap"=[1]OUT_SyntheticFuels!$B$4:$B$1000)*1,[1]OUT_SyntheticFuels!L$4:L$1000)</f>
        <v>4.02244689184959E-4</v>
      </c>
      <c r="N2320" s="1" cm="1">
        <f t="array" ref="N2320">SUMPRODUCT(ISNUMBER(SEARCH("SUP_NGAH2CCS",[1]OUT_SyntheticFuels!$C$4:$C$1000))*1,("var_ncap"=[1]OUT_SyntheticFuels!$B$4:$B$1000)*1,[1]OUT_SyntheticFuels!M$4:M$1000)</f>
        <v>6.1053305193296001E-6</v>
      </c>
      <c r="O2320" s="1" cm="1">
        <f t="array" ref="O2320">SUMPRODUCT(ISNUMBER(SEARCH("SUP_NGAH2CCS",[1]OUT_SyntheticFuels!$C$4:$C$1000))*1,("var_ncap"=[1]OUT_SyntheticFuels!$B$4:$B$1000)*1,[1]OUT_SyntheticFuels!N$4:N$1000)</f>
        <v>1.0343700600860399E-4</v>
      </c>
      <c r="P2320" s="1" cm="1">
        <f t="array" ref="P2320">SUMPRODUCT(ISNUMBER(SEARCH("SUP_NGAH2CCS",[1]OUT_SyntheticFuels!$C$4:$C$1000))*1,("var_ncap"=[1]OUT_SyntheticFuels!$B$4:$B$1000)*1,[1]OUT_SyntheticFuels!O$4:O$1000)</f>
        <v>1.09699824226097E-5</v>
      </c>
      <c r="Q2320" s="1" cm="1">
        <f t="array" ref="Q2320">SUMPRODUCT(ISNUMBER(SEARCH("SUP_NGAH2CCS",[1]OUT_SyntheticFuels!$C$4:$C$1000))*1,("var_ncap"=[1]OUT_SyntheticFuels!$B$4:$B$1000)*1,[1]OUT_SyntheticFuels!P$4:P$1000)</f>
        <v>4.37488560233714E-4</v>
      </c>
      <c r="S2320" s="3"/>
    </row>
    <row r="2321" spans="2:19" x14ac:dyDescent="0.5">
      <c r="B2321" s="5" t="str">
        <f t="shared" si="2319"/>
        <v>SPS1</v>
      </c>
      <c r="C2321" s="5" t="str">
        <f t="shared" si="2320"/>
        <v>CH</v>
      </c>
      <c r="D2321" t="s">
        <v>2456</v>
      </c>
      <c r="E2321" t="s">
        <v>2154</v>
      </c>
      <c r="F2321" s="1">
        <f t="shared" ref="F2321:K2321" si="2325">SUM(F2322:F2323)</f>
        <v>0</v>
      </c>
      <c r="G2321" s="1">
        <f t="shared" si="2325"/>
        <v>0</v>
      </c>
      <c r="H2321" s="1">
        <f t="shared" si="2325"/>
        <v>0</v>
      </c>
      <c r="I2321" s="1">
        <f t="shared" si="2325"/>
        <v>3.4837298211620401E-4</v>
      </c>
      <c r="J2321" s="1">
        <f t="shared" si="2325"/>
        <v>2.25594754307685E-2</v>
      </c>
      <c r="K2321" s="1">
        <f t="shared" si="2325"/>
        <v>2.3505292907633901E-6</v>
      </c>
      <c r="L2321" s="1">
        <f t="shared" ref="L2321:O2321" si="2326">SUM(L2322:L2323)</f>
        <v>4.6250459663205197E-6</v>
      </c>
      <c r="M2321" s="1">
        <f t="shared" si="2326"/>
        <v>0.14052230066180851</v>
      </c>
      <c r="N2321" s="1">
        <f t="shared" si="2326"/>
        <v>6.0312097979297256E-2</v>
      </c>
      <c r="O2321" s="1">
        <f t="shared" si="2326"/>
        <v>2.693850805767868E-4</v>
      </c>
      <c r="P2321" s="1">
        <f>SUM(P2322:P2323)</f>
        <v>0.10539125252352545</v>
      </c>
      <c r="Q2321" s="1">
        <f>SUM(Q2322:Q2323)</f>
        <v>2.5142340352437363E-2</v>
      </c>
      <c r="S2321" s="3"/>
    </row>
    <row r="2322" spans="2:19" x14ac:dyDescent="0.5">
      <c r="B2322" s="5" t="str">
        <f t="shared" si="2319"/>
        <v>SPS1</v>
      </c>
      <c r="C2322" s="5" t="str">
        <f t="shared" si="2320"/>
        <v>CH</v>
      </c>
      <c r="D2322" t="s">
        <v>2457</v>
      </c>
      <c r="E2322" t="s">
        <v>2154</v>
      </c>
      <c r="F2322" s="1" cm="1">
        <f t="array" ref="F2322">SUMPRODUCT(ISNUMBER(SEARCH("SUP_WODH2",[1]OUT_SyntheticFuels!$C$4:$C$1000))*1,("var_ncap"=[1]OUT_SyntheticFuels!$B$4:$B$1000)*1,[1]OUT_SyntheticFuels!E$4:E$1000)-F2323</f>
        <v>0</v>
      </c>
      <c r="G2322" s="1" cm="1">
        <f t="array" ref="G2322">SUMPRODUCT(ISNUMBER(SEARCH("SUP_WODH2",[1]OUT_SyntheticFuels!$C$4:$C$1000))*1,("var_ncap"=[1]OUT_SyntheticFuels!$B$4:$B$1000)*1,[1]OUT_SyntheticFuels!F$4:F$1000)-G2323</f>
        <v>0</v>
      </c>
      <c r="H2322" s="1" cm="1">
        <f t="array" ref="H2322">SUMPRODUCT(ISNUMBER(SEARCH("SUP_WODH2",[1]OUT_SyntheticFuels!$C$4:$C$1000))*1,("var_ncap"=[1]OUT_SyntheticFuels!$B$4:$B$1000)*1,[1]OUT_SyntheticFuels!G$4:G$1000)-H2323</f>
        <v>0</v>
      </c>
      <c r="I2322" s="1" cm="1">
        <f t="array" ref="I2322">SUMPRODUCT(ISNUMBER(SEARCH("SUP_WODH2",[1]OUT_SyntheticFuels!$C$4:$C$1000))*1,("var_ncap"=[1]OUT_SyntheticFuels!$B$4:$B$1000)*1,[1]OUT_SyntheticFuels!H$4:H$1000)-I2323</f>
        <v>3.4837298211620401E-4</v>
      </c>
      <c r="J2322" s="1" cm="1">
        <f t="array" ref="J2322">SUMPRODUCT(ISNUMBER(SEARCH("SUP_WODH2",[1]OUT_SyntheticFuels!$C$4:$C$1000))*1,("var_ncap"=[1]OUT_SyntheticFuels!$B$4:$B$1000)*1,[1]OUT_SyntheticFuels!I$4:I$1000)-J2323</f>
        <v>2.25594754307685E-2</v>
      </c>
      <c r="K2322" s="1" cm="1">
        <f t="array" ref="K2322">SUMPRODUCT(ISNUMBER(SEARCH("SUP_WODH2",[1]OUT_SyntheticFuels!$C$4:$C$1000))*1,("var_ncap"=[1]OUT_SyntheticFuels!$B$4:$B$1000)*1,[1]OUT_SyntheticFuels!J$4:J$1000)-K2323</f>
        <v>2.3505292907633901E-6</v>
      </c>
      <c r="L2322" s="1" cm="1">
        <f t="array" ref="L2322">SUMPRODUCT(ISNUMBER(SEARCH("SUP_WODH2",[1]OUT_SyntheticFuels!$C$4:$C$1000))*1,("var_ncap"=[1]OUT_SyntheticFuels!$B$4:$B$1000)*1,[1]OUT_SyntheticFuels!K$4:K$1000)-L2323</f>
        <v>4.6250459663205197E-6</v>
      </c>
      <c r="M2322" s="1" cm="1">
        <f t="array" ref="M2322">SUMPRODUCT(ISNUMBER(SEARCH("SUP_WODH2",[1]OUT_SyntheticFuels!$C$4:$C$1000))*1,("var_ncap"=[1]OUT_SyntheticFuels!$B$4:$B$1000)*1,[1]OUT_SyntheticFuels!L$4:L$1000)-M2323</f>
        <v>3.5059476195253847E-6</v>
      </c>
      <c r="N2322" s="1" cm="1">
        <f t="array" ref="N2322">SUMPRODUCT(ISNUMBER(SEARCH("SUP_WODH2",[1]OUT_SyntheticFuels!$C$4:$C$1000))*1,("var_ncap"=[1]OUT_SyntheticFuels!$B$4:$B$1000)*1,[1]OUT_SyntheticFuels!M$4:M$1000)-N2323</f>
        <v>4.7321818054529841E-6</v>
      </c>
      <c r="O2322" s="1" cm="1">
        <f t="array" ref="O2322">SUMPRODUCT(ISNUMBER(SEARCH("SUP_WODH2",[1]OUT_SyntheticFuels!$C$4:$C$1000))*1,("var_ncap"=[1]OUT_SyntheticFuels!$B$4:$B$1000)*1,[1]OUT_SyntheticFuels!N$4:N$1000)-O2323</f>
        <v>2.5440399534370302E-4</v>
      </c>
      <c r="P2322" s="1" cm="1">
        <f t="array" ref="P2322">SUMPRODUCT(ISNUMBER(SEARCH("SUP_WODH2",[1]OUT_SyntheticFuels!$C$4:$C$1000))*1,("var_ncap"=[1]OUT_SyntheticFuels!$B$4:$B$1000)*1,[1]OUT_SyntheticFuels!O$4:O$1000)-P2323</f>
        <v>5.4305630264456228E-6</v>
      </c>
      <c r="Q2322" s="1" cm="1">
        <f t="array" ref="Q2322">SUMPRODUCT(ISNUMBER(SEARCH("SUP_WODH2",[1]OUT_SyntheticFuels!$C$4:$C$1000))*1,("var_ncap"=[1]OUT_SyntheticFuels!$B$4:$B$1000)*1,[1]OUT_SyntheticFuels!P$4:P$1000)-Q2323</f>
        <v>2.1852190545986264E-4</v>
      </c>
      <c r="S2322" s="3"/>
    </row>
    <row r="2323" spans="2:19" x14ac:dyDescent="0.5">
      <c r="B2323" s="5" t="str">
        <f t="shared" si="2319"/>
        <v>SPS1</v>
      </c>
      <c r="C2323" s="5" t="str">
        <f t="shared" si="2320"/>
        <v>CH</v>
      </c>
      <c r="D2323" t="s">
        <v>2458</v>
      </c>
      <c r="E2323" t="s">
        <v>2154</v>
      </c>
      <c r="F2323" s="1" cm="1">
        <f t="array" ref="F2323">SUMPRODUCT(ISNUMBER(SEARCH("SUP_WODH2CCS",[1]OUT_SyntheticFuels!$C$4:$C$1000))*1,("var_ncap"=[1]OUT_SyntheticFuels!$B$4:$B$1000)*1,[1]OUT_SyntheticFuels!E$4:E$1000)</f>
        <v>0</v>
      </c>
      <c r="G2323" s="1" cm="1">
        <f t="array" ref="G2323">SUMPRODUCT(ISNUMBER(SEARCH("SUP_WODH2CCS",[1]OUT_SyntheticFuels!$C$4:$C$1000))*1,("var_ncap"=[1]OUT_SyntheticFuels!$B$4:$B$1000)*1,[1]OUT_SyntheticFuels!F$4:F$1000)</f>
        <v>0</v>
      </c>
      <c r="H2323" s="1" cm="1">
        <f t="array" ref="H2323">SUMPRODUCT(ISNUMBER(SEARCH("SUP_WODH2CCS",[1]OUT_SyntheticFuels!$C$4:$C$1000))*1,("var_ncap"=[1]OUT_SyntheticFuels!$B$4:$B$1000)*1,[1]OUT_SyntheticFuels!G$4:G$1000)</f>
        <v>0</v>
      </c>
      <c r="I2323" s="1" cm="1">
        <f t="array" ref="I2323">SUMPRODUCT(ISNUMBER(SEARCH("SUP_WODH2CCS",[1]OUT_SyntheticFuels!$C$4:$C$1000))*1,("var_ncap"=[1]OUT_SyntheticFuels!$B$4:$B$1000)*1,[1]OUT_SyntheticFuels!H$4:H$1000)</f>
        <v>0</v>
      </c>
      <c r="J2323" s="1" cm="1">
        <f t="array" ref="J2323">SUMPRODUCT(ISNUMBER(SEARCH("SUP_WODH2CCS",[1]OUT_SyntheticFuels!$C$4:$C$1000))*1,("var_ncap"=[1]OUT_SyntheticFuels!$B$4:$B$1000)*1,[1]OUT_SyntheticFuels!I$4:I$1000)</f>
        <v>0</v>
      </c>
      <c r="K2323" s="1" cm="1">
        <f t="array" ref="K2323">SUMPRODUCT(ISNUMBER(SEARCH("SUP_WODH2CCS",[1]OUT_SyntheticFuels!$C$4:$C$1000))*1,("var_ncap"=[1]OUT_SyntheticFuels!$B$4:$B$1000)*1,[1]OUT_SyntheticFuels!J$4:J$1000)</f>
        <v>0</v>
      </c>
      <c r="L2323" s="1" cm="1">
        <f t="array" ref="L2323">SUMPRODUCT(ISNUMBER(SEARCH("SUP_WODH2CCS",[1]OUT_SyntheticFuels!$C$4:$C$1000))*1,("var_ncap"=[1]OUT_SyntheticFuels!$B$4:$B$1000)*1,[1]OUT_SyntheticFuels!K$4:K$1000)</f>
        <v>0</v>
      </c>
      <c r="M2323" s="1" cm="1">
        <f t="array" ref="M2323">SUMPRODUCT(ISNUMBER(SEARCH("SUP_WODH2CCS",[1]OUT_SyntheticFuels!$C$4:$C$1000))*1,("var_ncap"=[1]OUT_SyntheticFuels!$B$4:$B$1000)*1,[1]OUT_SyntheticFuels!L$4:L$1000)</f>
        <v>0.14051879471418899</v>
      </c>
      <c r="N2323" s="1" cm="1">
        <f t="array" ref="N2323">SUMPRODUCT(ISNUMBER(SEARCH("SUP_WODH2CCS",[1]OUT_SyntheticFuels!$C$4:$C$1000))*1,("var_ncap"=[1]OUT_SyntheticFuels!$B$4:$B$1000)*1,[1]OUT_SyntheticFuels!M$4:M$1000)</f>
        <v>6.0307365797491803E-2</v>
      </c>
      <c r="O2323" s="1" cm="1">
        <f t="array" ref="O2323">SUMPRODUCT(ISNUMBER(SEARCH("SUP_WODH2CCS",[1]OUT_SyntheticFuels!$C$4:$C$1000))*1,("var_ncap"=[1]OUT_SyntheticFuels!$B$4:$B$1000)*1,[1]OUT_SyntheticFuels!N$4:N$1000)</f>
        <v>1.4981085233083799E-5</v>
      </c>
      <c r="P2323" s="1" cm="1">
        <f t="array" ref="P2323">SUMPRODUCT(ISNUMBER(SEARCH("SUP_WODH2CCS",[1]OUT_SyntheticFuels!$C$4:$C$1000))*1,("var_ncap"=[1]OUT_SyntheticFuels!$B$4:$B$1000)*1,[1]OUT_SyntheticFuels!O$4:O$1000)</f>
        <v>0.105385821960499</v>
      </c>
      <c r="Q2323" s="1" cm="1">
        <f t="array" ref="Q2323">SUMPRODUCT(ISNUMBER(SEARCH("SUP_WODH2CCS",[1]OUT_SyntheticFuels!$C$4:$C$1000))*1,("var_ncap"=[1]OUT_SyntheticFuels!$B$4:$B$1000)*1,[1]OUT_SyntheticFuels!P$4:P$1000)</f>
        <v>2.4923818446977501E-2</v>
      </c>
      <c r="S2323" s="3"/>
    </row>
    <row r="2324" spans="2:19" x14ac:dyDescent="0.5">
      <c r="B2324" s="5" t="str">
        <f t="shared" si="2319"/>
        <v>SPS1</v>
      </c>
      <c r="C2324" s="5" t="str">
        <f t="shared" si="2320"/>
        <v>CH</v>
      </c>
      <c r="D2324" s="2" t="s">
        <v>2459</v>
      </c>
      <c r="E2324" s="2" t="s">
        <v>2156</v>
      </c>
      <c r="F2324" s="24"/>
      <c r="G2324" s="24"/>
      <c r="H2324" s="24"/>
      <c r="I2324" s="24"/>
      <c r="J2324" s="24"/>
      <c r="K2324" s="24"/>
      <c r="L2324" s="24"/>
      <c r="M2324" s="24"/>
      <c r="N2324" s="24"/>
      <c r="O2324" s="24"/>
      <c r="P2324" s="24"/>
      <c r="Q2324" s="24"/>
      <c r="S2324" s="3"/>
    </row>
    <row r="2325" spans="2:19" x14ac:dyDescent="0.5">
      <c r="B2325" s="5" t="str">
        <f t="shared" si="2319"/>
        <v>SPS1</v>
      </c>
      <c r="C2325" s="5" t="str">
        <f t="shared" si="2320"/>
        <v>CH</v>
      </c>
      <c r="D2325" t="s">
        <v>2460</v>
      </c>
      <c r="E2325" t="s">
        <v>2156</v>
      </c>
      <c r="F2325" s="7" cm="1">
        <f t="array" ref="F2325">SUMPRODUCT(("CT_CWODBDS"=[1]OUT_SyntheticFuels!$C$4:$C$1000)*1,("var_ncap"=[1]OUT_SyntheticFuels!$B$4:$B$1000)*1,[1]OUT_SyntheticFuels!E$4:E$1000)</f>
        <v>1.5725907194870999E-6</v>
      </c>
      <c r="G2325" s="7" cm="1">
        <f t="array" ref="G2325">SUMPRODUCT(("CT_CWODBDS"=[1]OUT_SyntheticFuels!$C$4:$C$1000)*1,("var_ncap"=[1]OUT_SyntheticFuels!$B$4:$B$1000)*1,[1]OUT_SyntheticFuels!F$4:F$1000)</f>
        <v>6.6443166253201104E-7</v>
      </c>
      <c r="H2325" s="7" cm="1">
        <f t="array" ref="H2325">SUMPRODUCT(("CT_CWODBDS"=[1]OUT_SyntheticFuels!$C$4:$C$1000)*1,("var_ncap"=[1]OUT_SyntheticFuels!$B$4:$B$1000)*1,[1]OUT_SyntheticFuels!G$4:G$1000)</f>
        <v>9.9747959512113097E-7</v>
      </c>
      <c r="I2325" s="7" cm="1">
        <f t="array" ref="I2325">SUMPRODUCT(("CT_CWODBDS"=[1]OUT_SyntheticFuels!$C$4:$C$1000)*1,("var_ncap"=[1]OUT_SyntheticFuels!$B$4:$B$1000)*1,[1]OUT_SyntheticFuels!H$4:H$1000)</f>
        <v>5.8422725996517599E-7</v>
      </c>
      <c r="J2325" s="7" cm="1">
        <f t="array" ref="J2325">SUMPRODUCT(("CT_CWODBDS"=[1]OUT_SyntheticFuels!$C$4:$C$1000)*1,("var_ncap"=[1]OUT_SyntheticFuels!$B$4:$B$1000)*1,[1]OUT_SyntheticFuels!I$4:I$1000)</f>
        <v>1.51206898675553E-4</v>
      </c>
      <c r="K2325" s="7" cm="1">
        <f t="array" ref="K2325">SUMPRODUCT(("CT_CWODBDS"=[1]OUT_SyntheticFuels!$C$4:$C$1000)*1,("var_ncap"=[1]OUT_SyntheticFuels!$B$4:$B$1000)*1,[1]OUT_SyntheticFuels!J$4:J$1000)</f>
        <v>1.41326096298021E-5</v>
      </c>
      <c r="L2325" s="7" cm="1">
        <f t="array" ref="L2325">SUMPRODUCT(("CT_CWODBDS"=[1]OUT_SyntheticFuels!$C$4:$C$1000)*1,("var_ncap"=[1]OUT_SyntheticFuels!$B$4:$B$1000)*1,[1]OUT_SyntheticFuels!K$4:K$1000)</f>
        <v>7.1618180929340603E-6</v>
      </c>
      <c r="M2325" s="7" cm="1">
        <f t="array" ref="M2325">SUMPRODUCT(("CT_CWODBDS"=[1]OUT_SyntheticFuels!$C$4:$C$1000)*1,("var_ncap"=[1]OUT_SyntheticFuels!$B$4:$B$1000)*1,[1]OUT_SyntheticFuels!L$4:L$1000)</f>
        <v>8.4977627409154398E-5</v>
      </c>
      <c r="N2325" s="7" cm="1">
        <f t="array" ref="N2325">SUMPRODUCT(("CT_CWODBDS"=[1]OUT_SyntheticFuels!$C$4:$C$1000)*1,("var_ncap"=[1]OUT_SyntheticFuels!$B$4:$B$1000)*1,[1]OUT_SyntheticFuels!M$4:M$1000)</f>
        <v>1.8733322615844899E-5</v>
      </c>
      <c r="O2325" s="7" cm="1">
        <f t="array" ref="O2325">SUMPRODUCT(("CT_CWODBDS"=[1]OUT_SyntheticFuels!$C$4:$C$1000)*1,("var_ncap"=[1]OUT_SyntheticFuels!$B$4:$B$1000)*1,[1]OUT_SyntheticFuels!N$4:N$1000)</f>
        <v>1.69982269952934E-4</v>
      </c>
      <c r="P2325" s="7" cm="1">
        <f t="array" ref="P2325">SUMPRODUCT(("CT_CWODBDS"=[1]OUT_SyntheticFuels!$C$4:$C$1000)*1,("var_ncap"=[1]OUT_SyntheticFuels!$B$4:$B$1000)*1,[1]OUT_SyntheticFuels!O$4:O$1000)</f>
        <v>5.5160498271006798E-6</v>
      </c>
      <c r="Q2325" s="7" cm="1">
        <f t="array" ref="Q2325">SUMPRODUCT(("CT_CWODBDS"=[1]OUT_SyntheticFuels!$C$4:$C$1000)*1,("var_ncap"=[1]OUT_SyntheticFuels!$B$4:$B$1000)*1,[1]OUT_SyntheticFuels!P$4:P$1000)</f>
        <v>3.0743749317430801E-4</v>
      </c>
      <c r="S2325" s="3"/>
    </row>
    <row r="2326" spans="2:19" x14ac:dyDescent="0.5">
      <c r="B2326" s="5" t="str">
        <f t="shared" si="2319"/>
        <v>SPS1</v>
      </c>
      <c r="C2326" s="5" t="str">
        <f t="shared" si="2320"/>
        <v>CH</v>
      </c>
      <c r="D2326" t="s">
        <v>2461</v>
      </c>
      <c r="E2326" t="s">
        <v>2156</v>
      </c>
      <c r="F2326" s="7" cm="1">
        <f t="array" ref="F2326">SUMPRODUCT(("CT_CWODBDSCCS"=[1]OUT_SyntheticFuels!$C$4:$C$1000)*1,("var_ncap"=[1]OUT_SyntheticFuels!$B$4:$B$1000)*1,[1]OUT_SyntheticFuels!E$4:E$1000)</f>
        <v>0</v>
      </c>
      <c r="G2326" s="7" cm="1">
        <f t="array" ref="G2326">SUMPRODUCT(("CT_CWODBDSCCS"=[1]OUT_SyntheticFuels!$C$4:$C$1000)*1,("var_ncap"=[1]OUT_SyntheticFuels!$B$4:$B$1000)*1,[1]OUT_SyntheticFuels!F$4:F$1000)</f>
        <v>0</v>
      </c>
      <c r="H2326" s="7" cm="1">
        <f t="array" ref="H2326">SUMPRODUCT(("CT_CWODBDSCCS"=[1]OUT_SyntheticFuels!$C$4:$C$1000)*1,("var_ncap"=[1]OUT_SyntheticFuels!$B$4:$B$1000)*1,[1]OUT_SyntheticFuels!G$4:G$1000)</f>
        <v>0</v>
      </c>
      <c r="I2326" s="7" cm="1">
        <f t="array" ref="I2326">SUMPRODUCT(("CT_CWODBDSCCS"=[1]OUT_SyntheticFuels!$C$4:$C$1000)*1,("var_ncap"=[1]OUT_SyntheticFuels!$B$4:$B$1000)*1,[1]OUT_SyntheticFuels!H$4:H$1000)</f>
        <v>0</v>
      </c>
      <c r="J2326" s="7" cm="1">
        <f t="array" ref="J2326">SUMPRODUCT(("CT_CWODBDSCCS"=[1]OUT_SyntheticFuels!$C$4:$C$1000)*1,("var_ncap"=[1]OUT_SyntheticFuels!$B$4:$B$1000)*1,[1]OUT_SyntheticFuels!I$4:I$1000)</f>
        <v>0</v>
      </c>
      <c r="K2326" s="7" cm="1">
        <f t="array" ref="K2326">SUMPRODUCT(("CT_CWODBDSCCS"=[1]OUT_SyntheticFuels!$C$4:$C$1000)*1,("var_ncap"=[1]OUT_SyntheticFuels!$B$4:$B$1000)*1,[1]OUT_SyntheticFuels!J$4:J$1000)</f>
        <v>1.20812649421253E-4</v>
      </c>
      <c r="L2326" s="7" cm="1">
        <f t="array" ref="L2326">SUMPRODUCT(("CT_CWODBDSCCS"=[1]OUT_SyntheticFuels!$C$4:$C$1000)*1,("var_ncap"=[1]OUT_SyntheticFuels!$B$4:$B$1000)*1,[1]OUT_SyntheticFuels!K$4:K$1000)</f>
        <v>1.04407614853386E-5</v>
      </c>
      <c r="M2326" s="7" cm="1">
        <f t="array" ref="M2326">SUMPRODUCT(("CT_CWODBDSCCS"=[1]OUT_SyntheticFuels!$C$4:$C$1000)*1,("var_ncap"=[1]OUT_SyntheticFuels!$B$4:$B$1000)*1,[1]OUT_SyntheticFuels!L$4:L$1000)</f>
        <v>0.23253738210191099</v>
      </c>
      <c r="N2326" s="7" cm="1">
        <f t="array" ref="N2326">SUMPRODUCT(("CT_CWODBDSCCS"=[1]OUT_SyntheticFuels!$C$4:$C$1000)*1,("var_ncap"=[1]OUT_SyntheticFuels!$B$4:$B$1000)*1,[1]OUT_SyntheticFuels!M$4:M$1000)</f>
        <v>4.2236435292905301E-6</v>
      </c>
      <c r="O2326" s="7" cm="1">
        <f t="array" ref="O2326">SUMPRODUCT(("CT_CWODBDSCCS"=[1]OUT_SyntheticFuels!$C$4:$C$1000)*1,("var_ncap"=[1]OUT_SyntheticFuels!$B$4:$B$1000)*1,[1]OUT_SyntheticFuels!N$4:N$1000)</f>
        <v>4.6438090689793096E-6</v>
      </c>
      <c r="P2326" s="7" cm="1">
        <f t="array" ref="P2326">SUMPRODUCT(("CT_CWODBDSCCS"=[1]OUT_SyntheticFuels!$C$4:$C$1000)*1,("var_ncap"=[1]OUT_SyntheticFuels!$B$4:$B$1000)*1,[1]OUT_SyntheticFuels!O$4:O$1000)</f>
        <v>7.46704353108912E-6</v>
      </c>
      <c r="Q2326" s="7" cm="1">
        <f t="array" ref="Q2326">SUMPRODUCT(("CT_CWODBDSCCS"=[1]OUT_SyntheticFuels!$C$4:$C$1000)*1,("var_ncap"=[1]OUT_SyntheticFuels!$B$4:$B$1000)*1,[1]OUT_SyntheticFuels!P$4:P$1000)</f>
        <v>0.207206188549865</v>
      </c>
      <c r="S2326" s="3"/>
    </row>
    <row r="2327" spans="2:19" x14ac:dyDescent="0.5">
      <c r="B2327" s="5" t="str">
        <f t="shared" si="2319"/>
        <v>SPS1</v>
      </c>
      <c r="C2327" s="5" t="str">
        <f t="shared" si="2320"/>
        <v>CH</v>
      </c>
      <c r="D2327" t="s">
        <v>2462</v>
      </c>
      <c r="E2327" t="s">
        <v>2156</v>
      </c>
      <c r="F2327" s="7" cm="1">
        <f t="array" ref="F2327">SUMPRODUCT(("CT_CWODETH"=[1]OUT_SyntheticFuels!$C$4:$C$1000)*1,("var_ncap"=[1]OUT_SyntheticFuels!$B$4:$B$1000)*1,[1]OUT_SyntheticFuels!E$4:E$1000)</f>
        <v>8.1987408283548599E-3</v>
      </c>
      <c r="G2327" s="7" cm="1">
        <f t="array" ref="G2327">SUMPRODUCT(("CT_CWODETH"=[1]OUT_SyntheticFuels!$C$4:$C$1000)*1,("var_ncap"=[1]OUT_SyntheticFuels!$B$4:$B$1000)*1,[1]OUT_SyntheticFuels!F$4:F$1000)</f>
        <v>2.5635604941237701E-6</v>
      </c>
      <c r="H2327" s="7" cm="1">
        <f t="array" ref="H2327">SUMPRODUCT(("CT_CWODETH"=[1]OUT_SyntheticFuels!$C$4:$C$1000)*1,("var_ncap"=[1]OUT_SyntheticFuels!$B$4:$B$1000)*1,[1]OUT_SyntheticFuels!G$4:G$1000)</f>
        <v>3.01271526494565E-2</v>
      </c>
      <c r="I2327" s="7" cm="1">
        <f t="array" ref="I2327">SUMPRODUCT(("CT_CWODETH"=[1]OUT_SyntheticFuels!$C$4:$C$1000)*1,("var_ncap"=[1]OUT_SyntheticFuels!$B$4:$B$1000)*1,[1]OUT_SyntheticFuels!H$4:H$1000)</f>
        <v>4.07648591598929E-7</v>
      </c>
      <c r="J2327" s="7" cm="1">
        <f t="array" ref="J2327">SUMPRODUCT(("CT_CWODETH"=[1]OUT_SyntheticFuels!$C$4:$C$1000)*1,("var_ncap"=[1]OUT_SyntheticFuels!$B$4:$B$1000)*1,[1]OUT_SyntheticFuels!I$4:I$1000)</f>
        <v>2.9576926196735302E-6</v>
      </c>
      <c r="K2327" s="7" cm="1">
        <f t="array" ref="K2327">SUMPRODUCT(("CT_CWODETH"=[1]OUT_SyntheticFuels!$C$4:$C$1000)*1,("var_ncap"=[1]OUT_SyntheticFuels!$B$4:$B$1000)*1,[1]OUT_SyntheticFuels!J$4:J$1000)</f>
        <v>2.8211763304968002E-6</v>
      </c>
      <c r="L2327" s="7" cm="1">
        <f t="array" ref="L2327">SUMPRODUCT(("CT_CWODETH"=[1]OUT_SyntheticFuels!$C$4:$C$1000)*1,("var_ncap"=[1]OUT_SyntheticFuels!$B$4:$B$1000)*1,[1]OUT_SyntheticFuels!K$4:K$1000)</f>
        <v>4.52037264486598E-5</v>
      </c>
      <c r="M2327" s="7" cm="1">
        <f t="array" ref="M2327">SUMPRODUCT(("CT_CWODETH"=[1]OUT_SyntheticFuels!$C$4:$C$1000)*1,("var_ncap"=[1]OUT_SyntheticFuels!$B$4:$B$1000)*1,[1]OUT_SyntheticFuels!L$4:L$1000)</f>
        <v>7.7786779980050698E-5</v>
      </c>
      <c r="N2327" s="7" cm="1">
        <f t="array" ref="N2327">SUMPRODUCT(("CT_CWODETH"=[1]OUT_SyntheticFuels!$C$4:$C$1000)*1,("var_ncap"=[1]OUT_SyntheticFuels!$B$4:$B$1000)*1,[1]OUT_SyntheticFuels!M$4:M$1000)</f>
        <v>4.8344911246605998E-6</v>
      </c>
      <c r="O2327" s="7" cm="1">
        <f t="array" ref="O2327">SUMPRODUCT(("CT_CWODETH"=[1]OUT_SyntheticFuels!$C$4:$C$1000)*1,("var_ncap"=[1]OUT_SyntheticFuels!$B$4:$B$1000)*1,[1]OUT_SyntheticFuels!N$4:N$1000)</f>
        <v>1.0508865113820901E-4</v>
      </c>
      <c r="P2327" s="7" cm="1">
        <f t="array" ref="P2327">SUMPRODUCT(("CT_CWODETH"=[1]OUT_SyntheticFuels!$C$4:$C$1000)*1,("var_ncap"=[1]OUT_SyntheticFuels!$B$4:$B$1000)*1,[1]OUT_SyntheticFuels!O$4:O$1000)</f>
        <v>7.7615179815656097E-6</v>
      </c>
      <c r="Q2327" s="7" cm="1">
        <f t="array" ref="Q2327">SUMPRODUCT(("CT_CWODETH"=[1]OUT_SyntheticFuels!$C$4:$C$1000)*1,("var_ncap"=[1]OUT_SyntheticFuels!$B$4:$B$1000)*1,[1]OUT_SyntheticFuels!P$4:P$1000)</f>
        <v>2.38244863770122E-4</v>
      </c>
      <c r="S2327" s="3"/>
    </row>
    <row r="2328" spans="2:19" x14ac:dyDescent="0.5">
      <c r="B2328" s="5" t="str">
        <f t="shared" si="2319"/>
        <v>SPS1</v>
      </c>
      <c r="C2328" s="5" t="str">
        <f t="shared" si="2320"/>
        <v>CH</v>
      </c>
      <c r="D2328" t="s">
        <v>2463</v>
      </c>
      <c r="E2328" t="s">
        <v>2156</v>
      </c>
      <c r="F2328" s="7" cm="1">
        <f t="array" ref="F2328">SUMPRODUCT(("CT_CWODETHCCS"=[1]OUT_SyntheticFuels!$C$4:$C$1000)*1,("var_ncap"=[1]OUT_SyntheticFuels!$B$4:$B$1000)*1,[1]OUT_SyntheticFuels!E$4:E$1000)</f>
        <v>0</v>
      </c>
      <c r="G2328" s="7" cm="1">
        <f t="array" ref="G2328">SUMPRODUCT(("CT_CWODETHCCS"=[1]OUT_SyntheticFuels!$C$4:$C$1000)*1,("var_ncap"=[1]OUT_SyntheticFuels!$B$4:$B$1000)*1,[1]OUT_SyntheticFuels!F$4:F$1000)</f>
        <v>0</v>
      </c>
      <c r="H2328" s="7" cm="1">
        <f t="array" ref="H2328">SUMPRODUCT(("CT_CWODETHCCS"=[1]OUT_SyntheticFuels!$C$4:$C$1000)*1,("var_ncap"=[1]OUT_SyntheticFuels!$B$4:$B$1000)*1,[1]OUT_SyntheticFuels!G$4:G$1000)</f>
        <v>0</v>
      </c>
      <c r="I2328" s="7" cm="1">
        <f t="array" ref="I2328">SUMPRODUCT(("CT_CWODETHCCS"=[1]OUT_SyntheticFuels!$C$4:$C$1000)*1,("var_ncap"=[1]OUT_SyntheticFuels!$B$4:$B$1000)*1,[1]OUT_SyntheticFuels!H$4:H$1000)</f>
        <v>0</v>
      </c>
      <c r="J2328" s="7" cm="1">
        <f t="array" ref="J2328">SUMPRODUCT(("CT_CWODETHCCS"=[1]OUT_SyntheticFuels!$C$4:$C$1000)*1,("var_ncap"=[1]OUT_SyntheticFuels!$B$4:$B$1000)*1,[1]OUT_SyntheticFuels!I$4:I$1000)</f>
        <v>0</v>
      </c>
      <c r="K2328" s="7" cm="1">
        <f t="array" ref="K2328">SUMPRODUCT(("CT_CWODETHCCS"=[1]OUT_SyntheticFuels!$C$4:$C$1000)*1,("var_ncap"=[1]OUT_SyntheticFuels!$B$4:$B$1000)*1,[1]OUT_SyntheticFuels!J$4:J$1000)</f>
        <v>5.9314049147564702E-5</v>
      </c>
      <c r="L2328" s="7" cm="1">
        <f t="array" ref="L2328">SUMPRODUCT(("CT_CWODETHCCS"=[1]OUT_SyntheticFuels!$C$4:$C$1000)*1,("var_ncap"=[1]OUT_SyntheticFuels!$B$4:$B$1000)*1,[1]OUT_SyntheticFuels!K$4:K$1000)</f>
        <v>4.4260968438837098E-5</v>
      </c>
      <c r="M2328" s="7" cm="1">
        <f t="array" ref="M2328">SUMPRODUCT(("CT_CWODETHCCS"=[1]OUT_SyntheticFuels!$C$4:$C$1000)*1,("var_ncap"=[1]OUT_SyntheticFuels!$B$4:$B$1000)*1,[1]OUT_SyntheticFuels!L$4:L$1000)</f>
        <v>5.3447620274150197E-5</v>
      </c>
      <c r="N2328" s="7" cm="1">
        <f t="array" ref="N2328">SUMPRODUCT(("CT_CWODETHCCS"=[1]OUT_SyntheticFuels!$C$4:$C$1000)*1,("var_ncap"=[1]OUT_SyntheticFuels!$B$4:$B$1000)*1,[1]OUT_SyntheticFuels!M$4:M$1000)</f>
        <v>1.09449105148442E-4</v>
      </c>
      <c r="O2328" s="7" cm="1">
        <f t="array" ref="O2328">SUMPRODUCT(("CT_CWODETHCCS"=[1]OUT_SyntheticFuels!$C$4:$C$1000)*1,("var_ncap"=[1]OUT_SyntheticFuels!$B$4:$B$1000)*1,[1]OUT_SyntheticFuels!N$4:N$1000)</f>
        <v>1.8265927164685201E-4</v>
      </c>
      <c r="P2328" s="7" cm="1">
        <f t="array" ref="P2328">SUMPRODUCT(("CT_CWODETHCCS"=[1]OUT_SyntheticFuels!$C$4:$C$1000)*1,("var_ncap"=[1]OUT_SyntheticFuels!$B$4:$B$1000)*1,[1]OUT_SyntheticFuels!O$4:O$1000)</f>
        <v>4.3905789325016698E-6</v>
      </c>
      <c r="Q2328" s="7" cm="1">
        <f t="array" ref="Q2328">SUMPRODUCT(("CT_CWODETHCCS"=[1]OUT_SyntheticFuels!$C$4:$C$1000)*1,("var_ncap"=[1]OUT_SyntheticFuels!$B$4:$B$1000)*1,[1]OUT_SyntheticFuels!P$4:P$1000)</f>
        <v>2.39393631995563E-4</v>
      </c>
      <c r="S2328" s="3"/>
    </row>
    <row r="2329" spans="2:19" x14ac:dyDescent="0.5">
      <c r="B2329" s="5" t="str">
        <f t="shared" si="2319"/>
        <v>SPS1</v>
      </c>
      <c r="C2329" s="5" t="str">
        <f t="shared" si="2320"/>
        <v>CH</v>
      </c>
      <c r="D2329" t="s">
        <v>2464</v>
      </c>
      <c r="E2329" t="s">
        <v>2156</v>
      </c>
      <c r="F2329" s="7" cm="1">
        <f t="array" ref="F2329">SUMPRODUCT(("SUP_MNRBIO"=[1]OUT_SyntheticFuels!$C$4:$C$1000)*1,("var_ncap"=[1]OUT_SyntheticFuels!$B$4:$B$1000)*1,[1]OUT_SyntheticFuels!E$4:E$1000)</f>
        <v>5.36906086341742E-2</v>
      </c>
      <c r="G2329" s="7" cm="1">
        <f t="array" ref="G2329">SUMPRODUCT(("SUP_MNRBIO"=[1]OUT_SyntheticFuels!$C$4:$C$1000)*1,("var_ncap"=[1]OUT_SyntheticFuels!$B$4:$B$1000)*1,[1]OUT_SyntheticFuels!F$4:F$1000)</f>
        <v>0.10872204630460799</v>
      </c>
      <c r="H2329" s="7" cm="1">
        <f t="array" ref="H2329">SUMPRODUCT(("SUP_MNRBIO"=[1]OUT_SyntheticFuels!$C$4:$C$1000)*1,("var_ncap"=[1]OUT_SyntheticFuels!$B$4:$B$1000)*1,[1]OUT_SyntheticFuels!G$4:G$1000)</f>
        <v>9.3943361021410698E-6</v>
      </c>
      <c r="I2329" s="7" cm="1">
        <f t="array" ref="I2329">SUMPRODUCT(("SUP_MNRBIO"=[1]OUT_SyntheticFuels!$C$4:$C$1000)*1,("var_ncap"=[1]OUT_SyntheticFuels!$B$4:$B$1000)*1,[1]OUT_SyntheticFuels!H$4:H$1000)</f>
        <v>6.9746220665241799E-6</v>
      </c>
      <c r="J2329" s="7" cm="1">
        <f t="array" ref="J2329">SUMPRODUCT(("SUP_MNRBIO"=[1]OUT_SyntheticFuels!$C$4:$C$1000)*1,("var_ncap"=[1]OUT_SyntheticFuels!$B$4:$B$1000)*1,[1]OUT_SyntheticFuels!I$4:I$1000)</f>
        <v>4.6451766967502203E-5</v>
      </c>
      <c r="K2329" s="7" cm="1">
        <f t="array" ref="K2329">SUMPRODUCT(("SUP_MNRBIO"=[1]OUT_SyntheticFuels!$C$4:$C$1000)*1,("var_ncap"=[1]OUT_SyntheticFuels!$B$4:$B$1000)*1,[1]OUT_SyntheticFuels!J$4:J$1000)</f>
        <v>7.3602325881784003E-2</v>
      </c>
      <c r="L2329" s="7" cm="1">
        <f t="array" ref="L2329">SUMPRODUCT(("SUP_MNRBIO"=[1]OUT_SyntheticFuels!$C$4:$C$1000)*1,("var_ncap"=[1]OUT_SyntheticFuels!$B$4:$B$1000)*1,[1]OUT_SyntheticFuels!K$4:K$1000)</f>
        <v>0.116238941010809</v>
      </c>
      <c r="M2329" s="7" cm="1">
        <f t="array" ref="M2329">SUMPRODUCT(("SUP_MNRBIO"=[1]OUT_SyntheticFuels!$C$4:$C$1000)*1,("var_ncap"=[1]OUT_SyntheticFuels!$B$4:$B$1000)*1,[1]OUT_SyntheticFuels!L$4:L$1000)</f>
        <v>6.5338318396526998E-2</v>
      </c>
      <c r="N2329" s="7" cm="1">
        <f t="array" ref="N2329">SUMPRODUCT(("SUP_MNRBIO"=[1]OUT_SyntheticFuels!$C$4:$C$1000)*1,("var_ncap"=[1]OUT_SyntheticFuels!$B$4:$B$1000)*1,[1]OUT_SyntheticFuels!M$4:M$1000)</f>
        <v>9.7690009707529901E-3</v>
      </c>
      <c r="O2329" s="7" cm="1">
        <f t="array" ref="O2329">SUMPRODUCT(("SUP_MNRBIO"=[1]OUT_SyntheticFuels!$C$4:$C$1000)*1,("var_ncap"=[1]OUT_SyntheticFuels!$B$4:$B$1000)*1,[1]OUT_SyntheticFuels!N$4:N$1000)</f>
        <v>0.14912799304838001</v>
      </c>
      <c r="P2329" s="7" cm="1">
        <f t="array" ref="P2329">SUMPRODUCT(("SUP_MNRBIO"=[1]OUT_SyntheticFuels!$C$4:$C$1000)*1,("var_ncap"=[1]OUT_SyntheticFuels!$B$4:$B$1000)*1,[1]OUT_SyntheticFuels!O$4:O$1000)</f>
        <v>0.11622931156161299</v>
      </c>
      <c r="Q2329" s="7" cm="1">
        <f t="array" ref="Q2329">SUMPRODUCT(("SUP_MNRBIO"=[1]OUT_SyntheticFuels!$C$4:$C$1000)*1,("var_ncap"=[1]OUT_SyntheticFuels!$B$4:$B$1000)*1,[1]OUT_SyntheticFuels!P$4:P$1000)</f>
        <v>6.5394847084147001E-2</v>
      </c>
      <c r="S2329" s="3"/>
    </row>
    <row r="2330" spans="2:19" x14ac:dyDescent="0.5">
      <c r="B2330" s="5" t="str">
        <f t="shared" si="2319"/>
        <v>SPS1</v>
      </c>
      <c r="C2330" s="5" t="str">
        <f t="shared" si="2320"/>
        <v>CH</v>
      </c>
      <c r="D2330" t="s">
        <v>2465</v>
      </c>
      <c r="E2330" t="s">
        <v>2156</v>
      </c>
      <c r="F2330" s="7" cm="1">
        <f t="array" ref="F2330">SUMPRODUCT(("SUP_WSTBIO"=[1]OUT_SyntheticFuels!$C$4:$C$1000)*1,("var_ncap"=[1]OUT_SyntheticFuels!$B$4:$B$1000)*1,[1]OUT_SyntheticFuels!E$4:E$1000)</f>
        <v>4.1072303844069697E-3</v>
      </c>
      <c r="G2330" s="7" cm="1">
        <f t="array" ref="G2330">SUMPRODUCT(("SUP_WSTBIO"=[1]OUT_SyntheticFuels!$C$4:$C$1000)*1,("var_ncap"=[1]OUT_SyntheticFuels!$B$4:$B$1000)*1,[1]OUT_SyntheticFuels!F$4:F$1000)</f>
        <v>4.38217877379377E-3</v>
      </c>
      <c r="H2330" s="7" cm="1">
        <f t="array" ref="H2330">SUMPRODUCT(("SUP_WSTBIO"=[1]OUT_SyntheticFuels!$C$4:$C$1000)*1,("var_ncap"=[1]OUT_SyntheticFuels!$B$4:$B$1000)*1,[1]OUT_SyntheticFuels!G$4:G$1000)</f>
        <v>8.4441405169590499E-6</v>
      </c>
      <c r="I2330" s="7" cm="1">
        <f t="array" ref="I2330">SUMPRODUCT(("SUP_WSTBIO"=[1]OUT_SyntheticFuels!$C$4:$C$1000)*1,("var_ncap"=[1]OUT_SyntheticFuels!$B$4:$B$1000)*1,[1]OUT_SyntheticFuels!H$4:H$1000)</f>
        <v>7.5769743420023294E-2</v>
      </c>
      <c r="J2330" s="7" cm="1">
        <f t="array" ref="J2330">SUMPRODUCT(("SUP_WSTBIO"=[1]OUT_SyntheticFuels!$C$4:$C$1000)*1,("var_ncap"=[1]OUT_SyntheticFuels!$B$4:$B$1000)*1,[1]OUT_SyntheticFuels!I$4:I$1000)</f>
        <v>0.116854367551014</v>
      </c>
      <c r="K2330" s="7" cm="1">
        <f t="array" ref="K2330">SUMPRODUCT(("SUP_WSTBIO"=[1]OUT_SyntheticFuels!$C$4:$C$1000)*1,("var_ncap"=[1]OUT_SyntheticFuels!$B$4:$B$1000)*1,[1]OUT_SyntheticFuels!J$4:J$1000)</f>
        <v>0.12061840224313999</v>
      </c>
      <c r="L2330" s="7" cm="1">
        <f t="array" ref="L2330">SUMPRODUCT(("SUP_WSTBIO"=[1]OUT_SyntheticFuels!$C$4:$C$1000)*1,("var_ncap"=[1]OUT_SyntheticFuels!$B$4:$B$1000)*1,[1]OUT_SyntheticFuels!K$4:K$1000)</f>
        <v>5.88725643778353E-2</v>
      </c>
      <c r="M2330" s="7" cm="1">
        <f t="array" ref="M2330">SUMPRODUCT(("SUP_WSTBIO"=[1]OUT_SyntheticFuels!$C$4:$C$1000)*1,("var_ncap"=[1]OUT_SyntheticFuels!$B$4:$B$1000)*1,[1]OUT_SyntheticFuels!L$4:L$1000)</f>
        <v>7.5561401653398294E-2</v>
      </c>
      <c r="N2330" s="7" cm="1">
        <f t="array" ref="N2330">SUMPRODUCT(("SUP_WSTBIO"=[1]OUT_SyntheticFuels!$C$4:$C$1000)*1,("var_ncap"=[1]OUT_SyntheticFuels!$B$4:$B$1000)*1,[1]OUT_SyntheticFuels!M$4:M$1000)</f>
        <v>0.12570887120751401</v>
      </c>
      <c r="O2330" s="7" cm="1">
        <f t="array" ref="O2330">SUMPRODUCT(("SUP_WSTBIO"=[1]OUT_SyntheticFuels!$C$4:$C$1000)*1,("var_ncap"=[1]OUT_SyntheticFuels!$B$4:$B$1000)*1,[1]OUT_SyntheticFuels!N$4:N$1000)</f>
        <v>0.16741151154737</v>
      </c>
      <c r="P2330" s="7" cm="1">
        <f t="array" ref="P2330">SUMPRODUCT(("SUP_WSTBIO"=[1]OUT_SyntheticFuels!$C$4:$C$1000)*1,("var_ncap"=[1]OUT_SyntheticFuels!$B$4:$B$1000)*1,[1]OUT_SyntheticFuels!O$4:O$1000)</f>
        <v>6.2261243566128902E-2</v>
      </c>
      <c r="Q2330" s="7" cm="1">
        <f t="array" ref="Q2330">SUMPRODUCT(("SUP_WSTBIO"=[1]OUT_SyntheticFuels!$C$4:$C$1000)*1,("var_ncap"=[1]OUT_SyntheticFuels!$B$4:$B$1000)*1,[1]OUT_SyntheticFuels!P$4:P$1000)</f>
        <v>7.5845968631700997E-2</v>
      </c>
      <c r="S2330" s="3"/>
    </row>
    <row r="2331" spans="2:19" x14ac:dyDescent="0.5">
      <c r="B2331" s="5" t="str">
        <f t="shared" si="2319"/>
        <v>SPS1</v>
      </c>
      <c r="C2331" s="5" t="str">
        <f t="shared" si="2320"/>
        <v>CH</v>
      </c>
      <c r="D2331" t="s">
        <v>2466</v>
      </c>
      <c r="E2331" t="s">
        <v>2156</v>
      </c>
      <c r="F2331" s="7" cm="1">
        <f t="array" ref="F2331">SUMPRODUCT(("SUP_WSTBIOCCS"=[1]OUT_SyntheticFuels!$C$4:$C$1000)*1,("var_ncap"=[1]OUT_SyntheticFuels!$B$4:$B$1000)*1,[1]OUT_SyntheticFuels!E$4:E$1000)</f>
        <v>0</v>
      </c>
      <c r="G2331" s="7" cm="1">
        <f t="array" ref="G2331">SUMPRODUCT(("SUP_WSTBIOCCS"=[1]OUT_SyntheticFuels!$C$4:$C$1000)*1,("var_ncap"=[1]OUT_SyntheticFuels!$B$4:$B$1000)*1,[1]OUT_SyntheticFuels!F$4:F$1000)</f>
        <v>0</v>
      </c>
      <c r="H2331" s="7" cm="1">
        <f t="array" ref="H2331">SUMPRODUCT(("SUP_WSTBIOCCS"=[1]OUT_SyntheticFuels!$C$4:$C$1000)*1,("var_ncap"=[1]OUT_SyntheticFuels!$B$4:$B$1000)*1,[1]OUT_SyntheticFuels!G$4:G$1000)</f>
        <v>0</v>
      </c>
      <c r="I2331" s="7" cm="1">
        <f t="array" ref="I2331">SUMPRODUCT(("SUP_WSTBIOCCS"=[1]OUT_SyntheticFuels!$C$4:$C$1000)*1,("var_ncap"=[1]OUT_SyntheticFuels!$B$4:$B$1000)*1,[1]OUT_SyntheticFuels!H$4:H$1000)</f>
        <v>0</v>
      </c>
      <c r="J2331" s="7" cm="1">
        <f t="array" ref="J2331">SUMPRODUCT(("SUP_WSTBIOCCS"=[1]OUT_SyntheticFuels!$C$4:$C$1000)*1,("var_ncap"=[1]OUT_SyntheticFuels!$B$4:$B$1000)*1,[1]OUT_SyntheticFuels!I$4:I$1000)</f>
        <v>0</v>
      </c>
      <c r="K2331" s="7" cm="1">
        <f t="array" ref="K2331">SUMPRODUCT(("SUP_WSTBIOCCS"=[1]OUT_SyntheticFuels!$C$4:$C$1000)*1,("var_ncap"=[1]OUT_SyntheticFuels!$B$4:$B$1000)*1,[1]OUT_SyntheticFuels!J$4:J$1000)</f>
        <v>0</v>
      </c>
      <c r="L2331" s="7" cm="1">
        <f t="array" ref="L2331">SUMPRODUCT(("SUP_WSTBIOCCS"=[1]OUT_SyntheticFuels!$C$4:$C$1000)*1,("var_ncap"=[1]OUT_SyntheticFuels!$B$4:$B$1000)*1,[1]OUT_SyntheticFuels!K$4:K$1000)</f>
        <v>0</v>
      </c>
      <c r="M2331" s="7" cm="1">
        <f t="array" ref="M2331">SUMPRODUCT(("SUP_WSTBIOCCS"=[1]OUT_SyntheticFuels!$C$4:$C$1000)*1,("var_ncap"=[1]OUT_SyntheticFuels!$B$4:$B$1000)*1,[1]OUT_SyntheticFuels!L$4:L$1000)</f>
        <v>0</v>
      </c>
      <c r="N2331" s="7" cm="1">
        <f t="array" ref="N2331">SUMPRODUCT(("SUP_WSTBIOCCS"=[1]OUT_SyntheticFuels!$C$4:$C$1000)*1,("var_ncap"=[1]OUT_SyntheticFuels!$B$4:$B$1000)*1,[1]OUT_SyntheticFuels!M$4:M$1000)</f>
        <v>0</v>
      </c>
      <c r="O2331" s="7" cm="1">
        <f t="array" ref="O2331">SUMPRODUCT(("SUP_WSTBIOCCS"=[1]OUT_SyntheticFuels!$C$4:$C$1000)*1,("var_ncap"=[1]OUT_SyntheticFuels!$B$4:$B$1000)*1,[1]OUT_SyntheticFuels!N$4:N$1000)</f>
        <v>0</v>
      </c>
      <c r="P2331" s="7" cm="1">
        <f t="array" ref="P2331">SUMPRODUCT(("SUP_WSTBIOCCS"=[1]OUT_SyntheticFuels!$C$4:$C$1000)*1,("var_ncap"=[1]OUT_SyntheticFuels!$B$4:$B$1000)*1,[1]OUT_SyntheticFuels!O$4:O$1000)</f>
        <v>0</v>
      </c>
      <c r="Q2331" s="7" cm="1">
        <f t="array" ref="Q2331">SUMPRODUCT(("SUP_WSTBIOCCS"=[1]OUT_SyntheticFuels!$C$4:$C$1000)*1,("var_ncap"=[1]OUT_SyntheticFuels!$B$4:$B$1000)*1,[1]OUT_SyntheticFuels!P$4:P$1000)</f>
        <v>0</v>
      </c>
      <c r="S2331" s="3"/>
    </row>
    <row r="2332" spans="2:19" x14ac:dyDescent="0.5">
      <c r="B2332" s="5" t="str">
        <f t="shared" si="2319"/>
        <v>SPS1</v>
      </c>
      <c r="C2332" s="5" t="str">
        <f t="shared" si="2320"/>
        <v>CH</v>
      </c>
      <c r="D2332" t="s">
        <v>2467</v>
      </c>
      <c r="E2332" t="s">
        <v>2156</v>
      </c>
      <c r="F2332" s="7" cm="1">
        <f t="array" ref="F2332">SUMPRODUCT(("SUP_WSTHTGBIO"=[1]OUT_SyntheticFuels!$C$4:$C$1000)*1,("var_ncap"=[1]OUT_SyntheticFuels!$B$4:$B$1000)*1,[1]OUT_SyntheticFuels!E$4:E$1000)</f>
        <v>0</v>
      </c>
      <c r="G2332" s="7" cm="1">
        <f t="array" ref="G2332">SUMPRODUCT(("SUP_WSTHTGBIO"=[1]OUT_SyntheticFuels!$C$4:$C$1000)*1,("var_ncap"=[1]OUT_SyntheticFuels!$B$4:$B$1000)*1,[1]OUT_SyntheticFuels!F$4:F$1000)</f>
        <v>0</v>
      </c>
      <c r="H2332" s="7" cm="1">
        <f t="array" ref="H2332">SUMPRODUCT(("SUP_WSTHTGBIO"=[1]OUT_SyntheticFuels!$C$4:$C$1000)*1,("var_ncap"=[1]OUT_SyntheticFuels!$B$4:$B$1000)*1,[1]OUT_SyntheticFuels!G$4:G$1000)</f>
        <v>0</v>
      </c>
      <c r="I2332" s="7" cm="1">
        <f t="array" ref="I2332">SUMPRODUCT(("SUP_WSTHTGBIO"=[1]OUT_SyntheticFuels!$C$4:$C$1000)*1,("var_ncap"=[1]OUT_SyntheticFuels!$B$4:$B$1000)*1,[1]OUT_SyntheticFuels!H$4:H$1000)</f>
        <v>0</v>
      </c>
      <c r="J2332" s="7" cm="1">
        <f t="array" ref="J2332">SUMPRODUCT(("SUP_WSTHTGBIO"=[1]OUT_SyntheticFuels!$C$4:$C$1000)*1,("var_ncap"=[1]OUT_SyntheticFuels!$B$4:$B$1000)*1,[1]OUT_SyntheticFuels!I$4:I$1000)</f>
        <v>0</v>
      </c>
      <c r="K2332" s="7" cm="1">
        <f t="array" ref="K2332">SUMPRODUCT(("SUP_WSTHTGBIO"=[1]OUT_SyntheticFuels!$C$4:$C$1000)*1,("var_ncap"=[1]OUT_SyntheticFuels!$B$4:$B$1000)*1,[1]OUT_SyntheticFuels!J$4:J$1000)</f>
        <v>1.5906427571923899E-4</v>
      </c>
      <c r="L2332" s="7" cm="1">
        <f t="array" ref="L2332">SUMPRODUCT(("SUP_WSTHTGBIO"=[1]OUT_SyntheticFuels!$C$4:$C$1000)*1,("var_ncap"=[1]OUT_SyntheticFuels!$B$4:$B$1000)*1,[1]OUT_SyntheticFuels!K$4:K$1000)</f>
        <v>1.75047793742498E-5</v>
      </c>
      <c r="M2332" s="7" cm="1">
        <f t="array" ref="M2332">SUMPRODUCT(("SUP_WSTHTGBIO"=[1]OUT_SyntheticFuels!$C$4:$C$1000)*1,("var_ncap"=[1]OUT_SyntheticFuels!$B$4:$B$1000)*1,[1]OUT_SyntheticFuels!L$4:L$1000)</f>
        <v>3.9249635548864103E-3</v>
      </c>
      <c r="N2332" s="7" cm="1">
        <f t="array" ref="N2332">SUMPRODUCT(("SUP_WSTHTGBIO"=[1]OUT_SyntheticFuels!$C$4:$C$1000)*1,("var_ncap"=[1]OUT_SyntheticFuels!$B$4:$B$1000)*1,[1]OUT_SyntheticFuels!M$4:M$1000)</f>
        <v>2.0633621674056899E-6</v>
      </c>
      <c r="O2332" s="7" cm="1">
        <f t="array" ref="O2332">SUMPRODUCT(("SUP_WSTHTGBIO"=[1]OUT_SyntheticFuels!$C$4:$C$1000)*1,("var_ncap"=[1]OUT_SyntheticFuels!$B$4:$B$1000)*1,[1]OUT_SyntheticFuels!N$4:N$1000)</f>
        <v>1.1520014951276301E-5</v>
      </c>
      <c r="P2332" s="7" cm="1">
        <f t="array" ref="P2332">SUMPRODUCT(("SUP_WSTHTGBIO"=[1]OUT_SyntheticFuels!$C$4:$C$1000)*1,("var_ncap"=[1]OUT_SyntheticFuels!$B$4:$B$1000)*1,[1]OUT_SyntheticFuels!O$4:O$1000)</f>
        <v>1.8855494603243601E-6</v>
      </c>
      <c r="Q2332" s="7" cm="1">
        <f t="array" ref="Q2332">SUMPRODUCT(("SUP_WSTHTGBIO"=[1]OUT_SyntheticFuels!$C$4:$C$1000)*1,("var_ncap"=[1]OUT_SyntheticFuels!$B$4:$B$1000)*1,[1]OUT_SyntheticFuels!P$4:P$1000)</f>
        <v>6.0815063991488303E-4</v>
      </c>
      <c r="S2332" s="3"/>
    </row>
    <row r="2333" spans="2:19" x14ac:dyDescent="0.5">
      <c r="B2333" s="5" t="str">
        <f t="shared" si="2319"/>
        <v>SPS1</v>
      </c>
      <c r="C2333" s="5" t="str">
        <f t="shared" si="2320"/>
        <v>CH</v>
      </c>
      <c r="D2333" t="s">
        <v>2468</v>
      </c>
      <c r="E2333" t="s">
        <v>2156</v>
      </c>
      <c r="F2333" s="7" cm="1">
        <f t="array" ref="F2333">SUMPRODUCT(("SUP_WSTHTGBIOCCS"=[1]OUT_SyntheticFuels!$C$4:$C$1000)*1,("var_ncap"=[1]OUT_SyntheticFuels!$B$4:$B$1000)*1,[1]OUT_SyntheticFuels!E$4:E$1000)</f>
        <v>0</v>
      </c>
      <c r="G2333" s="7" cm="1">
        <f t="array" ref="G2333">SUMPRODUCT(("SUP_WSTHTGBIOCCS"=[1]OUT_SyntheticFuels!$C$4:$C$1000)*1,("var_ncap"=[1]OUT_SyntheticFuels!$B$4:$B$1000)*1,[1]OUT_SyntheticFuels!F$4:F$1000)</f>
        <v>0</v>
      </c>
      <c r="H2333" s="7" cm="1">
        <f t="array" ref="H2333">SUMPRODUCT(("SUP_WSTHTGBIOCCS"=[1]OUT_SyntheticFuels!$C$4:$C$1000)*1,("var_ncap"=[1]OUT_SyntheticFuels!$B$4:$B$1000)*1,[1]OUT_SyntheticFuels!G$4:G$1000)</f>
        <v>0</v>
      </c>
      <c r="I2333" s="7" cm="1">
        <f t="array" ref="I2333">SUMPRODUCT(("SUP_WSTHTGBIOCCS"=[1]OUT_SyntheticFuels!$C$4:$C$1000)*1,("var_ncap"=[1]OUT_SyntheticFuels!$B$4:$B$1000)*1,[1]OUT_SyntheticFuels!H$4:H$1000)</f>
        <v>0</v>
      </c>
      <c r="J2333" s="7" cm="1">
        <f t="array" ref="J2333">SUMPRODUCT(("SUP_WSTHTGBIOCCS"=[1]OUT_SyntheticFuels!$C$4:$C$1000)*1,("var_ncap"=[1]OUT_SyntheticFuels!$B$4:$B$1000)*1,[1]OUT_SyntheticFuels!I$4:I$1000)</f>
        <v>0</v>
      </c>
      <c r="K2333" s="7" cm="1">
        <f t="array" ref="K2333">SUMPRODUCT(("SUP_WSTHTGBIOCCS"=[1]OUT_SyntheticFuels!$C$4:$C$1000)*1,("var_ncap"=[1]OUT_SyntheticFuels!$B$4:$B$1000)*1,[1]OUT_SyntheticFuels!J$4:J$1000)</f>
        <v>2.24092664628395E-5</v>
      </c>
      <c r="L2333" s="7" cm="1">
        <f t="array" ref="L2333">SUMPRODUCT(("SUP_WSTHTGBIOCCS"=[1]OUT_SyntheticFuels!$C$4:$C$1000)*1,("var_ncap"=[1]OUT_SyntheticFuels!$B$4:$B$1000)*1,[1]OUT_SyntheticFuels!K$4:K$1000)</f>
        <v>4.00792377082593E-5</v>
      </c>
      <c r="M2333" s="7" cm="1">
        <f t="array" ref="M2333">SUMPRODUCT(("SUP_WSTHTGBIOCCS"=[1]OUT_SyntheticFuels!$C$4:$C$1000)*1,("var_ncap"=[1]OUT_SyntheticFuels!$B$4:$B$1000)*1,[1]OUT_SyntheticFuels!L$4:L$1000)</f>
        <v>2.1460578819199099E-4</v>
      </c>
      <c r="N2333" s="7" cm="1">
        <f t="array" ref="N2333">SUMPRODUCT(("SUP_WSTHTGBIOCCS"=[1]OUT_SyntheticFuels!$C$4:$C$1000)*1,("var_ncap"=[1]OUT_SyntheticFuels!$B$4:$B$1000)*1,[1]OUT_SyntheticFuels!M$4:M$1000)</f>
        <v>8.2260443944389797E-7</v>
      </c>
      <c r="O2333" s="7" cm="1">
        <f t="array" ref="O2333">SUMPRODUCT(("SUP_WSTHTGBIOCCS"=[1]OUT_SyntheticFuels!$C$4:$C$1000)*1,("var_ncap"=[1]OUT_SyntheticFuels!$B$4:$B$1000)*1,[1]OUT_SyntheticFuels!N$4:N$1000)</f>
        <v>4.8507212401811601E-5</v>
      </c>
      <c r="P2333" s="7" cm="1">
        <f t="array" ref="P2333">SUMPRODUCT(("SUP_WSTHTGBIOCCS"=[1]OUT_SyntheticFuels!$C$4:$C$1000)*1,("var_ncap"=[1]OUT_SyntheticFuels!$B$4:$B$1000)*1,[1]OUT_SyntheticFuels!O$4:O$1000)</f>
        <v>1.4213187039210399E-6</v>
      </c>
      <c r="Q2333" s="7" cm="1">
        <f t="array" ref="Q2333">SUMPRODUCT(("SUP_WSTHTGBIOCCS"=[1]OUT_SyntheticFuels!$C$4:$C$1000)*1,("var_ncap"=[1]OUT_SyntheticFuels!$B$4:$B$1000)*1,[1]OUT_SyntheticFuels!P$4:P$1000)</f>
        <v>2.2049852229101099E-4</v>
      </c>
      <c r="S2333" s="3"/>
    </row>
    <row r="2334" spans="2:19" x14ac:dyDescent="0.5">
      <c r="B2334" s="5" t="str">
        <f t="shared" si="2319"/>
        <v>SPS1</v>
      </c>
      <c r="C2334" s="5" t="str">
        <f t="shared" si="2320"/>
        <v>CH</v>
      </c>
      <c r="D2334" t="s">
        <v>2469</v>
      </c>
      <c r="E2334" t="s">
        <v>2156</v>
      </c>
      <c r="F2334" s="7" cm="1">
        <f t="array" ref="F2334">SUMPRODUCT(("SUP_WODBIO"=[1]OUT_SyntheticFuels!$C$4:$C$1000)*1,("var_ncap"=[1]OUT_SyntheticFuels!$B$4:$B$1000)*1,[1]OUT_SyntheticFuels!E$4:E$1000)</f>
        <v>5.2671933479938998E-6</v>
      </c>
      <c r="G2334" s="7" cm="1">
        <f t="array" ref="G2334">SUMPRODUCT(("SUP_WODBIO"=[1]OUT_SyntheticFuels!$C$4:$C$1000)*1,("var_ncap"=[1]OUT_SyntheticFuels!$B$4:$B$1000)*1,[1]OUT_SyntheticFuels!F$4:F$1000)</f>
        <v>7.8569245829531495E-5</v>
      </c>
      <c r="H2334" s="7" cm="1">
        <f t="array" ref="H2334">SUMPRODUCT(("SUP_WODBIO"=[1]OUT_SyntheticFuels!$C$4:$C$1000)*1,("var_ncap"=[1]OUT_SyntheticFuels!$B$4:$B$1000)*1,[1]OUT_SyntheticFuels!G$4:G$1000)</f>
        <v>4.2251204334704001E-6</v>
      </c>
      <c r="I2334" s="7" cm="1">
        <f t="array" ref="I2334">SUMPRODUCT(("SUP_WODBIO"=[1]OUT_SyntheticFuels!$C$4:$C$1000)*1,("var_ncap"=[1]OUT_SyntheticFuels!$B$4:$B$1000)*1,[1]OUT_SyntheticFuels!H$4:H$1000)</f>
        <v>2.9145485664783102E-6</v>
      </c>
      <c r="J2334" s="7" cm="1">
        <f t="array" ref="J2334">SUMPRODUCT(("SUP_WODBIO"=[1]OUT_SyntheticFuels!$C$4:$C$1000)*1,("var_ncap"=[1]OUT_SyntheticFuels!$B$4:$B$1000)*1,[1]OUT_SyntheticFuels!I$4:I$1000)</f>
        <v>5.7216444577399799E-5</v>
      </c>
      <c r="K2334" s="7" cm="1">
        <f t="array" ref="K2334">SUMPRODUCT(("SUP_WODBIO"=[1]OUT_SyntheticFuels!$C$4:$C$1000)*1,("var_ncap"=[1]OUT_SyntheticFuels!$B$4:$B$1000)*1,[1]OUT_SyntheticFuels!J$4:J$1000)</f>
        <v>8.4207655117791092E-6</v>
      </c>
      <c r="L2334" s="7" cm="1">
        <f t="array" ref="L2334">SUMPRODUCT(("SUP_WODBIO"=[1]OUT_SyntheticFuels!$C$4:$C$1000)*1,("var_ncap"=[1]OUT_SyntheticFuels!$B$4:$B$1000)*1,[1]OUT_SyntheticFuels!K$4:K$1000)</f>
        <v>3.8978203597671598E-5</v>
      </c>
      <c r="M2334" s="7" cm="1">
        <f t="array" ref="M2334">SUMPRODUCT(("SUP_WODBIO"=[1]OUT_SyntheticFuels!$C$4:$C$1000)*1,("var_ncap"=[1]OUT_SyntheticFuels!$B$4:$B$1000)*1,[1]OUT_SyntheticFuels!L$4:L$1000)</f>
        <v>5.4965610778286901E-5</v>
      </c>
      <c r="N2334" s="7" cm="1">
        <f t="array" ref="N2334">SUMPRODUCT(("SUP_WODBIO"=[1]OUT_SyntheticFuels!$C$4:$C$1000)*1,("var_ncap"=[1]OUT_SyntheticFuels!$B$4:$B$1000)*1,[1]OUT_SyntheticFuels!M$4:M$1000)</f>
        <v>6.8549422476825602E-6</v>
      </c>
      <c r="O2334" s="7" cm="1">
        <f t="array" ref="O2334">SUMPRODUCT(("SUP_WODBIO"=[1]OUT_SyntheticFuels!$C$4:$C$1000)*1,("var_ncap"=[1]OUT_SyntheticFuels!$B$4:$B$1000)*1,[1]OUT_SyntheticFuels!N$4:N$1000)</f>
        <v>1.19004987627983E-4</v>
      </c>
      <c r="P2334" s="7" cm="1">
        <f t="array" ref="P2334">SUMPRODUCT(("SUP_WODBIO"=[1]OUT_SyntheticFuels!$C$4:$C$1000)*1,("var_ncap"=[1]OUT_SyntheticFuels!$B$4:$B$1000)*1,[1]OUT_SyntheticFuels!O$4:O$1000)</f>
        <v>6.1323765383842401E-5</v>
      </c>
      <c r="Q2334" s="7" cm="1">
        <f t="array" ref="Q2334">SUMPRODUCT(("SUP_WODBIO"=[1]OUT_SyntheticFuels!$C$4:$C$1000)*1,("var_ncap"=[1]OUT_SyntheticFuels!$B$4:$B$1000)*1,[1]OUT_SyntheticFuels!P$4:P$1000)</f>
        <v>3.8022552006128103E-4</v>
      </c>
      <c r="S2334" s="3"/>
    </row>
    <row r="2335" spans="2:19" x14ac:dyDescent="0.5">
      <c r="B2335" s="5" t="str">
        <f t="shared" si="2319"/>
        <v>SPS1</v>
      </c>
      <c r="C2335" s="5" t="str">
        <f t="shared" si="2320"/>
        <v>CH</v>
      </c>
      <c r="D2335" t="s">
        <v>2470</v>
      </c>
      <c r="E2335" t="s">
        <v>2156</v>
      </c>
      <c r="F2335" s="7" cm="1">
        <f t="array" ref="F2335">SUMPRODUCT(("SUP_WODBIOCCS"=[1]OUT_SyntheticFuels!$C$4:$C$1000)*1,("var_ncap"=[1]OUT_SyntheticFuels!$B$4:$B$1000)*1,[1]OUT_SyntheticFuels!E$4:E$1000)</f>
        <v>0</v>
      </c>
      <c r="G2335" s="7" cm="1">
        <f t="array" ref="G2335">SUMPRODUCT(("SUP_WODBIOCCS"=[1]OUT_SyntheticFuels!$C$4:$C$1000)*1,("var_ncap"=[1]OUT_SyntheticFuels!$B$4:$B$1000)*1,[1]OUT_SyntheticFuels!F$4:F$1000)</f>
        <v>0</v>
      </c>
      <c r="H2335" s="7" cm="1">
        <f t="array" ref="H2335">SUMPRODUCT(("SUP_WODBIOCCS"=[1]OUT_SyntheticFuels!$C$4:$C$1000)*1,("var_ncap"=[1]OUT_SyntheticFuels!$B$4:$B$1000)*1,[1]OUT_SyntheticFuels!G$4:G$1000)</f>
        <v>0</v>
      </c>
      <c r="I2335" s="7" cm="1">
        <f t="array" ref="I2335">SUMPRODUCT(("SUP_WODBIOCCS"=[1]OUT_SyntheticFuels!$C$4:$C$1000)*1,("var_ncap"=[1]OUT_SyntheticFuels!$B$4:$B$1000)*1,[1]OUT_SyntheticFuels!H$4:H$1000)</f>
        <v>0</v>
      </c>
      <c r="J2335" s="7" cm="1">
        <f t="array" ref="J2335">SUMPRODUCT(("SUP_WODBIOCCS"=[1]OUT_SyntheticFuels!$C$4:$C$1000)*1,("var_ncap"=[1]OUT_SyntheticFuels!$B$4:$B$1000)*1,[1]OUT_SyntheticFuels!I$4:I$1000)</f>
        <v>0</v>
      </c>
      <c r="K2335" s="7" cm="1">
        <f t="array" ref="K2335">SUMPRODUCT(("SUP_WODBIOCCS"=[1]OUT_SyntheticFuels!$C$4:$C$1000)*1,("var_ncap"=[1]OUT_SyntheticFuels!$B$4:$B$1000)*1,[1]OUT_SyntheticFuels!J$4:J$1000)</f>
        <v>8.4969344212342202E-5</v>
      </c>
      <c r="L2335" s="7" cm="1">
        <f t="array" ref="L2335">SUMPRODUCT(("SUP_WODBIOCCS"=[1]OUT_SyntheticFuels!$C$4:$C$1000)*1,("var_ncap"=[1]OUT_SyntheticFuels!$B$4:$B$1000)*1,[1]OUT_SyntheticFuels!K$4:K$1000)</f>
        <v>2.8470759851947801E-5</v>
      </c>
      <c r="M2335" s="7" cm="1">
        <f t="array" ref="M2335">SUMPRODUCT(("SUP_WODBIOCCS"=[1]OUT_SyntheticFuels!$C$4:$C$1000)*1,("var_ncap"=[1]OUT_SyntheticFuels!$B$4:$B$1000)*1,[1]OUT_SyntheticFuels!L$4:L$1000)</f>
        <v>9.6889454850947597E-5</v>
      </c>
      <c r="N2335" s="7" cm="1">
        <f t="array" ref="N2335">SUMPRODUCT(("SUP_WODBIOCCS"=[1]OUT_SyntheticFuels!$C$4:$C$1000)*1,("var_ncap"=[1]OUT_SyntheticFuels!$B$4:$B$1000)*1,[1]OUT_SyntheticFuels!M$4:M$1000)</f>
        <v>1.09359784119068E-4</v>
      </c>
      <c r="O2335" s="7" cm="1">
        <f t="array" ref="O2335">SUMPRODUCT(("SUP_WODBIOCCS"=[1]OUT_SyntheticFuels!$C$4:$C$1000)*1,("var_ncap"=[1]OUT_SyntheticFuels!$B$4:$B$1000)*1,[1]OUT_SyntheticFuels!N$4:N$1000)</f>
        <v>3.69215079772899E-4</v>
      </c>
      <c r="P2335" s="7" cm="1">
        <f t="array" ref="P2335">SUMPRODUCT(("SUP_WODBIOCCS"=[1]OUT_SyntheticFuels!$C$4:$C$1000)*1,("var_ncap"=[1]OUT_SyntheticFuels!$B$4:$B$1000)*1,[1]OUT_SyntheticFuels!O$4:O$1000)</f>
        <v>8.6447476581773893E-6</v>
      </c>
      <c r="Q2335" s="7" cm="1">
        <f t="array" ref="Q2335">SUMPRODUCT(("SUP_WODBIOCCS"=[1]OUT_SyntheticFuels!$C$4:$C$1000)*1,("var_ncap"=[1]OUT_SyntheticFuels!$B$4:$B$1000)*1,[1]OUT_SyntheticFuels!P$4:P$1000)</f>
        <v>3.0324134873424601E-4</v>
      </c>
      <c r="S2335" s="3"/>
    </row>
    <row r="2336" spans="2:19" x14ac:dyDescent="0.5">
      <c r="B2336" s="5" t="str">
        <f t="shared" si="2319"/>
        <v>SPS1</v>
      </c>
      <c r="C2336" s="5" t="str">
        <f t="shared" si="2320"/>
        <v>CH</v>
      </c>
      <c r="D2336" t="s">
        <v>2471</v>
      </c>
      <c r="E2336" t="s">
        <v>2156</v>
      </c>
      <c r="F2336" s="7" cm="1">
        <f t="array" ref="F2336">SUMPRODUCT(("SUP_BIONGA"=[1]OUT_SyntheticFuels!$C$4:$C$1000)*1,("var_ncap"=[1]OUT_SyntheticFuels!$B$4:$B$1000)*1,[1]OUT_SyntheticFuels!E$4:E$1000)</f>
        <v>1.4344861777398301E-2</v>
      </c>
      <c r="G2336" s="7" cm="1">
        <f t="array" ref="G2336">SUMPRODUCT(("SUP_BIONGA"=[1]OUT_SyntheticFuels!$C$4:$C$1000)*1,("var_ncap"=[1]OUT_SyntheticFuels!$B$4:$B$1000)*1,[1]OUT_SyntheticFuels!F$4:F$1000)</f>
        <v>6.8832476926936503E-2</v>
      </c>
      <c r="H2336" s="7" cm="1">
        <f t="array" ref="H2336">SUMPRODUCT(("SUP_BIONGA"=[1]OUT_SyntheticFuels!$C$4:$C$1000)*1,("var_ncap"=[1]OUT_SyntheticFuels!$B$4:$B$1000)*1,[1]OUT_SyntheticFuels!G$4:G$1000)</f>
        <v>2.7425387760003799E-6</v>
      </c>
      <c r="I2336" s="7" cm="1">
        <f t="array" ref="I2336">SUMPRODUCT(("SUP_BIONGA"=[1]OUT_SyntheticFuels!$C$4:$C$1000)*1,("var_ncap"=[1]OUT_SyntheticFuels!$B$4:$B$1000)*1,[1]OUT_SyntheticFuels!H$4:H$1000)</f>
        <v>2.1986385230277599E-6</v>
      </c>
      <c r="J2336" s="7" cm="1">
        <f t="array" ref="J2336">SUMPRODUCT(("SUP_BIONGA"=[1]OUT_SyntheticFuels!$C$4:$C$1000)*1,("var_ncap"=[1]OUT_SyntheticFuels!$B$4:$B$1000)*1,[1]OUT_SyntheticFuels!I$4:I$1000)</f>
        <v>7.0057713701179804E-4</v>
      </c>
      <c r="K2336" s="7" cm="1">
        <f t="array" ref="K2336">SUMPRODUCT(("SUP_BIONGA"=[1]OUT_SyntheticFuels!$C$4:$C$1000)*1,("var_ncap"=[1]OUT_SyntheticFuels!$B$4:$B$1000)*1,[1]OUT_SyntheticFuels!J$4:J$1000)</f>
        <v>4.3072559784361399E-2</v>
      </c>
      <c r="L2336" s="7" cm="1">
        <f t="array" ref="L2336">SUMPRODUCT(("SUP_BIONGA"=[1]OUT_SyntheticFuels!$C$4:$C$1000)*1,("var_ncap"=[1]OUT_SyntheticFuels!$B$4:$B$1000)*1,[1]OUT_SyntheticFuels!K$4:K$1000)</f>
        <v>9.95844358311605E-2</v>
      </c>
      <c r="M2336" s="7" cm="1">
        <f t="array" ref="M2336">SUMPRODUCT(("SUP_BIONGA"=[1]OUT_SyntheticFuels!$C$4:$C$1000)*1,("var_ncap"=[1]OUT_SyntheticFuels!$B$4:$B$1000)*1,[1]OUT_SyntheticFuels!L$4:L$1000)</f>
        <v>6.2631807863538599E-2</v>
      </c>
      <c r="N2336" s="7" cm="1">
        <f t="array" ref="N2336">SUMPRODUCT(("SUP_BIONGA"=[1]OUT_SyntheticFuels!$C$4:$C$1000)*1,("var_ncap"=[1]OUT_SyntheticFuels!$B$4:$B$1000)*1,[1]OUT_SyntheticFuels!M$4:M$1000)</f>
        <v>7.5972539507941195E-2</v>
      </c>
      <c r="O2336" s="7" cm="1">
        <f t="array" ref="O2336">SUMPRODUCT(("SUP_BIONGA"=[1]OUT_SyntheticFuels!$C$4:$C$1000)*1,("var_ncap"=[1]OUT_SyntheticFuels!$B$4:$B$1000)*1,[1]OUT_SyntheticFuels!N$4:N$1000)</f>
        <v>0.10686012599514901</v>
      </c>
      <c r="P2336" s="7" cm="1">
        <f t="array" ref="P2336">SUMPRODUCT(("SUP_BIONGA"=[1]OUT_SyntheticFuels!$C$4:$C$1000)*1,("var_ncap"=[1]OUT_SyntheticFuels!$B$4:$B$1000)*1,[1]OUT_SyntheticFuels!O$4:O$1000)</f>
        <v>9.9632965989778097E-2</v>
      </c>
      <c r="Q2336" s="7" cm="1">
        <f t="array" ref="Q2336">SUMPRODUCT(("SUP_BIONGA"=[1]OUT_SyntheticFuels!$C$4:$C$1000)*1,("var_ncap"=[1]OUT_SyntheticFuels!$B$4:$B$1000)*1,[1]OUT_SyntheticFuels!P$4:P$1000)</f>
        <v>6.2737922153160902E-2</v>
      </c>
      <c r="S2336" s="3"/>
    </row>
    <row r="2337" spans="2:19" x14ac:dyDescent="0.5">
      <c r="B2337" s="5" t="str">
        <f t="shared" si="2319"/>
        <v>SPS1</v>
      </c>
      <c r="C2337" s="5" t="str">
        <f t="shared" si="2320"/>
        <v>CH</v>
      </c>
      <c r="D2337" t="s">
        <v>2472</v>
      </c>
      <c r="E2337" t="s">
        <v>2156</v>
      </c>
      <c r="F2337" s="7" cm="1">
        <f t="array" ref="F2337">SUMPRODUCT(("CT_CWODPLT"=[1]OUT_SyntheticFuels!$C$4:$C$1000)*1,("var_ncap"=[1]OUT_SyntheticFuels!$B$4:$B$1000)*1,[1]OUT_SyntheticFuels!E$4:E$1000)</f>
        <v>0.15652969395743799</v>
      </c>
      <c r="G2337" s="7" cm="1">
        <f t="array" ref="G2337">SUMPRODUCT(("CT_CWODPLT"=[1]OUT_SyntheticFuels!$C$4:$C$1000)*1,("var_ncap"=[1]OUT_SyntheticFuels!$B$4:$B$1000)*1,[1]OUT_SyntheticFuels!F$4:F$1000)</f>
        <v>5.0890615687353501E-2</v>
      </c>
      <c r="H2337" s="7" cm="1">
        <f t="array" ref="H2337">SUMPRODUCT(("CT_CWODPLT"=[1]OUT_SyntheticFuels!$C$4:$C$1000)*1,("var_ncap"=[1]OUT_SyntheticFuels!$B$4:$B$1000)*1,[1]OUT_SyntheticFuels!G$4:G$1000)</f>
        <v>9.0534226581978604E-6</v>
      </c>
      <c r="I2337" s="7" cm="1">
        <f t="array" ref="I2337">SUMPRODUCT(("CT_CWODPLT"=[1]OUT_SyntheticFuels!$C$4:$C$1000)*1,("var_ncap"=[1]OUT_SyntheticFuels!$B$4:$B$1000)*1,[1]OUT_SyntheticFuels!H$4:H$1000)</f>
        <v>9.7665788814720097E-6</v>
      </c>
      <c r="J2337" s="7" cm="1">
        <f t="array" ref="J2337">SUMPRODUCT(("CT_CWODPLT"=[1]OUT_SyntheticFuels!$C$4:$C$1000)*1,("var_ncap"=[1]OUT_SyntheticFuels!$B$4:$B$1000)*1,[1]OUT_SyntheticFuels!I$4:I$1000)</f>
        <v>0.15866046308051501</v>
      </c>
      <c r="K2337" s="7" cm="1">
        <f t="array" ref="K2337">SUMPRODUCT(("CT_CWODPLT"=[1]OUT_SyntheticFuels!$C$4:$C$1000)*1,("var_ncap"=[1]OUT_SyntheticFuels!$B$4:$B$1000)*1,[1]OUT_SyntheticFuels!J$4:J$1000)</f>
        <v>0.18126404527693199</v>
      </c>
      <c r="L2337" s="7" cm="1">
        <f t="array" ref="L2337">SUMPRODUCT(("CT_CWODPLT"=[1]OUT_SyntheticFuels!$C$4:$C$1000)*1,("var_ncap"=[1]OUT_SyntheticFuels!$B$4:$B$1000)*1,[1]OUT_SyntheticFuels!K$4:K$1000)</f>
        <v>9.7263441541261902E-2</v>
      </c>
      <c r="M2337" s="7" cm="1">
        <f t="array" ref="M2337">SUMPRODUCT(("CT_CWODPLT"=[1]OUT_SyntheticFuels!$C$4:$C$1000)*1,("var_ncap"=[1]OUT_SyntheticFuels!$B$4:$B$1000)*1,[1]OUT_SyntheticFuels!L$4:L$1000)</f>
        <v>1.6838089936100701E-4</v>
      </c>
      <c r="N2337" s="7" cm="1">
        <f t="array" ref="N2337">SUMPRODUCT(("CT_CWODPLT"=[1]OUT_SyntheticFuels!$C$4:$C$1000)*1,("var_ncap"=[1]OUT_SyntheticFuels!$B$4:$B$1000)*1,[1]OUT_SyntheticFuels!M$4:M$1000)</f>
        <v>0.122202873814152</v>
      </c>
      <c r="O2337" s="7" cm="1">
        <f t="array" ref="O2337">SUMPRODUCT(("CT_CWODPLT"=[1]OUT_SyntheticFuels!$C$4:$C$1000)*1,("var_ncap"=[1]OUT_SyntheticFuels!$B$4:$B$1000)*1,[1]OUT_SyntheticFuels!N$4:N$1000)</f>
        <v>0.223806298699674</v>
      </c>
      <c r="P2337" s="7" cm="1">
        <f t="array" ref="P2337">SUMPRODUCT(("CT_CWODPLT"=[1]OUT_SyntheticFuels!$C$4:$C$1000)*1,("var_ncap"=[1]OUT_SyntheticFuels!$B$4:$B$1000)*1,[1]OUT_SyntheticFuels!O$4:O$1000)</f>
        <v>8.8669407927180796E-2</v>
      </c>
      <c r="Q2337" s="7" cm="1">
        <f t="array" ref="Q2337">SUMPRODUCT(("CT_CWODPLT"=[1]OUT_SyntheticFuels!$C$4:$C$1000)*1,("var_ncap"=[1]OUT_SyntheticFuels!$B$4:$B$1000)*1,[1]OUT_SyntheticFuels!P$4:P$1000)</f>
        <v>2.9230816252339499E-4</v>
      </c>
      <c r="S2337" s="3"/>
    </row>
    <row r="2338" spans="2:19" x14ac:dyDescent="0.5">
      <c r="B2338" s="5" t="str">
        <f t="shared" si="2319"/>
        <v>SPS1</v>
      </c>
      <c r="C2338" s="5" t="str">
        <f t="shared" si="2320"/>
        <v>CH</v>
      </c>
      <c r="D2338" t="s">
        <v>2473</v>
      </c>
      <c r="E2338" t="s">
        <v>2156</v>
      </c>
      <c r="F2338" s="7" cm="1">
        <f t="array" ref="F2338">SUMPRODUCT(("SUP_H2NGA"=[1]OUT_SyntheticFuels!$C$4:$C$1000)*1,("var_ncap"=[1]OUT_SyntheticFuels!$B$4:$B$1000)*1,[1]OUT_SyntheticFuels!E$4:E$1000)</f>
        <v>0</v>
      </c>
      <c r="G2338" s="7" cm="1">
        <f t="array" ref="G2338">SUMPRODUCT(("SUP_H2NGA"=[1]OUT_SyntheticFuels!$C$4:$C$1000)*1,("var_ncap"=[1]OUT_SyntheticFuels!$B$4:$B$1000)*1,[1]OUT_SyntheticFuels!F$4:F$1000)</f>
        <v>0</v>
      </c>
      <c r="H2338" s="7" cm="1">
        <f t="array" ref="H2338">SUMPRODUCT(("SUP_H2NGA"=[1]OUT_SyntheticFuels!$C$4:$C$1000)*1,("var_ncap"=[1]OUT_SyntheticFuels!$B$4:$B$1000)*1,[1]OUT_SyntheticFuels!G$4:G$1000)</f>
        <v>0</v>
      </c>
      <c r="I2338" s="7" cm="1">
        <f t="array" ref="I2338">SUMPRODUCT(("SUP_H2NGA"=[1]OUT_SyntheticFuels!$C$4:$C$1000)*1,("var_ncap"=[1]OUT_SyntheticFuels!$B$4:$B$1000)*1,[1]OUT_SyntheticFuels!H$4:H$1000)</f>
        <v>4.4500718468100402E-6</v>
      </c>
      <c r="J2338" s="7" cm="1">
        <f t="array" ref="J2338">SUMPRODUCT(("SUP_H2NGA"=[1]OUT_SyntheticFuels!$C$4:$C$1000)*1,("var_ncap"=[1]OUT_SyntheticFuels!$B$4:$B$1000)*1,[1]OUT_SyntheticFuels!I$4:I$1000)</f>
        <v>1.4761835388458201E-5</v>
      </c>
      <c r="K2338" s="7" cm="1">
        <f t="array" ref="K2338">SUMPRODUCT(("SUP_H2NGA"=[1]OUT_SyntheticFuels!$C$4:$C$1000)*1,("var_ncap"=[1]OUT_SyntheticFuels!$B$4:$B$1000)*1,[1]OUT_SyntheticFuels!J$4:J$1000)</f>
        <v>0.16955831339813901</v>
      </c>
      <c r="L2338" s="7" cm="1">
        <f t="array" ref="L2338">SUMPRODUCT(("SUP_H2NGA"=[1]OUT_SyntheticFuels!$C$4:$C$1000)*1,("var_ncap"=[1]OUT_SyntheticFuels!$B$4:$B$1000)*1,[1]OUT_SyntheticFuels!K$4:K$1000)</f>
        <v>0.52579361617141995</v>
      </c>
      <c r="M2338" s="7" cm="1">
        <f t="array" ref="M2338">SUMPRODUCT(("SUP_H2NGA"=[1]OUT_SyntheticFuels!$C$4:$C$1000)*1,("var_ncap"=[1]OUT_SyntheticFuels!$B$4:$B$1000)*1,[1]OUT_SyntheticFuels!L$4:L$1000)</f>
        <v>1.02809049889347</v>
      </c>
      <c r="N2338" s="7" cm="1">
        <f t="array" ref="N2338">SUMPRODUCT(("SUP_H2NGA"=[1]OUT_SyntheticFuels!$C$4:$C$1000)*1,("var_ncap"=[1]OUT_SyntheticFuels!$B$4:$B$1000)*1,[1]OUT_SyntheticFuels!M$4:M$1000)</f>
        <v>2.9875645299218599E-5</v>
      </c>
      <c r="O2338" s="7" cm="1">
        <f t="array" ref="O2338">SUMPRODUCT(("SUP_H2NGA"=[1]OUT_SyntheticFuels!$C$4:$C$1000)*1,("var_ncap"=[1]OUT_SyntheticFuels!$B$4:$B$1000)*1,[1]OUT_SyntheticFuels!N$4:N$1000)</f>
        <v>8.9943472253175004E-5</v>
      </c>
      <c r="P2338" s="7" cm="1">
        <f t="array" ref="P2338">SUMPRODUCT(("SUP_H2NGA"=[1]OUT_SyntheticFuels!$C$4:$C$1000)*1,("var_ncap"=[1]OUT_SyntheticFuels!$B$4:$B$1000)*1,[1]OUT_SyntheticFuels!O$4:O$1000)</f>
        <v>2.4895818380559698E-2</v>
      </c>
      <c r="Q2338" s="7" cm="1">
        <f t="array" ref="Q2338">SUMPRODUCT(("SUP_H2NGA"=[1]OUT_SyntheticFuels!$C$4:$C$1000)*1,("var_ncap"=[1]OUT_SyntheticFuels!$B$4:$B$1000)*1,[1]OUT_SyntheticFuels!P$4:P$1000)</f>
        <v>0.45107500444233101</v>
      </c>
      <c r="S2338" s="3"/>
    </row>
    <row r="2339" spans="2:19" x14ac:dyDescent="0.5">
      <c r="B2339" s="5" t="str">
        <f t="shared" si="2319"/>
        <v>SPS1</v>
      </c>
      <c r="C2339" s="5" t="str">
        <f t="shared" si="2320"/>
        <v>CH</v>
      </c>
      <c r="D2339" t="s">
        <v>2474</v>
      </c>
      <c r="E2339" t="s">
        <v>2156</v>
      </c>
      <c r="F2339" s="7" cm="1">
        <f t="array" ref="F2339">SUMPRODUCT(("SUP_H2DSL"=[1]OUT_SyntheticFuels!$C$4:$C$1000)*1,("var_ncap"=[1]OUT_SyntheticFuels!$B$4:$B$1000)*1,[1]OUT_SyntheticFuels!E$4:E$1000)</f>
        <v>0</v>
      </c>
      <c r="G2339" s="7" cm="1">
        <f t="array" ref="G2339">SUMPRODUCT(("SUP_H2DSL"=[1]OUT_SyntheticFuels!$C$4:$C$1000)*1,("var_ncap"=[1]OUT_SyntheticFuels!$B$4:$B$1000)*1,[1]OUT_SyntheticFuels!F$4:F$1000)</f>
        <v>0</v>
      </c>
      <c r="H2339" s="7" cm="1">
        <f t="array" ref="H2339">SUMPRODUCT(("SUP_H2DSL"=[1]OUT_SyntheticFuels!$C$4:$C$1000)*1,("var_ncap"=[1]OUT_SyntheticFuels!$B$4:$B$1000)*1,[1]OUT_SyntheticFuels!G$4:G$1000)</f>
        <v>0</v>
      </c>
      <c r="I2339" s="7" cm="1">
        <f t="array" ref="I2339">SUMPRODUCT(("SUP_H2DSL"=[1]OUT_SyntheticFuels!$C$4:$C$1000)*1,("var_ncap"=[1]OUT_SyntheticFuels!$B$4:$B$1000)*1,[1]OUT_SyntheticFuels!H$4:H$1000)</f>
        <v>6.73997659275475E-6</v>
      </c>
      <c r="J2339" s="7" cm="1">
        <f t="array" ref="J2339">SUMPRODUCT(("SUP_H2DSL"=[1]OUT_SyntheticFuels!$C$4:$C$1000)*1,("var_ncap"=[1]OUT_SyntheticFuels!$B$4:$B$1000)*1,[1]OUT_SyntheticFuels!I$4:I$1000)</f>
        <v>3.33570070755172E-5</v>
      </c>
      <c r="K2339" s="7" cm="1">
        <f t="array" ref="K2339">SUMPRODUCT(("SUP_H2DSL"=[1]OUT_SyntheticFuels!$C$4:$C$1000)*1,("var_ncap"=[1]OUT_SyntheticFuels!$B$4:$B$1000)*1,[1]OUT_SyntheticFuels!J$4:J$1000)</f>
        <v>0.21324857401814501</v>
      </c>
      <c r="L2339" s="7" cm="1">
        <f t="array" ref="L2339">SUMPRODUCT(("SUP_H2DSL"=[1]OUT_SyntheticFuels!$C$4:$C$1000)*1,("var_ncap"=[1]OUT_SyntheticFuels!$B$4:$B$1000)*1,[1]OUT_SyntheticFuels!K$4:K$1000)</f>
        <v>4.00388733384167E-5</v>
      </c>
      <c r="M2339" s="7" cm="1">
        <f t="array" ref="M2339">SUMPRODUCT(("SUP_H2DSL"=[1]OUT_SyntheticFuels!$C$4:$C$1000)*1,("var_ncap"=[1]OUT_SyntheticFuels!$B$4:$B$1000)*1,[1]OUT_SyntheticFuels!L$4:L$1000)</f>
        <v>3.0954634987861597E-5</v>
      </c>
      <c r="N2339" s="7" cm="1">
        <f t="array" ref="N2339">SUMPRODUCT(("SUP_H2DSL"=[1]OUT_SyntheticFuels!$C$4:$C$1000)*1,("var_ncap"=[1]OUT_SyntheticFuels!$B$4:$B$1000)*1,[1]OUT_SyntheticFuels!M$4:M$1000)</f>
        <v>3.7863036420468902E-5</v>
      </c>
      <c r="O2339" s="7" cm="1">
        <f t="array" ref="O2339">SUMPRODUCT(("SUP_H2DSL"=[1]OUT_SyntheticFuels!$C$4:$C$1000)*1,("var_ncap"=[1]OUT_SyntheticFuels!$B$4:$B$1000)*1,[1]OUT_SyntheticFuels!N$4:N$1000)</f>
        <v>2.1217052588451599E-3</v>
      </c>
      <c r="P2339" s="7" cm="1">
        <f t="array" ref="P2339">SUMPRODUCT(("SUP_H2DSL"=[1]OUT_SyntheticFuels!$C$4:$C$1000)*1,("var_ncap"=[1]OUT_SyntheticFuels!$B$4:$B$1000)*1,[1]OUT_SyntheticFuels!O$4:O$1000)</f>
        <v>1.30583680727162E-2</v>
      </c>
      <c r="Q2339" s="7" cm="1">
        <f t="array" ref="Q2339">SUMPRODUCT(("SUP_H2DSL"=[1]OUT_SyntheticFuels!$C$4:$C$1000)*1,("var_ncap"=[1]OUT_SyntheticFuels!$B$4:$B$1000)*1,[1]OUT_SyntheticFuels!P$4:P$1000)</f>
        <v>2.2941257082044299E-4</v>
      </c>
      <c r="S2339" s="3"/>
    </row>
    <row r="2340" spans="2:19" x14ac:dyDescent="0.5">
      <c r="B2340" s="5" t="str">
        <f t="shared" si="2319"/>
        <v>SPS1</v>
      </c>
      <c r="C2340" s="5" t="str">
        <f t="shared" si="2320"/>
        <v>CH</v>
      </c>
      <c r="D2340" t="s">
        <v>2475</v>
      </c>
      <c r="E2340" t="s">
        <v>2156</v>
      </c>
      <c r="F2340" s="7" cm="1">
        <f t="array" ref="F2340">SUMPRODUCT(("SUP_H2GSL"=[1]OUT_SyntheticFuels!$C$4:$C$1000)*1,("var_ncap"=[1]OUT_SyntheticFuels!$B$4:$B$1000)*1,[1]OUT_SyntheticFuels!E$4:E$1000)</f>
        <v>0</v>
      </c>
      <c r="G2340" s="7" cm="1">
        <f t="array" ref="G2340">SUMPRODUCT(("SUP_H2GSL"=[1]OUT_SyntheticFuels!$C$4:$C$1000)*1,("var_ncap"=[1]OUT_SyntheticFuels!$B$4:$B$1000)*1,[1]OUT_SyntheticFuels!F$4:F$1000)</f>
        <v>0</v>
      </c>
      <c r="H2340" s="7" cm="1">
        <f t="array" ref="H2340">SUMPRODUCT(("SUP_H2GSL"=[1]OUT_SyntheticFuels!$C$4:$C$1000)*1,("var_ncap"=[1]OUT_SyntheticFuels!$B$4:$B$1000)*1,[1]OUT_SyntheticFuels!G$4:G$1000)</f>
        <v>0</v>
      </c>
      <c r="I2340" s="7" cm="1">
        <f t="array" ref="I2340">SUMPRODUCT(("SUP_H2GSL"=[1]OUT_SyntheticFuels!$C$4:$C$1000)*1,("var_ncap"=[1]OUT_SyntheticFuels!$B$4:$B$1000)*1,[1]OUT_SyntheticFuels!H$4:H$1000)</f>
        <v>6.49563977615269E-6</v>
      </c>
      <c r="J2340" s="7" cm="1">
        <f t="array" ref="J2340">SUMPRODUCT(("SUP_H2GSL"=[1]OUT_SyntheticFuels!$C$4:$C$1000)*1,("var_ncap"=[1]OUT_SyntheticFuels!$B$4:$B$1000)*1,[1]OUT_SyntheticFuels!I$4:I$1000)</f>
        <v>3.25690935094999E-5</v>
      </c>
      <c r="K2340" s="7" cm="1">
        <f t="array" ref="K2340">SUMPRODUCT(("SUP_H2GSL"=[1]OUT_SyntheticFuels!$C$4:$C$1000)*1,("var_ncap"=[1]OUT_SyntheticFuels!$B$4:$B$1000)*1,[1]OUT_SyntheticFuels!J$4:J$1000)</f>
        <v>0.20080926590750101</v>
      </c>
      <c r="L2340" s="7" cm="1">
        <f t="array" ref="L2340">SUMPRODUCT(("SUP_H2GSL"=[1]OUT_SyntheticFuels!$C$4:$C$1000)*1,("var_ncap"=[1]OUT_SyntheticFuels!$B$4:$B$1000)*1,[1]OUT_SyntheticFuels!K$4:K$1000)</f>
        <v>2.46930056765126E-5</v>
      </c>
      <c r="M2340" s="7" cm="1">
        <f t="array" ref="M2340">SUMPRODUCT(("SUP_H2GSL"=[1]OUT_SyntheticFuels!$C$4:$C$1000)*1,("var_ncap"=[1]OUT_SyntheticFuels!$B$4:$B$1000)*1,[1]OUT_SyntheticFuels!L$4:L$1000)</f>
        <v>2.73995699228126E-5</v>
      </c>
      <c r="N2340" s="7" cm="1">
        <f t="array" ref="N2340">SUMPRODUCT(("SUP_H2GSL"=[1]OUT_SyntheticFuels!$C$4:$C$1000)*1,("var_ncap"=[1]OUT_SyntheticFuels!$B$4:$B$1000)*1,[1]OUT_SyntheticFuels!M$4:M$1000)</f>
        <v>3.1243556262466101E-5</v>
      </c>
      <c r="O2340" s="7" cm="1">
        <f t="array" ref="O2340">SUMPRODUCT(("SUP_H2GSL"=[1]OUT_SyntheticFuels!$C$4:$C$1000)*1,("var_ncap"=[1]OUT_SyntheticFuels!$B$4:$B$1000)*1,[1]OUT_SyntheticFuels!N$4:N$1000)</f>
        <v>1.7784223998443899E-2</v>
      </c>
      <c r="P2340" s="7" cm="1">
        <f t="array" ref="P2340">SUMPRODUCT(("SUP_H2GSL"=[1]OUT_SyntheticFuels!$C$4:$C$1000)*1,("var_ncap"=[1]OUT_SyntheticFuels!$B$4:$B$1000)*1,[1]OUT_SyntheticFuels!O$4:O$1000)</f>
        <v>5.4803486994418199E-3</v>
      </c>
      <c r="Q2340" s="7" cm="1">
        <f t="array" ref="Q2340">SUMPRODUCT(("SUP_H2GSL"=[1]OUT_SyntheticFuels!$C$4:$C$1000)*1,("var_ncap"=[1]OUT_SyntheticFuels!$B$4:$B$1000)*1,[1]OUT_SyntheticFuels!P$4:P$1000)</f>
        <v>1.43634809005472E-4</v>
      </c>
      <c r="S2340" s="3"/>
    </row>
  </sheetData>
  <sortState xmlns:xlrd2="http://schemas.microsoft.com/office/spreadsheetml/2017/richdata2" ref="D1574:D1576">
    <sortCondition ref="D1574:D1576"/>
  </sortState>
  <phoneticPr fontId="3" type="noConversion"/>
  <conditionalFormatting sqref="F736:G736">
    <cfRule type="cellIs" dxfId="3" priority="1" operator="lessThan">
      <formula>0</formula>
    </cfRule>
  </conditionalFormatting>
  <conditionalFormatting sqref="F908:G908">
    <cfRule type="cellIs" dxfId="2" priority="5" operator="lessThan">
      <formula>0</formula>
    </cfRule>
  </conditionalFormatting>
  <conditionalFormatting sqref="F1158:Q1158">
    <cfRule type="cellIs" dxfId="1" priority="7" operator="lessThan">
      <formula>0</formula>
    </cfRule>
  </conditionalFormatting>
  <conditionalFormatting sqref="H1:Q113 S2:S2340 H131:Q1205 R224 T224 H1208:Q1343 H1346:Q1427 H1430:Q1569 H1572:Q1616 H1619:Q2340 H2341:L1048576">
    <cfRule type="cellIs" dxfId="0" priority="3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sheetPr codeName="Sheet3"/>
  <dimension ref="B2:H16"/>
  <sheetViews>
    <sheetView showGridLines="0" workbookViewId="0">
      <selection activeCell="B14" sqref="B14"/>
    </sheetView>
  </sheetViews>
  <sheetFormatPr defaultRowHeight="15.75" x14ac:dyDescent="0.5"/>
  <cols>
    <col min="2" max="2" width="36.5625" bestFit="1" customWidth="1"/>
    <col min="3" max="3" width="9.4375" bestFit="1" customWidth="1"/>
  </cols>
  <sheetData>
    <row r="2" spans="2:8" x14ac:dyDescent="0.5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 x14ac:dyDescent="0.5">
      <c r="B3" s="2" t="s">
        <v>1719</v>
      </c>
      <c r="C3" s="3">
        <f>SUM(C4:C7)</f>
        <v>696.74487081746747</v>
      </c>
      <c r="D3" s="3">
        <f t="shared" ref="D3:H3" si="0">SUM(D4:D7)</f>
        <v>686.59607229885341</v>
      </c>
      <c r="E3" s="3">
        <f t="shared" si="0"/>
        <v>647.50360077261666</v>
      </c>
      <c r="F3" s="3">
        <f t="shared" si="0"/>
        <v>619.45728919406224</v>
      </c>
      <c r="G3" s="3">
        <f t="shared" si="0"/>
        <v>564.13052047072711</v>
      </c>
      <c r="H3" s="3">
        <f t="shared" si="0"/>
        <v>545.55350401478961</v>
      </c>
    </row>
    <row r="4" spans="2:8" x14ac:dyDescent="0.5">
      <c r="B4" s="23" t="s">
        <v>1727</v>
      </c>
      <c r="C4" s="1">
        <f>'SPS1'!F763</f>
        <v>142.2178747783791</v>
      </c>
      <c r="D4" s="1">
        <f>'SPS1'!G763</f>
        <v>141.20318914711902</v>
      </c>
      <c r="E4" s="1">
        <f>'SPS1'!H763</f>
        <v>142.40661425185036</v>
      </c>
      <c r="F4" s="1">
        <f>'SPS1'!I763</f>
        <v>144.4835821251225</v>
      </c>
      <c r="G4" s="1">
        <f>'SPS1'!J763</f>
        <v>133.184741529831</v>
      </c>
      <c r="H4" s="1">
        <f>'SPS1'!K763</f>
        <v>131.00342301979134</v>
      </c>
    </row>
    <row r="5" spans="2:8" x14ac:dyDescent="0.5">
      <c r="B5" s="23" t="s">
        <v>1728</v>
      </c>
      <c r="C5" s="1">
        <f>'SPS1'!F882</f>
        <v>140.10137963207268</v>
      </c>
      <c r="D5" s="1">
        <f>'SPS1'!G882</f>
        <v>137.05023718898596</v>
      </c>
      <c r="E5" s="1">
        <f>'SPS1'!H882</f>
        <v>130.55170968468326</v>
      </c>
      <c r="F5" s="1">
        <f>'SPS1'!I882</f>
        <v>128.825517618248</v>
      </c>
      <c r="G5" s="1">
        <f>'SPS1'!J882</f>
        <v>127.09338458082323</v>
      </c>
      <c r="H5" s="1">
        <f>'SPS1'!K882</f>
        <v>126.71462870222869</v>
      </c>
    </row>
    <row r="6" spans="2:8" x14ac:dyDescent="0.5">
      <c r="B6" s="23" t="s">
        <v>1729</v>
      </c>
      <c r="C6" s="1">
        <f>'SPS1'!F972</f>
        <v>217.96818080439996</v>
      </c>
      <c r="D6" s="1">
        <f>'SPS1'!G972</f>
        <v>219.93616372860413</v>
      </c>
      <c r="E6" s="1">
        <f>'SPS1'!H972</f>
        <v>219.92038362096778</v>
      </c>
      <c r="F6" s="1">
        <f>'SPS1'!I972</f>
        <v>217.7333917089353</v>
      </c>
      <c r="G6" s="1">
        <f>'SPS1'!J972</f>
        <v>203.11334812301303</v>
      </c>
      <c r="H6" s="1">
        <f>'SPS1'!K972</f>
        <v>192.28841510127114</v>
      </c>
    </row>
    <row r="7" spans="2:8" x14ac:dyDescent="0.5">
      <c r="B7" s="23" t="s">
        <v>1730</v>
      </c>
      <c r="C7" s="1">
        <f>'SPS1'!F1136+'SPS1'!F1315+'SPS1'!F1399+'SPS1'!F1483+'SPS1'!F1490+'SPS1'!F1497+'SPS1'!F1546+'SPS1'!F1593+'SPS1'!F1640</f>
        <v>196.45743560261579</v>
      </c>
      <c r="D7" s="1">
        <f>'SPS1'!G1136+'SPS1'!G1315+'SPS1'!G1399+'SPS1'!G1483+'SPS1'!G1490+'SPS1'!G1497+'SPS1'!G1546+'SPS1'!G1593+'SPS1'!G1640</f>
        <v>188.40648223414431</v>
      </c>
      <c r="E7" s="1">
        <f>'SPS1'!H1136+'SPS1'!H1315+'SPS1'!H1399+'SPS1'!H1483+'SPS1'!H1490+'SPS1'!H1497+'SPS1'!H1546+'SPS1'!H1593+'SPS1'!H1640</f>
        <v>154.62489321511538</v>
      </c>
      <c r="F7" s="1">
        <f>'SPS1'!I1136+'SPS1'!I1315+'SPS1'!I1399+'SPS1'!I1483+'SPS1'!I1490+'SPS1'!I1497+'SPS1'!I1546+'SPS1'!I1593+'SPS1'!I1640</f>
        <v>128.41479774175642</v>
      </c>
      <c r="G7" s="1">
        <f>'SPS1'!J1136+'SPS1'!J1315+'SPS1'!J1399+'SPS1'!J1483+'SPS1'!J1490+'SPS1'!J1497+'SPS1'!J1546+'SPS1'!J1593+'SPS1'!J1640</f>
        <v>100.73904623705988</v>
      </c>
      <c r="H7" s="1">
        <f>'SPS1'!K1136+'SPS1'!K1315+'SPS1'!K1399+'SPS1'!K1483+'SPS1'!K1490+'SPS1'!K1497+'SPS1'!K1546+'SPS1'!K1593+'SPS1'!K1640</f>
        <v>95.547037191498376</v>
      </c>
    </row>
    <row r="8" spans="2:8" x14ac:dyDescent="0.5">
      <c r="B8" s="2" t="s">
        <v>1735</v>
      </c>
      <c r="C8" s="3">
        <f>SUM(C9:C12)</f>
        <v>511.47168834367744</v>
      </c>
      <c r="D8" s="3">
        <f t="shared" ref="D8:H8" si="1">SUM(D9:D12)</f>
        <v>501.20290290901391</v>
      </c>
      <c r="E8" s="3">
        <f t="shared" si="1"/>
        <v>504.12949683881345</v>
      </c>
      <c r="F8" s="3">
        <f t="shared" si="1"/>
        <v>532.76183219787254</v>
      </c>
      <c r="G8" s="3">
        <f t="shared" si="1"/>
        <v>522.73471177113811</v>
      </c>
      <c r="H8" s="3">
        <f t="shared" si="1"/>
        <v>534.17092146051368</v>
      </c>
    </row>
    <row r="9" spans="2:8" x14ac:dyDescent="0.5">
      <c r="B9" s="23" t="s">
        <v>1732</v>
      </c>
      <c r="C9" s="1">
        <f>'SPS1'!F291+'SPS1'!F409</f>
        <v>493.45103100331085</v>
      </c>
      <c r="D9" s="1">
        <f>'SPS1'!G291+'SPS1'!G409</f>
        <v>476.32501496430245</v>
      </c>
      <c r="E9" s="1">
        <f>'SPS1'!H291+'SPS1'!H409</f>
        <v>478.57217518171353</v>
      </c>
      <c r="F9" s="1">
        <f>'SPS1'!I291+'SPS1'!I409</f>
        <v>508.48370483409337</v>
      </c>
      <c r="G9" s="1">
        <f>'SPS1'!J291+'SPS1'!J409</f>
        <v>491.92138504100461</v>
      </c>
      <c r="H9" s="1">
        <f>'SPS1'!K291+'SPS1'!K409</f>
        <v>485.42353847966871</v>
      </c>
    </row>
    <row r="10" spans="2:8" x14ac:dyDescent="0.5">
      <c r="B10" s="23" t="s">
        <v>1733</v>
      </c>
      <c r="C10" s="1">
        <f>'SPS1'!F590+'SPS1'!F604+'SPS1'!F644</f>
        <v>18.013317491513387</v>
      </c>
      <c r="D10" s="1">
        <f>'SPS1'!G590+'SPS1'!G604+'SPS1'!G644</f>
        <v>24.851480255091364</v>
      </c>
      <c r="E10" s="1">
        <f>'SPS1'!H590+'SPS1'!H604+'SPS1'!H644</f>
        <v>25.53134671492122</v>
      </c>
      <c r="F10" s="1">
        <f>'SPS1'!I590+'SPS1'!I604+'SPS1'!I644</f>
        <v>23.681676945916315</v>
      </c>
      <c r="G10" s="1">
        <f>'SPS1'!J590+'SPS1'!J604+'SPS1'!J644</f>
        <v>22.515232279964565</v>
      </c>
      <c r="H10" s="1">
        <f>'SPS1'!K590+'SPS1'!K604+'SPS1'!K644</f>
        <v>27.048863651770194</v>
      </c>
    </row>
    <row r="11" spans="2:8" x14ac:dyDescent="0.5">
      <c r="B11" s="23" t="s">
        <v>1731</v>
      </c>
      <c r="C11" s="1">
        <f>'SPS1'!F679</f>
        <v>7.3398488532088191E-3</v>
      </c>
      <c r="D11" s="1">
        <f>'SPS1'!G679</f>
        <v>2.6407689620091036E-2</v>
      </c>
      <c r="E11" s="1">
        <f>'SPS1'!H679</f>
        <v>2.5974942178698272E-2</v>
      </c>
      <c r="F11" s="1">
        <f>'SPS1'!I679</f>
        <v>0.59645041786283304</v>
      </c>
      <c r="G11" s="1">
        <f>'SPS1'!J679</f>
        <v>8.2980944501689624</v>
      </c>
      <c r="H11" s="1">
        <f>'SPS1'!K679</f>
        <v>21.698352791832438</v>
      </c>
    </row>
    <row r="12" spans="2:8" x14ac:dyDescent="0.5">
      <c r="B12" s="23" t="s">
        <v>1734</v>
      </c>
      <c r="C12" s="1">
        <f>'SPS1'!F1707</f>
        <v>0</v>
      </c>
      <c r="D12" s="1">
        <f>'SPS1'!G1707</f>
        <v>0</v>
      </c>
      <c r="E12" s="1">
        <f>'SPS1'!H1707</f>
        <v>0</v>
      </c>
      <c r="F12" s="1">
        <f>'SPS1'!I1707</f>
        <v>0</v>
      </c>
      <c r="G12" s="1">
        <f>'SPS1'!J1707</f>
        <v>0</v>
      </c>
      <c r="H12" s="1">
        <f>'SPS1'!K1707</f>
        <v>1.6653724226136784E-4</v>
      </c>
    </row>
    <row r="13" spans="2:8" x14ac:dyDescent="0.5">
      <c r="B13" s="2" t="s">
        <v>1736</v>
      </c>
      <c r="C13" s="3">
        <f>'SPS1'!F2+'SPS1'!F20-'SPS1'!F57</f>
        <v>963.77526537648589</v>
      </c>
      <c r="D13" s="3">
        <f>'SPS1'!G2+'SPS1'!G20-'SPS1'!G57</f>
        <v>963.19782797315861</v>
      </c>
      <c r="E13" s="3">
        <f>'SPS1'!H2+'SPS1'!H20-'SPS1'!H57</f>
        <v>883.92346265631852</v>
      </c>
      <c r="F13" s="3">
        <f>'SPS1'!I2+'SPS1'!I20-'SPS1'!I57</f>
        <v>874.94449235616844</v>
      </c>
      <c r="G13" s="3">
        <f>'SPS1'!J2+'SPS1'!J20-'SPS1'!J57</f>
        <v>792.07823506111811</v>
      </c>
      <c r="H13" s="3">
        <f>'SPS1'!K2+'SPS1'!K20-'SPS1'!K57</f>
        <v>746.44557070555175</v>
      </c>
    </row>
    <row r="14" spans="2:8" x14ac:dyDescent="0.5">
      <c r="B14" s="23" t="s">
        <v>1737</v>
      </c>
      <c r="C14" s="1">
        <f>'SPS1'!F2</f>
        <v>301.54914044682403</v>
      </c>
      <c r="D14" s="1">
        <f>'SPS1'!G2</f>
        <v>296.9730601631216</v>
      </c>
      <c r="E14" s="1">
        <f>'SPS1'!H2</f>
        <v>329.28589100676004</v>
      </c>
      <c r="F14" s="1">
        <f>'SPS1'!I2</f>
        <v>375.55214121375445</v>
      </c>
      <c r="G14" s="1">
        <f>'SPS1'!J2</f>
        <v>428.76621135512249</v>
      </c>
      <c r="H14" s="1">
        <f>'SPS1'!K2</f>
        <v>512.20090288196491</v>
      </c>
    </row>
    <row r="15" spans="2:8" x14ac:dyDescent="0.5">
      <c r="B15" s="23" t="s">
        <v>19</v>
      </c>
      <c r="C15" s="1">
        <f>'SPS1'!F20</f>
        <v>779.39623837183285</v>
      </c>
      <c r="D15" s="1">
        <f>'SPS1'!G20</f>
        <v>701.76058901501062</v>
      </c>
      <c r="E15" s="1">
        <f>'SPS1'!H20</f>
        <v>608.79955809762976</v>
      </c>
      <c r="F15" s="1">
        <f>'SPS1'!I20</f>
        <v>547.33232805944328</v>
      </c>
      <c r="G15" s="1">
        <f>'SPS1'!J20</f>
        <v>409.6775652299504</v>
      </c>
      <c r="H15" s="1">
        <f>'SPS1'!K20</f>
        <v>283.20608324508339</v>
      </c>
    </row>
    <row r="16" spans="2:8" x14ac:dyDescent="0.5">
      <c r="B16" s="23" t="s">
        <v>24</v>
      </c>
      <c r="C16" s="1">
        <f>'SPS1'!F57</f>
        <v>117.17011344217106</v>
      </c>
      <c r="D16" s="1">
        <f>'SPS1'!G57</f>
        <v>35.535821204973693</v>
      </c>
      <c r="E16" s="1">
        <f>'SPS1'!H57</f>
        <v>54.161986448071303</v>
      </c>
      <c r="F16" s="1">
        <f>'SPS1'!I57</f>
        <v>47.939976917029263</v>
      </c>
      <c r="G16" s="1">
        <f>'SPS1'!J57</f>
        <v>46.365541523954747</v>
      </c>
      <c r="H16" s="1">
        <f>'SPS1'!K57</f>
        <v>48.961415421496525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Variable_List</vt:lpstr>
      <vt:lpstr>SPS1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Fernandez de Losada, Lucas Javier</cp:lastModifiedBy>
  <dcterms:created xsi:type="dcterms:W3CDTF">2023-01-16T15:31:56Z</dcterms:created>
  <dcterms:modified xsi:type="dcterms:W3CDTF">2026-03-24T10:31:24Z</dcterms:modified>
</cp:coreProperties>
</file>